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naturalcapitalpartners-my.sharepoint.com/personal/aniya_bagheri_climateimpact_com/Documents/comparative analysis/"/>
    </mc:Choice>
  </mc:AlternateContent>
  <xr:revisionPtr revIDLastSave="953" documentId="8_{F26505D9-1EE3-45C5-AEBD-D3F14305524C}" xr6:coauthVersionLast="47" xr6:coauthVersionMax="47" xr10:uidLastSave="{ABEABF29-5509-4FC5-841F-9CEA265105CC}"/>
  <bookViews>
    <workbookView xWindow="110" yWindow="0" windowWidth="17880" windowHeight="11370" xr2:uid="{3C46372C-DC26-4173-A8B1-E0BBA38C4A1D}"/>
  </bookViews>
  <sheets>
    <sheet name="2024" sheetId="7" r:id="rId1"/>
    <sheet name="2023" sheetId="8" r:id="rId2"/>
    <sheet name="2022" sheetId="5" r:id="rId3"/>
    <sheet name="2021" sheetId="4" r:id="rId4"/>
    <sheet name="2020" sheetId="3" r:id="rId5"/>
    <sheet name="2019" sheetId="2" r:id="rId6"/>
    <sheet name="Sheet1" sheetId="1" r:id="rId7"/>
  </sheets>
  <definedNames>
    <definedName name="_xlnm._FilterDatabase" localSheetId="5" hidden="1">'2019'!$A$1:$AV$546</definedName>
    <definedName name="_xlnm._FilterDatabase" localSheetId="4" hidden="1">'2020'!$A$1:$CY$501</definedName>
    <definedName name="_xlnm._FilterDatabase" localSheetId="2" hidden="1">'2022'!$A$2:$V$502</definedName>
    <definedName name="_xlnm._FilterDatabase" localSheetId="0" hidden="1">'2024'!$A$1:$CL$508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F6" i="7" l="1"/>
  <c r="DF7" i="7"/>
  <c r="DF8" i="7"/>
  <c r="DF9" i="7"/>
  <c r="DF10" i="7"/>
  <c r="DG10" i="7" s="1"/>
  <c r="DF11" i="7"/>
  <c r="DF12" i="7"/>
  <c r="DF13" i="7"/>
  <c r="DF14" i="7"/>
  <c r="DF15" i="7"/>
  <c r="DF16" i="7"/>
  <c r="DG16" i="7" s="1"/>
  <c r="DF17" i="7"/>
  <c r="DF18" i="7"/>
  <c r="DF19" i="7"/>
  <c r="DF20" i="7"/>
  <c r="DF21" i="7"/>
  <c r="DF5" i="7"/>
  <c r="DG9" i="7"/>
  <c r="DE6" i="7"/>
  <c r="DE7" i="7"/>
  <c r="DE8" i="7"/>
  <c r="DE9" i="7"/>
  <c r="DE10" i="7"/>
  <c r="DE11" i="7"/>
  <c r="DE12" i="7"/>
  <c r="DE13" i="7"/>
  <c r="DE14" i="7"/>
  <c r="DE15" i="7"/>
  <c r="DE16" i="7"/>
  <c r="DE17" i="7"/>
  <c r="DE18" i="7"/>
  <c r="DE19" i="7"/>
  <c r="DE20" i="7"/>
  <c r="DE21" i="7"/>
  <c r="DE5" i="7"/>
  <c r="DE26" i="7"/>
  <c r="DF26" i="7"/>
  <c r="DE27" i="7"/>
  <c r="DF27" i="7"/>
  <c r="DG27" i="7" s="1"/>
  <c r="DE28" i="7"/>
  <c r="DF28" i="7"/>
  <c r="DG28" i="7" s="1"/>
  <c r="DF25" i="7"/>
  <c r="DE25" i="7"/>
  <c r="DG13" i="7"/>
  <c r="DG15" i="7"/>
  <c r="DG21" i="7"/>
  <c r="CR26" i="7"/>
  <c r="CS26" i="7"/>
  <c r="CT26" i="7"/>
  <c r="CU26" i="7"/>
  <c r="CV26" i="7"/>
  <c r="CW26" i="7"/>
  <c r="CX26" i="7"/>
  <c r="CY26" i="7"/>
  <c r="CZ26" i="7"/>
  <c r="CR27" i="7"/>
  <c r="CS27" i="7"/>
  <c r="CT27" i="7"/>
  <c r="CU27" i="7"/>
  <c r="CV27" i="7"/>
  <c r="CW27" i="7"/>
  <c r="CX27" i="7"/>
  <c r="CY27" i="7"/>
  <c r="CZ27" i="7"/>
  <c r="CR28" i="7"/>
  <c r="CS28" i="7"/>
  <c r="CT28" i="7"/>
  <c r="CU28" i="7"/>
  <c r="CV28" i="7"/>
  <c r="CW28" i="7"/>
  <c r="CX28" i="7"/>
  <c r="CY28" i="7"/>
  <c r="CZ28" i="7"/>
  <c r="CZ25" i="7"/>
  <c r="CY25" i="7"/>
  <c r="CX25" i="7"/>
  <c r="CW25" i="7"/>
  <c r="CV25" i="7"/>
  <c r="CU25" i="7"/>
  <c r="CT25" i="7"/>
  <c r="CS25" i="7"/>
  <c r="CR25" i="7"/>
  <c r="DC17" i="7"/>
  <c r="DB17" i="7"/>
  <c r="CM275" i="7"/>
  <c r="DA17" i="7"/>
  <c r="CM3" i="7"/>
  <c r="CM5" i="7"/>
  <c r="CM6" i="7"/>
  <c r="CM8" i="7"/>
  <c r="CM10" i="7"/>
  <c r="CM11" i="7"/>
  <c r="CM12" i="7"/>
  <c r="CM13" i="7"/>
  <c r="CM15" i="7"/>
  <c r="CM18" i="7"/>
  <c r="CM19" i="7"/>
  <c r="CM20" i="7"/>
  <c r="CM22" i="7"/>
  <c r="CM24" i="7"/>
  <c r="CM25" i="7"/>
  <c r="CM26" i="7"/>
  <c r="CM28" i="7"/>
  <c r="CM31" i="7"/>
  <c r="CM34" i="7"/>
  <c r="CM35" i="7"/>
  <c r="CM37" i="7"/>
  <c r="CM38" i="7"/>
  <c r="CM39" i="7"/>
  <c r="CM40" i="7"/>
  <c r="CM42" i="7"/>
  <c r="CM43" i="7"/>
  <c r="CM46" i="7"/>
  <c r="CM48" i="7"/>
  <c r="CM49" i="7"/>
  <c r="CM50" i="7"/>
  <c r="CM51" i="7"/>
  <c r="CM55" i="7"/>
  <c r="CM56" i="7"/>
  <c r="CM57" i="7"/>
  <c r="CM58" i="7"/>
  <c r="CM63" i="7"/>
  <c r="CM64" i="7"/>
  <c r="CM65" i="7"/>
  <c r="CM67" i="7"/>
  <c r="CM71" i="7"/>
  <c r="CM77" i="7"/>
  <c r="CM79" i="7"/>
  <c r="CM83" i="7"/>
  <c r="CM101" i="7"/>
  <c r="CM124" i="7"/>
  <c r="CM126" i="7"/>
  <c r="CM127" i="7"/>
  <c r="CM128" i="7"/>
  <c r="CM131" i="7"/>
  <c r="CM132" i="7"/>
  <c r="CM133" i="7"/>
  <c r="CM136" i="7"/>
  <c r="CM137" i="7"/>
  <c r="CM139" i="7"/>
  <c r="CM141" i="7"/>
  <c r="CM142" i="7"/>
  <c r="CM144" i="7"/>
  <c r="CM145" i="7"/>
  <c r="CM147" i="7"/>
  <c r="CM149" i="7"/>
  <c r="DC9" i="7" s="1"/>
  <c r="CM151" i="7"/>
  <c r="CM152" i="7"/>
  <c r="CM155" i="7"/>
  <c r="CM156" i="7"/>
  <c r="CM157" i="7"/>
  <c r="CM163" i="7"/>
  <c r="CM164" i="7"/>
  <c r="CM165" i="7"/>
  <c r="CM166" i="7"/>
  <c r="CM170" i="7"/>
  <c r="CM171" i="7"/>
  <c r="CM175" i="7"/>
  <c r="CM176" i="7"/>
  <c r="CM178" i="7"/>
  <c r="CM179" i="7"/>
  <c r="CM180" i="7"/>
  <c r="CM189" i="7"/>
  <c r="CM191" i="7"/>
  <c r="CM192" i="7"/>
  <c r="CM193" i="7"/>
  <c r="CM197" i="7"/>
  <c r="CM208" i="7"/>
  <c r="CM210" i="7"/>
  <c r="CM213" i="7"/>
  <c r="CM217" i="7"/>
  <c r="CM220" i="7"/>
  <c r="CM221" i="7"/>
  <c r="CM225" i="7"/>
  <c r="CM227" i="7"/>
  <c r="CM228" i="7"/>
  <c r="CM230" i="7"/>
  <c r="CM231" i="7"/>
  <c r="CM234" i="7"/>
  <c r="CM235" i="7"/>
  <c r="CM236" i="7"/>
  <c r="CM237" i="7"/>
  <c r="CM238" i="7"/>
  <c r="CM239" i="7"/>
  <c r="CM240" i="7"/>
  <c r="CM243" i="7"/>
  <c r="CM244" i="7"/>
  <c r="CM246" i="7"/>
  <c r="CM253" i="7"/>
  <c r="CM254" i="7"/>
  <c r="CM255" i="7"/>
  <c r="CM257" i="7"/>
  <c r="CM262" i="7"/>
  <c r="CM263" i="7"/>
  <c r="CM265" i="7"/>
  <c r="CM266" i="7"/>
  <c r="CM271" i="7"/>
  <c r="CM273" i="7"/>
  <c r="CM277" i="7"/>
  <c r="CM279" i="7"/>
  <c r="CM280" i="7"/>
  <c r="CM281" i="7"/>
  <c r="CM284" i="7"/>
  <c r="CM285" i="7"/>
  <c r="CM288" i="7"/>
  <c r="CM293" i="7"/>
  <c r="CM294" i="7"/>
  <c r="CM298" i="7"/>
  <c r="CM299" i="7"/>
  <c r="CM300" i="7"/>
  <c r="CM301" i="7"/>
  <c r="CM302" i="7"/>
  <c r="CM304" i="7"/>
  <c r="CM306" i="7"/>
  <c r="CM307" i="7"/>
  <c r="CM308" i="7"/>
  <c r="CM309" i="7"/>
  <c r="CM310" i="7"/>
  <c r="CM311" i="7"/>
  <c r="CM312" i="7"/>
  <c r="CM313" i="7"/>
  <c r="CM315" i="7"/>
  <c r="CM316" i="7"/>
  <c r="CM317" i="7"/>
  <c r="CM321" i="7"/>
  <c r="CM323" i="7"/>
  <c r="CM324" i="7"/>
  <c r="CM325" i="7"/>
  <c r="CM328" i="7"/>
  <c r="CM329" i="7"/>
  <c r="CM330" i="7"/>
  <c r="CM331" i="7"/>
  <c r="CM332" i="7"/>
  <c r="CM335" i="7"/>
  <c r="CM338" i="7"/>
  <c r="CM339" i="7"/>
  <c r="CM341" i="7"/>
  <c r="CM342" i="7"/>
  <c r="CM343" i="7"/>
  <c r="CM345" i="7"/>
  <c r="CM346" i="7"/>
  <c r="CM347" i="7"/>
  <c r="CM349" i="7"/>
  <c r="CM355" i="7"/>
  <c r="CM356" i="7"/>
  <c r="CM357" i="7"/>
  <c r="CM358" i="7"/>
  <c r="CM360" i="7"/>
  <c r="CM365" i="7"/>
  <c r="CM366" i="7"/>
  <c r="CM367" i="7"/>
  <c r="CM368" i="7"/>
  <c r="CM369" i="7"/>
  <c r="CM371" i="7"/>
  <c r="CM372" i="7"/>
  <c r="CM373" i="7"/>
  <c r="CM376" i="7"/>
  <c r="CM377" i="7"/>
  <c r="CM379" i="7"/>
  <c r="CM380" i="7"/>
  <c r="CM381" i="7"/>
  <c r="CM382" i="7"/>
  <c r="CM384" i="7"/>
  <c r="CM385" i="7"/>
  <c r="CM386" i="7"/>
  <c r="CM392" i="7"/>
  <c r="CM398" i="7"/>
  <c r="CM403" i="7"/>
  <c r="CM404" i="7"/>
  <c r="CM410" i="7"/>
  <c r="CM412" i="7"/>
  <c r="CM413" i="7"/>
  <c r="CM414" i="7"/>
  <c r="CM415" i="7"/>
  <c r="CM416" i="7"/>
  <c r="CM417" i="7"/>
  <c r="CM421" i="7"/>
  <c r="CM425" i="7"/>
  <c r="CM429" i="7"/>
  <c r="CM432" i="7"/>
  <c r="CM433" i="7"/>
  <c r="CM434" i="7"/>
  <c r="CM436" i="7"/>
  <c r="CM437" i="7"/>
  <c r="CM439" i="7"/>
  <c r="CM441" i="7"/>
  <c r="CM443" i="7"/>
  <c r="CM444" i="7"/>
  <c r="CM445" i="7"/>
  <c r="CM446" i="7"/>
  <c r="CM449" i="7"/>
  <c r="CM452" i="7"/>
  <c r="CM455" i="7"/>
  <c r="CM457" i="7"/>
  <c r="CM458" i="7"/>
  <c r="CM460" i="7"/>
  <c r="CM461" i="7"/>
  <c r="CM462" i="7"/>
  <c r="CM463" i="7"/>
  <c r="CM465" i="7"/>
  <c r="CM467" i="7"/>
  <c r="CM470" i="7"/>
  <c r="CM472" i="7"/>
  <c r="CM473" i="7"/>
  <c r="CM477" i="7"/>
  <c r="CM481" i="7"/>
  <c r="CM482" i="7"/>
  <c r="CM483" i="7"/>
  <c r="CM485" i="7"/>
  <c r="CM487" i="7"/>
  <c r="CM501" i="7"/>
  <c r="CX5" i="7"/>
  <c r="CZ6" i="7"/>
  <c r="CZ7" i="7"/>
  <c r="CZ8" i="7"/>
  <c r="CZ9" i="7"/>
  <c r="CZ10" i="7"/>
  <c r="CZ11" i="7"/>
  <c r="CZ12" i="7"/>
  <c r="CZ13" i="7"/>
  <c r="CZ14" i="7"/>
  <c r="CZ15" i="7"/>
  <c r="CZ16" i="7"/>
  <c r="CZ17" i="7"/>
  <c r="CZ18" i="7"/>
  <c r="CZ19" i="7"/>
  <c r="CZ20" i="7"/>
  <c r="CZ21" i="7"/>
  <c r="CZ5" i="7"/>
  <c r="CY6" i="7"/>
  <c r="CY7" i="7"/>
  <c r="CY8" i="7"/>
  <c r="CY9" i="7"/>
  <c r="CY10" i="7"/>
  <c r="CY11" i="7"/>
  <c r="CY12" i="7"/>
  <c r="CY13" i="7"/>
  <c r="CY14" i="7"/>
  <c r="CY15" i="7"/>
  <c r="CY16" i="7"/>
  <c r="CY17" i="7"/>
  <c r="CY18" i="7"/>
  <c r="CY19" i="7"/>
  <c r="CY20" i="7"/>
  <c r="CY21" i="7"/>
  <c r="CY5" i="7"/>
  <c r="CX6" i="7"/>
  <c r="CX7" i="7"/>
  <c r="CX8" i="7"/>
  <c r="CX9" i="7"/>
  <c r="CX10" i="7"/>
  <c r="CX11" i="7"/>
  <c r="CX12" i="7"/>
  <c r="CX13" i="7"/>
  <c r="CX14" i="7"/>
  <c r="CX15" i="7"/>
  <c r="CX16" i="7"/>
  <c r="CX17" i="7"/>
  <c r="CX18" i="7"/>
  <c r="CX19" i="7"/>
  <c r="CX20" i="7"/>
  <c r="CX21" i="7"/>
  <c r="CW5" i="7"/>
  <c r="CW6" i="7"/>
  <c r="CW7" i="7"/>
  <c r="CW8" i="7"/>
  <c r="CW9" i="7"/>
  <c r="CW10" i="7"/>
  <c r="CW11" i="7"/>
  <c r="CW12" i="7"/>
  <c r="CW13" i="7"/>
  <c r="CW14" i="7"/>
  <c r="CW15" i="7"/>
  <c r="CW16" i="7"/>
  <c r="CW17" i="7"/>
  <c r="CW18" i="7"/>
  <c r="CW19" i="7"/>
  <c r="CW20" i="7"/>
  <c r="CW21" i="7"/>
  <c r="CV5" i="7"/>
  <c r="CV6" i="7"/>
  <c r="CV7" i="7"/>
  <c r="CV8" i="7"/>
  <c r="CV9" i="7"/>
  <c r="CV10" i="7"/>
  <c r="CV11" i="7"/>
  <c r="CV12" i="7"/>
  <c r="CV13" i="7"/>
  <c r="CV14" i="7"/>
  <c r="CV15" i="7"/>
  <c r="CV16" i="7"/>
  <c r="CV17" i="7"/>
  <c r="CV18" i="7"/>
  <c r="CV19" i="7"/>
  <c r="CV20" i="7"/>
  <c r="CV21" i="7"/>
  <c r="CU6" i="7"/>
  <c r="CU7" i="7"/>
  <c r="CU8" i="7"/>
  <c r="CU9" i="7"/>
  <c r="CU10" i="7"/>
  <c r="CU11" i="7"/>
  <c r="CU12" i="7"/>
  <c r="CU13" i="7"/>
  <c r="CU14" i="7"/>
  <c r="CU15" i="7"/>
  <c r="CU16" i="7"/>
  <c r="CU17" i="7"/>
  <c r="CU18" i="7"/>
  <c r="CU19" i="7"/>
  <c r="CU20" i="7"/>
  <c r="CU21" i="7"/>
  <c r="CU5" i="7"/>
  <c r="W4" i="4"/>
  <c r="W5" i="4"/>
  <c r="AK10" i="4" s="1"/>
  <c r="W6" i="4"/>
  <c r="W7" i="4"/>
  <c r="W8" i="4"/>
  <c r="W9" i="4"/>
  <c r="W10" i="4"/>
  <c r="W11" i="4"/>
  <c r="AH22" i="4" s="1"/>
  <c r="W12" i="4"/>
  <c r="W13" i="4"/>
  <c r="AE21" i="4" s="1"/>
  <c r="W14" i="4"/>
  <c r="AE23" i="4" s="1"/>
  <c r="W15" i="4"/>
  <c r="AG16" i="4" s="1"/>
  <c r="W16" i="4"/>
  <c r="W17" i="4"/>
  <c r="W18" i="4"/>
  <c r="W19" i="4"/>
  <c r="W20" i="4"/>
  <c r="W21" i="4"/>
  <c r="W22" i="4"/>
  <c r="W23" i="4"/>
  <c r="W24" i="4"/>
  <c r="W25" i="4"/>
  <c r="W26" i="4"/>
  <c r="W27" i="4"/>
  <c r="W28" i="4"/>
  <c r="W29" i="4"/>
  <c r="W30" i="4"/>
  <c r="W31" i="4"/>
  <c r="W32" i="4"/>
  <c r="W33" i="4"/>
  <c r="W34" i="4"/>
  <c r="W35" i="4"/>
  <c r="W36" i="4"/>
  <c r="W37" i="4"/>
  <c r="W38" i="4"/>
  <c r="W39" i="4"/>
  <c r="W40" i="4"/>
  <c r="W41" i="4"/>
  <c r="W42" i="4"/>
  <c r="W43" i="4"/>
  <c r="W44" i="4"/>
  <c r="W45" i="4"/>
  <c r="W46" i="4"/>
  <c r="W47" i="4"/>
  <c r="W48" i="4"/>
  <c r="W49" i="4"/>
  <c r="W50" i="4"/>
  <c r="W51" i="4"/>
  <c r="W52" i="4"/>
  <c r="W53" i="4"/>
  <c r="W54" i="4"/>
  <c r="W55" i="4"/>
  <c r="W56" i="4"/>
  <c r="W57" i="4"/>
  <c r="W58" i="4"/>
  <c r="W59" i="4"/>
  <c r="W60" i="4"/>
  <c r="W61" i="4"/>
  <c r="W62" i="4"/>
  <c r="W63" i="4"/>
  <c r="W64" i="4"/>
  <c r="W65" i="4"/>
  <c r="W66" i="4"/>
  <c r="W67" i="4"/>
  <c r="W68" i="4"/>
  <c r="W69" i="4"/>
  <c r="W70" i="4"/>
  <c r="W71" i="4"/>
  <c r="W72" i="4"/>
  <c r="W73" i="4"/>
  <c r="W74" i="4"/>
  <c r="W75" i="4"/>
  <c r="W76" i="4"/>
  <c r="W77" i="4"/>
  <c r="W78" i="4"/>
  <c r="W79" i="4"/>
  <c r="W80" i="4"/>
  <c r="W81" i="4"/>
  <c r="W82" i="4"/>
  <c r="W83" i="4"/>
  <c r="W84" i="4"/>
  <c r="W85" i="4"/>
  <c r="W86" i="4"/>
  <c r="W87" i="4"/>
  <c r="W88" i="4"/>
  <c r="W89" i="4"/>
  <c r="W90" i="4"/>
  <c r="W91" i="4"/>
  <c r="W92" i="4"/>
  <c r="W93" i="4"/>
  <c r="W94" i="4"/>
  <c r="W95" i="4"/>
  <c r="W96" i="4"/>
  <c r="W97" i="4"/>
  <c r="W98" i="4"/>
  <c r="W99" i="4"/>
  <c r="W100" i="4"/>
  <c r="W101" i="4"/>
  <c r="W102" i="4"/>
  <c r="W103" i="4"/>
  <c r="W104" i="4"/>
  <c r="W105" i="4"/>
  <c r="W106" i="4"/>
  <c r="W107" i="4"/>
  <c r="W108" i="4"/>
  <c r="W109" i="4"/>
  <c r="W110" i="4"/>
  <c r="W111" i="4"/>
  <c r="W112" i="4"/>
  <c r="W113" i="4"/>
  <c r="W114" i="4"/>
  <c r="W115" i="4"/>
  <c r="W116" i="4"/>
  <c r="W117" i="4"/>
  <c r="W118" i="4"/>
  <c r="W119" i="4"/>
  <c r="W120" i="4"/>
  <c r="W121" i="4"/>
  <c r="W122" i="4"/>
  <c r="W123" i="4"/>
  <c r="W124" i="4"/>
  <c r="W125" i="4"/>
  <c r="W126" i="4"/>
  <c r="W127" i="4"/>
  <c r="W128" i="4"/>
  <c r="W129" i="4"/>
  <c r="W130" i="4"/>
  <c r="W131" i="4"/>
  <c r="W132" i="4"/>
  <c r="W133" i="4"/>
  <c r="W134" i="4"/>
  <c r="W135" i="4"/>
  <c r="W136" i="4"/>
  <c r="W137" i="4"/>
  <c r="W138" i="4"/>
  <c r="W139" i="4"/>
  <c r="W140" i="4"/>
  <c r="W141" i="4"/>
  <c r="W142" i="4"/>
  <c r="W143" i="4"/>
  <c r="W144" i="4"/>
  <c r="W145" i="4"/>
  <c r="W146" i="4"/>
  <c r="W147" i="4"/>
  <c r="W148" i="4"/>
  <c r="W149" i="4"/>
  <c r="W150" i="4"/>
  <c r="W151" i="4"/>
  <c r="W152" i="4"/>
  <c r="W153" i="4"/>
  <c r="W154" i="4"/>
  <c r="W155" i="4"/>
  <c r="W156" i="4"/>
  <c r="W157" i="4"/>
  <c r="W158" i="4"/>
  <c r="W159" i="4"/>
  <c r="W160" i="4"/>
  <c r="W161" i="4"/>
  <c r="W162" i="4"/>
  <c r="W163" i="4"/>
  <c r="W164" i="4"/>
  <c r="W165" i="4"/>
  <c r="W166" i="4"/>
  <c r="W167" i="4"/>
  <c r="W168" i="4"/>
  <c r="W169" i="4"/>
  <c r="W170" i="4"/>
  <c r="W171" i="4"/>
  <c r="W172" i="4"/>
  <c r="W173" i="4"/>
  <c r="W174" i="4"/>
  <c r="W175" i="4"/>
  <c r="W176" i="4"/>
  <c r="W177" i="4"/>
  <c r="W178" i="4"/>
  <c r="W179" i="4"/>
  <c r="W180" i="4"/>
  <c r="W181" i="4"/>
  <c r="W182" i="4"/>
  <c r="W183" i="4"/>
  <c r="W184" i="4"/>
  <c r="W185" i="4"/>
  <c r="W186" i="4"/>
  <c r="W187" i="4"/>
  <c r="W188" i="4"/>
  <c r="W189" i="4"/>
  <c r="W190" i="4"/>
  <c r="W191" i="4"/>
  <c r="W192" i="4"/>
  <c r="W193" i="4"/>
  <c r="W194" i="4"/>
  <c r="W195" i="4"/>
  <c r="W196" i="4"/>
  <c r="W197" i="4"/>
  <c r="W198" i="4"/>
  <c r="W199" i="4"/>
  <c r="W200" i="4"/>
  <c r="W201" i="4"/>
  <c r="W202" i="4"/>
  <c r="W203" i="4"/>
  <c r="W204" i="4"/>
  <c r="W205" i="4"/>
  <c r="W206" i="4"/>
  <c r="W207" i="4"/>
  <c r="W208" i="4"/>
  <c r="W209" i="4"/>
  <c r="W210" i="4"/>
  <c r="W211" i="4"/>
  <c r="W212" i="4"/>
  <c r="W213" i="4"/>
  <c r="W214" i="4"/>
  <c r="W215" i="4"/>
  <c r="W216" i="4"/>
  <c r="W217" i="4"/>
  <c r="W218" i="4"/>
  <c r="W219" i="4"/>
  <c r="W220" i="4"/>
  <c r="W221" i="4"/>
  <c r="W222" i="4"/>
  <c r="W223" i="4"/>
  <c r="W224" i="4"/>
  <c r="W225" i="4"/>
  <c r="W226" i="4"/>
  <c r="W227" i="4"/>
  <c r="W228" i="4"/>
  <c r="W229" i="4"/>
  <c r="W230" i="4"/>
  <c r="W231" i="4"/>
  <c r="W232" i="4"/>
  <c r="W233" i="4"/>
  <c r="W234" i="4"/>
  <c r="W235" i="4"/>
  <c r="W236" i="4"/>
  <c r="W237" i="4"/>
  <c r="W238" i="4"/>
  <c r="W239" i="4"/>
  <c r="W240" i="4"/>
  <c r="W241" i="4"/>
  <c r="W242" i="4"/>
  <c r="W243" i="4"/>
  <c r="W244" i="4"/>
  <c r="W245" i="4"/>
  <c r="W246" i="4"/>
  <c r="W247" i="4"/>
  <c r="W248" i="4"/>
  <c r="W249" i="4"/>
  <c r="W250" i="4"/>
  <c r="W251" i="4"/>
  <c r="W252" i="4"/>
  <c r="W253" i="4"/>
  <c r="W254" i="4"/>
  <c r="W255" i="4"/>
  <c r="W256" i="4"/>
  <c r="W257" i="4"/>
  <c r="W258" i="4"/>
  <c r="W259" i="4"/>
  <c r="W260" i="4"/>
  <c r="W261" i="4"/>
  <c r="W262" i="4"/>
  <c r="W263" i="4"/>
  <c r="W264" i="4"/>
  <c r="W265" i="4"/>
  <c r="W266" i="4"/>
  <c r="W267" i="4"/>
  <c r="W268" i="4"/>
  <c r="W269" i="4"/>
  <c r="W270" i="4"/>
  <c r="W271" i="4"/>
  <c r="W272" i="4"/>
  <c r="W273" i="4"/>
  <c r="W274" i="4"/>
  <c r="W275" i="4"/>
  <c r="W276" i="4"/>
  <c r="W277" i="4"/>
  <c r="W278" i="4"/>
  <c r="W279" i="4"/>
  <c r="W280" i="4"/>
  <c r="W281" i="4"/>
  <c r="W282" i="4"/>
  <c r="W283" i="4"/>
  <c r="W284" i="4"/>
  <c r="W285" i="4"/>
  <c r="W286" i="4"/>
  <c r="W287" i="4"/>
  <c r="W288" i="4"/>
  <c r="W289" i="4"/>
  <c r="W290" i="4"/>
  <c r="W291" i="4"/>
  <c r="W292" i="4"/>
  <c r="W293" i="4"/>
  <c r="W294" i="4"/>
  <c r="W295" i="4"/>
  <c r="W296" i="4"/>
  <c r="W297" i="4"/>
  <c r="W298" i="4"/>
  <c r="W299" i="4"/>
  <c r="W300" i="4"/>
  <c r="W301" i="4"/>
  <c r="W302" i="4"/>
  <c r="W303" i="4"/>
  <c r="W304" i="4"/>
  <c r="W305" i="4"/>
  <c r="W306" i="4"/>
  <c r="W307" i="4"/>
  <c r="W308" i="4"/>
  <c r="W309" i="4"/>
  <c r="W310" i="4"/>
  <c r="W311" i="4"/>
  <c r="W312" i="4"/>
  <c r="W313" i="4"/>
  <c r="W314" i="4"/>
  <c r="W315" i="4"/>
  <c r="W316" i="4"/>
  <c r="W317" i="4"/>
  <c r="W318" i="4"/>
  <c r="W319" i="4"/>
  <c r="W320" i="4"/>
  <c r="W321" i="4"/>
  <c r="W322" i="4"/>
  <c r="W323" i="4"/>
  <c r="W324" i="4"/>
  <c r="W325" i="4"/>
  <c r="W326" i="4"/>
  <c r="W327" i="4"/>
  <c r="W328" i="4"/>
  <c r="W329" i="4"/>
  <c r="W330" i="4"/>
  <c r="W331" i="4"/>
  <c r="W332" i="4"/>
  <c r="W333" i="4"/>
  <c r="W334" i="4"/>
  <c r="W335" i="4"/>
  <c r="W336" i="4"/>
  <c r="W337" i="4"/>
  <c r="W338" i="4"/>
  <c r="W339" i="4"/>
  <c r="W340" i="4"/>
  <c r="W341" i="4"/>
  <c r="W342" i="4"/>
  <c r="W343" i="4"/>
  <c r="W344" i="4"/>
  <c r="W345" i="4"/>
  <c r="W346" i="4"/>
  <c r="W347" i="4"/>
  <c r="W348" i="4"/>
  <c r="W349" i="4"/>
  <c r="W350" i="4"/>
  <c r="W351" i="4"/>
  <c r="W352" i="4"/>
  <c r="W353" i="4"/>
  <c r="W354" i="4"/>
  <c r="W355" i="4"/>
  <c r="W356" i="4"/>
  <c r="W357" i="4"/>
  <c r="W358" i="4"/>
  <c r="W359" i="4"/>
  <c r="W360" i="4"/>
  <c r="W361" i="4"/>
  <c r="W362" i="4"/>
  <c r="W363" i="4"/>
  <c r="W364" i="4"/>
  <c r="W365" i="4"/>
  <c r="W366" i="4"/>
  <c r="W367" i="4"/>
  <c r="W368" i="4"/>
  <c r="W369" i="4"/>
  <c r="W370" i="4"/>
  <c r="W371" i="4"/>
  <c r="W372" i="4"/>
  <c r="W373" i="4"/>
  <c r="W374" i="4"/>
  <c r="W375" i="4"/>
  <c r="W376" i="4"/>
  <c r="W377" i="4"/>
  <c r="W378" i="4"/>
  <c r="W379" i="4"/>
  <c r="W380" i="4"/>
  <c r="W381" i="4"/>
  <c r="W382" i="4"/>
  <c r="W383" i="4"/>
  <c r="W384" i="4"/>
  <c r="W385" i="4"/>
  <c r="W386" i="4"/>
  <c r="W387" i="4"/>
  <c r="W388" i="4"/>
  <c r="W389" i="4"/>
  <c r="W390" i="4"/>
  <c r="W391" i="4"/>
  <c r="W392" i="4"/>
  <c r="W393" i="4"/>
  <c r="W394" i="4"/>
  <c r="W395" i="4"/>
  <c r="W396" i="4"/>
  <c r="W397" i="4"/>
  <c r="W398" i="4"/>
  <c r="W399" i="4"/>
  <c r="W400" i="4"/>
  <c r="W401" i="4"/>
  <c r="W402" i="4"/>
  <c r="W403" i="4"/>
  <c r="W404" i="4"/>
  <c r="W405" i="4"/>
  <c r="W406" i="4"/>
  <c r="W407" i="4"/>
  <c r="W408" i="4"/>
  <c r="W409" i="4"/>
  <c r="W410" i="4"/>
  <c r="W411" i="4"/>
  <c r="W412" i="4"/>
  <c r="W413" i="4"/>
  <c r="W414" i="4"/>
  <c r="W415" i="4"/>
  <c r="W416" i="4"/>
  <c r="W417" i="4"/>
  <c r="W418" i="4"/>
  <c r="W419" i="4"/>
  <c r="W420" i="4"/>
  <c r="W421" i="4"/>
  <c r="W422" i="4"/>
  <c r="AG17" i="4"/>
  <c r="W424" i="4"/>
  <c r="W425" i="4"/>
  <c r="W426" i="4"/>
  <c r="W427" i="4"/>
  <c r="W428" i="4"/>
  <c r="W429" i="4"/>
  <c r="W430" i="4"/>
  <c r="W431" i="4"/>
  <c r="W432" i="4"/>
  <c r="W433" i="4"/>
  <c r="W434" i="4"/>
  <c r="W435" i="4"/>
  <c r="W436" i="4"/>
  <c r="W437" i="4"/>
  <c r="W438" i="4"/>
  <c r="W439" i="4"/>
  <c r="W440" i="4"/>
  <c r="W441" i="4"/>
  <c r="W442" i="4"/>
  <c r="W443" i="4"/>
  <c r="W444" i="4"/>
  <c r="W445" i="4"/>
  <c r="W446" i="4"/>
  <c r="W447" i="4"/>
  <c r="W448" i="4"/>
  <c r="W449" i="4"/>
  <c r="W450" i="4"/>
  <c r="W451" i="4"/>
  <c r="W452" i="4"/>
  <c r="W453" i="4"/>
  <c r="W454" i="4"/>
  <c r="W455" i="4"/>
  <c r="W456" i="4"/>
  <c r="W457" i="4"/>
  <c r="W458" i="4"/>
  <c r="W459" i="4"/>
  <c r="W460" i="4"/>
  <c r="W461" i="4"/>
  <c r="W462" i="4"/>
  <c r="W463" i="4"/>
  <c r="W464" i="4"/>
  <c r="W465" i="4"/>
  <c r="W466" i="4"/>
  <c r="W467" i="4"/>
  <c r="W468" i="4"/>
  <c r="W469" i="4"/>
  <c r="W470" i="4"/>
  <c r="W471" i="4"/>
  <c r="W472" i="4"/>
  <c r="W473" i="4"/>
  <c r="W474" i="4"/>
  <c r="W475" i="4"/>
  <c r="W476" i="4"/>
  <c r="W477" i="4"/>
  <c r="W478" i="4"/>
  <c r="W479" i="4"/>
  <c r="W480" i="4"/>
  <c r="W481" i="4"/>
  <c r="W482" i="4"/>
  <c r="W483" i="4"/>
  <c r="W484" i="4"/>
  <c r="W485" i="4"/>
  <c r="W486" i="4"/>
  <c r="W487" i="4"/>
  <c r="W488" i="4"/>
  <c r="W489" i="4"/>
  <c r="W490" i="4"/>
  <c r="W491" i="4"/>
  <c r="W492" i="4"/>
  <c r="W493" i="4"/>
  <c r="W494" i="4"/>
  <c r="W495" i="4"/>
  <c r="W496" i="4"/>
  <c r="W497" i="4"/>
  <c r="W498" i="4"/>
  <c r="W499" i="4"/>
  <c r="W500" i="4"/>
  <c r="W501" i="4"/>
  <c r="AI30" i="4"/>
  <c r="AI31" i="4"/>
  <c r="AI32" i="4"/>
  <c r="AI29" i="4"/>
  <c r="AH30" i="4"/>
  <c r="AH31" i="4"/>
  <c r="AH32" i="4"/>
  <c r="AH29" i="4"/>
  <c r="AG30" i="4"/>
  <c r="AG31" i="4"/>
  <c r="AG32" i="4"/>
  <c r="AG29" i="4"/>
  <c r="AD30" i="4"/>
  <c r="AE30" i="4"/>
  <c r="AF30" i="4"/>
  <c r="AD31" i="4"/>
  <c r="AE31" i="4"/>
  <c r="AF31" i="4"/>
  <c r="AD32" i="4"/>
  <c r="AE32" i="4"/>
  <c r="AF32" i="4"/>
  <c r="AF29" i="4"/>
  <c r="AE29" i="4"/>
  <c r="AD29" i="4"/>
  <c r="AC30" i="4"/>
  <c r="AC31" i="4"/>
  <c r="AC32" i="4"/>
  <c r="AC29" i="4"/>
  <c r="AB30" i="4"/>
  <c r="AB31" i="4"/>
  <c r="AB32" i="4"/>
  <c r="AB29" i="4"/>
  <c r="AA30" i="4"/>
  <c r="AA31" i="4"/>
  <c r="AA32" i="4"/>
  <c r="AA29" i="4"/>
  <c r="W3" i="4"/>
  <c r="AS6" i="8"/>
  <c r="BG8" i="8" s="1"/>
  <c r="AS7" i="8"/>
  <c r="BG11" i="8" s="1"/>
  <c r="AS8" i="8"/>
  <c r="AS9" i="8"/>
  <c r="AS10" i="8"/>
  <c r="AS11" i="8"/>
  <c r="AS12" i="8"/>
  <c r="AS13" i="8"/>
  <c r="AS14" i="8"/>
  <c r="AS15" i="8"/>
  <c r="AS16" i="8"/>
  <c r="AS17" i="8"/>
  <c r="AS18" i="8"/>
  <c r="AS19" i="8"/>
  <c r="AS20" i="8"/>
  <c r="AS21" i="8"/>
  <c r="AS22" i="8"/>
  <c r="AS23" i="8"/>
  <c r="AS24" i="8"/>
  <c r="AS25" i="8"/>
  <c r="AS26" i="8"/>
  <c r="AS27" i="8"/>
  <c r="AS28" i="8"/>
  <c r="AS29" i="8"/>
  <c r="AS30" i="8"/>
  <c r="AS31" i="8"/>
  <c r="AS32" i="8"/>
  <c r="AS33" i="8"/>
  <c r="AS34" i="8"/>
  <c r="AS35" i="8"/>
  <c r="AS36" i="8"/>
  <c r="AS37" i="8"/>
  <c r="AS38" i="8"/>
  <c r="AS39" i="8"/>
  <c r="AS40" i="8"/>
  <c r="AS41" i="8"/>
  <c r="AS42" i="8"/>
  <c r="AS43" i="8"/>
  <c r="AS44" i="8"/>
  <c r="AS45" i="8"/>
  <c r="AS46" i="8"/>
  <c r="AS47" i="8"/>
  <c r="AS48" i="8"/>
  <c r="AS49" i="8"/>
  <c r="AS50" i="8"/>
  <c r="AS51" i="8"/>
  <c r="AS52" i="8"/>
  <c r="AS53" i="8"/>
  <c r="AS54" i="8"/>
  <c r="AS55" i="8"/>
  <c r="AS56" i="8"/>
  <c r="AS57" i="8"/>
  <c r="AS58" i="8"/>
  <c r="AS59" i="8"/>
  <c r="AS60" i="8"/>
  <c r="AS61" i="8"/>
  <c r="AS62" i="8"/>
  <c r="AS63" i="8"/>
  <c r="AS64" i="8"/>
  <c r="AS65" i="8"/>
  <c r="AS66" i="8"/>
  <c r="AS67" i="8"/>
  <c r="AS68" i="8"/>
  <c r="AS69" i="8"/>
  <c r="AS70" i="8"/>
  <c r="AS71" i="8"/>
  <c r="AS72" i="8"/>
  <c r="AS73" i="8"/>
  <c r="AS74" i="8"/>
  <c r="AS75" i="8"/>
  <c r="AS76" i="8"/>
  <c r="AS77" i="8"/>
  <c r="AS78" i="8"/>
  <c r="AS79" i="8"/>
  <c r="AS80" i="8"/>
  <c r="AS81" i="8"/>
  <c r="AS82" i="8"/>
  <c r="AS83" i="8"/>
  <c r="AS84" i="8"/>
  <c r="AS85" i="8"/>
  <c r="AS86" i="8"/>
  <c r="AS87" i="8"/>
  <c r="AS88" i="8"/>
  <c r="AS89" i="8"/>
  <c r="AS90" i="8"/>
  <c r="AS91" i="8"/>
  <c r="AS92" i="8"/>
  <c r="AS93" i="8"/>
  <c r="AS94" i="8"/>
  <c r="AS95" i="8"/>
  <c r="AS96" i="8"/>
  <c r="AS97" i="8"/>
  <c r="AS98" i="8"/>
  <c r="AS99" i="8"/>
  <c r="AS100" i="8"/>
  <c r="AS101" i="8"/>
  <c r="AS102" i="8"/>
  <c r="AS103" i="8"/>
  <c r="AS104" i="8"/>
  <c r="AS105" i="8"/>
  <c r="AS106" i="8"/>
  <c r="AS107" i="8"/>
  <c r="AS108" i="8"/>
  <c r="AS109" i="8"/>
  <c r="AS110" i="8"/>
  <c r="AS111" i="8"/>
  <c r="AS112" i="8"/>
  <c r="AS113" i="8"/>
  <c r="AS114" i="8"/>
  <c r="AS115" i="8"/>
  <c r="AS116" i="8"/>
  <c r="AS117" i="8"/>
  <c r="AS118" i="8"/>
  <c r="AS119" i="8"/>
  <c r="AS120" i="8"/>
  <c r="AS121" i="8"/>
  <c r="AS122" i="8"/>
  <c r="AS123" i="8"/>
  <c r="AS124" i="8"/>
  <c r="AS125" i="8"/>
  <c r="AS126" i="8"/>
  <c r="AS127" i="8"/>
  <c r="AS128" i="8"/>
  <c r="AS129" i="8"/>
  <c r="AS130" i="8"/>
  <c r="AS131" i="8"/>
  <c r="AS132" i="8"/>
  <c r="AS133" i="8"/>
  <c r="AS134" i="8"/>
  <c r="AS135" i="8"/>
  <c r="AS136" i="8"/>
  <c r="AS137" i="8"/>
  <c r="AS138" i="8"/>
  <c r="AS139" i="8"/>
  <c r="AS140" i="8"/>
  <c r="AS141" i="8"/>
  <c r="AS142" i="8"/>
  <c r="AS143" i="8"/>
  <c r="AS144" i="8"/>
  <c r="AS145" i="8"/>
  <c r="AS146" i="8"/>
  <c r="AS147" i="8"/>
  <c r="AS148" i="8"/>
  <c r="AS149" i="8"/>
  <c r="AS150" i="8"/>
  <c r="AS151" i="8"/>
  <c r="AS152" i="8"/>
  <c r="AS153" i="8"/>
  <c r="AS154" i="8"/>
  <c r="AS155" i="8"/>
  <c r="AS156" i="8"/>
  <c r="AS157" i="8"/>
  <c r="AS158" i="8"/>
  <c r="AS159" i="8"/>
  <c r="AS160" i="8"/>
  <c r="AS161" i="8"/>
  <c r="AS162" i="8"/>
  <c r="AS163" i="8"/>
  <c r="AS164" i="8"/>
  <c r="AS165" i="8"/>
  <c r="AS166" i="8"/>
  <c r="AS167" i="8"/>
  <c r="AS168" i="8"/>
  <c r="AS169" i="8"/>
  <c r="AS170" i="8"/>
  <c r="AS171" i="8"/>
  <c r="AS172" i="8"/>
  <c r="AS173" i="8"/>
  <c r="AS174" i="8"/>
  <c r="AS175" i="8"/>
  <c r="AS176" i="8"/>
  <c r="AS177" i="8"/>
  <c r="AS178" i="8"/>
  <c r="AS179" i="8"/>
  <c r="AS180" i="8"/>
  <c r="AS181" i="8"/>
  <c r="AS182" i="8"/>
  <c r="AS183" i="8"/>
  <c r="AS184" i="8"/>
  <c r="AS185" i="8"/>
  <c r="AS186" i="8"/>
  <c r="AS187" i="8"/>
  <c r="AS188" i="8"/>
  <c r="AS189" i="8"/>
  <c r="AS190" i="8"/>
  <c r="AS191" i="8"/>
  <c r="AS192" i="8"/>
  <c r="AS193" i="8"/>
  <c r="AS194" i="8"/>
  <c r="AS195" i="8"/>
  <c r="AS196" i="8"/>
  <c r="AS197" i="8"/>
  <c r="AS198" i="8"/>
  <c r="AS199" i="8"/>
  <c r="AS200" i="8"/>
  <c r="AS201" i="8"/>
  <c r="AS202" i="8"/>
  <c r="AS203" i="8"/>
  <c r="AS204" i="8"/>
  <c r="AS205" i="8"/>
  <c r="AS206" i="8"/>
  <c r="AS207" i="8"/>
  <c r="AS208" i="8"/>
  <c r="AS209" i="8"/>
  <c r="AS210" i="8"/>
  <c r="AS211" i="8"/>
  <c r="AS212" i="8"/>
  <c r="AS213" i="8"/>
  <c r="AS214" i="8"/>
  <c r="AS215" i="8"/>
  <c r="AS216" i="8"/>
  <c r="AS217" i="8"/>
  <c r="AS218" i="8"/>
  <c r="AS219" i="8"/>
  <c r="AS220" i="8"/>
  <c r="AS221" i="8"/>
  <c r="AS222" i="8"/>
  <c r="AS223" i="8"/>
  <c r="AS224" i="8"/>
  <c r="AS225" i="8"/>
  <c r="AS226" i="8"/>
  <c r="AS227" i="8"/>
  <c r="AS228" i="8"/>
  <c r="AS229" i="8"/>
  <c r="AS230" i="8"/>
  <c r="AS231" i="8"/>
  <c r="AS232" i="8"/>
  <c r="AS233" i="8"/>
  <c r="AS234" i="8"/>
  <c r="AS235" i="8"/>
  <c r="AS236" i="8"/>
  <c r="AS237" i="8"/>
  <c r="AS238" i="8"/>
  <c r="AS239" i="8"/>
  <c r="AS240" i="8"/>
  <c r="AS241" i="8"/>
  <c r="AS242" i="8"/>
  <c r="AS243" i="8"/>
  <c r="AS244" i="8"/>
  <c r="AS245" i="8"/>
  <c r="AS246" i="8"/>
  <c r="AS247" i="8"/>
  <c r="AS248" i="8"/>
  <c r="AS249" i="8"/>
  <c r="AS250" i="8"/>
  <c r="AS251" i="8"/>
  <c r="AS252" i="8"/>
  <c r="AS253" i="8"/>
  <c r="AS254" i="8"/>
  <c r="AS255" i="8"/>
  <c r="AS256" i="8"/>
  <c r="AS257" i="8"/>
  <c r="AS258" i="8"/>
  <c r="AS259" i="8"/>
  <c r="AS260" i="8"/>
  <c r="AS261" i="8"/>
  <c r="AS262" i="8"/>
  <c r="AS263" i="8"/>
  <c r="AS264" i="8"/>
  <c r="AS265" i="8"/>
  <c r="AS266" i="8"/>
  <c r="AS267" i="8"/>
  <c r="AS268" i="8"/>
  <c r="AS269" i="8"/>
  <c r="AS270" i="8"/>
  <c r="AS271" i="8"/>
  <c r="AS272" i="8"/>
  <c r="AS273" i="8"/>
  <c r="AS274" i="8"/>
  <c r="AS275" i="8"/>
  <c r="AS276" i="8"/>
  <c r="AS277" i="8"/>
  <c r="AS278" i="8"/>
  <c r="AS279" i="8"/>
  <c r="AS280" i="8"/>
  <c r="AS281" i="8"/>
  <c r="AS282" i="8"/>
  <c r="AS283" i="8"/>
  <c r="AS284" i="8"/>
  <c r="AS285" i="8"/>
  <c r="AS286" i="8"/>
  <c r="AS287" i="8"/>
  <c r="AS288" i="8"/>
  <c r="AS289" i="8"/>
  <c r="AS290" i="8"/>
  <c r="AS291" i="8"/>
  <c r="AS292" i="8"/>
  <c r="AS293" i="8"/>
  <c r="AS294" i="8"/>
  <c r="AS295" i="8"/>
  <c r="AS296" i="8"/>
  <c r="AS297" i="8"/>
  <c r="AS298" i="8"/>
  <c r="AS299" i="8"/>
  <c r="AS300" i="8"/>
  <c r="AS301" i="8"/>
  <c r="AS302" i="8"/>
  <c r="AS303" i="8"/>
  <c r="AS304" i="8"/>
  <c r="AS305" i="8"/>
  <c r="AS306" i="8"/>
  <c r="AS307" i="8"/>
  <c r="AS308" i="8"/>
  <c r="AS309" i="8"/>
  <c r="AS310" i="8"/>
  <c r="AS311" i="8"/>
  <c r="AS312" i="8"/>
  <c r="AS313" i="8"/>
  <c r="AS314" i="8"/>
  <c r="AS315" i="8"/>
  <c r="AS316" i="8"/>
  <c r="AS317" i="8"/>
  <c r="AS318" i="8"/>
  <c r="AS319" i="8"/>
  <c r="AS320" i="8"/>
  <c r="AS321" i="8"/>
  <c r="AS322" i="8"/>
  <c r="AS323" i="8"/>
  <c r="AS324" i="8"/>
  <c r="AS325" i="8"/>
  <c r="AS326" i="8"/>
  <c r="AS327" i="8"/>
  <c r="AS328" i="8"/>
  <c r="AS329" i="8"/>
  <c r="AS330" i="8"/>
  <c r="AS331" i="8"/>
  <c r="AS332" i="8"/>
  <c r="AS333" i="8"/>
  <c r="AS334" i="8"/>
  <c r="AS335" i="8"/>
  <c r="AS336" i="8"/>
  <c r="AS337" i="8"/>
  <c r="AS338" i="8"/>
  <c r="AS339" i="8"/>
  <c r="AS340" i="8"/>
  <c r="AS341" i="8"/>
  <c r="AS342" i="8"/>
  <c r="AS343" i="8"/>
  <c r="AS344" i="8"/>
  <c r="AS345" i="8"/>
  <c r="AS346" i="8"/>
  <c r="AS347" i="8"/>
  <c r="AS348" i="8"/>
  <c r="AS349" i="8"/>
  <c r="AS350" i="8"/>
  <c r="AS351" i="8"/>
  <c r="AS352" i="8"/>
  <c r="AS353" i="8"/>
  <c r="AS354" i="8"/>
  <c r="AS355" i="8"/>
  <c r="AS356" i="8"/>
  <c r="AS357" i="8"/>
  <c r="AS358" i="8"/>
  <c r="AS359" i="8"/>
  <c r="AS360" i="8"/>
  <c r="AS361" i="8"/>
  <c r="AS362" i="8"/>
  <c r="AS363" i="8"/>
  <c r="AS364" i="8"/>
  <c r="AS365" i="8"/>
  <c r="AS366" i="8"/>
  <c r="AS367" i="8"/>
  <c r="AS368" i="8"/>
  <c r="AS369" i="8"/>
  <c r="AS370" i="8"/>
  <c r="AS371" i="8"/>
  <c r="AS372" i="8"/>
  <c r="AS373" i="8"/>
  <c r="AS374" i="8"/>
  <c r="AS375" i="8"/>
  <c r="AS376" i="8"/>
  <c r="AS377" i="8"/>
  <c r="AS378" i="8"/>
  <c r="AS379" i="8"/>
  <c r="AS380" i="8"/>
  <c r="AS381" i="8"/>
  <c r="AS382" i="8"/>
  <c r="AS383" i="8"/>
  <c r="AS384" i="8"/>
  <c r="AS385" i="8"/>
  <c r="AS386" i="8"/>
  <c r="AS387" i="8"/>
  <c r="AS388" i="8"/>
  <c r="AS389" i="8"/>
  <c r="AS390" i="8"/>
  <c r="AS391" i="8"/>
  <c r="AS392" i="8"/>
  <c r="AS393" i="8"/>
  <c r="AS394" i="8"/>
  <c r="AS395" i="8"/>
  <c r="AS396" i="8"/>
  <c r="AS397" i="8"/>
  <c r="AS398" i="8"/>
  <c r="AS399" i="8"/>
  <c r="AS400" i="8"/>
  <c r="AS401" i="8"/>
  <c r="AS402" i="8"/>
  <c r="AS403" i="8"/>
  <c r="AS404" i="8"/>
  <c r="AS405" i="8"/>
  <c r="AS406" i="8"/>
  <c r="AS407" i="8"/>
  <c r="AS408" i="8"/>
  <c r="AS409" i="8"/>
  <c r="AS410" i="8"/>
  <c r="AS411" i="8"/>
  <c r="AS412" i="8"/>
  <c r="AS413" i="8"/>
  <c r="AS414" i="8"/>
  <c r="AS415" i="8"/>
  <c r="AS416" i="8"/>
  <c r="AS417" i="8"/>
  <c r="AS418" i="8"/>
  <c r="AS419" i="8"/>
  <c r="AS420" i="8"/>
  <c r="AS421" i="8"/>
  <c r="AS422" i="8"/>
  <c r="AS423" i="8"/>
  <c r="AS424" i="8"/>
  <c r="AS425" i="8"/>
  <c r="AS426" i="8"/>
  <c r="AS427" i="8"/>
  <c r="AS428" i="8"/>
  <c r="AS429" i="8"/>
  <c r="AS430" i="8"/>
  <c r="AS431" i="8"/>
  <c r="AS432" i="8"/>
  <c r="AS433" i="8"/>
  <c r="AS434" i="8"/>
  <c r="AS435" i="8"/>
  <c r="AS436" i="8"/>
  <c r="AS437" i="8"/>
  <c r="AS438" i="8"/>
  <c r="AS439" i="8"/>
  <c r="AS440" i="8"/>
  <c r="AS441" i="8"/>
  <c r="AS442" i="8"/>
  <c r="AS443" i="8"/>
  <c r="AS444" i="8"/>
  <c r="AS445" i="8"/>
  <c r="AS446" i="8"/>
  <c r="AS447" i="8"/>
  <c r="AS448" i="8"/>
  <c r="AS449" i="8"/>
  <c r="AS450" i="8"/>
  <c r="AS451" i="8"/>
  <c r="AS452" i="8"/>
  <c r="AS453" i="8"/>
  <c r="AS454" i="8"/>
  <c r="AS455" i="8"/>
  <c r="AS456" i="8"/>
  <c r="AS457" i="8"/>
  <c r="AS458" i="8"/>
  <c r="AS459" i="8"/>
  <c r="AS460" i="8"/>
  <c r="AS461" i="8"/>
  <c r="AS462" i="8"/>
  <c r="AS463" i="8"/>
  <c r="AS464" i="8"/>
  <c r="AS465" i="8"/>
  <c r="AS466" i="8"/>
  <c r="AS467" i="8"/>
  <c r="AS468" i="8"/>
  <c r="AS469" i="8"/>
  <c r="AS470" i="8"/>
  <c r="AS471" i="8"/>
  <c r="AS472" i="8"/>
  <c r="AS473" i="8"/>
  <c r="AS474" i="8"/>
  <c r="AS475" i="8"/>
  <c r="AS476" i="8"/>
  <c r="AS477" i="8"/>
  <c r="AS478" i="8"/>
  <c r="AS479" i="8"/>
  <c r="AS480" i="8"/>
  <c r="AS481" i="8"/>
  <c r="AS482" i="8"/>
  <c r="AS483" i="8"/>
  <c r="AS484" i="8"/>
  <c r="AS485" i="8"/>
  <c r="AS486" i="8"/>
  <c r="AS487" i="8"/>
  <c r="AS488" i="8"/>
  <c r="AS489" i="8"/>
  <c r="AS490" i="8"/>
  <c r="AS491" i="8"/>
  <c r="AS492" i="8"/>
  <c r="AS493" i="8"/>
  <c r="AS494" i="8"/>
  <c r="AS495" i="8"/>
  <c r="AS496" i="8"/>
  <c r="AS497" i="8"/>
  <c r="AS498" i="8"/>
  <c r="AS499" i="8"/>
  <c r="AS500" i="8"/>
  <c r="AS501" i="8"/>
  <c r="AS502" i="8"/>
  <c r="AS503" i="8"/>
  <c r="AS504" i="8"/>
  <c r="AS5" i="8"/>
  <c r="BG6" i="8" s="1"/>
  <c r="AU6" i="5"/>
  <c r="AU7" i="5"/>
  <c r="AU8" i="5"/>
  <c r="AU9" i="5"/>
  <c r="AU10" i="5"/>
  <c r="AU11" i="5"/>
  <c r="AU12" i="5"/>
  <c r="AU13" i="5"/>
  <c r="AU14" i="5"/>
  <c r="AU15" i="5"/>
  <c r="AU16" i="5"/>
  <c r="AU17" i="5"/>
  <c r="AU18" i="5"/>
  <c r="AU19" i="5"/>
  <c r="AU20" i="5"/>
  <c r="AU21" i="5"/>
  <c r="AT6" i="5"/>
  <c r="AT7" i="5"/>
  <c r="AT8" i="5"/>
  <c r="AT9" i="5"/>
  <c r="AT10" i="5"/>
  <c r="AT11" i="5"/>
  <c r="AT12" i="5"/>
  <c r="AT13" i="5"/>
  <c r="AT14" i="5"/>
  <c r="AT15" i="5"/>
  <c r="AT16" i="5"/>
  <c r="AT17" i="5"/>
  <c r="AT18" i="5"/>
  <c r="AT19" i="5"/>
  <c r="AT20" i="5"/>
  <c r="AT21" i="5"/>
  <c r="AU5" i="5"/>
  <c r="AT5" i="5"/>
  <c r="AS6" i="5"/>
  <c r="AS7" i="5"/>
  <c r="AS8" i="5"/>
  <c r="AS9" i="5"/>
  <c r="AS10" i="5"/>
  <c r="AS11" i="5"/>
  <c r="AS12" i="5"/>
  <c r="AS13" i="5"/>
  <c r="AS14" i="5"/>
  <c r="AS15" i="5"/>
  <c r="AS16" i="5"/>
  <c r="AS17" i="5"/>
  <c r="AS18" i="5"/>
  <c r="AS19" i="5"/>
  <c r="AS20" i="5"/>
  <c r="AS21" i="5"/>
  <c r="AS5" i="5"/>
  <c r="S4" i="5" a="1"/>
  <c r="S4" i="5" s="1"/>
  <c r="S5" i="5" a="1"/>
  <c r="S5" i="5"/>
  <c r="S6" i="5" a="1"/>
  <c r="S6" i="5"/>
  <c r="S7" i="5" a="1"/>
  <c r="S7" i="5" s="1"/>
  <c r="S8" i="5" a="1"/>
  <c r="S8" i="5"/>
  <c r="S9" i="5" a="1"/>
  <c r="S9" i="5"/>
  <c r="S10" i="5" a="1"/>
  <c r="S10" i="5" s="1"/>
  <c r="S11" i="5" a="1"/>
  <c r="S11" i="5"/>
  <c r="S12" i="5" a="1"/>
  <c r="S12" i="5"/>
  <c r="S13" i="5" a="1"/>
  <c r="S13" i="5" s="1"/>
  <c r="S14" i="5" a="1"/>
  <c r="S14" i="5"/>
  <c r="S15" i="5" a="1"/>
  <c r="S15" i="5"/>
  <c r="S16" i="5" a="1"/>
  <c r="S16" i="5" s="1"/>
  <c r="S17" i="5" a="1"/>
  <c r="S17" i="5"/>
  <c r="S18" i="5" a="1"/>
  <c r="S18" i="5"/>
  <c r="S19" i="5" a="1"/>
  <c r="S19" i="5" s="1"/>
  <c r="S20" i="5" a="1"/>
  <c r="S20" i="5"/>
  <c r="S21" i="5" a="1"/>
  <c r="S21" i="5"/>
  <c r="S22" i="5" a="1"/>
  <c r="S22" i="5" s="1"/>
  <c r="S23" i="5" a="1"/>
  <c r="S23" i="5"/>
  <c r="S24" i="5" a="1"/>
  <c r="S24" i="5"/>
  <c r="S25" i="5" a="1"/>
  <c r="S25" i="5" s="1"/>
  <c r="S26" i="5" a="1"/>
  <c r="S26" i="5"/>
  <c r="S27" i="5" a="1"/>
  <c r="S27" i="5"/>
  <c r="S28" i="5" a="1"/>
  <c r="S28" i="5" s="1"/>
  <c r="S29" i="5" a="1"/>
  <c r="S29" i="5"/>
  <c r="S30" i="5" a="1"/>
  <c r="S30" i="5"/>
  <c r="S31" i="5" a="1"/>
  <c r="S31" i="5" s="1"/>
  <c r="S32" i="5" a="1"/>
  <c r="S32" i="5"/>
  <c r="S33" i="5" a="1"/>
  <c r="S33" i="5"/>
  <c r="S34" i="5" a="1"/>
  <c r="S34" i="5" s="1"/>
  <c r="S35" i="5" a="1"/>
  <c r="S35" i="5"/>
  <c r="S36" i="5" a="1"/>
  <c r="S36" i="5"/>
  <c r="S37" i="5" a="1"/>
  <c r="S37" i="5" s="1"/>
  <c r="S38" i="5" a="1"/>
  <c r="S38" i="5"/>
  <c r="S39" i="5" a="1"/>
  <c r="S39" i="5"/>
  <c r="S40" i="5" a="1"/>
  <c r="S40" i="5" s="1"/>
  <c r="S41" i="5" a="1"/>
  <c r="S41" i="5"/>
  <c r="S42" i="5" a="1"/>
  <c r="S42" i="5"/>
  <c r="S43" i="5" a="1"/>
  <c r="S43" i="5" s="1"/>
  <c r="S44" i="5" a="1"/>
  <c r="S44" i="5"/>
  <c r="S45" i="5" a="1"/>
  <c r="S45" i="5"/>
  <c r="S46" i="5" a="1"/>
  <c r="S46" i="5" s="1"/>
  <c r="S47" i="5" a="1"/>
  <c r="S47" i="5"/>
  <c r="S48" i="5" a="1"/>
  <c r="S48" i="5"/>
  <c r="S49" i="5" a="1"/>
  <c r="S49" i="5" s="1"/>
  <c r="S50" i="5" a="1"/>
  <c r="S50" i="5"/>
  <c r="S51" i="5" a="1"/>
  <c r="S51" i="5"/>
  <c r="S52" i="5" a="1"/>
  <c r="S52" i="5" s="1"/>
  <c r="S53" i="5" a="1"/>
  <c r="S53" i="5"/>
  <c r="S54" i="5" a="1"/>
  <c r="S54" i="5"/>
  <c r="S55" i="5" a="1"/>
  <c r="S55" i="5" s="1"/>
  <c r="S56" i="5" a="1"/>
  <c r="S56" i="5"/>
  <c r="S57" i="5" a="1"/>
  <c r="S57" i="5"/>
  <c r="S58" i="5" a="1"/>
  <c r="S58" i="5" s="1"/>
  <c r="S59" i="5" a="1"/>
  <c r="S59" i="5"/>
  <c r="S60" i="5" a="1"/>
  <c r="S60" i="5"/>
  <c r="S61" i="5" a="1"/>
  <c r="S61" i="5" s="1"/>
  <c r="S62" i="5" a="1"/>
  <c r="S62" i="5"/>
  <c r="S63" i="5" a="1"/>
  <c r="S63" i="5"/>
  <c r="S64" i="5" a="1"/>
  <c r="S64" i="5" s="1"/>
  <c r="S65" i="5" a="1"/>
  <c r="S65" i="5"/>
  <c r="S66" i="5" a="1"/>
  <c r="S66" i="5"/>
  <c r="S67" i="5" a="1"/>
  <c r="S67" i="5" s="1"/>
  <c r="S68" i="5" a="1"/>
  <c r="S68" i="5"/>
  <c r="S69" i="5" a="1"/>
  <c r="S69" i="5"/>
  <c r="S70" i="5" a="1"/>
  <c r="S70" i="5" s="1"/>
  <c r="S71" i="5" a="1"/>
  <c r="S71" i="5"/>
  <c r="S72" i="5" a="1"/>
  <c r="S72" i="5"/>
  <c r="S73" i="5" a="1"/>
  <c r="S73" i="5" s="1"/>
  <c r="S74" i="5" a="1"/>
  <c r="S74" i="5"/>
  <c r="S75" i="5" a="1"/>
  <c r="S75" i="5"/>
  <c r="S76" i="5" a="1"/>
  <c r="S76" i="5" s="1"/>
  <c r="S77" i="5" a="1"/>
  <c r="S77" i="5"/>
  <c r="S78" i="5" a="1"/>
  <c r="S78" i="5"/>
  <c r="S79" i="5" a="1"/>
  <c r="S79" i="5" s="1"/>
  <c r="S80" i="5" a="1"/>
  <c r="S80" i="5"/>
  <c r="S81" i="5" a="1"/>
  <c r="S81" i="5"/>
  <c r="S82" i="5" a="1"/>
  <c r="S82" i="5" s="1"/>
  <c r="S83" i="5" a="1"/>
  <c r="S83" i="5"/>
  <c r="S84" i="5" a="1"/>
  <c r="S84" i="5"/>
  <c r="S85" i="5" a="1"/>
  <c r="S85" i="5" s="1"/>
  <c r="S86" i="5" a="1"/>
  <c r="S86" i="5"/>
  <c r="S87" i="5" a="1"/>
  <c r="S87" i="5"/>
  <c r="S88" i="5" a="1"/>
  <c r="S88" i="5" s="1"/>
  <c r="S89" i="5" a="1"/>
  <c r="S89" i="5"/>
  <c r="S90" i="5" a="1"/>
  <c r="S90" i="5"/>
  <c r="S91" i="5" a="1"/>
  <c r="S91" i="5" s="1"/>
  <c r="S92" i="5" a="1"/>
  <c r="S92" i="5"/>
  <c r="S93" i="5" a="1"/>
  <c r="S93" i="5"/>
  <c r="S94" i="5" a="1"/>
  <c r="S94" i="5" s="1"/>
  <c r="S95" i="5" a="1"/>
  <c r="S95" i="5"/>
  <c r="S96" i="5" a="1"/>
  <c r="S96" i="5"/>
  <c r="S97" i="5" a="1"/>
  <c r="S97" i="5" s="1"/>
  <c r="S98" i="5" a="1"/>
  <c r="S98" i="5"/>
  <c r="S99" i="5" a="1"/>
  <c r="S99" i="5"/>
  <c r="S100" i="5" a="1"/>
  <c r="S100" i="5" s="1"/>
  <c r="S101" i="5" a="1"/>
  <c r="S101" i="5"/>
  <c r="S102" i="5" a="1"/>
  <c r="S102" i="5"/>
  <c r="S103" i="5" a="1"/>
  <c r="S103" i="5" s="1"/>
  <c r="S104" i="5" a="1"/>
  <c r="S104" i="5"/>
  <c r="S105" i="5" a="1"/>
  <c r="S105" i="5"/>
  <c r="S106" i="5" a="1"/>
  <c r="S106" i="5" s="1"/>
  <c r="S107" i="5" a="1"/>
  <c r="S107" i="5"/>
  <c r="S108" i="5" a="1"/>
  <c r="S108" i="5"/>
  <c r="S109" i="5" a="1"/>
  <c r="S109" i="5" s="1"/>
  <c r="S110" i="5" a="1"/>
  <c r="S110" i="5"/>
  <c r="S111" i="5" a="1"/>
  <c r="S111" i="5"/>
  <c r="S112" i="5" a="1"/>
  <c r="S112" i="5" s="1"/>
  <c r="S113" i="5" a="1"/>
  <c r="S113" i="5"/>
  <c r="S114" i="5" a="1"/>
  <c r="S114" i="5"/>
  <c r="S115" i="5" a="1"/>
  <c r="S115" i="5" s="1"/>
  <c r="S116" i="5" a="1"/>
  <c r="S116" i="5"/>
  <c r="S117" i="5" a="1"/>
  <c r="S117" i="5"/>
  <c r="S118" i="5" a="1"/>
  <c r="S118" i="5" s="1"/>
  <c r="S119" i="5" a="1"/>
  <c r="S119" i="5"/>
  <c r="S120" i="5" a="1"/>
  <c r="S120" i="5"/>
  <c r="S121" i="5" a="1"/>
  <c r="S121" i="5" s="1"/>
  <c r="S122" i="5" a="1"/>
  <c r="S122" i="5"/>
  <c r="S123" i="5" a="1"/>
  <c r="S123" i="5"/>
  <c r="S124" i="5" a="1"/>
  <c r="S124" i="5" s="1"/>
  <c r="S125" i="5" a="1"/>
  <c r="S125" i="5"/>
  <c r="S126" i="5" a="1"/>
  <c r="S126" i="5"/>
  <c r="S127" i="5" a="1"/>
  <c r="S127" i="5" s="1"/>
  <c r="S128" i="5" a="1"/>
  <c r="S128" i="5"/>
  <c r="S129" i="5" a="1"/>
  <c r="S129" i="5"/>
  <c r="S130" i="5" a="1"/>
  <c r="S130" i="5" s="1"/>
  <c r="S131" i="5" a="1"/>
  <c r="S131" i="5"/>
  <c r="S132" i="5" a="1"/>
  <c r="S132" i="5"/>
  <c r="S133" i="5" a="1"/>
  <c r="S133" i="5" s="1"/>
  <c r="S134" i="5" a="1"/>
  <c r="S134" i="5"/>
  <c r="S135" i="5" a="1"/>
  <c r="S135" i="5"/>
  <c r="S136" i="5" a="1"/>
  <c r="S136" i="5" s="1"/>
  <c r="S137" i="5" a="1"/>
  <c r="S137" i="5"/>
  <c r="S138" i="5" a="1"/>
  <c r="S138" i="5"/>
  <c r="S139" i="5" a="1"/>
  <c r="S139" i="5" s="1"/>
  <c r="S140" i="5" a="1"/>
  <c r="S140" i="5"/>
  <c r="S141" i="5" a="1"/>
  <c r="S141" i="5"/>
  <c r="S142" i="5" a="1"/>
  <c r="S142" i="5" s="1"/>
  <c r="S143" i="5" a="1"/>
  <c r="S143" i="5"/>
  <c r="S144" i="5" a="1"/>
  <c r="S144" i="5"/>
  <c r="S145" i="5" a="1"/>
  <c r="S145" i="5" s="1"/>
  <c r="S146" i="5" a="1"/>
  <c r="S146" i="5"/>
  <c r="S147" i="5" a="1"/>
  <c r="S147" i="5"/>
  <c r="S148" i="5" a="1"/>
  <c r="S148" i="5" s="1"/>
  <c r="S149" i="5" a="1"/>
  <c r="S149" i="5"/>
  <c r="S150" i="5" a="1"/>
  <c r="S150" i="5"/>
  <c r="S151" i="5" a="1"/>
  <c r="S151" i="5" s="1"/>
  <c r="S152" i="5" a="1"/>
  <c r="S152" i="5"/>
  <c r="S153" i="5" a="1"/>
  <c r="S153" i="5"/>
  <c r="S154" i="5" a="1"/>
  <c r="S154" i="5" s="1"/>
  <c r="S155" i="5" a="1"/>
  <c r="S155" i="5"/>
  <c r="S156" i="5" a="1"/>
  <c r="S156" i="5"/>
  <c r="S157" i="5" a="1"/>
  <c r="S157" i="5" s="1"/>
  <c r="S158" i="5" a="1"/>
  <c r="S158" i="5"/>
  <c r="S159" i="5" a="1"/>
  <c r="S159" i="5"/>
  <c r="S160" i="5" a="1"/>
  <c r="S160" i="5" s="1"/>
  <c r="S161" i="5" a="1"/>
  <c r="S161" i="5"/>
  <c r="S162" i="5" a="1"/>
  <c r="S162" i="5"/>
  <c r="S163" i="5" a="1"/>
  <c r="S163" i="5" s="1"/>
  <c r="S164" i="5" a="1"/>
  <c r="S164" i="5"/>
  <c r="S165" i="5" a="1"/>
  <c r="S165" i="5"/>
  <c r="S166" i="5" a="1"/>
  <c r="S166" i="5" s="1"/>
  <c r="S167" i="5" a="1"/>
  <c r="S167" i="5"/>
  <c r="S168" i="5" a="1"/>
  <c r="S168" i="5"/>
  <c r="S169" i="5" a="1"/>
  <c r="S169" i="5" s="1"/>
  <c r="S170" i="5" a="1"/>
  <c r="S170" i="5"/>
  <c r="S171" i="5" a="1"/>
  <c r="S171" i="5"/>
  <c r="S172" i="5" a="1"/>
  <c r="S172" i="5" s="1"/>
  <c r="S173" i="5" a="1"/>
  <c r="S173" i="5"/>
  <c r="S174" i="5" a="1"/>
  <c r="S174" i="5"/>
  <c r="S175" i="5" a="1"/>
  <c r="S175" i="5" s="1"/>
  <c r="S176" i="5" a="1"/>
  <c r="S176" i="5"/>
  <c r="S177" i="5" a="1"/>
  <c r="S177" i="5"/>
  <c r="S178" i="5" a="1"/>
  <c r="S178" i="5" s="1"/>
  <c r="S179" i="5" a="1"/>
  <c r="S179" i="5"/>
  <c r="S180" i="5" a="1"/>
  <c r="S180" i="5"/>
  <c r="S181" i="5" a="1"/>
  <c r="S181" i="5" s="1"/>
  <c r="S182" i="5" a="1"/>
  <c r="S182" i="5"/>
  <c r="S183" i="5" a="1"/>
  <c r="S183" i="5"/>
  <c r="S184" i="5" a="1"/>
  <c r="S184" i="5" s="1"/>
  <c r="S185" i="5" a="1"/>
  <c r="S185" i="5"/>
  <c r="S186" i="5" a="1"/>
  <c r="S186" i="5"/>
  <c r="S187" i="5" a="1"/>
  <c r="S187" i="5" s="1"/>
  <c r="S188" i="5" a="1"/>
  <c r="S188" i="5"/>
  <c r="S189" i="5" a="1"/>
  <c r="S189" i="5"/>
  <c r="S190" i="5" a="1"/>
  <c r="S190" i="5" s="1"/>
  <c r="S191" i="5" a="1"/>
  <c r="S191" i="5"/>
  <c r="S192" i="5" a="1"/>
  <c r="S192" i="5"/>
  <c r="S193" i="5" a="1"/>
  <c r="S193" i="5" s="1"/>
  <c r="S194" i="5" a="1"/>
  <c r="S194" i="5"/>
  <c r="S195" i="5" a="1"/>
  <c r="S195" i="5"/>
  <c r="S196" i="5" a="1"/>
  <c r="S196" i="5" s="1"/>
  <c r="S197" i="5" a="1"/>
  <c r="S197" i="5"/>
  <c r="S198" i="5" a="1"/>
  <c r="S198" i="5"/>
  <c r="S199" i="5" a="1"/>
  <c r="S199" i="5" s="1"/>
  <c r="S200" i="5" a="1"/>
  <c r="S200" i="5"/>
  <c r="S201" i="5" a="1"/>
  <c r="S201" i="5"/>
  <c r="S202" i="5" a="1"/>
  <c r="S202" i="5" s="1"/>
  <c r="S203" i="5" a="1"/>
  <c r="S203" i="5"/>
  <c r="S204" i="5" a="1"/>
  <c r="S204" i="5"/>
  <c r="S205" i="5" a="1"/>
  <c r="S205" i="5" s="1"/>
  <c r="S206" i="5" a="1"/>
  <c r="S206" i="5"/>
  <c r="S207" i="5" a="1"/>
  <c r="S207" i="5"/>
  <c r="S208" i="5" a="1"/>
  <c r="S208" i="5" s="1"/>
  <c r="S209" i="5" a="1"/>
  <c r="S209" i="5"/>
  <c r="S210" i="5" a="1"/>
  <c r="S210" i="5"/>
  <c r="S211" i="5" a="1"/>
  <c r="S211" i="5" s="1"/>
  <c r="S212" i="5" a="1"/>
  <c r="S212" i="5"/>
  <c r="S213" i="5" a="1"/>
  <c r="S213" i="5"/>
  <c r="S214" i="5" a="1"/>
  <c r="S214" i="5" s="1"/>
  <c r="S215" i="5" a="1"/>
  <c r="S215" i="5"/>
  <c r="S216" i="5" a="1"/>
  <c r="S216" i="5"/>
  <c r="S217" i="5" a="1"/>
  <c r="S217" i="5" s="1"/>
  <c r="S218" i="5" a="1"/>
  <c r="S218" i="5"/>
  <c r="S219" i="5" a="1"/>
  <c r="S219" i="5"/>
  <c r="S220" i="5" a="1"/>
  <c r="S220" i="5" s="1"/>
  <c r="S221" i="5" a="1"/>
  <c r="S221" i="5"/>
  <c r="S222" i="5" a="1"/>
  <c r="S222" i="5"/>
  <c r="S223" i="5" a="1"/>
  <c r="S223" i="5" s="1"/>
  <c r="S224" i="5" a="1"/>
  <c r="S224" i="5"/>
  <c r="S225" i="5" a="1"/>
  <c r="S225" i="5"/>
  <c r="S226" i="5" a="1"/>
  <c r="S226" i="5" s="1"/>
  <c r="S227" i="5" a="1"/>
  <c r="S227" i="5"/>
  <c r="S228" i="5" a="1"/>
  <c r="S228" i="5"/>
  <c r="S229" i="5" a="1"/>
  <c r="S229" i="5" s="1"/>
  <c r="S230" i="5" a="1"/>
  <c r="S230" i="5"/>
  <c r="S231" i="5" a="1"/>
  <c r="S231" i="5"/>
  <c r="S232" i="5" a="1"/>
  <c r="S232" i="5" s="1"/>
  <c r="S233" i="5" a="1"/>
  <c r="S233" i="5"/>
  <c r="S234" i="5" a="1"/>
  <c r="S234" i="5"/>
  <c r="S235" i="5" a="1"/>
  <c r="S235" i="5" s="1"/>
  <c r="S236" i="5" a="1"/>
  <c r="S236" i="5"/>
  <c r="S237" i="5" a="1"/>
  <c r="S237" i="5"/>
  <c r="S238" i="5" a="1"/>
  <c r="S238" i="5" s="1"/>
  <c r="S239" i="5" a="1"/>
  <c r="S239" i="5"/>
  <c r="S240" i="5" a="1"/>
  <c r="S240" i="5"/>
  <c r="S241" i="5" a="1"/>
  <c r="S241" i="5" s="1"/>
  <c r="S242" i="5" a="1"/>
  <c r="S242" i="5"/>
  <c r="S243" i="5" a="1"/>
  <c r="S243" i="5"/>
  <c r="S244" i="5" a="1"/>
  <c r="S244" i="5" s="1"/>
  <c r="S245" i="5" a="1"/>
  <c r="S245" i="5"/>
  <c r="S246" i="5" a="1"/>
  <c r="S246" i="5"/>
  <c r="S247" i="5" a="1"/>
  <c r="S247" i="5" s="1"/>
  <c r="S248" i="5" a="1"/>
  <c r="S248" i="5"/>
  <c r="S249" i="5" a="1"/>
  <c r="S249" i="5"/>
  <c r="S250" i="5" a="1"/>
  <c r="S250" i="5" s="1"/>
  <c r="S251" i="5" a="1"/>
  <c r="S251" i="5"/>
  <c r="S252" i="5" a="1"/>
  <c r="S252" i="5"/>
  <c r="S253" i="5" a="1"/>
  <c r="S253" i="5" s="1"/>
  <c r="S254" i="5" a="1"/>
  <c r="S254" i="5"/>
  <c r="S255" i="5" a="1"/>
  <c r="S255" i="5"/>
  <c r="S256" i="5" a="1"/>
  <c r="S256" i="5" s="1"/>
  <c r="S257" i="5" a="1"/>
  <c r="S257" i="5"/>
  <c r="S258" i="5" a="1"/>
  <c r="S258" i="5"/>
  <c r="S259" i="5" a="1"/>
  <c r="S259" i="5" s="1"/>
  <c r="S260" i="5" a="1"/>
  <c r="S260" i="5"/>
  <c r="S261" i="5" a="1"/>
  <c r="S261" i="5"/>
  <c r="S262" i="5" a="1"/>
  <c r="S262" i="5" s="1"/>
  <c r="S263" i="5" a="1"/>
  <c r="S263" i="5"/>
  <c r="S264" i="5" a="1"/>
  <c r="S264" i="5"/>
  <c r="S265" i="5" a="1"/>
  <c r="S265" i="5" s="1"/>
  <c r="S266" i="5" a="1"/>
  <c r="S266" i="5"/>
  <c r="S267" i="5" a="1"/>
  <c r="S267" i="5"/>
  <c r="S268" i="5" a="1"/>
  <c r="S268" i="5" s="1"/>
  <c r="S269" i="5" a="1"/>
  <c r="S269" i="5"/>
  <c r="S270" i="5" a="1"/>
  <c r="S270" i="5"/>
  <c r="S271" i="5" a="1"/>
  <c r="S271" i="5" s="1"/>
  <c r="S272" i="5" a="1"/>
  <c r="S272" i="5"/>
  <c r="S273" i="5" a="1"/>
  <c r="S273" i="5"/>
  <c r="S274" i="5" a="1"/>
  <c r="S274" i="5" s="1"/>
  <c r="S275" i="5" a="1"/>
  <c r="S275" i="5"/>
  <c r="S276" i="5" a="1"/>
  <c r="S276" i="5"/>
  <c r="S277" i="5" a="1"/>
  <c r="S277" i="5" s="1"/>
  <c r="S278" i="5" a="1"/>
  <c r="S278" i="5"/>
  <c r="S279" i="5" a="1"/>
  <c r="S279" i="5"/>
  <c r="S280" i="5" a="1"/>
  <c r="S280" i="5" s="1"/>
  <c r="S281" i="5" a="1"/>
  <c r="S281" i="5"/>
  <c r="S282" i="5" a="1"/>
  <c r="S282" i="5"/>
  <c r="S283" i="5" a="1"/>
  <c r="S283" i="5" s="1"/>
  <c r="S284" i="5" a="1"/>
  <c r="S284" i="5"/>
  <c r="S285" i="5" a="1"/>
  <c r="S285" i="5"/>
  <c r="S286" i="5" a="1"/>
  <c r="S286" i="5" s="1"/>
  <c r="S287" i="5" a="1"/>
  <c r="S287" i="5"/>
  <c r="S288" i="5" a="1"/>
  <c r="S288" i="5"/>
  <c r="S289" i="5" a="1"/>
  <c r="S289" i="5" s="1"/>
  <c r="S290" i="5" a="1"/>
  <c r="S290" i="5"/>
  <c r="S291" i="5" a="1"/>
  <c r="S291" i="5"/>
  <c r="S292" i="5" a="1"/>
  <c r="S292" i="5" s="1"/>
  <c r="S293" i="5" a="1"/>
  <c r="S293" i="5"/>
  <c r="S294" i="5" a="1"/>
  <c r="S294" i="5"/>
  <c r="S295" i="5" a="1"/>
  <c r="S295" i="5" s="1"/>
  <c r="S296" i="5" a="1"/>
  <c r="S296" i="5"/>
  <c r="S297" i="5" a="1"/>
  <c r="S297" i="5"/>
  <c r="S298" i="5" a="1"/>
  <c r="S298" i="5" s="1"/>
  <c r="S299" i="5" a="1"/>
  <c r="S299" i="5"/>
  <c r="S300" i="5" a="1"/>
  <c r="S300" i="5"/>
  <c r="S301" i="5" a="1"/>
  <c r="S301" i="5" s="1"/>
  <c r="S302" i="5" a="1"/>
  <c r="S302" i="5"/>
  <c r="S303" i="5" a="1"/>
  <c r="S303" i="5"/>
  <c r="S304" i="5" a="1"/>
  <c r="S304" i="5" s="1"/>
  <c r="S305" i="5" a="1"/>
  <c r="S305" i="5"/>
  <c r="S306" i="5" a="1"/>
  <c r="S306" i="5"/>
  <c r="S307" i="5" a="1"/>
  <c r="S307" i="5" s="1"/>
  <c r="S308" i="5" a="1"/>
  <c r="S308" i="5"/>
  <c r="S309" i="5" a="1"/>
  <c r="S309" i="5"/>
  <c r="S310" i="5" a="1"/>
  <c r="S310" i="5" s="1"/>
  <c r="S311" i="5" a="1"/>
  <c r="S311" i="5"/>
  <c r="S312" i="5" a="1"/>
  <c r="S312" i="5"/>
  <c r="S313" i="5" a="1"/>
  <c r="S313" i="5" s="1"/>
  <c r="S314" i="5" a="1"/>
  <c r="S314" i="5"/>
  <c r="S315" i="5" a="1"/>
  <c r="S315" i="5"/>
  <c r="S316" i="5" a="1"/>
  <c r="S316" i="5" s="1"/>
  <c r="S317" i="5" a="1"/>
  <c r="S317" i="5"/>
  <c r="S318" i="5" a="1"/>
  <c r="S318" i="5"/>
  <c r="S319" i="5" a="1"/>
  <c r="S319" i="5" s="1"/>
  <c r="S320" i="5" a="1"/>
  <c r="S320" i="5"/>
  <c r="S321" i="5" a="1"/>
  <c r="S321" i="5"/>
  <c r="S322" i="5" a="1"/>
  <c r="S322" i="5" s="1"/>
  <c r="S323" i="5" a="1"/>
  <c r="S323" i="5"/>
  <c r="S324" i="5" a="1"/>
  <c r="S324" i="5"/>
  <c r="S325" i="5" a="1"/>
  <c r="S325" i="5" s="1"/>
  <c r="S326" i="5" a="1"/>
  <c r="S326" i="5"/>
  <c r="S327" i="5" a="1"/>
  <c r="S327" i="5"/>
  <c r="S328" i="5" a="1"/>
  <c r="S328" i="5" s="1"/>
  <c r="S329" i="5" a="1"/>
  <c r="S329" i="5"/>
  <c r="S330" i="5" a="1"/>
  <c r="S330" i="5"/>
  <c r="S331" i="5" a="1"/>
  <c r="S331" i="5" s="1"/>
  <c r="S332" i="5" a="1"/>
  <c r="S332" i="5"/>
  <c r="S333" i="5" a="1"/>
  <c r="S333" i="5"/>
  <c r="S334" i="5" a="1"/>
  <c r="S334" i="5" s="1"/>
  <c r="S335" i="5" a="1"/>
  <c r="S335" i="5"/>
  <c r="S336" i="5" a="1"/>
  <c r="S336" i="5"/>
  <c r="S337" i="5" a="1"/>
  <c r="S337" i="5" s="1"/>
  <c r="S338" i="5" a="1"/>
  <c r="S338" i="5"/>
  <c r="S339" i="5" a="1"/>
  <c r="S339" i="5"/>
  <c r="S340" i="5" a="1"/>
  <c r="S340" i="5" s="1"/>
  <c r="S341" i="5" a="1"/>
  <c r="S341" i="5"/>
  <c r="S342" i="5" a="1"/>
  <c r="S342" i="5"/>
  <c r="S343" i="5" a="1"/>
  <c r="S343" i="5" s="1"/>
  <c r="S344" i="5" a="1"/>
  <c r="S344" i="5"/>
  <c r="S345" i="5" a="1"/>
  <c r="S345" i="5"/>
  <c r="S346" i="5" a="1"/>
  <c r="S346" i="5" s="1"/>
  <c r="S347" i="5" a="1"/>
  <c r="S347" i="5"/>
  <c r="S348" i="5" a="1"/>
  <c r="S348" i="5"/>
  <c r="S349" i="5" a="1"/>
  <c r="S349" i="5" s="1"/>
  <c r="S350" i="5" a="1"/>
  <c r="S350" i="5"/>
  <c r="S351" i="5" a="1"/>
  <c r="S351" i="5"/>
  <c r="S352" i="5" a="1"/>
  <c r="S352" i="5" s="1"/>
  <c r="S353" i="5" a="1"/>
  <c r="S353" i="5"/>
  <c r="S354" i="5" a="1"/>
  <c r="S354" i="5"/>
  <c r="S355" i="5" a="1"/>
  <c r="S355" i="5" s="1"/>
  <c r="S356" i="5" a="1"/>
  <c r="S356" i="5"/>
  <c r="S357" i="5" a="1"/>
  <c r="S357" i="5"/>
  <c r="S358" i="5" a="1"/>
  <c r="S358" i="5" s="1"/>
  <c r="S359" i="5" a="1"/>
  <c r="S359" i="5"/>
  <c r="S360" i="5" a="1"/>
  <c r="S360" i="5"/>
  <c r="S361" i="5" a="1"/>
  <c r="S361" i="5" s="1"/>
  <c r="S362" i="5" a="1"/>
  <c r="S362" i="5"/>
  <c r="S363" i="5" a="1"/>
  <c r="S363" i="5"/>
  <c r="S364" i="5" a="1"/>
  <c r="S364" i="5" s="1"/>
  <c r="S365" i="5" a="1"/>
  <c r="S365" i="5"/>
  <c r="S366" i="5" a="1"/>
  <c r="S366" i="5"/>
  <c r="S367" i="5" a="1"/>
  <c r="S367" i="5" s="1"/>
  <c r="S368" i="5" a="1"/>
  <c r="S368" i="5"/>
  <c r="S369" i="5" a="1"/>
  <c r="S369" i="5"/>
  <c r="S370" i="5" a="1"/>
  <c r="S370" i="5" s="1"/>
  <c r="S371" i="5" a="1"/>
  <c r="S371" i="5"/>
  <c r="S372" i="5" a="1"/>
  <c r="S372" i="5"/>
  <c r="S373" i="5" a="1"/>
  <c r="S373" i="5" s="1"/>
  <c r="S374" i="5" a="1"/>
  <c r="S374" i="5"/>
  <c r="S375" i="5" a="1"/>
  <c r="S375" i="5"/>
  <c r="S376" i="5" a="1"/>
  <c r="S376" i="5" s="1"/>
  <c r="S377" i="5" a="1"/>
  <c r="S377" i="5"/>
  <c r="S378" i="5" a="1"/>
  <c r="S378" i="5"/>
  <c r="S379" i="5" a="1"/>
  <c r="S379" i="5" s="1"/>
  <c r="S380" i="5" a="1"/>
  <c r="S380" i="5"/>
  <c r="S381" i="5" a="1"/>
  <c r="S381" i="5"/>
  <c r="S382" i="5" a="1"/>
  <c r="S382" i="5" s="1"/>
  <c r="S383" i="5" a="1"/>
  <c r="S383" i="5"/>
  <c r="S384" i="5" a="1"/>
  <c r="S384" i="5"/>
  <c r="S385" i="5" a="1"/>
  <c r="S385" i="5" s="1"/>
  <c r="S386" i="5" a="1"/>
  <c r="S386" i="5"/>
  <c r="S387" i="5" a="1"/>
  <c r="S387" i="5"/>
  <c r="S388" i="5" a="1"/>
  <c r="S388" i="5" s="1"/>
  <c r="S389" i="5" a="1"/>
  <c r="S389" i="5"/>
  <c r="S390" i="5" a="1"/>
  <c r="S390" i="5"/>
  <c r="S391" i="5" a="1"/>
  <c r="S391" i="5" s="1"/>
  <c r="S392" i="5" a="1"/>
  <c r="S392" i="5"/>
  <c r="S393" i="5" a="1"/>
  <c r="S393" i="5"/>
  <c r="S394" i="5" a="1"/>
  <c r="S394" i="5" s="1"/>
  <c r="S395" i="5" a="1"/>
  <c r="S395" i="5"/>
  <c r="S396" i="5" a="1"/>
  <c r="S396" i="5"/>
  <c r="S397" i="5" a="1"/>
  <c r="S397" i="5" s="1"/>
  <c r="S398" i="5" a="1"/>
  <c r="S398" i="5"/>
  <c r="S399" i="5" a="1"/>
  <c r="S399" i="5"/>
  <c r="S400" i="5" a="1"/>
  <c r="S400" i="5" s="1"/>
  <c r="S401" i="5" a="1"/>
  <c r="S401" i="5"/>
  <c r="S402" i="5" a="1"/>
  <c r="S402" i="5"/>
  <c r="S403" i="5" a="1"/>
  <c r="S403" i="5" s="1"/>
  <c r="S404" i="5" a="1"/>
  <c r="S404" i="5"/>
  <c r="S405" i="5" a="1"/>
  <c r="S405" i="5"/>
  <c r="S406" i="5" a="1"/>
  <c r="S406" i="5" s="1"/>
  <c r="S407" i="5" a="1"/>
  <c r="S407" i="5"/>
  <c r="S408" i="5" a="1"/>
  <c r="S408" i="5"/>
  <c r="S409" i="5" a="1"/>
  <c r="S409" i="5" s="1"/>
  <c r="S410" i="5" a="1"/>
  <c r="S410" i="5"/>
  <c r="S411" i="5" a="1"/>
  <c r="S411" i="5"/>
  <c r="S412" i="5" a="1"/>
  <c r="S412" i="5" s="1"/>
  <c r="S413" i="5" a="1"/>
  <c r="S413" i="5"/>
  <c r="S414" i="5" a="1"/>
  <c r="S414" i="5"/>
  <c r="S415" i="5" a="1"/>
  <c r="S415" i="5" s="1"/>
  <c r="S416" i="5" a="1"/>
  <c r="S416" i="5"/>
  <c r="S417" i="5" a="1"/>
  <c r="S417" i="5"/>
  <c r="S418" i="5" a="1"/>
  <c r="S418" i="5" s="1"/>
  <c r="S419" i="5" a="1"/>
  <c r="S419" i="5"/>
  <c r="S420" i="5" a="1"/>
  <c r="S420" i="5"/>
  <c r="S421" i="5" a="1"/>
  <c r="S421" i="5" s="1"/>
  <c r="S422" i="5" a="1"/>
  <c r="S422" i="5"/>
  <c r="S423" i="5" a="1"/>
  <c r="S423" i="5"/>
  <c r="S424" i="5" a="1"/>
  <c r="S424" i="5" s="1"/>
  <c r="S425" i="5" a="1"/>
  <c r="S425" i="5"/>
  <c r="S426" i="5" a="1"/>
  <c r="S426" i="5"/>
  <c r="S427" i="5" a="1"/>
  <c r="S427" i="5" s="1"/>
  <c r="S428" i="5" a="1"/>
  <c r="S428" i="5"/>
  <c r="S429" i="5" a="1"/>
  <c r="S429" i="5"/>
  <c r="S430" i="5" a="1"/>
  <c r="S430" i="5" s="1"/>
  <c r="S431" i="5" a="1"/>
  <c r="S431" i="5"/>
  <c r="S432" i="5" a="1"/>
  <c r="S432" i="5"/>
  <c r="S433" i="5" a="1"/>
  <c r="S433" i="5" s="1"/>
  <c r="S434" i="5" a="1"/>
  <c r="S434" i="5"/>
  <c r="S435" i="5" a="1"/>
  <c r="S435" i="5"/>
  <c r="S436" i="5" a="1"/>
  <c r="S436" i="5" s="1"/>
  <c r="S437" i="5" a="1"/>
  <c r="S437" i="5"/>
  <c r="S438" i="5" a="1"/>
  <c r="S438" i="5"/>
  <c r="S439" i="5" a="1"/>
  <c r="S439" i="5" s="1"/>
  <c r="S440" i="5" a="1"/>
  <c r="S440" i="5"/>
  <c r="S441" i="5" a="1"/>
  <c r="S441" i="5"/>
  <c r="S442" i="5" a="1"/>
  <c r="S442" i="5" s="1"/>
  <c r="S443" i="5" a="1"/>
  <c r="S443" i="5"/>
  <c r="S444" i="5" a="1"/>
  <c r="S444" i="5"/>
  <c r="S445" i="5" a="1"/>
  <c r="S445" i="5" s="1"/>
  <c r="S446" i="5" a="1"/>
  <c r="S446" i="5"/>
  <c r="S447" i="5" a="1"/>
  <c r="S447" i="5"/>
  <c r="S448" i="5" a="1"/>
  <c r="S448" i="5" s="1"/>
  <c r="S449" i="5" a="1"/>
  <c r="S449" i="5"/>
  <c r="S450" i="5" a="1"/>
  <c r="S450" i="5"/>
  <c r="S451" i="5" a="1"/>
  <c r="S451" i="5" s="1"/>
  <c r="S452" i="5" a="1"/>
  <c r="S452" i="5"/>
  <c r="S453" i="5" a="1"/>
  <c r="S453" i="5"/>
  <c r="S454" i="5" a="1"/>
  <c r="S454" i="5" s="1"/>
  <c r="S455" i="5" a="1"/>
  <c r="S455" i="5"/>
  <c r="S456" i="5" a="1"/>
  <c r="S456" i="5"/>
  <c r="S457" i="5" a="1"/>
  <c r="S457" i="5" s="1"/>
  <c r="S458" i="5" a="1"/>
  <c r="S458" i="5"/>
  <c r="S459" i="5" a="1"/>
  <c r="S459" i="5"/>
  <c r="S460" i="5" a="1"/>
  <c r="S460" i="5" s="1"/>
  <c r="S461" i="5" a="1"/>
  <c r="S461" i="5"/>
  <c r="S462" i="5" a="1"/>
  <c r="S462" i="5"/>
  <c r="S463" i="5" a="1"/>
  <c r="S463" i="5" s="1"/>
  <c r="S464" i="5" a="1"/>
  <c r="S464" i="5"/>
  <c r="S465" i="5" a="1"/>
  <c r="S465" i="5"/>
  <c r="S466" i="5" a="1"/>
  <c r="S466" i="5" s="1"/>
  <c r="S467" i="5" a="1"/>
  <c r="S467" i="5"/>
  <c r="S468" i="5" a="1"/>
  <c r="S468" i="5"/>
  <c r="S469" i="5" a="1"/>
  <c r="S469" i="5" s="1"/>
  <c r="S470" i="5" a="1"/>
  <c r="S470" i="5"/>
  <c r="S471" i="5" a="1"/>
  <c r="S471" i="5"/>
  <c r="S472" i="5" a="1"/>
  <c r="S472" i="5" s="1"/>
  <c r="S473" i="5" a="1"/>
  <c r="S473" i="5"/>
  <c r="S474" i="5" a="1"/>
  <c r="S474" i="5"/>
  <c r="S475" i="5" a="1"/>
  <c r="S475" i="5" s="1"/>
  <c r="S476" i="5" a="1"/>
  <c r="S476" i="5"/>
  <c r="S477" i="5" a="1"/>
  <c r="S477" i="5"/>
  <c r="S478" i="5" a="1"/>
  <c r="S478" i="5" s="1"/>
  <c r="S479" i="5" a="1"/>
  <c r="S479" i="5"/>
  <c r="S480" i="5" a="1"/>
  <c r="S480" i="5"/>
  <c r="S481" i="5" a="1"/>
  <c r="S481" i="5" s="1"/>
  <c r="S482" i="5" a="1"/>
  <c r="S482" i="5"/>
  <c r="S483" i="5" a="1"/>
  <c r="S483" i="5"/>
  <c r="S484" i="5" a="1"/>
  <c r="S484" i="5" s="1"/>
  <c r="S485" i="5" a="1"/>
  <c r="S485" i="5"/>
  <c r="S486" i="5" a="1"/>
  <c r="S486" i="5"/>
  <c r="S487" i="5" a="1"/>
  <c r="S487" i="5" s="1"/>
  <c r="S488" i="5" a="1"/>
  <c r="S488" i="5"/>
  <c r="S489" i="5" a="1"/>
  <c r="S489" i="5"/>
  <c r="S490" i="5" a="1"/>
  <c r="S490" i="5" s="1"/>
  <c r="S491" i="5" a="1"/>
  <c r="S491" i="5"/>
  <c r="S492" i="5" a="1"/>
  <c r="S492" i="5"/>
  <c r="S493" i="5" a="1"/>
  <c r="S493" i="5" s="1"/>
  <c r="S494" i="5" a="1"/>
  <c r="S494" i="5"/>
  <c r="S495" i="5" a="1"/>
  <c r="S495" i="5"/>
  <c r="S496" i="5" a="1"/>
  <c r="S496" i="5" s="1"/>
  <c r="S497" i="5" a="1"/>
  <c r="S497" i="5"/>
  <c r="S498" i="5" a="1"/>
  <c r="S498" i="5"/>
  <c r="S499" i="5" a="1"/>
  <c r="S499" i="5" s="1"/>
  <c r="S500" i="5" a="1"/>
  <c r="S500" i="5"/>
  <c r="S501" i="5" a="1"/>
  <c r="S501" i="5"/>
  <c r="S502" i="5" a="1"/>
  <c r="S502" i="5" s="1"/>
  <c r="S3" i="5" a="1"/>
  <c r="S3" i="5" s="1"/>
  <c r="X4" i="5"/>
  <c r="X5" i="5"/>
  <c r="X6" i="5"/>
  <c r="X7" i="5"/>
  <c r="X8" i="5"/>
  <c r="X9" i="5"/>
  <c r="X10" i="5"/>
  <c r="X11" i="5"/>
  <c r="X12" i="5"/>
  <c r="X13" i="5"/>
  <c r="X14" i="5"/>
  <c r="X15" i="5"/>
  <c r="X16" i="5"/>
  <c r="X17" i="5"/>
  <c r="X18" i="5"/>
  <c r="X19" i="5"/>
  <c r="X20" i="5"/>
  <c r="X21" i="5"/>
  <c r="X22" i="5"/>
  <c r="X23" i="5"/>
  <c r="X24" i="5"/>
  <c r="X25" i="5"/>
  <c r="X26" i="5"/>
  <c r="X27" i="5"/>
  <c r="X28" i="5"/>
  <c r="X29" i="5"/>
  <c r="X30" i="5"/>
  <c r="X31" i="5"/>
  <c r="X32" i="5"/>
  <c r="X33" i="5"/>
  <c r="X34" i="5"/>
  <c r="X35" i="5"/>
  <c r="X36" i="5"/>
  <c r="X37" i="5"/>
  <c r="X38" i="5"/>
  <c r="X39" i="5"/>
  <c r="X40" i="5"/>
  <c r="X41" i="5"/>
  <c r="X42" i="5"/>
  <c r="X43" i="5"/>
  <c r="X44" i="5"/>
  <c r="X45" i="5"/>
  <c r="X46" i="5"/>
  <c r="X47" i="5"/>
  <c r="X48" i="5"/>
  <c r="X49" i="5"/>
  <c r="X50" i="5"/>
  <c r="X51" i="5"/>
  <c r="X52" i="5"/>
  <c r="X53" i="5"/>
  <c r="X54" i="5"/>
  <c r="X55" i="5"/>
  <c r="X56" i="5"/>
  <c r="X57" i="5"/>
  <c r="X58" i="5"/>
  <c r="X59" i="5"/>
  <c r="X60" i="5"/>
  <c r="X61" i="5"/>
  <c r="X62" i="5"/>
  <c r="X63" i="5"/>
  <c r="X64" i="5"/>
  <c r="X65" i="5"/>
  <c r="X66" i="5"/>
  <c r="X67" i="5"/>
  <c r="X68" i="5"/>
  <c r="X69" i="5"/>
  <c r="X70" i="5"/>
  <c r="X71" i="5"/>
  <c r="X72" i="5"/>
  <c r="X73" i="5"/>
  <c r="X74" i="5"/>
  <c r="X75" i="5"/>
  <c r="X76" i="5"/>
  <c r="X77" i="5"/>
  <c r="X78" i="5"/>
  <c r="X79" i="5"/>
  <c r="X80" i="5"/>
  <c r="X81" i="5"/>
  <c r="X82" i="5"/>
  <c r="X83" i="5"/>
  <c r="X84" i="5"/>
  <c r="X85" i="5"/>
  <c r="X86" i="5"/>
  <c r="X87" i="5"/>
  <c r="X88" i="5"/>
  <c r="X89" i="5"/>
  <c r="X90" i="5"/>
  <c r="X91" i="5"/>
  <c r="X92" i="5"/>
  <c r="X93" i="5"/>
  <c r="X94" i="5"/>
  <c r="X95" i="5"/>
  <c r="X96" i="5"/>
  <c r="X97" i="5"/>
  <c r="X98" i="5"/>
  <c r="X99" i="5"/>
  <c r="X100" i="5"/>
  <c r="X101" i="5"/>
  <c r="X102" i="5"/>
  <c r="X103" i="5"/>
  <c r="X104" i="5"/>
  <c r="X105" i="5"/>
  <c r="X106" i="5"/>
  <c r="X107" i="5"/>
  <c r="X108" i="5"/>
  <c r="X109" i="5"/>
  <c r="X110" i="5"/>
  <c r="X111" i="5"/>
  <c r="X112" i="5"/>
  <c r="X113" i="5"/>
  <c r="X114" i="5"/>
  <c r="X115" i="5"/>
  <c r="X116" i="5"/>
  <c r="X117" i="5"/>
  <c r="X118" i="5"/>
  <c r="X119" i="5"/>
  <c r="X120" i="5"/>
  <c r="X121" i="5"/>
  <c r="X122" i="5"/>
  <c r="X123" i="5"/>
  <c r="X124" i="5"/>
  <c r="X125" i="5"/>
  <c r="X126" i="5"/>
  <c r="X127" i="5"/>
  <c r="X128" i="5"/>
  <c r="X129" i="5"/>
  <c r="X130" i="5"/>
  <c r="X131" i="5"/>
  <c r="X132" i="5"/>
  <c r="X133" i="5"/>
  <c r="X134" i="5"/>
  <c r="X135" i="5"/>
  <c r="X136" i="5"/>
  <c r="X137" i="5"/>
  <c r="X138" i="5"/>
  <c r="X139" i="5"/>
  <c r="X140" i="5"/>
  <c r="X141" i="5"/>
  <c r="X142" i="5"/>
  <c r="X143" i="5"/>
  <c r="X144" i="5"/>
  <c r="X145" i="5"/>
  <c r="X146" i="5"/>
  <c r="X147" i="5"/>
  <c r="X148" i="5"/>
  <c r="X149" i="5"/>
  <c r="X150" i="5"/>
  <c r="X151" i="5"/>
  <c r="X152" i="5"/>
  <c r="X153" i="5"/>
  <c r="X154" i="5"/>
  <c r="X155" i="5"/>
  <c r="X156" i="5"/>
  <c r="X157" i="5"/>
  <c r="X158" i="5"/>
  <c r="X159" i="5"/>
  <c r="X160" i="5"/>
  <c r="X161" i="5"/>
  <c r="X162" i="5"/>
  <c r="X163" i="5"/>
  <c r="X164" i="5"/>
  <c r="X165" i="5"/>
  <c r="X166" i="5"/>
  <c r="X167" i="5"/>
  <c r="X168" i="5"/>
  <c r="X169" i="5"/>
  <c r="X170" i="5"/>
  <c r="X171" i="5"/>
  <c r="X172" i="5"/>
  <c r="X173" i="5"/>
  <c r="X174" i="5"/>
  <c r="X175" i="5"/>
  <c r="X176" i="5"/>
  <c r="X177" i="5"/>
  <c r="X178" i="5"/>
  <c r="X179" i="5"/>
  <c r="X180" i="5"/>
  <c r="X181" i="5"/>
  <c r="X182" i="5"/>
  <c r="X183" i="5"/>
  <c r="X184" i="5"/>
  <c r="X185" i="5"/>
  <c r="X186" i="5"/>
  <c r="X187" i="5"/>
  <c r="X188" i="5"/>
  <c r="X189" i="5"/>
  <c r="X190" i="5"/>
  <c r="X191" i="5"/>
  <c r="X192" i="5"/>
  <c r="X193" i="5"/>
  <c r="X194" i="5"/>
  <c r="X195" i="5"/>
  <c r="X196" i="5"/>
  <c r="X197" i="5"/>
  <c r="X198" i="5"/>
  <c r="X199" i="5"/>
  <c r="X200" i="5"/>
  <c r="X201" i="5"/>
  <c r="X202" i="5"/>
  <c r="X203" i="5"/>
  <c r="X204" i="5"/>
  <c r="X205" i="5"/>
  <c r="X206" i="5"/>
  <c r="X207" i="5"/>
  <c r="X208" i="5"/>
  <c r="X209" i="5"/>
  <c r="X210" i="5"/>
  <c r="X211" i="5"/>
  <c r="X212" i="5"/>
  <c r="X213" i="5"/>
  <c r="X214" i="5"/>
  <c r="X215" i="5"/>
  <c r="X216" i="5"/>
  <c r="X217" i="5"/>
  <c r="X218" i="5"/>
  <c r="X219" i="5"/>
  <c r="X220" i="5"/>
  <c r="X221" i="5"/>
  <c r="X222" i="5"/>
  <c r="X223" i="5"/>
  <c r="X224" i="5"/>
  <c r="X225" i="5"/>
  <c r="X226" i="5"/>
  <c r="X227" i="5"/>
  <c r="X228" i="5"/>
  <c r="X229" i="5"/>
  <c r="X230" i="5"/>
  <c r="X231" i="5"/>
  <c r="X232" i="5"/>
  <c r="X233" i="5"/>
  <c r="X234" i="5"/>
  <c r="X235" i="5"/>
  <c r="X236" i="5"/>
  <c r="X237" i="5"/>
  <c r="X238" i="5"/>
  <c r="X239" i="5"/>
  <c r="X240" i="5"/>
  <c r="X241" i="5"/>
  <c r="X242" i="5"/>
  <c r="X243" i="5"/>
  <c r="X244" i="5"/>
  <c r="X245" i="5"/>
  <c r="X246" i="5"/>
  <c r="X247" i="5"/>
  <c r="X248" i="5"/>
  <c r="X249" i="5"/>
  <c r="X250" i="5"/>
  <c r="X251" i="5"/>
  <c r="X252" i="5"/>
  <c r="X253" i="5"/>
  <c r="X254" i="5"/>
  <c r="X255" i="5"/>
  <c r="X256" i="5"/>
  <c r="X257" i="5"/>
  <c r="X258" i="5"/>
  <c r="X259" i="5"/>
  <c r="X260" i="5"/>
  <c r="X261" i="5"/>
  <c r="X262" i="5"/>
  <c r="X263" i="5"/>
  <c r="X264" i="5"/>
  <c r="X265" i="5"/>
  <c r="X266" i="5"/>
  <c r="X267" i="5"/>
  <c r="X268" i="5"/>
  <c r="X269" i="5"/>
  <c r="X270" i="5"/>
  <c r="X271" i="5"/>
  <c r="X272" i="5"/>
  <c r="X273" i="5"/>
  <c r="X274" i="5"/>
  <c r="X275" i="5"/>
  <c r="X276" i="5"/>
  <c r="X277" i="5"/>
  <c r="X278" i="5"/>
  <c r="X279" i="5"/>
  <c r="X280" i="5"/>
  <c r="X281" i="5"/>
  <c r="X282" i="5"/>
  <c r="X283" i="5"/>
  <c r="X284" i="5"/>
  <c r="X285" i="5"/>
  <c r="X286" i="5"/>
  <c r="X287" i="5"/>
  <c r="X288" i="5"/>
  <c r="X289" i="5"/>
  <c r="X290" i="5"/>
  <c r="X291" i="5"/>
  <c r="X292" i="5"/>
  <c r="X293" i="5"/>
  <c r="X294" i="5"/>
  <c r="X295" i="5"/>
  <c r="X296" i="5"/>
  <c r="X297" i="5"/>
  <c r="X298" i="5"/>
  <c r="X299" i="5"/>
  <c r="X300" i="5"/>
  <c r="X301" i="5"/>
  <c r="X302" i="5"/>
  <c r="X303" i="5"/>
  <c r="X304" i="5"/>
  <c r="X305" i="5"/>
  <c r="X306" i="5"/>
  <c r="X307" i="5"/>
  <c r="X308" i="5"/>
  <c r="X309" i="5"/>
  <c r="X310" i="5"/>
  <c r="X311" i="5"/>
  <c r="X312" i="5"/>
  <c r="X313" i="5"/>
  <c r="X314" i="5"/>
  <c r="X315" i="5"/>
  <c r="X316" i="5"/>
  <c r="X317" i="5"/>
  <c r="X318" i="5"/>
  <c r="X319" i="5"/>
  <c r="X320" i="5"/>
  <c r="X321" i="5"/>
  <c r="X322" i="5"/>
  <c r="X323" i="5"/>
  <c r="X324" i="5"/>
  <c r="X325" i="5"/>
  <c r="X326" i="5"/>
  <c r="X327" i="5"/>
  <c r="X328" i="5"/>
  <c r="X329" i="5"/>
  <c r="X330" i="5"/>
  <c r="X331" i="5"/>
  <c r="X332" i="5"/>
  <c r="X333" i="5"/>
  <c r="X334" i="5"/>
  <c r="X335" i="5"/>
  <c r="X336" i="5"/>
  <c r="X337" i="5"/>
  <c r="X338" i="5"/>
  <c r="X339" i="5"/>
  <c r="X340" i="5"/>
  <c r="X341" i="5"/>
  <c r="X342" i="5"/>
  <c r="X343" i="5"/>
  <c r="X344" i="5"/>
  <c r="X345" i="5"/>
  <c r="X346" i="5"/>
  <c r="X347" i="5"/>
  <c r="X348" i="5"/>
  <c r="X349" i="5"/>
  <c r="X350" i="5"/>
  <c r="X351" i="5"/>
  <c r="X352" i="5"/>
  <c r="X353" i="5"/>
  <c r="X354" i="5"/>
  <c r="X355" i="5"/>
  <c r="X356" i="5"/>
  <c r="X357" i="5"/>
  <c r="X358" i="5"/>
  <c r="X359" i="5"/>
  <c r="X360" i="5"/>
  <c r="X361" i="5"/>
  <c r="X362" i="5"/>
  <c r="X363" i="5"/>
  <c r="X364" i="5"/>
  <c r="X365" i="5"/>
  <c r="X366" i="5"/>
  <c r="X367" i="5"/>
  <c r="X368" i="5"/>
  <c r="X369" i="5"/>
  <c r="X370" i="5"/>
  <c r="X371" i="5"/>
  <c r="X372" i="5"/>
  <c r="X373" i="5"/>
  <c r="X374" i="5"/>
  <c r="X375" i="5"/>
  <c r="X376" i="5"/>
  <c r="X377" i="5"/>
  <c r="X378" i="5"/>
  <c r="X379" i="5"/>
  <c r="X380" i="5"/>
  <c r="X381" i="5"/>
  <c r="X382" i="5"/>
  <c r="X383" i="5"/>
  <c r="X384" i="5"/>
  <c r="X385" i="5"/>
  <c r="X386" i="5"/>
  <c r="X387" i="5"/>
  <c r="X388" i="5"/>
  <c r="X389" i="5"/>
  <c r="X390" i="5"/>
  <c r="X391" i="5"/>
  <c r="X392" i="5"/>
  <c r="X393" i="5"/>
  <c r="X394" i="5"/>
  <c r="X395" i="5"/>
  <c r="X396" i="5"/>
  <c r="X397" i="5"/>
  <c r="X398" i="5"/>
  <c r="X399" i="5"/>
  <c r="X400" i="5"/>
  <c r="X401" i="5"/>
  <c r="X402" i="5"/>
  <c r="X403" i="5"/>
  <c r="X404" i="5"/>
  <c r="X405" i="5"/>
  <c r="X406" i="5"/>
  <c r="X407" i="5"/>
  <c r="X408" i="5"/>
  <c r="X409" i="5"/>
  <c r="X410" i="5"/>
  <c r="X411" i="5"/>
  <c r="X412" i="5"/>
  <c r="X413" i="5"/>
  <c r="X414" i="5"/>
  <c r="X415" i="5"/>
  <c r="X416" i="5"/>
  <c r="X417" i="5"/>
  <c r="X418" i="5"/>
  <c r="X419" i="5"/>
  <c r="X420" i="5"/>
  <c r="X421" i="5"/>
  <c r="X422" i="5"/>
  <c r="X423" i="5"/>
  <c r="X424" i="5"/>
  <c r="X425" i="5"/>
  <c r="X426" i="5"/>
  <c r="X427" i="5"/>
  <c r="X428" i="5"/>
  <c r="X429" i="5"/>
  <c r="X430" i="5"/>
  <c r="X431" i="5"/>
  <c r="X432" i="5"/>
  <c r="X433" i="5"/>
  <c r="X434" i="5"/>
  <c r="X435" i="5"/>
  <c r="X436" i="5"/>
  <c r="X437" i="5"/>
  <c r="X438" i="5"/>
  <c r="X439" i="5"/>
  <c r="X440" i="5"/>
  <c r="X441" i="5"/>
  <c r="X442" i="5"/>
  <c r="X443" i="5"/>
  <c r="X444" i="5"/>
  <c r="X445" i="5"/>
  <c r="X446" i="5"/>
  <c r="X447" i="5"/>
  <c r="X448" i="5"/>
  <c r="X449" i="5"/>
  <c r="X450" i="5"/>
  <c r="X451" i="5"/>
  <c r="X452" i="5"/>
  <c r="X453" i="5"/>
  <c r="X454" i="5"/>
  <c r="X455" i="5"/>
  <c r="X456" i="5"/>
  <c r="X457" i="5"/>
  <c r="X458" i="5"/>
  <c r="X459" i="5"/>
  <c r="X460" i="5"/>
  <c r="X461" i="5"/>
  <c r="X462" i="5"/>
  <c r="X463" i="5"/>
  <c r="X464" i="5"/>
  <c r="X465" i="5"/>
  <c r="X466" i="5"/>
  <c r="X467" i="5"/>
  <c r="X468" i="5"/>
  <c r="X469" i="5"/>
  <c r="X470" i="5"/>
  <c r="X471" i="5"/>
  <c r="X472" i="5"/>
  <c r="X473" i="5"/>
  <c r="X474" i="5"/>
  <c r="X475" i="5"/>
  <c r="X476" i="5"/>
  <c r="X477" i="5"/>
  <c r="X478" i="5"/>
  <c r="X479" i="5"/>
  <c r="X480" i="5"/>
  <c r="X481" i="5"/>
  <c r="X482" i="5"/>
  <c r="X483" i="5"/>
  <c r="X484" i="5"/>
  <c r="X485" i="5"/>
  <c r="X486" i="5"/>
  <c r="X487" i="5"/>
  <c r="X488" i="5"/>
  <c r="X489" i="5"/>
  <c r="X490" i="5"/>
  <c r="X491" i="5"/>
  <c r="X492" i="5"/>
  <c r="X493" i="5"/>
  <c r="X494" i="5"/>
  <c r="X495" i="5"/>
  <c r="X496" i="5"/>
  <c r="X497" i="5"/>
  <c r="X498" i="5"/>
  <c r="X499" i="5"/>
  <c r="X500" i="5"/>
  <c r="X501" i="5"/>
  <c r="X502" i="5"/>
  <c r="X3" i="5"/>
  <c r="M4" i="5" a="1"/>
  <c r="M4" i="5" s="1"/>
  <c r="M5" i="5" a="1"/>
  <c r="M5" i="5" s="1"/>
  <c r="M6" i="5" a="1"/>
  <c r="M6" i="5" s="1"/>
  <c r="M7" i="5" a="1"/>
  <c r="M7" i="5" s="1"/>
  <c r="M8" i="5" a="1"/>
  <c r="M8" i="5" s="1"/>
  <c r="M9" i="5" a="1"/>
  <c r="M9" i="5" s="1"/>
  <c r="M10" i="5" a="1"/>
  <c r="M10" i="5" s="1"/>
  <c r="M11" i="5" a="1"/>
  <c r="M11" i="5" s="1"/>
  <c r="M12" i="5" a="1"/>
  <c r="M12" i="5" s="1"/>
  <c r="M13" i="5" a="1"/>
  <c r="M13" i="5" s="1"/>
  <c r="M14" i="5" a="1"/>
  <c r="M14" i="5" s="1"/>
  <c r="M15" i="5" a="1"/>
  <c r="M15" i="5" s="1"/>
  <c r="M16" i="5" a="1"/>
  <c r="M16" i="5" s="1"/>
  <c r="M17" i="5" a="1"/>
  <c r="M17" i="5" s="1"/>
  <c r="M18" i="5" a="1"/>
  <c r="M18" i="5" s="1"/>
  <c r="M19" i="5" a="1"/>
  <c r="M19" i="5" s="1"/>
  <c r="M20" i="5" a="1"/>
  <c r="M20" i="5"/>
  <c r="M21" i="5" a="1"/>
  <c r="M21" i="5"/>
  <c r="M22" i="5" a="1"/>
  <c r="M22" i="5" s="1"/>
  <c r="M23" i="5" a="1"/>
  <c r="M23" i="5" s="1"/>
  <c r="M24" i="5" a="1"/>
  <c r="M24" i="5" s="1"/>
  <c r="M25" i="5" a="1"/>
  <c r="M25" i="5" s="1"/>
  <c r="M26" i="5" a="1"/>
  <c r="M26" i="5"/>
  <c r="M27" i="5" a="1"/>
  <c r="M27" i="5" s="1"/>
  <c r="M28" i="5" a="1"/>
  <c r="M28" i="5" s="1"/>
  <c r="M29" i="5" a="1"/>
  <c r="M29" i="5" s="1"/>
  <c r="M30" i="5" a="1"/>
  <c r="M30" i="5"/>
  <c r="M31" i="5" a="1"/>
  <c r="M31" i="5" s="1"/>
  <c r="M32" i="5" a="1"/>
  <c r="M32" i="5" s="1"/>
  <c r="M33" i="5" a="1"/>
  <c r="M33" i="5" s="1"/>
  <c r="M34" i="5" a="1"/>
  <c r="M34" i="5" s="1"/>
  <c r="M35" i="5" a="1"/>
  <c r="M35" i="5" s="1"/>
  <c r="M36" i="5" a="1"/>
  <c r="M36" i="5" s="1"/>
  <c r="M37" i="5" a="1"/>
  <c r="M37" i="5" s="1"/>
  <c r="M38" i="5" a="1"/>
  <c r="M38" i="5" s="1"/>
  <c r="M39" i="5" a="1"/>
  <c r="M39" i="5" s="1"/>
  <c r="M40" i="5" a="1"/>
  <c r="M40" i="5" s="1"/>
  <c r="M41" i="5" a="1"/>
  <c r="M41" i="5" s="1"/>
  <c r="M42" i="5" a="1"/>
  <c r="M42" i="5" s="1"/>
  <c r="M43" i="5" a="1"/>
  <c r="M43" i="5" s="1"/>
  <c r="M44" i="5" a="1"/>
  <c r="M44" i="5" s="1"/>
  <c r="M45" i="5" a="1"/>
  <c r="M45" i="5" s="1"/>
  <c r="M46" i="5" a="1"/>
  <c r="M46" i="5" s="1"/>
  <c r="M47" i="5" a="1"/>
  <c r="M47" i="5" s="1"/>
  <c r="M48" i="5" a="1"/>
  <c r="M48" i="5"/>
  <c r="M49" i="5" a="1"/>
  <c r="M49" i="5" s="1"/>
  <c r="M50" i="5" a="1"/>
  <c r="M50" i="5" s="1"/>
  <c r="M51" i="5" a="1"/>
  <c r="M51" i="5" s="1"/>
  <c r="M52" i="5" a="1"/>
  <c r="M52" i="5" s="1"/>
  <c r="M53" i="5" a="1"/>
  <c r="M53" i="5" s="1"/>
  <c r="M54" i="5" a="1"/>
  <c r="M54" i="5" s="1"/>
  <c r="M55" i="5" a="1"/>
  <c r="M55" i="5" s="1"/>
  <c r="M56" i="5" a="1"/>
  <c r="M56" i="5" s="1"/>
  <c r="M57" i="5" a="1"/>
  <c r="M57" i="5" s="1"/>
  <c r="M58" i="5" a="1"/>
  <c r="M58" i="5" s="1"/>
  <c r="M59" i="5" a="1"/>
  <c r="M59" i="5" s="1"/>
  <c r="M60" i="5" a="1"/>
  <c r="M60" i="5" s="1"/>
  <c r="M61" i="5" a="1"/>
  <c r="M61" i="5" s="1"/>
  <c r="M62" i="5" a="1"/>
  <c r="M62" i="5" s="1"/>
  <c r="M63" i="5" a="1"/>
  <c r="M63" i="5" s="1"/>
  <c r="M64" i="5" a="1"/>
  <c r="M64" i="5" s="1"/>
  <c r="M65" i="5" a="1"/>
  <c r="M65" i="5" s="1"/>
  <c r="M66" i="5" a="1"/>
  <c r="M66" i="5"/>
  <c r="M67" i="5" a="1"/>
  <c r="M67" i="5" s="1"/>
  <c r="M68" i="5" a="1"/>
  <c r="M68" i="5" s="1"/>
  <c r="M69" i="5" a="1"/>
  <c r="M69" i="5" s="1"/>
  <c r="M70" i="5" a="1"/>
  <c r="M70" i="5" s="1"/>
  <c r="M71" i="5" a="1"/>
  <c r="M71" i="5" s="1"/>
  <c r="M72" i="5" a="1"/>
  <c r="M72" i="5" s="1"/>
  <c r="M73" i="5" a="1"/>
  <c r="M73" i="5" s="1"/>
  <c r="M74" i="5" a="1"/>
  <c r="M74" i="5" s="1"/>
  <c r="M75" i="5" a="1"/>
  <c r="M75" i="5" s="1"/>
  <c r="M76" i="5" a="1"/>
  <c r="M76" i="5" s="1"/>
  <c r="M77" i="5" a="1"/>
  <c r="M77" i="5" s="1"/>
  <c r="M78" i="5" a="1"/>
  <c r="M78" i="5" s="1"/>
  <c r="M79" i="5" a="1"/>
  <c r="M79" i="5" s="1"/>
  <c r="M80" i="5" a="1"/>
  <c r="M80" i="5" s="1"/>
  <c r="M81" i="5" a="1"/>
  <c r="M81" i="5" s="1"/>
  <c r="M82" i="5" a="1"/>
  <c r="M82" i="5" s="1"/>
  <c r="M83" i="5" a="1"/>
  <c r="M83" i="5" s="1"/>
  <c r="M84" i="5" a="1"/>
  <c r="M84" i="5"/>
  <c r="M85" i="5" a="1"/>
  <c r="M85" i="5" s="1"/>
  <c r="M86" i="5" a="1"/>
  <c r="M86" i="5" s="1"/>
  <c r="M87" i="5" a="1"/>
  <c r="M87" i="5" s="1"/>
  <c r="M88" i="5" a="1"/>
  <c r="M88" i="5" s="1"/>
  <c r="M89" i="5" a="1"/>
  <c r="M89" i="5" s="1"/>
  <c r="M90" i="5" a="1"/>
  <c r="M90" i="5" s="1"/>
  <c r="M91" i="5" a="1"/>
  <c r="M91" i="5" s="1"/>
  <c r="M92" i="5" a="1"/>
  <c r="M92" i="5" s="1"/>
  <c r="M93" i="5" a="1"/>
  <c r="M93" i="5" s="1"/>
  <c r="M94" i="5" a="1"/>
  <c r="M94" i="5" s="1"/>
  <c r="M95" i="5" a="1"/>
  <c r="M95" i="5" s="1"/>
  <c r="M96" i="5" a="1"/>
  <c r="M96" i="5" s="1"/>
  <c r="M97" i="5" a="1"/>
  <c r="M97" i="5" s="1"/>
  <c r="M98" i="5" a="1"/>
  <c r="M98" i="5" s="1"/>
  <c r="M99" i="5" a="1"/>
  <c r="M99" i="5" s="1"/>
  <c r="M100" i="5" a="1"/>
  <c r="M100" i="5" s="1"/>
  <c r="M101" i="5" a="1"/>
  <c r="M101" i="5" s="1"/>
  <c r="M102" i="5" a="1"/>
  <c r="M102" i="5"/>
  <c r="M103" i="5" a="1"/>
  <c r="M103" i="5" s="1"/>
  <c r="M104" i="5" a="1"/>
  <c r="M104" i="5" s="1"/>
  <c r="M105" i="5" a="1"/>
  <c r="M105" i="5" s="1"/>
  <c r="M106" i="5" a="1"/>
  <c r="M106" i="5" s="1"/>
  <c r="M107" i="5" a="1"/>
  <c r="M107" i="5" s="1"/>
  <c r="M108" i="5" a="1"/>
  <c r="M108" i="5" s="1"/>
  <c r="M109" i="5" a="1"/>
  <c r="M109" i="5" s="1"/>
  <c r="M110" i="5" a="1"/>
  <c r="M110" i="5" s="1"/>
  <c r="M111" i="5" a="1"/>
  <c r="M111" i="5" s="1"/>
  <c r="M112" i="5" a="1"/>
  <c r="M112" i="5" s="1"/>
  <c r="M113" i="5" a="1"/>
  <c r="M113" i="5" s="1"/>
  <c r="M114" i="5" a="1"/>
  <c r="M114" i="5" s="1"/>
  <c r="M115" i="5" a="1"/>
  <c r="M115" i="5" s="1"/>
  <c r="M116" i="5" a="1"/>
  <c r="M116" i="5" s="1"/>
  <c r="M117" i="5" a="1"/>
  <c r="M117" i="5" s="1"/>
  <c r="M118" i="5" a="1"/>
  <c r="M118" i="5" s="1"/>
  <c r="M119" i="5" a="1"/>
  <c r="M119" i="5" s="1"/>
  <c r="M120" i="5" a="1"/>
  <c r="M120" i="5"/>
  <c r="M121" i="5" a="1"/>
  <c r="M121" i="5" s="1"/>
  <c r="M122" i="5" a="1"/>
  <c r="M122" i="5" s="1"/>
  <c r="M123" i="5" a="1"/>
  <c r="M123" i="5" s="1"/>
  <c r="M124" i="5" a="1"/>
  <c r="M124" i="5" s="1"/>
  <c r="M125" i="5" a="1"/>
  <c r="M125" i="5" s="1"/>
  <c r="M126" i="5" a="1"/>
  <c r="M126" i="5" s="1"/>
  <c r="M127" i="5" a="1"/>
  <c r="M127" i="5" s="1"/>
  <c r="M128" i="5" a="1"/>
  <c r="M128" i="5" s="1"/>
  <c r="M129" i="5" a="1"/>
  <c r="M129" i="5" s="1"/>
  <c r="M130" i="5" a="1"/>
  <c r="M130" i="5" s="1"/>
  <c r="M131" i="5" a="1"/>
  <c r="M131" i="5" s="1"/>
  <c r="M132" i="5" a="1"/>
  <c r="M132" i="5" s="1"/>
  <c r="M133" i="5" a="1"/>
  <c r="M133" i="5" s="1"/>
  <c r="M134" i="5" a="1"/>
  <c r="M134" i="5" s="1"/>
  <c r="M135" i="5" a="1"/>
  <c r="M135" i="5" s="1"/>
  <c r="M136" i="5" a="1"/>
  <c r="M136" i="5" s="1"/>
  <c r="M137" i="5" a="1"/>
  <c r="M137" i="5" s="1"/>
  <c r="M138" i="5" a="1"/>
  <c r="M138" i="5" s="1"/>
  <c r="M139" i="5" a="1"/>
  <c r="M139" i="5" s="1"/>
  <c r="M140" i="5" a="1"/>
  <c r="M140" i="5" s="1"/>
  <c r="M141" i="5" a="1"/>
  <c r="M141" i="5" s="1"/>
  <c r="M142" i="5" a="1"/>
  <c r="M142" i="5" s="1"/>
  <c r="M143" i="5" a="1"/>
  <c r="M143" i="5" s="1"/>
  <c r="M144" i="5" a="1"/>
  <c r="M144" i="5" s="1"/>
  <c r="M145" i="5" a="1"/>
  <c r="M145" i="5" s="1"/>
  <c r="M146" i="5" a="1"/>
  <c r="M146" i="5" s="1"/>
  <c r="M147" i="5" a="1"/>
  <c r="M147" i="5"/>
  <c r="M148" i="5" a="1"/>
  <c r="M148" i="5" s="1"/>
  <c r="M149" i="5" a="1"/>
  <c r="M149" i="5" s="1"/>
  <c r="M150" i="5" a="1"/>
  <c r="M150" i="5" s="1"/>
  <c r="M151" i="5" a="1"/>
  <c r="M151" i="5" s="1"/>
  <c r="M152" i="5" a="1"/>
  <c r="M152" i="5" s="1"/>
  <c r="M153" i="5" a="1"/>
  <c r="M153" i="5" s="1"/>
  <c r="M154" i="5" a="1"/>
  <c r="M154" i="5" s="1"/>
  <c r="M155" i="5" a="1"/>
  <c r="M155" i="5" s="1"/>
  <c r="M156" i="5" a="1"/>
  <c r="M156" i="5"/>
  <c r="M157" i="5" a="1"/>
  <c r="M157" i="5" s="1"/>
  <c r="M158" i="5" a="1"/>
  <c r="M158" i="5" s="1"/>
  <c r="M159" i="5" a="1"/>
  <c r="M159" i="5" s="1"/>
  <c r="M160" i="5" a="1"/>
  <c r="M160" i="5" s="1"/>
  <c r="M161" i="5" a="1"/>
  <c r="M161" i="5" s="1"/>
  <c r="M162" i="5" a="1"/>
  <c r="M162" i="5" s="1"/>
  <c r="M163" i="5" a="1"/>
  <c r="M163" i="5" s="1"/>
  <c r="M164" i="5" a="1"/>
  <c r="M164" i="5" s="1"/>
  <c r="M165" i="5" a="1"/>
  <c r="M165" i="5" s="1"/>
  <c r="M166" i="5" a="1"/>
  <c r="M166" i="5" s="1"/>
  <c r="M167" i="5" a="1"/>
  <c r="M167" i="5" s="1"/>
  <c r="M168" i="5" a="1"/>
  <c r="M168" i="5" s="1"/>
  <c r="M169" i="5" a="1"/>
  <c r="M169" i="5" s="1"/>
  <c r="M170" i="5" a="1"/>
  <c r="M170" i="5" s="1"/>
  <c r="M171" i="5" a="1"/>
  <c r="M171" i="5" s="1"/>
  <c r="M172" i="5" a="1"/>
  <c r="M172" i="5" s="1"/>
  <c r="M173" i="5" a="1"/>
  <c r="M173" i="5" s="1"/>
  <c r="M174" i="5" a="1"/>
  <c r="M174" i="5"/>
  <c r="M175" i="5" a="1"/>
  <c r="M175" i="5" s="1"/>
  <c r="M176" i="5" a="1"/>
  <c r="M176" i="5" s="1"/>
  <c r="M177" i="5" a="1"/>
  <c r="M177" i="5" s="1"/>
  <c r="M178" i="5" a="1"/>
  <c r="M178" i="5" s="1"/>
  <c r="M179" i="5" a="1"/>
  <c r="M179" i="5" s="1"/>
  <c r="M180" i="5" a="1"/>
  <c r="M180" i="5" s="1"/>
  <c r="M181" i="5" a="1"/>
  <c r="M181" i="5" s="1"/>
  <c r="M182" i="5" a="1"/>
  <c r="M182" i="5" s="1"/>
  <c r="M183" i="5" a="1"/>
  <c r="M183" i="5" s="1"/>
  <c r="M184" i="5" a="1"/>
  <c r="M184" i="5" s="1"/>
  <c r="M185" i="5" a="1"/>
  <c r="M185" i="5" s="1"/>
  <c r="M186" i="5" a="1"/>
  <c r="M186" i="5" s="1"/>
  <c r="M187" i="5" a="1"/>
  <c r="M187" i="5" s="1"/>
  <c r="M188" i="5" a="1"/>
  <c r="M188" i="5" s="1"/>
  <c r="M189" i="5" a="1"/>
  <c r="M189" i="5" s="1"/>
  <c r="M190" i="5" a="1"/>
  <c r="M190" i="5" s="1"/>
  <c r="M191" i="5" a="1"/>
  <c r="M191" i="5" s="1"/>
  <c r="M192" i="5" a="1"/>
  <c r="M192" i="5" s="1"/>
  <c r="M193" i="5" a="1"/>
  <c r="M193" i="5" s="1"/>
  <c r="M194" i="5" a="1"/>
  <c r="M194" i="5" s="1"/>
  <c r="M195" i="5" a="1"/>
  <c r="M195" i="5" s="1"/>
  <c r="M196" i="5" a="1"/>
  <c r="M196" i="5" s="1"/>
  <c r="M197" i="5" a="1"/>
  <c r="M197" i="5" s="1"/>
  <c r="M198" i="5" a="1"/>
  <c r="M198" i="5" s="1"/>
  <c r="M199" i="5" a="1"/>
  <c r="M199" i="5" s="1"/>
  <c r="M200" i="5" a="1"/>
  <c r="M200" i="5" s="1"/>
  <c r="M201" i="5" a="1"/>
  <c r="M201" i="5"/>
  <c r="M202" i="5" a="1"/>
  <c r="M202" i="5" s="1"/>
  <c r="M203" i="5" a="1"/>
  <c r="M203" i="5" s="1"/>
  <c r="M204" i="5" a="1"/>
  <c r="M204" i="5" s="1"/>
  <c r="M205" i="5" a="1"/>
  <c r="M205" i="5" s="1"/>
  <c r="M206" i="5" a="1"/>
  <c r="M206" i="5" s="1"/>
  <c r="M207" i="5" a="1"/>
  <c r="M207" i="5" s="1"/>
  <c r="M208" i="5" a="1"/>
  <c r="M208" i="5" s="1"/>
  <c r="M209" i="5" a="1"/>
  <c r="M209" i="5" s="1"/>
  <c r="M210" i="5" a="1"/>
  <c r="M210" i="5"/>
  <c r="M211" i="5" a="1"/>
  <c r="M211" i="5" s="1"/>
  <c r="M212" i="5" a="1"/>
  <c r="M212" i="5" s="1"/>
  <c r="M213" i="5" a="1"/>
  <c r="M213" i="5" s="1"/>
  <c r="M214" i="5" a="1"/>
  <c r="M214" i="5" s="1"/>
  <c r="M215" i="5" a="1"/>
  <c r="M215" i="5" s="1"/>
  <c r="M216" i="5" a="1"/>
  <c r="M216" i="5" s="1"/>
  <c r="M217" i="5" a="1"/>
  <c r="M217" i="5" s="1"/>
  <c r="M218" i="5" a="1"/>
  <c r="M218" i="5" s="1"/>
  <c r="M219" i="5" a="1"/>
  <c r="M219" i="5" s="1"/>
  <c r="M220" i="5" a="1"/>
  <c r="M220" i="5" s="1"/>
  <c r="M221" i="5" a="1"/>
  <c r="M221" i="5" s="1"/>
  <c r="M222" i="5" a="1"/>
  <c r="M222" i="5" s="1"/>
  <c r="M223" i="5" a="1"/>
  <c r="M223" i="5" s="1"/>
  <c r="M224" i="5" a="1"/>
  <c r="M224" i="5" s="1"/>
  <c r="M225" i="5" a="1"/>
  <c r="M225" i="5" s="1"/>
  <c r="M226" i="5" a="1"/>
  <c r="M226" i="5" s="1"/>
  <c r="M227" i="5" a="1"/>
  <c r="M227" i="5" s="1"/>
  <c r="M228" i="5" a="1"/>
  <c r="M228" i="5" s="1"/>
  <c r="M229" i="5" a="1"/>
  <c r="M229" i="5" s="1"/>
  <c r="M230" i="5" a="1"/>
  <c r="M230" i="5" s="1"/>
  <c r="M231" i="5" a="1"/>
  <c r="M231" i="5" s="1"/>
  <c r="M232" i="5" a="1"/>
  <c r="M232" i="5" s="1"/>
  <c r="M233" i="5" a="1"/>
  <c r="M233" i="5" s="1"/>
  <c r="M234" i="5" a="1"/>
  <c r="M234" i="5" s="1"/>
  <c r="M235" i="5" a="1"/>
  <c r="M235" i="5" s="1"/>
  <c r="M236" i="5" a="1"/>
  <c r="M236" i="5" s="1"/>
  <c r="M237" i="5" a="1"/>
  <c r="M237" i="5" s="1"/>
  <c r="M238" i="5" a="1"/>
  <c r="M238" i="5" s="1"/>
  <c r="M239" i="5" a="1"/>
  <c r="M239" i="5" s="1"/>
  <c r="M240" i="5" a="1"/>
  <c r="M240" i="5" s="1"/>
  <c r="M241" i="5" a="1"/>
  <c r="M241" i="5" s="1"/>
  <c r="M242" i="5" a="1"/>
  <c r="M242" i="5" s="1"/>
  <c r="M243" i="5" a="1"/>
  <c r="M243" i="5" s="1"/>
  <c r="M244" i="5" a="1"/>
  <c r="M244" i="5" s="1"/>
  <c r="M245" i="5" a="1"/>
  <c r="M245" i="5" s="1"/>
  <c r="M246" i="5" a="1"/>
  <c r="M246" i="5"/>
  <c r="M247" i="5" a="1"/>
  <c r="M247" i="5" s="1"/>
  <c r="M248" i="5" a="1"/>
  <c r="M248" i="5" s="1"/>
  <c r="M249" i="5" a="1"/>
  <c r="M249" i="5" s="1"/>
  <c r="M250" i="5" a="1"/>
  <c r="M250" i="5" s="1"/>
  <c r="M251" i="5" a="1"/>
  <c r="M251" i="5" s="1"/>
  <c r="M252" i="5" a="1"/>
  <c r="M252" i="5" s="1"/>
  <c r="M253" i="5" a="1"/>
  <c r="M253" i="5" s="1"/>
  <c r="M254" i="5" a="1"/>
  <c r="M254" i="5" s="1"/>
  <c r="M255" i="5" a="1"/>
  <c r="M255" i="5"/>
  <c r="M256" i="5" a="1"/>
  <c r="M256" i="5" s="1"/>
  <c r="M257" i="5" a="1"/>
  <c r="M257" i="5" s="1"/>
  <c r="M258" i="5" a="1"/>
  <c r="M258" i="5" s="1"/>
  <c r="M259" i="5" a="1"/>
  <c r="M259" i="5" s="1"/>
  <c r="M260" i="5" a="1"/>
  <c r="M260" i="5" s="1"/>
  <c r="M261" i="5" a="1"/>
  <c r="M261" i="5" s="1"/>
  <c r="M262" i="5" a="1"/>
  <c r="M262" i="5" s="1"/>
  <c r="M263" i="5" a="1"/>
  <c r="M263" i="5" s="1"/>
  <c r="M264" i="5" a="1"/>
  <c r="M264" i="5"/>
  <c r="M265" i="5" a="1"/>
  <c r="M265" i="5" s="1"/>
  <c r="M266" i="5" a="1"/>
  <c r="M266" i="5" s="1"/>
  <c r="M267" i="5" a="1"/>
  <c r="M267" i="5" s="1"/>
  <c r="M268" i="5" a="1"/>
  <c r="M268" i="5" s="1"/>
  <c r="M269" i="5" a="1"/>
  <c r="M269" i="5" s="1"/>
  <c r="M270" i="5" a="1"/>
  <c r="M270" i="5" s="1"/>
  <c r="M271" i="5" a="1"/>
  <c r="M271" i="5" s="1"/>
  <c r="M272" i="5" a="1"/>
  <c r="M272" i="5" s="1"/>
  <c r="M273" i="5" a="1"/>
  <c r="M273" i="5" s="1"/>
  <c r="M274" i="5" a="1"/>
  <c r="M274" i="5" s="1"/>
  <c r="M275" i="5" a="1"/>
  <c r="M275" i="5" s="1"/>
  <c r="M276" i="5" a="1"/>
  <c r="M276" i="5" s="1"/>
  <c r="M277" i="5" a="1"/>
  <c r="M277" i="5" s="1"/>
  <c r="M278" i="5" a="1"/>
  <c r="M278" i="5" s="1"/>
  <c r="M279" i="5" a="1"/>
  <c r="M279" i="5" s="1"/>
  <c r="M280" i="5" a="1"/>
  <c r="M280" i="5" s="1"/>
  <c r="M281" i="5" a="1"/>
  <c r="M281" i="5" s="1"/>
  <c r="M282" i="5" a="1"/>
  <c r="M282" i="5"/>
  <c r="M283" i="5" a="1"/>
  <c r="M283" i="5" s="1"/>
  <c r="M284" i="5" a="1"/>
  <c r="M284" i="5" s="1"/>
  <c r="M285" i="5" a="1"/>
  <c r="M285" i="5" s="1"/>
  <c r="M286" i="5" a="1"/>
  <c r="M286" i="5" s="1"/>
  <c r="M287" i="5" a="1"/>
  <c r="M287" i="5" s="1"/>
  <c r="M288" i="5" a="1"/>
  <c r="M288" i="5" s="1"/>
  <c r="M289" i="5" a="1"/>
  <c r="M289" i="5" s="1"/>
  <c r="M290" i="5" a="1"/>
  <c r="M290" i="5" s="1"/>
  <c r="M291" i="5" a="1"/>
  <c r="M291" i="5" s="1"/>
  <c r="M292" i="5" a="1"/>
  <c r="M292" i="5" s="1"/>
  <c r="M293" i="5" a="1"/>
  <c r="M293" i="5" s="1"/>
  <c r="M294" i="5" a="1"/>
  <c r="M294" i="5" s="1"/>
  <c r="M295" i="5" a="1"/>
  <c r="M295" i="5" s="1"/>
  <c r="M296" i="5" a="1"/>
  <c r="M296" i="5" s="1"/>
  <c r="M297" i="5" a="1"/>
  <c r="M297" i="5" s="1"/>
  <c r="M298" i="5" a="1"/>
  <c r="M298" i="5" s="1"/>
  <c r="M299" i="5" a="1"/>
  <c r="M299" i="5" s="1"/>
  <c r="M300" i="5" a="1"/>
  <c r="M300" i="5" s="1"/>
  <c r="M301" i="5" a="1"/>
  <c r="M301" i="5" s="1"/>
  <c r="M302" i="5" a="1"/>
  <c r="M302" i="5" s="1"/>
  <c r="M303" i="5" a="1"/>
  <c r="M303" i="5" s="1"/>
  <c r="M304" i="5" a="1"/>
  <c r="M304" i="5" s="1"/>
  <c r="M305" i="5" a="1"/>
  <c r="M305" i="5" s="1"/>
  <c r="M306" i="5" a="1"/>
  <c r="M306" i="5" s="1"/>
  <c r="M307" i="5" a="1"/>
  <c r="M307" i="5" s="1"/>
  <c r="M308" i="5" a="1"/>
  <c r="M308" i="5" s="1"/>
  <c r="M309" i="5" a="1"/>
  <c r="M309" i="5"/>
  <c r="M310" i="5" a="1"/>
  <c r="M310" i="5" s="1"/>
  <c r="M311" i="5" a="1"/>
  <c r="M311" i="5" s="1"/>
  <c r="M312" i="5" a="1"/>
  <c r="M312" i="5" s="1"/>
  <c r="M313" i="5" a="1"/>
  <c r="M313" i="5" s="1"/>
  <c r="M314" i="5" a="1"/>
  <c r="M314" i="5" s="1"/>
  <c r="M315" i="5" a="1"/>
  <c r="M315" i="5" s="1"/>
  <c r="M316" i="5" a="1"/>
  <c r="M316" i="5" s="1"/>
  <c r="M317" i="5" a="1"/>
  <c r="M317" i="5" s="1"/>
  <c r="M318" i="5" a="1"/>
  <c r="M318" i="5" s="1"/>
  <c r="M319" i="5" a="1"/>
  <c r="M319" i="5" s="1"/>
  <c r="M320" i="5" a="1"/>
  <c r="M320" i="5" s="1"/>
  <c r="M321" i="5" a="1"/>
  <c r="M321" i="5" s="1"/>
  <c r="M322" i="5" a="1"/>
  <c r="M322" i="5" s="1"/>
  <c r="M323" i="5" a="1"/>
  <c r="M323" i="5" s="1"/>
  <c r="M324" i="5" a="1"/>
  <c r="M324" i="5" s="1"/>
  <c r="M325" i="5" a="1"/>
  <c r="M325" i="5" s="1"/>
  <c r="M326" i="5" a="1"/>
  <c r="M326" i="5" s="1"/>
  <c r="M327" i="5" a="1"/>
  <c r="M327" i="5" s="1"/>
  <c r="M328" i="5" a="1"/>
  <c r="M328" i="5" s="1"/>
  <c r="M329" i="5" a="1"/>
  <c r="M329" i="5" s="1"/>
  <c r="M330" i="5" a="1"/>
  <c r="M330" i="5" s="1"/>
  <c r="M331" i="5" a="1"/>
  <c r="M331" i="5" s="1"/>
  <c r="M332" i="5" a="1"/>
  <c r="M332" i="5" s="1"/>
  <c r="M333" i="5" a="1"/>
  <c r="M333" i="5" s="1"/>
  <c r="M334" i="5" a="1"/>
  <c r="M334" i="5" s="1"/>
  <c r="M335" i="5" a="1"/>
  <c r="M335" i="5" s="1"/>
  <c r="M336" i="5" a="1"/>
  <c r="M336" i="5"/>
  <c r="M337" i="5" a="1"/>
  <c r="M337" i="5" s="1"/>
  <c r="M338" i="5" a="1"/>
  <c r="M338" i="5" s="1"/>
  <c r="M339" i="5" a="1"/>
  <c r="M339" i="5" s="1"/>
  <c r="M340" i="5" a="1"/>
  <c r="M340" i="5" s="1"/>
  <c r="M341" i="5" a="1"/>
  <c r="M341" i="5" s="1"/>
  <c r="M342" i="5" a="1"/>
  <c r="M342" i="5" s="1"/>
  <c r="M343" i="5" a="1"/>
  <c r="M343" i="5" s="1"/>
  <c r="M344" i="5" a="1"/>
  <c r="M344" i="5" s="1"/>
  <c r="M345" i="5" a="1"/>
  <c r="M345" i="5" s="1"/>
  <c r="M346" i="5" a="1"/>
  <c r="M346" i="5" s="1"/>
  <c r="M347" i="5" a="1"/>
  <c r="M347" i="5" s="1"/>
  <c r="M348" i="5" a="1"/>
  <c r="M348" i="5" s="1"/>
  <c r="M349" i="5" a="1"/>
  <c r="M349" i="5" s="1"/>
  <c r="M350" i="5" a="1"/>
  <c r="M350" i="5" s="1"/>
  <c r="M351" i="5" a="1"/>
  <c r="M351" i="5" s="1"/>
  <c r="M352" i="5" a="1"/>
  <c r="M352" i="5" s="1"/>
  <c r="M353" i="5" a="1"/>
  <c r="M353" i="5" s="1"/>
  <c r="M354" i="5" a="1"/>
  <c r="M354" i="5" s="1"/>
  <c r="M355" i="5" a="1"/>
  <c r="M355" i="5" s="1"/>
  <c r="M356" i="5" a="1"/>
  <c r="M356" i="5" s="1"/>
  <c r="M357" i="5" a="1"/>
  <c r="M357" i="5" s="1"/>
  <c r="M358" i="5" a="1"/>
  <c r="M358" i="5" s="1"/>
  <c r="M359" i="5" a="1"/>
  <c r="M359" i="5" s="1"/>
  <c r="M360" i="5" a="1"/>
  <c r="M360" i="5" s="1"/>
  <c r="M361" i="5" a="1"/>
  <c r="M361" i="5" s="1"/>
  <c r="M362" i="5" a="1"/>
  <c r="M362" i="5" s="1"/>
  <c r="M363" i="5" a="1"/>
  <c r="M363" i="5"/>
  <c r="M364" i="5" a="1"/>
  <c r="M364" i="5" s="1"/>
  <c r="M365" i="5" a="1"/>
  <c r="M365" i="5" s="1"/>
  <c r="M366" i="5" a="1"/>
  <c r="M366" i="5" s="1"/>
  <c r="M367" i="5" a="1"/>
  <c r="M367" i="5" s="1"/>
  <c r="M368" i="5" a="1"/>
  <c r="M368" i="5" s="1"/>
  <c r="M369" i="5" a="1"/>
  <c r="M369" i="5" s="1"/>
  <c r="M370" i="5" a="1"/>
  <c r="M370" i="5" s="1"/>
  <c r="M371" i="5" a="1"/>
  <c r="M371" i="5" s="1"/>
  <c r="M372" i="5" a="1"/>
  <c r="M372" i="5"/>
  <c r="M373" i="5" a="1"/>
  <c r="M373" i="5" s="1"/>
  <c r="M374" i="5" a="1"/>
  <c r="M374" i="5" s="1"/>
  <c r="M375" i="5" a="1"/>
  <c r="M375" i="5" s="1"/>
  <c r="M376" i="5" a="1"/>
  <c r="M376" i="5" s="1"/>
  <c r="M377" i="5" a="1"/>
  <c r="M377" i="5" s="1"/>
  <c r="M378" i="5" a="1"/>
  <c r="M378" i="5" s="1"/>
  <c r="M379" i="5" a="1"/>
  <c r="M379" i="5" s="1"/>
  <c r="M380" i="5" a="1"/>
  <c r="M380" i="5" s="1"/>
  <c r="M381" i="5" a="1"/>
  <c r="M381" i="5" s="1"/>
  <c r="M382" i="5" a="1"/>
  <c r="M382" i="5" s="1"/>
  <c r="M383" i="5" a="1"/>
  <c r="M383" i="5" s="1"/>
  <c r="M384" i="5" a="1"/>
  <c r="M384" i="5" s="1"/>
  <c r="M385" i="5" a="1"/>
  <c r="M385" i="5" s="1"/>
  <c r="M386" i="5" a="1"/>
  <c r="M386" i="5" s="1"/>
  <c r="M387" i="5" a="1"/>
  <c r="M387" i="5" s="1"/>
  <c r="M388" i="5" a="1"/>
  <c r="M388" i="5" s="1"/>
  <c r="M389" i="5" a="1"/>
  <c r="M389" i="5" s="1"/>
  <c r="M390" i="5" a="1"/>
  <c r="M390" i="5" s="1"/>
  <c r="M391" i="5" a="1"/>
  <c r="M391" i="5" s="1"/>
  <c r="M392" i="5" a="1"/>
  <c r="M392" i="5" s="1"/>
  <c r="M393" i="5" a="1"/>
  <c r="M393" i="5" s="1"/>
  <c r="M394" i="5" a="1"/>
  <c r="M394" i="5" s="1"/>
  <c r="M395" i="5" a="1"/>
  <c r="M395" i="5" s="1"/>
  <c r="M396" i="5" a="1"/>
  <c r="M396" i="5" s="1"/>
  <c r="M397" i="5" a="1"/>
  <c r="M397" i="5" s="1"/>
  <c r="M398" i="5" a="1"/>
  <c r="M398" i="5" s="1"/>
  <c r="M399" i="5" a="1"/>
  <c r="M399" i="5" s="1"/>
  <c r="M400" i="5" a="1"/>
  <c r="M400" i="5" s="1"/>
  <c r="M401" i="5" a="1"/>
  <c r="M401" i="5" s="1"/>
  <c r="M402" i="5" a="1"/>
  <c r="M402" i="5" s="1"/>
  <c r="M403" i="5" a="1"/>
  <c r="M403" i="5" s="1"/>
  <c r="M404" i="5" a="1"/>
  <c r="M404" i="5" s="1"/>
  <c r="M405" i="5" a="1"/>
  <c r="M405" i="5" s="1"/>
  <c r="M406" i="5" a="1"/>
  <c r="M406" i="5" s="1"/>
  <c r="M407" i="5" a="1"/>
  <c r="M407" i="5" s="1"/>
  <c r="M408" i="5" a="1"/>
  <c r="M408" i="5"/>
  <c r="M409" i="5" a="1"/>
  <c r="M409" i="5" s="1"/>
  <c r="M410" i="5" a="1"/>
  <c r="M410" i="5" s="1"/>
  <c r="M411" i="5" a="1"/>
  <c r="M411" i="5" s="1"/>
  <c r="M412" i="5" a="1"/>
  <c r="M412" i="5" s="1"/>
  <c r="M413" i="5" a="1"/>
  <c r="M413" i="5" s="1"/>
  <c r="M414" i="5" a="1"/>
  <c r="M414" i="5" s="1"/>
  <c r="M415" i="5" a="1"/>
  <c r="M415" i="5" s="1"/>
  <c r="M416" i="5" a="1"/>
  <c r="M416" i="5" s="1"/>
  <c r="M417" i="5" a="1"/>
  <c r="M417" i="5" s="1"/>
  <c r="M418" i="5" a="1"/>
  <c r="M418" i="5" s="1"/>
  <c r="M419" i="5" a="1"/>
  <c r="M419" i="5" s="1"/>
  <c r="M420" i="5" a="1"/>
  <c r="M420" i="5" s="1"/>
  <c r="M421" i="5" a="1"/>
  <c r="M421" i="5" s="1"/>
  <c r="M422" i="5" a="1"/>
  <c r="M422" i="5" s="1"/>
  <c r="M423" i="5" a="1"/>
  <c r="M423" i="5" s="1"/>
  <c r="M424" i="5" a="1"/>
  <c r="M424" i="5" s="1"/>
  <c r="M425" i="5" a="1"/>
  <c r="M425" i="5" s="1"/>
  <c r="M426" i="5" a="1"/>
  <c r="M426" i="5"/>
  <c r="M427" i="5" a="1"/>
  <c r="M427" i="5" s="1"/>
  <c r="M428" i="5" a="1"/>
  <c r="M428" i="5" s="1"/>
  <c r="M429" i="5" a="1"/>
  <c r="M429" i="5" s="1"/>
  <c r="M430" i="5" a="1"/>
  <c r="M430" i="5" s="1"/>
  <c r="M431" i="5" a="1"/>
  <c r="M431" i="5" s="1"/>
  <c r="M432" i="5" a="1"/>
  <c r="M432" i="5" s="1"/>
  <c r="M433" i="5" a="1"/>
  <c r="M433" i="5" s="1"/>
  <c r="M434" i="5" a="1"/>
  <c r="M434" i="5" s="1"/>
  <c r="M435" i="5" a="1"/>
  <c r="M435" i="5" s="1"/>
  <c r="M436" i="5" a="1"/>
  <c r="M436" i="5" s="1"/>
  <c r="M437" i="5" a="1"/>
  <c r="M437" i="5" s="1"/>
  <c r="M438" i="5" a="1"/>
  <c r="M438" i="5" s="1"/>
  <c r="M439" i="5" a="1"/>
  <c r="M439" i="5" s="1"/>
  <c r="M440" i="5" a="1"/>
  <c r="M440" i="5" s="1"/>
  <c r="M441" i="5" a="1"/>
  <c r="M441" i="5" s="1"/>
  <c r="M442" i="5" a="1"/>
  <c r="M442" i="5" s="1"/>
  <c r="M443" i="5" a="1"/>
  <c r="M443" i="5" s="1"/>
  <c r="M444" i="5" a="1"/>
  <c r="M444" i="5"/>
  <c r="M445" i="5" a="1"/>
  <c r="M445" i="5" s="1"/>
  <c r="M446" i="5" a="1"/>
  <c r="M446" i="5" s="1"/>
  <c r="M447" i="5" a="1"/>
  <c r="M447" i="5" s="1"/>
  <c r="M448" i="5" a="1"/>
  <c r="M448" i="5" s="1"/>
  <c r="M449" i="5" a="1"/>
  <c r="M449" i="5" s="1"/>
  <c r="M450" i="5" a="1"/>
  <c r="M450" i="5" s="1"/>
  <c r="M451" i="5" a="1"/>
  <c r="M451" i="5" s="1"/>
  <c r="M452" i="5" a="1"/>
  <c r="M452" i="5" s="1"/>
  <c r="M453" i="5" a="1"/>
  <c r="M453" i="5" s="1"/>
  <c r="M454" i="5" a="1"/>
  <c r="M454" i="5" s="1"/>
  <c r="M455" i="5" a="1"/>
  <c r="M455" i="5" s="1"/>
  <c r="M456" i="5" a="1"/>
  <c r="M456" i="5" s="1"/>
  <c r="M457" i="5" a="1"/>
  <c r="M457" i="5" s="1"/>
  <c r="M458" i="5" a="1"/>
  <c r="M458" i="5" s="1"/>
  <c r="M459" i="5" a="1"/>
  <c r="M459" i="5" s="1"/>
  <c r="M460" i="5" a="1"/>
  <c r="M460" i="5" s="1"/>
  <c r="M461" i="5" a="1"/>
  <c r="M461" i="5" s="1"/>
  <c r="M462" i="5" a="1"/>
  <c r="M462" i="5" s="1"/>
  <c r="M463" i="5" a="1"/>
  <c r="M463" i="5" s="1"/>
  <c r="M464" i="5" a="1"/>
  <c r="M464" i="5" s="1"/>
  <c r="M465" i="5" a="1"/>
  <c r="M465" i="5" s="1"/>
  <c r="M466" i="5" a="1"/>
  <c r="M466" i="5" s="1"/>
  <c r="M467" i="5" a="1"/>
  <c r="M467" i="5" s="1"/>
  <c r="M468" i="5" a="1"/>
  <c r="M468" i="5" s="1"/>
  <c r="M469" i="5" a="1"/>
  <c r="M469" i="5" s="1"/>
  <c r="M470" i="5" a="1"/>
  <c r="M470" i="5" s="1"/>
  <c r="M471" i="5" a="1"/>
  <c r="M471" i="5"/>
  <c r="M472" i="5" a="1"/>
  <c r="M472" i="5" s="1"/>
  <c r="M473" i="5" a="1"/>
  <c r="M473" i="5" s="1"/>
  <c r="M474" i="5" a="1"/>
  <c r="M474" i="5" s="1"/>
  <c r="M475" i="5" a="1"/>
  <c r="M475" i="5" s="1"/>
  <c r="M476" i="5" a="1"/>
  <c r="M476" i="5" s="1"/>
  <c r="M477" i="5" a="1"/>
  <c r="M477" i="5" s="1"/>
  <c r="M478" i="5" a="1"/>
  <c r="M478" i="5" s="1"/>
  <c r="M479" i="5" a="1"/>
  <c r="M479" i="5" s="1"/>
  <c r="M480" i="5" a="1"/>
  <c r="M480" i="5"/>
  <c r="M481" i="5" a="1"/>
  <c r="M481" i="5" s="1"/>
  <c r="M482" i="5" a="1"/>
  <c r="M482" i="5" s="1"/>
  <c r="M483" i="5" a="1"/>
  <c r="M483" i="5" s="1"/>
  <c r="M484" i="5" a="1"/>
  <c r="M484" i="5" s="1"/>
  <c r="M485" i="5" a="1"/>
  <c r="M485" i="5" s="1"/>
  <c r="M486" i="5" a="1"/>
  <c r="M486" i="5" s="1"/>
  <c r="M487" i="5" a="1"/>
  <c r="M487" i="5" s="1"/>
  <c r="M488" i="5" a="1"/>
  <c r="M488" i="5" s="1"/>
  <c r="M489" i="5" a="1"/>
  <c r="M489" i="5" s="1"/>
  <c r="M490" i="5" a="1"/>
  <c r="M490" i="5" s="1"/>
  <c r="M491" i="5" a="1"/>
  <c r="M491" i="5" s="1"/>
  <c r="M492" i="5" a="1"/>
  <c r="M492" i="5" s="1"/>
  <c r="M493" i="5" a="1"/>
  <c r="M493" i="5" s="1"/>
  <c r="M494" i="5" a="1"/>
  <c r="M494" i="5" s="1"/>
  <c r="M495" i="5" a="1"/>
  <c r="M495" i="5" s="1"/>
  <c r="M496" i="5" a="1"/>
  <c r="M496" i="5" s="1"/>
  <c r="M497" i="5" a="1"/>
  <c r="M497" i="5" s="1"/>
  <c r="M498" i="5" a="1"/>
  <c r="M498" i="5"/>
  <c r="M499" i="5" a="1"/>
  <c r="M499" i="5" s="1"/>
  <c r="M500" i="5" a="1"/>
  <c r="M500" i="5" s="1"/>
  <c r="M501" i="5" a="1"/>
  <c r="M501" i="5" s="1"/>
  <c r="M502" i="5" a="1"/>
  <c r="M502" i="5" s="1"/>
  <c r="M3" i="5" a="1"/>
  <c r="M3" i="5" s="1"/>
  <c r="AK5" i="5"/>
  <c r="CT6" i="7"/>
  <c r="CT7" i="7"/>
  <c r="CT8" i="7"/>
  <c r="CT9" i="7"/>
  <c r="CT10" i="7"/>
  <c r="CT11" i="7"/>
  <c r="CT12" i="7"/>
  <c r="CT13" i="7"/>
  <c r="CT14" i="7"/>
  <c r="CT15" i="7"/>
  <c r="CT16" i="7"/>
  <c r="CT17" i="7"/>
  <c r="CT18" i="7"/>
  <c r="CT19" i="7"/>
  <c r="CT20" i="7"/>
  <c r="CT21" i="7"/>
  <c r="CS6" i="7"/>
  <c r="CS7" i="7"/>
  <c r="CS8" i="7"/>
  <c r="CS9" i="7"/>
  <c r="CS10" i="7"/>
  <c r="CS11" i="7"/>
  <c r="CS12" i="7"/>
  <c r="CS13" i="7"/>
  <c r="CS14" i="7"/>
  <c r="CS15" i="7"/>
  <c r="CS16" i="7"/>
  <c r="CS17" i="7"/>
  <c r="CS18" i="7"/>
  <c r="CS19" i="7"/>
  <c r="CS20" i="7"/>
  <c r="CS21" i="7"/>
  <c r="CS5" i="7"/>
  <c r="CR6" i="7"/>
  <c r="CR7" i="7"/>
  <c r="CR8" i="7"/>
  <c r="CR9" i="7"/>
  <c r="CR10" i="7"/>
  <c r="CR11" i="7"/>
  <c r="CR12" i="7"/>
  <c r="CR13" i="7"/>
  <c r="CR14" i="7"/>
  <c r="CR15" i="7"/>
  <c r="CR16" i="7"/>
  <c r="CR17" i="7"/>
  <c r="CR18" i="7"/>
  <c r="CR19" i="7"/>
  <c r="CR20" i="7"/>
  <c r="CR21" i="7"/>
  <c r="CR5" i="7"/>
  <c r="CT5" i="7"/>
  <c r="DG19" i="7" l="1"/>
  <c r="DG7" i="7"/>
  <c r="DG12" i="7"/>
  <c r="DG20" i="7"/>
  <c r="DG26" i="7"/>
  <c r="DE29" i="7"/>
  <c r="DA5" i="7"/>
  <c r="DB12" i="7"/>
  <c r="DG17" i="7"/>
  <c r="DF22" i="7"/>
  <c r="DG14" i="7"/>
  <c r="DG25" i="7"/>
  <c r="DG29" i="7" s="1"/>
  <c r="DG11" i="7"/>
  <c r="DG5" i="7"/>
  <c r="DE22" i="7"/>
  <c r="DG18" i="7"/>
  <c r="DG6" i="7"/>
  <c r="DC6" i="7"/>
  <c r="DG8" i="7"/>
  <c r="DF29" i="7"/>
  <c r="DB28" i="7"/>
  <c r="DB14" i="7"/>
  <c r="DC28" i="7"/>
  <c r="DB11" i="7"/>
  <c r="DA20" i="7"/>
  <c r="DC16" i="7"/>
  <c r="DB18" i="7"/>
  <c r="DC26" i="7"/>
  <c r="DA28" i="7"/>
  <c r="DA15" i="7"/>
  <c r="DB6" i="7"/>
  <c r="DC14" i="7"/>
  <c r="DB5" i="7"/>
  <c r="DD5" i="7" s="1"/>
  <c r="DA9" i="7"/>
  <c r="DB10" i="7"/>
  <c r="DA21" i="7"/>
  <c r="DB9" i="7"/>
  <c r="DA19" i="7"/>
  <c r="DA11" i="7"/>
  <c r="DC8" i="7"/>
  <c r="DA7" i="7"/>
  <c r="DB15" i="7"/>
  <c r="DC13" i="7"/>
  <c r="DB13" i="7"/>
  <c r="DC25" i="7"/>
  <c r="DA10" i="7"/>
  <c r="DC12" i="7"/>
  <c r="DA26" i="7"/>
  <c r="DA13" i="7"/>
  <c r="DB20" i="7"/>
  <c r="DB8" i="7"/>
  <c r="DA12" i="7"/>
  <c r="DB19" i="7"/>
  <c r="DB7" i="7"/>
  <c r="DA16" i="7"/>
  <c r="DB27" i="7"/>
  <c r="DB21" i="7"/>
  <c r="DD21" i="7" s="1"/>
  <c r="DC11" i="7"/>
  <c r="DC15" i="7"/>
  <c r="DB16" i="7"/>
  <c r="DC21" i="7"/>
  <c r="DA18" i="7"/>
  <c r="DC27" i="7"/>
  <c r="DB26" i="7"/>
  <c r="DA27" i="7"/>
  <c r="DA14" i="7"/>
  <c r="DC5" i="7"/>
  <c r="DC10" i="7"/>
  <c r="DA8" i="7"/>
  <c r="DC20" i="7"/>
  <c r="DA25" i="7"/>
  <c r="DA6" i="7"/>
  <c r="DD6" i="7" s="1"/>
  <c r="DC19" i="7"/>
  <c r="DC7" i="7"/>
  <c r="DB25" i="7"/>
  <c r="DC18" i="7"/>
  <c r="CZ22" i="7"/>
  <c r="CX22" i="7"/>
  <c r="CW29" i="7"/>
  <c r="CS29" i="7"/>
  <c r="CX29" i="7"/>
  <c r="CY29" i="7"/>
  <c r="CT29" i="7"/>
  <c r="CZ29" i="7"/>
  <c r="CU29" i="7"/>
  <c r="CR29" i="7"/>
  <c r="CY22" i="7"/>
  <c r="CW22" i="7"/>
  <c r="CV29" i="7"/>
  <c r="AF21" i="4"/>
  <c r="AF19" i="4"/>
  <c r="AL9" i="4"/>
  <c r="AE11" i="4"/>
  <c r="AK9" i="4"/>
  <c r="AH21" i="4"/>
  <c r="AE19" i="4"/>
  <c r="AD19" i="4"/>
  <c r="AL22" i="4"/>
  <c r="AH10" i="4"/>
  <c r="AF17" i="4"/>
  <c r="AJ9" i="4"/>
  <c r="AC19" i="4"/>
  <c r="AK22" i="4"/>
  <c r="AI9" i="4"/>
  <c r="AE17" i="4"/>
  <c r="AA10" i="4"/>
  <c r="AL18" i="4"/>
  <c r="AI15" i="4"/>
  <c r="AF15" i="4"/>
  <c r="AK18" i="4"/>
  <c r="AI14" i="4"/>
  <c r="AE15" i="4"/>
  <c r="AL14" i="4"/>
  <c r="AF25" i="4"/>
  <c r="AF13" i="4"/>
  <c r="AK14" i="4"/>
  <c r="AE25" i="4"/>
  <c r="AE13" i="4"/>
  <c r="AL10" i="4"/>
  <c r="AF23" i="4"/>
  <c r="AF11" i="4"/>
  <c r="AJ21" i="4"/>
  <c r="AG12" i="4"/>
  <c r="AA25" i="4"/>
  <c r="AL12" i="4"/>
  <c r="AI21" i="4"/>
  <c r="AF20" i="4"/>
  <c r="AK16" i="4"/>
  <c r="AG10" i="4"/>
  <c r="AE9" i="4"/>
  <c r="AE18" i="4"/>
  <c r="AJ24" i="4"/>
  <c r="AJ20" i="4"/>
  <c r="AJ16" i="4"/>
  <c r="AJ12" i="4"/>
  <c r="AG21" i="4"/>
  <c r="AH9" i="4"/>
  <c r="AH14" i="4"/>
  <c r="AI19" i="4"/>
  <c r="AD9" i="4"/>
  <c r="AD24" i="4"/>
  <c r="AD22" i="4"/>
  <c r="AD20" i="4"/>
  <c r="AD18" i="4"/>
  <c r="AD16" i="4"/>
  <c r="AD14" i="4"/>
  <c r="AD12" i="4"/>
  <c r="AD10" i="4"/>
  <c r="AJ22" i="4"/>
  <c r="AJ14" i="4"/>
  <c r="AJ10" i="4"/>
  <c r="AH20" i="4"/>
  <c r="AI25" i="4"/>
  <c r="AD25" i="4"/>
  <c r="AD23" i="4"/>
  <c r="AD21" i="4"/>
  <c r="AD17" i="4"/>
  <c r="AD15" i="4"/>
  <c r="AD13" i="4"/>
  <c r="AD11" i="4"/>
  <c r="AL25" i="4"/>
  <c r="AG14" i="4"/>
  <c r="AH19" i="4"/>
  <c r="AC25" i="4"/>
  <c r="AC23" i="4"/>
  <c r="AC21" i="4"/>
  <c r="AC15" i="4"/>
  <c r="AC13" i="4"/>
  <c r="AC11" i="4"/>
  <c r="AK21" i="4"/>
  <c r="AK13" i="4"/>
  <c r="AG13" i="4"/>
  <c r="AI23" i="4"/>
  <c r="AI11" i="4"/>
  <c r="AB21" i="4"/>
  <c r="AB19" i="4"/>
  <c r="AB17" i="4"/>
  <c r="AB15" i="4"/>
  <c r="AB13" i="4"/>
  <c r="AB11" i="4"/>
  <c r="AJ25" i="4"/>
  <c r="AJ17" i="4"/>
  <c r="AG24" i="4"/>
  <c r="AH17" i="4"/>
  <c r="AI22" i="4"/>
  <c r="AA23" i="4"/>
  <c r="AA21" i="4"/>
  <c r="AA19" i="4"/>
  <c r="AA17" i="4"/>
  <c r="AA15" i="4"/>
  <c r="AA13" i="4"/>
  <c r="AL20" i="4"/>
  <c r="AL16" i="4"/>
  <c r="AG23" i="4"/>
  <c r="AH16" i="4"/>
  <c r="AF9" i="4"/>
  <c r="AF22" i="4"/>
  <c r="AF18" i="4"/>
  <c r="AF16" i="4"/>
  <c r="AF14" i="4"/>
  <c r="AF12" i="4"/>
  <c r="AF10" i="4"/>
  <c r="AK24" i="4"/>
  <c r="AK20" i="4"/>
  <c r="AK12" i="4"/>
  <c r="AG22" i="4"/>
  <c r="AH15" i="4"/>
  <c r="AI20" i="4"/>
  <c r="AE24" i="4"/>
  <c r="AE22" i="4"/>
  <c r="AE20" i="4"/>
  <c r="AE16" i="4"/>
  <c r="AE14" i="4"/>
  <c r="AE12" i="4"/>
  <c r="AE10" i="4"/>
  <c r="AL23" i="4"/>
  <c r="AL19" i="4"/>
  <c r="AL15" i="4"/>
  <c r="AL11" i="4"/>
  <c r="AG20" i="4"/>
  <c r="AH25" i="4"/>
  <c r="AH13" i="4"/>
  <c r="AI18" i="4"/>
  <c r="AC9" i="4"/>
  <c r="AC24" i="4"/>
  <c r="AC22" i="4"/>
  <c r="AC20" i="4"/>
  <c r="AC18" i="4"/>
  <c r="AC16" i="4"/>
  <c r="AC14" i="4"/>
  <c r="AC12" i="4"/>
  <c r="AC10" i="4"/>
  <c r="AJ18" i="4"/>
  <c r="AG15" i="4"/>
  <c r="AI13" i="4"/>
  <c r="AL21" i="4"/>
  <c r="AL13" i="4"/>
  <c r="AI24" i="4"/>
  <c r="AC17" i="4"/>
  <c r="AK25" i="4"/>
  <c r="AG25" i="4"/>
  <c r="AB25" i="4"/>
  <c r="AA11" i="4"/>
  <c r="AK23" i="4"/>
  <c r="AK19" i="4"/>
  <c r="AK15" i="4"/>
  <c r="AK11" i="4"/>
  <c r="AG19" i="4"/>
  <c r="AH24" i="4"/>
  <c r="AH12" i="4"/>
  <c r="AI17" i="4"/>
  <c r="AB9" i="4"/>
  <c r="AB24" i="4"/>
  <c r="AB22" i="4"/>
  <c r="AB20" i="4"/>
  <c r="AB18" i="4"/>
  <c r="AB16" i="4"/>
  <c r="AB14" i="4"/>
  <c r="AB12" i="4"/>
  <c r="AB10" i="4"/>
  <c r="AL17" i="4"/>
  <c r="AG9" i="4"/>
  <c r="AI12" i="4"/>
  <c r="AK17" i="4"/>
  <c r="AH18" i="4"/>
  <c r="AB23" i="4"/>
  <c r="AJ13" i="4"/>
  <c r="AI10" i="4"/>
  <c r="AL24" i="4"/>
  <c r="AG11" i="4"/>
  <c r="AF24" i="4"/>
  <c r="AJ23" i="4"/>
  <c r="AJ19" i="4"/>
  <c r="AJ15" i="4"/>
  <c r="AJ11" i="4"/>
  <c r="AG18" i="4"/>
  <c r="AH23" i="4"/>
  <c r="AH11" i="4"/>
  <c r="AI16" i="4"/>
  <c r="AA9" i="4"/>
  <c r="AA24" i="4"/>
  <c r="AA22" i="4"/>
  <c r="AA20" i="4"/>
  <c r="AA18" i="4"/>
  <c r="AA16" i="4"/>
  <c r="AA14" i="4"/>
  <c r="AA12" i="4"/>
  <c r="BG17" i="8"/>
  <c r="BG16" i="8"/>
  <c r="BG15" i="8"/>
  <c r="BG14" i="8"/>
  <c r="BG13" i="8"/>
  <c r="BG12" i="8"/>
  <c r="BG10" i="8"/>
  <c r="BG21" i="8"/>
  <c r="BG9" i="8"/>
  <c r="BG20" i="8"/>
  <c r="BG19" i="8"/>
  <c r="BG7" i="8"/>
  <c r="BG18" i="8"/>
  <c r="AP17" i="5"/>
  <c r="AR6" i="5"/>
  <c r="AR10" i="5"/>
  <c r="AP13" i="5"/>
  <c r="AR21" i="5"/>
  <c r="AQ15" i="5"/>
  <c r="AR18" i="5"/>
  <c r="AP18" i="5"/>
  <c r="AQ18" i="5"/>
  <c r="AP14" i="5"/>
  <c r="AP12" i="5"/>
  <c r="AP21" i="5"/>
  <c r="AQ21" i="5"/>
  <c r="AP15" i="5"/>
  <c r="AR20" i="5"/>
  <c r="AQ10" i="5"/>
  <c r="AQ5" i="5"/>
  <c r="AR8" i="5"/>
  <c r="AP20" i="5"/>
  <c r="AR9" i="5"/>
  <c r="AP9" i="5"/>
  <c r="AQ9" i="5"/>
  <c r="AR19" i="5"/>
  <c r="AP19" i="5"/>
  <c r="AQ19" i="5"/>
  <c r="AQ17" i="5"/>
  <c r="AR7" i="5"/>
  <c r="AP16" i="5"/>
  <c r="AQ16" i="5"/>
  <c r="AR16" i="5"/>
  <c r="AQ11" i="5"/>
  <c r="AR11" i="5"/>
  <c r="AP11" i="5"/>
  <c r="AQ14" i="5"/>
  <c r="AR17" i="5"/>
  <c r="AQ20" i="5"/>
  <c r="AQ8" i="5"/>
  <c r="AP10" i="5"/>
  <c r="AP5" i="5"/>
  <c r="AR15" i="5"/>
  <c r="AP8" i="5"/>
  <c r="AR14" i="5"/>
  <c r="AP7" i="5"/>
  <c r="AR13" i="5"/>
  <c r="AP6" i="5"/>
  <c r="AR12" i="5"/>
  <c r="AQ7" i="5"/>
  <c r="AQ12" i="5"/>
  <c r="AR5" i="5"/>
  <c r="AQ13" i="5"/>
  <c r="AQ6" i="5"/>
  <c r="CV22" i="7"/>
  <c r="CU22" i="7"/>
  <c r="CT22" i="7"/>
  <c r="CS22" i="7"/>
  <c r="DD17" i="7"/>
  <c r="DD13" i="7"/>
  <c r="CR22" i="7"/>
  <c r="P508" i="8" a="1"/>
  <c r="P508" i="8" s="1"/>
  <c r="V508" i="8" a="1"/>
  <c r="V508" i="8" s="1"/>
  <c r="AR508" i="8"/>
  <c r="P507" i="8" a="1"/>
  <c r="P507" i="8" s="1"/>
  <c r="V507" i="8" a="1"/>
  <c r="V507" i="8" s="1"/>
  <c r="AR507" i="8"/>
  <c r="V2" i="8" a="1"/>
  <c r="V2" i="8" s="1"/>
  <c r="V3" i="8" a="1"/>
  <c r="V3" i="8" s="1"/>
  <c r="V4" i="8" a="1"/>
  <c r="V4" i="8" s="1"/>
  <c r="V5" i="8" a="1"/>
  <c r="V5" i="8" s="1"/>
  <c r="V6" i="8" a="1"/>
  <c r="V6" i="8" s="1"/>
  <c r="V7" i="8" a="1"/>
  <c r="V7" i="8" s="1"/>
  <c r="V8" i="8" a="1"/>
  <c r="V8" i="8" s="1"/>
  <c r="V9" i="8" a="1"/>
  <c r="V9" i="8" s="1"/>
  <c r="V10" i="8" a="1"/>
  <c r="V10" i="8" s="1"/>
  <c r="V11" i="8" a="1"/>
  <c r="V11" i="8" s="1"/>
  <c r="V12" i="8" a="1"/>
  <c r="V12" i="8" s="1"/>
  <c r="V13" i="8" a="1"/>
  <c r="V13" i="8" s="1"/>
  <c r="V14" i="8" a="1"/>
  <c r="V14" i="8" s="1"/>
  <c r="V15" i="8" a="1"/>
  <c r="V15" i="8" s="1"/>
  <c r="V16" i="8" a="1"/>
  <c r="V16" i="8" s="1"/>
  <c r="V17" i="8" a="1"/>
  <c r="V17" i="8" s="1"/>
  <c r="V18" i="8" a="1"/>
  <c r="V18" i="8" s="1"/>
  <c r="V19" i="8" a="1"/>
  <c r="V19" i="8" s="1"/>
  <c r="V20" i="8" a="1"/>
  <c r="V20" i="8" s="1"/>
  <c r="V21" i="8" a="1"/>
  <c r="V21" i="8" s="1"/>
  <c r="V22" i="8" a="1"/>
  <c r="V22" i="8" s="1"/>
  <c r="V23" i="8" a="1"/>
  <c r="V23" i="8" s="1"/>
  <c r="V24" i="8" a="1"/>
  <c r="V24" i="8" s="1"/>
  <c r="V25" i="8" a="1"/>
  <c r="V25" i="8" s="1"/>
  <c r="V26" i="8" a="1"/>
  <c r="V26" i="8" s="1"/>
  <c r="V27" i="8" a="1"/>
  <c r="V27" i="8" s="1"/>
  <c r="V28" i="8" a="1"/>
  <c r="V28" i="8" s="1"/>
  <c r="V29" i="8" a="1"/>
  <c r="V29" i="8" s="1"/>
  <c r="V30" i="8" a="1"/>
  <c r="V30" i="8" s="1"/>
  <c r="V31" i="8" a="1"/>
  <c r="V31" i="8" s="1"/>
  <c r="V32" i="8" a="1"/>
  <c r="V32" i="8" s="1"/>
  <c r="V33" i="8" a="1"/>
  <c r="V33" i="8" s="1"/>
  <c r="V34" i="8" a="1"/>
  <c r="V34" i="8" s="1"/>
  <c r="V35" i="8" a="1"/>
  <c r="V35" i="8" s="1"/>
  <c r="V36" i="8" a="1"/>
  <c r="V36" i="8" s="1"/>
  <c r="V37" i="8" a="1"/>
  <c r="V37" i="8" s="1"/>
  <c r="V38" i="8" a="1"/>
  <c r="V38" i="8" s="1"/>
  <c r="V39" i="8" a="1"/>
  <c r="V39" i="8" s="1"/>
  <c r="V40" i="8" a="1"/>
  <c r="V40" i="8" s="1"/>
  <c r="V41" i="8" a="1"/>
  <c r="V41" i="8" s="1"/>
  <c r="V42" i="8" a="1"/>
  <c r="V42" i="8" s="1"/>
  <c r="V43" i="8" a="1"/>
  <c r="V43" i="8" s="1"/>
  <c r="V44" i="8" a="1"/>
  <c r="V44" i="8" s="1"/>
  <c r="V45" i="8" a="1"/>
  <c r="V45" i="8" s="1"/>
  <c r="V46" i="8" a="1"/>
  <c r="V46" i="8" s="1"/>
  <c r="V47" i="8" a="1"/>
  <c r="V47" i="8" s="1"/>
  <c r="V48" i="8" a="1"/>
  <c r="V48" i="8" s="1"/>
  <c r="V49" i="8" a="1"/>
  <c r="V49" i="8" s="1"/>
  <c r="V50" i="8" a="1"/>
  <c r="V50" i="8" s="1"/>
  <c r="V51" i="8" a="1"/>
  <c r="V51" i="8" s="1"/>
  <c r="V52" i="8" a="1"/>
  <c r="V52" i="8" s="1"/>
  <c r="V53" i="8" a="1"/>
  <c r="V53" i="8" s="1"/>
  <c r="V54" i="8" a="1"/>
  <c r="V54" i="8" s="1"/>
  <c r="V55" i="8" a="1"/>
  <c r="V55" i="8" s="1"/>
  <c r="V56" i="8" a="1"/>
  <c r="V56" i="8" s="1"/>
  <c r="V57" i="8" a="1"/>
  <c r="V57" i="8" s="1"/>
  <c r="V58" i="8" a="1"/>
  <c r="V58" i="8" s="1"/>
  <c r="V59" i="8" a="1"/>
  <c r="V59" i="8" s="1"/>
  <c r="V60" i="8" a="1"/>
  <c r="V60" i="8" s="1"/>
  <c r="V61" i="8" a="1"/>
  <c r="V61" i="8" s="1"/>
  <c r="V62" i="8" a="1"/>
  <c r="V62" i="8" s="1"/>
  <c r="V63" i="8" a="1"/>
  <c r="V63" i="8" s="1"/>
  <c r="V64" i="8" a="1"/>
  <c r="V64" i="8" s="1"/>
  <c r="V65" i="8" a="1"/>
  <c r="V65" i="8" s="1"/>
  <c r="V66" i="8" a="1"/>
  <c r="V66" i="8" s="1"/>
  <c r="V67" i="8" a="1"/>
  <c r="V67" i="8" s="1"/>
  <c r="V68" i="8" a="1"/>
  <c r="V68" i="8" s="1"/>
  <c r="V69" i="8" a="1"/>
  <c r="V69" i="8" s="1"/>
  <c r="V70" i="8" a="1"/>
  <c r="V70" i="8" s="1"/>
  <c r="V71" i="8" a="1"/>
  <c r="V71" i="8" s="1"/>
  <c r="V72" i="8" a="1"/>
  <c r="V72" i="8" s="1"/>
  <c r="V73" i="8" a="1"/>
  <c r="V73" i="8" s="1"/>
  <c r="V74" i="8" a="1"/>
  <c r="V74" i="8" s="1"/>
  <c r="V75" i="8" a="1"/>
  <c r="V75" i="8" s="1"/>
  <c r="V76" i="8" a="1"/>
  <c r="V76" i="8" s="1"/>
  <c r="V77" i="8" a="1"/>
  <c r="V77" i="8" s="1"/>
  <c r="V78" i="8" a="1"/>
  <c r="V78" i="8" s="1"/>
  <c r="V79" i="8" a="1"/>
  <c r="V79" i="8" s="1"/>
  <c r="V80" i="8" a="1"/>
  <c r="V80" i="8" s="1"/>
  <c r="V81" i="8" a="1"/>
  <c r="V81" i="8" s="1"/>
  <c r="V82" i="8" a="1"/>
  <c r="V82" i="8" s="1"/>
  <c r="V83" i="8" a="1"/>
  <c r="V83" i="8" s="1"/>
  <c r="V84" i="8" a="1"/>
  <c r="V84" i="8" s="1"/>
  <c r="V85" i="8" a="1"/>
  <c r="V85" i="8" s="1"/>
  <c r="V86" i="8" a="1"/>
  <c r="V86" i="8" s="1"/>
  <c r="V87" i="8" a="1"/>
  <c r="V87" i="8" s="1"/>
  <c r="V88" i="8" a="1"/>
  <c r="V88" i="8" s="1"/>
  <c r="V89" i="8" a="1"/>
  <c r="V89" i="8" s="1"/>
  <c r="V90" i="8" a="1"/>
  <c r="V90" i="8" s="1"/>
  <c r="V91" i="8" a="1"/>
  <c r="V91" i="8" s="1"/>
  <c r="V92" i="8" a="1"/>
  <c r="V92" i="8" s="1"/>
  <c r="V93" i="8" a="1"/>
  <c r="V93" i="8" s="1"/>
  <c r="V94" i="8" a="1"/>
  <c r="V94" i="8" s="1"/>
  <c r="V95" i="8" a="1"/>
  <c r="V95" i="8" s="1"/>
  <c r="V96" i="8" a="1"/>
  <c r="V96" i="8" s="1"/>
  <c r="V97" i="8" a="1"/>
  <c r="V97" i="8" s="1"/>
  <c r="V98" i="8" a="1"/>
  <c r="V98" i="8" s="1"/>
  <c r="V99" i="8" a="1"/>
  <c r="V99" i="8" s="1"/>
  <c r="V100" i="8" a="1"/>
  <c r="V100" i="8" s="1"/>
  <c r="V101" i="8" a="1"/>
  <c r="V101" i="8" s="1"/>
  <c r="V102" i="8" a="1"/>
  <c r="V102" i="8" s="1"/>
  <c r="V103" i="8" a="1"/>
  <c r="V103" i="8" s="1"/>
  <c r="V104" i="8" a="1"/>
  <c r="V104" i="8" s="1"/>
  <c r="V105" i="8" a="1"/>
  <c r="V105" i="8" s="1"/>
  <c r="V106" i="8" a="1"/>
  <c r="V106" i="8" s="1"/>
  <c r="V107" i="8" a="1"/>
  <c r="V107" i="8" s="1"/>
  <c r="V108" i="8" a="1"/>
  <c r="V108" i="8" s="1"/>
  <c r="V109" i="8" a="1"/>
  <c r="V109" i="8" s="1"/>
  <c r="V110" i="8" a="1"/>
  <c r="V110" i="8" s="1"/>
  <c r="V111" i="8" a="1"/>
  <c r="V111" i="8" s="1"/>
  <c r="V112" i="8" a="1"/>
  <c r="V112" i="8" s="1"/>
  <c r="V113" i="8" a="1"/>
  <c r="V113" i="8" s="1"/>
  <c r="V114" i="8" a="1"/>
  <c r="V114" i="8" s="1"/>
  <c r="V115" i="8" a="1"/>
  <c r="V115" i="8" s="1"/>
  <c r="V116" i="8" a="1"/>
  <c r="V116" i="8" s="1"/>
  <c r="V117" i="8" a="1"/>
  <c r="V117" i="8" s="1"/>
  <c r="V118" i="8" a="1"/>
  <c r="V118" i="8" s="1"/>
  <c r="V119" i="8" a="1"/>
  <c r="V119" i="8" s="1"/>
  <c r="V120" i="8" a="1"/>
  <c r="V120" i="8" s="1"/>
  <c r="V121" i="8" a="1"/>
  <c r="V121" i="8" s="1"/>
  <c r="V122" i="8" a="1"/>
  <c r="V122" i="8" s="1"/>
  <c r="V123" i="8" a="1"/>
  <c r="V123" i="8" s="1"/>
  <c r="V124" i="8" a="1"/>
  <c r="V124" i="8" s="1"/>
  <c r="V125" i="8" a="1"/>
  <c r="V125" i="8" s="1"/>
  <c r="V126" i="8" a="1"/>
  <c r="V126" i="8" s="1"/>
  <c r="V127" i="8" a="1"/>
  <c r="V127" i="8" s="1"/>
  <c r="V128" i="8" a="1"/>
  <c r="V128" i="8" s="1"/>
  <c r="V129" i="8" a="1"/>
  <c r="V129" i="8" s="1"/>
  <c r="V130" i="8" a="1"/>
  <c r="V130" i="8" s="1"/>
  <c r="V131" i="8" a="1"/>
  <c r="V131" i="8" s="1"/>
  <c r="V132" i="8" a="1"/>
  <c r="V132" i="8" s="1"/>
  <c r="V133" i="8" a="1"/>
  <c r="V133" i="8" s="1"/>
  <c r="V134" i="8" a="1"/>
  <c r="V134" i="8" s="1"/>
  <c r="V135" i="8" a="1"/>
  <c r="V135" i="8" s="1"/>
  <c r="V136" i="8" a="1"/>
  <c r="V136" i="8" s="1"/>
  <c r="V137" i="8" a="1"/>
  <c r="V137" i="8" s="1"/>
  <c r="V138" i="8" a="1"/>
  <c r="V138" i="8" s="1"/>
  <c r="V139" i="8" a="1"/>
  <c r="V139" i="8" s="1"/>
  <c r="V140" i="8" a="1"/>
  <c r="V140" i="8" s="1"/>
  <c r="V141" i="8" a="1"/>
  <c r="V141" i="8" s="1"/>
  <c r="V142" i="8" a="1"/>
  <c r="V142" i="8" s="1"/>
  <c r="V143" i="8" a="1"/>
  <c r="V143" i="8" s="1"/>
  <c r="V144" i="8" a="1"/>
  <c r="V144" i="8" s="1"/>
  <c r="V145" i="8" a="1"/>
  <c r="V145" i="8" s="1"/>
  <c r="V146" i="8" a="1"/>
  <c r="V146" i="8" s="1"/>
  <c r="V147" i="8" a="1"/>
  <c r="V147" i="8" s="1"/>
  <c r="V148" i="8" a="1"/>
  <c r="V148" i="8" s="1"/>
  <c r="V149" i="8" a="1"/>
  <c r="V149" i="8" s="1"/>
  <c r="V150" i="8" a="1"/>
  <c r="V150" i="8" s="1"/>
  <c r="V151" i="8" a="1"/>
  <c r="V151" i="8" s="1"/>
  <c r="V152" i="8" a="1"/>
  <c r="V152" i="8" s="1"/>
  <c r="V153" i="8" a="1"/>
  <c r="V153" i="8" s="1"/>
  <c r="V154" i="8" a="1"/>
  <c r="V154" i="8" s="1"/>
  <c r="V155" i="8" a="1"/>
  <c r="V155" i="8" s="1"/>
  <c r="V156" i="8" a="1"/>
  <c r="V156" i="8" s="1"/>
  <c r="V157" i="8" a="1"/>
  <c r="V157" i="8" s="1"/>
  <c r="V158" i="8" a="1"/>
  <c r="V158" i="8" s="1"/>
  <c r="V159" i="8" a="1"/>
  <c r="V159" i="8" s="1"/>
  <c r="V160" i="8" a="1"/>
  <c r="V160" i="8" s="1"/>
  <c r="V161" i="8" a="1"/>
  <c r="V161" i="8" s="1"/>
  <c r="V162" i="8" a="1"/>
  <c r="V162" i="8" s="1"/>
  <c r="V163" i="8" a="1"/>
  <c r="V163" i="8" s="1"/>
  <c r="V164" i="8" a="1"/>
  <c r="V164" i="8" s="1"/>
  <c r="V165" i="8" a="1"/>
  <c r="V165" i="8" s="1"/>
  <c r="V166" i="8" a="1"/>
  <c r="V166" i="8" s="1"/>
  <c r="V167" i="8" a="1"/>
  <c r="V167" i="8" s="1"/>
  <c r="V168" i="8" a="1"/>
  <c r="V168" i="8" s="1"/>
  <c r="V169" i="8" a="1"/>
  <c r="V169" i="8" s="1"/>
  <c r="V170" i="8" a="1"/>
  <c r="V170" i="8" s="1"/>
  <c r="V171" i="8" a="1"/>
  <c r="V171" i="8" s="1"/>
  <c r="V172" i="8" a="1"/>
  <c r="V172" i="8" s="1"/>
  <c r="V173" i="8" a="1"/>
  <c r="V173" i="8" s="1"/>
  <c r="V174" i="8" a="1"/>
  <c r="V174" i="8" s="1"/>
  <c r="V175" i="8" a="1"/>
  <c r="V175" i="8" s="1"/>
  <c r="V176" i="8" a="1"/>
  <c r="V176" i="8" s="1"/>
  <c r="V177" i="8" a="1"/>
  <c r="V177" i="8" s="1"/>
  <c r="V178" i="8" a="1"/>
  <c r="V178" i="8" s="1"/>
  <c r="V179" i="8" a="1"/>
  <c r="V179" i="8" s="1"/>
  <c r="V180" i="8" a="1"/>
  <c r="V180" i="8" s="1"/>
  <c r="V181" i="8" a="1"/>
  <c r="V181" i="8" s="1"/>
  <c r="V182" i="8" a="1"/>
  <c r="V182" i="8" s="1"/>
  <c r="V183" i="8" a="1"/>
  <c r="V183" i="8" s="1"/>
  <c r="V184" i="8" a="1"/>
  <c r="V184" i="8" s="1"/>
  <c r="V185" i="8" a="1"/>
  <c r="V185" i="8" s="1"/>
  <c r="V186" i="8" a="1"/>
  <c r="V186" i="8" s="1"/>
  <c r="V187" i="8" a="1"/>
  <c r="V187" i="8" s="1"/>
  <c r="V188" i="8" a="1"/>
  <c r="V188" i="8" s="1"/>
  <c r="V189" i="8" a="1"/>
  <c r="V189" i="8" s="1"/>
  <c r="V190" i="8" a="1"/>
  <c r="V190" i="8" s="1"/>
  <c r="V191" i="8" a="1"/>
  <c r="V191" i="8" s="1"/>
  <c r="V192" i="8" a="1"/>
  <c r="V192" i="8" s="1"/>
  <c r="V193" i="8" a="1"/>
  <c r="V193" i="8" s="1"/>
  <c r="V194" i="8" a="1"/>
  <c r="V194" i="8" s="1"/>
  <c r="V195" i="8" a="1"/>
  <c r="V195" i="8" s="1"/>
  <c r="V196" i="8" a="1"/>
  <c r="V196" i="8" s="1"/>
  <c r="V197" i="8" a="1"/>
  <c r="V197" i="8" s="1"/>
  <c r="V198" i="8" a="1"/>
  <c r="V198" i="8" s="1"/>
  <c r="V199" i="8" a="1"/>
  <c r="V199" i="8" s="1"/>
  <c r="V200" i="8" a="1"/>
  <c r="V200" i="8" s="1"/>
  <c r="V201" i="8" a="1"/>
  <c r="V201" i="8" s="1"/>
  <c r="V202" i="8" a="1"/>
  <c r="V202" i="8" s="1"/>
  <c r="V203" i="8" a="1"/>
  <c r="V203" i="8" s="1"/>
  <c r="V204" i="8" a="1"/>
  <c r="V204" i="8" s="1"/>
  <c r="V205" i="8" a="1"/>
  <c r="V205" i="8" s="1"/>
  <c r="V206" i="8" a="1"/>
  <c r="V206" i="8" s="1"/>
  <c r="V207" i="8" a="1"/>
  <c r="V207" i="8" s="1"/>
  <c r="V208" i="8" a="1"/>
  <c r="V208" i="8" s="1"/>
  <c r="V209" i="8" a="1"/>
  <c r="V209" i="8" s="1"/>
  <c r="V210" i="8" a="1"/>
  <c r="V210" i="8" s="1"/>
  <c r="V211" i="8" a="1"/>
  <c r="V211" i="8" s="1"/>
  <c r="V212" i="8" a="1"/>
  <c r="V212" i="8" s="1"/>
  <c r="V213" i="8" a="1"/>
  <c r="V213" i="8" s="1"/>
  <c r="V214" i="8" a="1"/>
  <c r="V214" i="8" s="1"/>
  <c r="V215" i="8" a="1"/>
  <c r="V215" i="8" s="1"/>
  <c r="V216" i="8" a="1"/>
  <c r="V216" i="8" s="1"/>
  <c r="V217" i="8" a="1"/>
  <c r="V217" i="8" s="1"/>
  <c r="V218" i="8" a="1"/>
  <c r="V218" i="8" s="1"/>
  <c r="V219" i="8" a="1"/>
  <c r="V219" i="8" s="1"/>
  <c r="V220" i="8" a="1"/>
  <c r="V220" i="8" s="1"/>
  <c r="V221" i="8" a="1"/>
  <c r="V221" i="8" s="1"/>
  <c r="V222" i="8" a="1"/>
  <c r="V222" i="8" s="1"/>
  <c r="V223" i="8" a="1"/>
  <c r="V223" i="8" s="1"/>
  <c r="V224" i="8" a="1"/>
  <c r="V224" i="8" s="1"/>
  <c r="V225" i="8" a="1"/>
  <c r="V225" i="8" s="1"/>
  <c r="V226" i="8" a="1"/>
  <c r="V226" i="8" s="1"/>
  <c r="V227" i="8" a="1"/>
  <c r="V227" i="8" s="1"/>
  <c r="V228" i="8" a="1"/>
  <c r="V228" i="8" s="1"/>
  <c r="V229" i="8" a="1"/>
  <c r="V229" i="8" s="1"/>
  <c r="V230" i="8" a="1"/>
  <c r="V230" i="8" s="1"/>
  <c r="V231" i="8" a="1"/>
  <c r="V231" i="8" s="1"/>
  <c r="V232" i="8" a="1"/>
  <c r="V232" i="8" s="1"/>
  <c r="V233" i="8" a="1"/>
  <c r="V233" i="8" s="1"/>
  <c r="V234" i="8" a="1"/>
  <c r="V234" i="8" s="1"/>
  <c r="V235" i="8" a="1"/>
  <c r="V235" i="8" s="1"/>
  <c r="V236" i="8" a="1"/>
  <c r="V236" i="8" s="1"/>
  <c r="V237" i="8" a="1"/>
  <c r="V237" i="8" s="1"/>
  <c r="V238" i="8" a="1"/>
  <c r="V238" i="8" s="1"/>
  <c r="V239" i="8" a="1"/>
  <c r="V239" i="8" s="1"/>
  <c r="V240" i="8" a="1"/>
  <c r="V240" i="8" s="1"/>
  <c r="V241" i="8" a="1"/>
  <c r="V241" i="8" s="1"/>
  <c r="V242" i="8" a="1"/>
  <c r="V242" i="8" s="1"/>
  <c r="V243" i="8" a="1"/>
  <c r="V243" i="8" s="1"/>
  <c r="V244" i="8" a="1"/>
  <c r="V244" i="8" s="1"/>
  <c r="V245" i="8" a="1"/>
  <c r="V245" i="8" s="1"/>
  <c r="V246" i="8" a="1"/>
  <c r="V246" i="8" s="1"/>
  <c r="V247" i="8" a="1"/>
  <c r="V247" i="8" s="1"/>
  <c r="V248" i="8" a="1"/>
  <c r="V248" i="8" s="1"/>
  <c r="V249" i="8" a="1"/>
  <c r="V249" i="8" s="1"/>
  <c r="V250" i="8" a="1"/>
  <c r="V250" i="8" s="1"/>
  <c r="V251" i="8" a="1"/>
  <c r="V251" i="8" s="1"/>
  <c r="V252" i="8" a="1"/>
  <c r="V252" i="8" s="1"/>
  <c r="V253" i="8" a="1"/>
  <c r="V253" i="8" s="1"/>
  <c r="V254" i="8" a="1"/>
  <c r="V254" i="8" s="1"/>
  <c r="V255" i="8" a="1"/>
  <c r="V255" i="8" s="1"/>
  <c r="V256" i="8" a="1"/>
  <c r="V256" i="8" s="1"/>
  <c r="V257" i="8" a="1"/>
  <c r="V257" i="8" s="1"/>
  <c r="V258" i="8" a="1"/>
  <c r="V258" i="8" s="1"/>
  <c r="V259" i="8" a="1"/>
  <c r="V259" i="8" s="1"/>
  <c r="V260" i="8" a="1"/>
  <c r="V260" i="8" s="1"/>
  <c r="V261" i="8" a="1"/>
  <c r="V261" i="8" s="1"/>
  <c r="V262" i="8" a="1"/>
  <c r="V262" i="8" s="1"/>
  <c r="V263" i="8" a="1"/>
  <c r="V263" i="8" s="1"/>
  <c r="V264" i="8" a="1"/>
  <c r="V264" i="8" s="1"/>
  <c r="V265" i="8" a="1"/>
  <c r="V265" i="8" s="1"/>
  <c r="V266" i="8" a="1"/>
  <c r="V266" i="8" s="1"/>
  <c r="V267" i="8" a="1"/>
  <c r="V267" i="8" s="1"/>
  <c r="V268" i="8" a="1"/>
  <c r="V268" i="8" s="1"/>
  <c r="V269" i="8" a="1"/>
  <c r="V269" i="8" s="1"/>
  <c r="V270" i="8" a="1"/>
  <c r="V270" i="8" s="1"/>
  <c r="V271" i="8" a="1"/>
  <c r="V271" i="8" s="1"/>
  <c r="V272" i="8" a="1"/>
  <c r="V272" i="8" s="1"/>
  <c r="V273" i="8" a="1"/>
  <c r="V273" i="8" s="1"/>
  <c r="V274" i="8" a="1"/>
  <c r="V274" i="8" s="1"/>
  <c r="V275" i="8" a="1"/>
  <c r="V275" i="8" s="1"/>
  <c r="V276" i="8" a="1"/>
  <c r="V276" i="8" s="1"/>
  <c r="V277" i="8" a="1"/>
  <c r="V277" i="8" s="1"/>
  <c r="V278" i="8" a="1"/>
  <c r="V278" i="8" s="1"/>
  <c r="V279" i="8" a="1"/>
  <c r="V279" i="8" s="1"/>
  <c r="V280" i="8" a="1"/>
  <c r="V280" i="8" s="1"/>
  <c r="V281" i="8" a="1"/>
  <c r="V281" i="8" s="1"/>
  <c r="V282" i="8" a="1"/>
  <c r="V282" i="8" s="1"/>
  <c r="V283" i="8" a="1"/>
  <c r="V283" i="8" s="1"/>
  <c r="V284" i="8" a="1"/>
  <c r="V284" i="8" s="1"/>
  <c r="V285" i="8" a="1"/>
  <c r="V285" i="8" s="1"/>
  <c r="V286" i="8" a="1"/>
  <c r="V286" i="8" s="1"/>
  <c r="V287" i="8" a="1"/>
  <c r="V287" i="8" s="1"/>
  <c r="V288" i="8" a="1"/>
  <c r="V288" i="8" s="1"/>
  <c r="V289" i="8" a="1"/>
  <c r="V289" i="8" s="1"/>
  <c r="V290" i="8" a="1"/>
  <c r="V290" i="8" s="1"/>
  <c r="V291" i="8" a="1"/>
  <c r="V291" i="8" s="1"/>
  <c r="V292" i="8" a="1"/>
  <c r="V292" i="8" s="1"/>
  <c r="V293" i="8" a="1"/>
  <c r="V293" i="8" s="1"/>
  <c r="V294" i="8" a="1"/>
  <c r="V294" i="8" s="1"/>
  <c r="V295" i="8" a="1"/>
  <c r="V295" i="8" s="1"/>
  <c r="V296" i="8" a="1"/>
  <c r="V296" i="8" s="1"/>
  <c r="V297" i="8" a="1"/>
  <c r="V297" i="8" s="1"/>
  <c r="V298" i="8" a="1"/>
  <c r="V298" i="8" s="1"/>
  <c r="V299" i="8" a="1"/>
  <c r="V299" i="8" s="1"/>
  <c r="V300" i="8" a="1"/>
  <c r="V300" i="8" s="1"/>
  <c r="V301" i="8" a="1"/>
  <c r="V301" i="8" s="1"/>
  <c r="V302" i="8" a="1"/>
  <c r="V302" i="8" s="1"/>
  <c r="V303" i="8" a="1"/>
  <c r="V303" i="8" s="1"/>
  <c r="V304" i="8" a="1"/>
  <c r="V304" i="8" s="1"/>
  <c r="V305" i="8" a="1"/>
  <c r="V305" i="8" s="1"/>
  <c r="V306" i="8" a="1"/>
  <c r="V306" i="8" s="1"/>
  <c r="V307" i="8" a="1"/>
  <c r="V307" i="8" s="1"/>
  <c r="V308" i="8" a="1"/>
  <c r="V308" i="8" s="1"/>
  <c r="V309" i="8" a="1"/>
  <c r="V309" i="8" s="1"/>
  <c r="V310" i="8" a="1"/>
  <c r="V310" i="8" s="1"/>
  <c r="V311" i="8" a="1"/>
  <c r="V311" i="8" s="1"/>
  <c r="V312" i="8" a="1"/>
  <c r="V312" i="8" s="1"/>
  <c r="V313" i="8" a="1"/>
  <c r="V313" i="8" s="1"/>
  <c r="V314" i="8" a="1"/>
  <c r="V314" i="8" s="1"/>
  <c r="V315" i="8" a="1"/>
  <c r="V315" i="8" s="1"/>
  <c r="V316" i="8" a="1"/>
  <c r="V316" i="8" s="1"/>
  <c r="V317" i="8" a="1"/>
  <c r="V317" i="8" s="1"/>
  <c r="V318" i="8" a="1"/>
  <c r="V318" i="8" s="1"/>
  <c r="V319" i="8" a="1"/>
  <c r="V319" i="8" s="1"/>
  <c r="V320" i="8" a="1"/>
  <c r="V320" i="8" s="1"/>
  <c r="V321" i="8" a="1"/>
  <c r="V321" i="8" s="1"/>
  <c r="V322" i="8" a="1"/>
  <c r="V322" i="8" s="1"/>
  <c r="V323" i="8" a="1"/>
  <c r="V323" i="8" s="1"/>
  <c r="V324" i="8" a="1"/>
  <c r="V324" i="8" s="1"/>
  <c r="V325" i="8" a="1"/>
  <c r="V325" i="8" s="1"/>
  <c r="V326" i="8" a="1"/>
  <c r="V326" i="8" s="1"/>
  <c r="V327" i="8" a="1"/>
  <c r="V327" i="8" s="1"/>
  <c r="V328" i="8" a="1"/>
  <c r="V328" i="8" s="1"/>
  <c r="V329" i="8" a="1"/>
  <c r="V329" i="8" s="1"/>
  <c r="V330" i="8" a="1"/>
  <c r="V330" i="8" s="1"/>
  <c r="V331" i="8" a="1"/>
  <c r="V331" i="8" s="1"/>
  <c r="V332" i="8" a="1"/>
  <c r="V332" i="8" s="1"/>
  <c r="V333" i="8" a="1"/>
  <c r="V333" i="8" s="1"/>
  <c r="V334" i="8" a="1"/>
  <c r="V334" i="8" s="1"/>
  <c r="V335" i="8" a="1"/>
  <c r="V335" i="8" s="1"/>
  <c r="V336" i="8" a="1"/>
  <c r="V336" i="8" s="1"/>
  <c r="V337" i="8" a="1"/>
  <c r="V337" i="8" s="1"/>
  <c r="V338" i="8" a="1"/>
  <c r="V338" i="8" s="1"/>
  <c r="V339" i="8" a="1"/>
  <c r="V339" i="8" s="1"/>
  <c r="V340" i="8" a="1"/>
  <c r="V340" i="8" s="1"/>
  <c r="V341" i="8" a="1"/>
  <c r="V341" i="8" s="1"/>
  <c r="V342" i="8" a="1"/>
  <c r="V342" i="8" s="1"/>
  <c r="V343" i="8" a="1"/>
  <c r="V343" i="8" s="1"/>
  <c r="V344" i="8" a="1"/>
  <c r="V344" i="8" s="1"/>
  <c r="V345" i="8" a="1"/>
  <c r="V345" i="8" s="1"/>
  <c r="V346" i="8" a="1"/>
  <c r="V346" i="8" s="1"/>
  <c r="V347" i="8" a="1"/>
  <c r="V347" i="8" s="1"/>
  <c r="V348" i="8" a="1"/>
  <c r="V348" i="8" s="1"/>
  <c r="V349" i="8" a="1"/>
  <c r="V349" i="8" s="1"/>
  <c r="V350" i="8" a="1"/>
  <c r="V350" i="8" s="1"/>
  <c r="V351" i="8" a="1"/>
  <c r="V351" i="8" s="1"/>
  <c r="V352" i="8" a="1"/>
  <c r="V352" i="8" s="1"/>
  <c r="V353" i="8" a="1"/>
  <c r="V353" i="8" s="1"/>
  <c r="V354" i="8" a="1"/>
  <c r="V354" i="8" s="1"/>
  <c r="V355" i="8" a="1"/>
  <c r="V355" i="8" s="1"/>
  <c r="V356" i="8" a="1"/>
  <c r="V356" i="8" s="1"/>
  <c r="V357" i="8" a="1"/>
  <c r="V357" i="8" s="1"/>
  <c r="V358" i="8" a="1"/>
  <c r="V358" i="8" s="1"/>
  <c r="V359" i="8" a="1"/>
  <c r="V359" i="8" s="1"/>
  <c r="V360" i="8" a="1"/>
  <c r="V360" i="8" s="1"/>
  <c r="V361" i="8" a="1"/>
  <c r="V361" i="8" s="1"/>
  <c r="V362" i="8" a="1"/>
  <c r="V362" i="8" s="1"/>
  <c r="V363" i="8" a="1"/>
  <c r="V363" i="8" s="1"/>
  <c r="V364" i="8" a="1"/>
  <c r="V364" i="8" s="1"/>
  <c r="V365" i="8" a="1"/>
  <c r="V365" i="8" s="1"/>
  <c r="V366" i="8" a="1"/>
  <c r="V366" i="8" s="1"/>
  <c r="V367" i="8" a="1"/>
  <c r="V367" i="8" s="1"/>
  <c r="V368" i="8" a="1"/>
  <c r="V368" i="8" s="1"/>
  <c r="V369" i="8" a="1"/>
  <c r="V369" i="8" s="1"/>
  <c r="V370" i="8" a="1"/>
  <c r="V370" i="8" s="1"/>
  <c r="V371" i="8" a="1"/>
  <c r="V371" i="8" s="1"/>
  <c r="V372" i="8" a="1"/>
  <c r="V372" i="8" s="1"/>
  <c r="V373" i="8" a="1"/>
  <c r="V373" i="8" s="1"/>
  <c r="V374" i="8" a="1"/>
  <c r="V374" i="8" s="1"/>
  <c r="V375" i="8" a="1"/>
  <c r="V375" i="8" s="1"/>
  <c r="V376" i="8" a="1"/>
  <c r="V376" i="8" s="1"/>
  <c r="V377" i="8" a="1"/>
  <c r="V377" i="8" s="1"/>
  <c r="V378" i="8" a="1"/>
  <c r="V378" i="8" s="1"/>
  <c r="V379" i="8" a="1"/>
  <c r="V379" i="8" s="1"/>
  <c r="V380" i="8" a="1"/>
  <c r="V380" i="8" s="1"/>
  <c r="V381" i="8" a="1"/>
  <c r="V381" i="8" s="1"/>
  <c r="V382" i="8" a="1"/>
  <c r="V382" i="8" s="1"/>
  <c r="V383" i="8" a="1"/>
  <c r="V383" i="8" s="1"/>
  <c r="V384" i="8" a="1"/>
  <c r="V384" i="8" s="1"/>
  <c r="V385" i="8" a="1"/>
  <c r="V385" i="8" s="1"/>
  <c r="V386" i="8" a="1"/>
  <c r="V386" i="8" s="1"/>
  <c r="V387" i="8" a="1"/>
  <c r="V387" i="8" s="1"/>
  <c r="V388" i="8" a="1"/>
  <c r="V388" i="8" s="1"/>
  <c r="V389" i="8" a="1"/>
  <c r="V389" i="8" s="1"/>
  <c r="V390" i="8" a="1"/>
  <c r="V390" i="8" s="1"/>
  <c r="V391" i="8" a="1"/>
  <c r="V391" i="8" s="1"/>
  <c r="V392" i="8" a="1"/>
  <c r="V392" i="8" s="1"/>
  <c r="V393" i="8" a="1"/>
  <c r="V393" i="8" s="1"/>
  <c r="V394" i="8" a="1"/>
  <c r="V394" i="8" s="1"/>
  <c r="V395" i="8" a="1"/>
  <c r="V395" i="8" s="1"/>
  <c r="V396" i="8" a="1"/>
  <c r="V396" i="8" s="1"/>
  <c r="V397" i="8" a="1"/>
  <c r="V397" i="8" s="1"/>
  <c r="V398" i="8" a="1"/>
  <c r="V398" i="8" s="1"/>
  <c r="V399" i="8" a="1"/>
  <c r="V399" i="8" s="1"/>
  <c r="V400" i="8" a="1"/>
  <c r="V400" i="8" s="1"/>
  <c r="V401" i="8" a="1"/>
  <c r="V401" i="8" s="1"/>
  <c r="V402" i="8" a="1"/>
  <c r="V402" i="8" s="1"/>
  <c r="V403" i="8" a="1"/>
  <c r="V403" i="8" s="1"/>
  <c r="V404" i="8" a="1"/>
  <c r="V404" i="8" s="1"/>
  <c r="V405" i="8" a="1"/>
  <c r="V405" i="8" s="1"/>
  <c r="V406" i="8" a="1"/>
  <c r="V406" i="8" s="1"/>
  <c r="V407" i="8" a="1"/>
  <c r="V407" i="8" s="1"/>
  <c r="V408" i="8" a="1"/>
  <c r="V408" i="8" s="1"/>
  <c r="V409" i="8" a="1"/>
  <c r="V409" i="8" s="1"/>
  <c r="V410" i="8" a="1"/>
  <c r="V410" i="8" s="1"/>
  <c r="V411" i="8" a="1"/>
  <c r="V411" i="8" s="1"/>
  <c r="V412" i="8" a="1"/>
  <c r="V412" i="8" s="1"/>
  <c r="V413" i="8" a="1"/>
  <c r="V413" i="8" s="1"/>
  <c r="V414" i="8" a="1"/>
  <c r="V414" i="8" s="1"/>
  <c r="V415" i="8" a="1"/>
  <c r="V415" i="8" s="1"/>
  <c r="V416" i="8" a="1"/>
  <c r="V416" i="8" s="1"/>
  <c r="V417" i="8" a="1"/>
  <c r="V417" i="8" s="1"/>
  <c r="V418" i="8" a="1"/>
  <c r="V418" i="8" s="1"/>
  <c r="V419" i="8" a="1"/>
  <c r="V419" i="8" s="1"/>
  <c r="V420" i="8" a="1"/>
  <c r="V420" i="8" s="1"/>
  <c r="V421" i="8" a="1"/>
  <c r="V421" i="8" s="1"/>
  <c r="V422" i="8" a="1"/>
  <c r="V422" i="8" s="1"/>
  <c r="V423" i="8" a="1"/>
  <c r="V423" i="8" s="1"/>
  <c r="V424" i="8" a="1"/>
  <c r="V424" i="8" s="1"/>
  <c r="V425" i="8" a="1"/>
  <c r="V425" i="8" s="1"/>
  <c r="V426" i="8" a="1"/>
  <c r="V426" i="8" s="1"/>
  <c r="V427" i="8" a="1"/>
  <c r="V427" i="8" s="1"/>
  <c r="V428" i="8" a="1"/>
  <c r="V428" i="8" s="1"/>
  <c r="V429" i="8" a="1"/>
  <c r="V429" i="8" s="1"/>
  <c r="V430" i="8" a="1"/>
  <c r="V430" i="8" s="1"/>
  <c r="V431" i="8" a="1"/>
  <c r="V431" i="8" s="1"/>
  <c r="V432" i="8" a="1"/>
  <c r="V432" i="8" s="1"/>
  <c r="V433" i="8" a="1"/>
  <c r="V433" i="8" s="1"/>
  <c r="V434" i="8" a="1"/>
  <c r="V434" i="8" s="1"/>
  <c r="V435" i="8" a="1"/>
  <c r="V435" i="8" s="1"/>
  <c r="V436" i="8" a="1"/>
  <c r="V436" i="8" s="1"/>
  <c r="V437" i="8" a="1"/>
  <c r="V437" i="8" s="1"/>
  <c r="V438" i="8" a="1"/>
  <c r="V438" i="8" s="1"/>
  <c r="V439" i="8" a="1"/>
  <c r="V439" i="8" s="1"/>
  <c r="V440" i="8" a="1"/>
  <c r="V440" i="8" s="1"/>
  <c r="V441" i="8" a="1"/>
  <c r="V441" i="8" s="1"/>
  <c r="V442" i="8" a="1"/>
  <c r="V442" i="8" s="1"/>
  <c r="V443" i="8" a="1"/>
  <c r="V443" i="8" s="1"/>
  <c r="V444" i="8" a="1"/>
  <c r="V444" i="8" s="1"/>
  <c r="V445" i="8" a="1"/>
  <c r="V445" i="8" s="1"/>
  <c r="V446" i="8" a="1"/>
  <c r="V446" i="8" s="1"/>
  <c r="V447" i="8" a="1"/>
  <c r="V447" i="8" s="1"/>
  <c r="V448" i="8" a="1"/>
  <c r="V448" i="8" s="1"/>
  <c r="V449" i="8" a="1"/>
  <c r="V449" i="8" s="1"/>
  <c r="V450" i="8" a="1"/>
  <c r="V450" i="8" s="1"/>
  <c r="V451" i="8" a="1"/>
  <c r="V451" i="8" s="1"/>
  <c r="V452" i="8" a="1"/>
  <c r="V452" i="8" s="1"/>
  <c r="V453" i="8" a="1"/>
  <c r="V453" i="8" s="1"/>
  <c r="V454" i="8" a="1"/>
  <c r="V454" i="8" s="1"/>
  <c r="V455" i="8" a="1"/>
  <c r="V455" i="8" s="1"/>
  <c r="V456" i="8" a="1"/>
  <c r="V456" i="8" s="1"/>
  <c r="V457" i="8" a="1"/>
  <c r="V457" i="8" s="1"/>
  <c r="V458" i="8" a="1"/>
  <c r="V458" i="8" s="1"/>
  <c r="V459" i="8" a="1"/>
  <c r="V459" i="8" s="1"/>
  <c r="V460" i="8" a="1"/>
  <c r="V460" i="8" s="1"/>
  <c r="V461" i="8" a="1"/>
  <c r="V461" i="8" s="1"/>
  <c r="V462" i="8" a="1"/>
  <c r="V462" i="8" s="1"/>
  <c r="V463" i="8" a="1"/>
  <c r="V463" i="8" s="1"/>
  <c r="V464" i="8" a="1"/>
  <c r="V464" i="8" s="1"/>
  <c r="V465" i="8" a="1"/>
  <c r="V465" i="8" s="1"/>
  <c r="V466" i="8" a="1"/>
  <c r="V466" i="8" s="1"/>
  <c r="V467" i="8" a="1"/>
  <c r="V467" i="8" s="1"/>
  <c r="V468" i="8" a="1"/>
  <c r="V468" i="8" s="1"/>
  <c r="V469" i="8" a="1"/>
  <c r="V469" i="8" s="1"/>
  <c r="V470" i="8" a="1"/>
  <c r="V470" i="8" s="1"/>
  <c r="V471" i="8" a="1"/>
  <c r="V471" i="8" s="1"/>
  <c r="V472" i="8" a="1"/>
  <c r="V472" i="8" s="1"/>
  <c r="V473" i="8" a="1"/>
  <c r="V473" i="8" s="1"/>
  <c r="V474" i="8" a="1"/>
  <c r="V474" i="8" s="1"/>
  <c r="V475" i="8" a="1"/>
  <c r="V475" i="8" s="1"/>
  <c r="V476" i="8" a="1"/>
  <c r="V476" i="8" s="1"/>
  <c r="V477" i="8" a="1"/>
  <c r="V477" i="8" s="1"/>
  <c r="V478" i="8" a="1"/>
  <c r="V478" i="8" s="1"/>
  <c r="V479" i="8" a="1"/>
  <c r="V479" i="8" s="1"/>
  <c r="V480" i="8" a="1"/>
  <c r="V480" i="8" s="1"/>
  <c r="V481" i="8" a="1"/>
  <c r="V481" i="8" s="1"/>
  <c r="V482" i="8" a="1"/>
  <c r="V482" i="8" s="1"/>
  <c r="V483" i="8" a="1"/>
  <c r="V483" i="8" s="1"/>
  <c r="V484" i="8" a="1"/>
  <c r="V484" i="8" s="1"/>
  <c r="V485" i="8" a="1"/>
  <c r="V485" i="8" s="1"/>
  <c r="V486" i="8" a="1"/>
  <c r="V486" i="8" s="1"/>
  <c r="V487" i="8" a="1"/>
  <c r="V487" i="8" s="1"/>
  <c r="V488" i="8" a="1"/>
  <c r="V488" i="8" s="1"/>
  <c r="V489" i="8" a="1"/>
  <c r="V489" i="8" s="1"/>
  <c r="V490" i="8" a="1"/>
  <c r="V490" i="8" s="1"/>
  <c r="V491" i="8" a="1"/>
  <c r="V491" i="8" s="1"/>
  <c r="V492" i="8" a="1"/>
  <c r="V492" i="8" s="1"/>
  <c r="V493" i="8" a="1"/>
  <c r="V493" i="8" s="1"/>
  <c r="V494" i="8" a="1"/>
  <c r="V494" i="8" s="1"/>
  <c r="V495" i="8" a="1"/>
  <c r="V495" i="8" s="1"/>
  <c r="V496" i="8" a="1"/>
  <c r="V496" i="8" s="1"/>
  <c r="V497" i="8" a="1"/>
  <c r="V497" i="8" s="1"/>
  <c r="V498" i="8" a="1"/>
  <c r="V498" i="8" s="1"/>
  <c r="V499" i="8" a="1"/>
  <c r="V499" i="8" s="1"/>
  <c r="V500" i="8" a="1"/>
  <c r="V500" i="8" s="1"/>
  <c r="V501" i="8" a="1"/>
  <c r="V501" i="8" s="1"/>
  <c r="V502" i="8" a="1"/>
  <c r="V502" i="8" s="1"/>
  <c r="V503" i="8" a="1"/>
  <c r="V503" i="8" s="1"/>
  <c r="V504" i="8" a="1"/>
  <c r="V504" i="8" s="1"/>
  <c r="V505" i="8" a="1"/>
  <c r="V505" i="8" s="1"/>
  <c r="V506" i="8" a="1"/>
  <c r="V506" i="8" s="1"/>
  <c r="P506" i="8" a="1"/>
  <c r="P506" i="8" s="1"/>
  <c r="AR506" i="8"/>
  <c r="AR505" i="8"/>
  <c r="P6" i="8" a="1"/>
  <c r="P6" i="8" s="1"/>
  <c r="P7" i="8" a="1"/>
  <c r="P7" i="8" s="1"/>
  <c r="P8" i="8" a="1"/>
  <c r="P8" i="8" s="1"/>
  <c r="P9" i="8" a="1"/>
  <c r="P9" i="8" s="1"/>
  <c r="P10" i="8" a="1"/>
  <c r="P10" i="8" s="1"/>
  <c r="P11" i="8" a="1"/>
  <c r="P11" i="8" s="1"/>
  <c r="P12" i="8" a="1"/>
  <c r="P12" i="8" s="1"/>
  <c r="P13" i="8" a="1"/>
  <c r="P13" i="8" s="1"/>
  <c r="P14" i="8" a="1"/>
  <c r="P14" i="8" s="1"/>
  <c r="P15" i="8" a="1"/>
  <c r="P15" i="8" s="1"/>
  <c r="P16" i="8" a="1"/>
  <c r="P16" i="8" s="1"/>
  <c r="P17" i="8" a="1"/>
  <c r="P17" i="8" s="1"/>
  <c r="P18" i="8" a="1"/>
  <c r="P18" i="8" s="1"/>
  <c r="P19" i="8" a="1"/>
  <c r="P19" i="8" s="1"/>
  <c r="P20" i="8" a="1"/>
  <c r="P20" i="8" s="1"/>
  <c r="P21" i="8" a="1"/>
  <c r="P21" i="8" s="1"/>
  <c r="P22" i="8" a="1"/>
  <c r="P22" i="8" s="1"/>
  <c r="P23" i="8" a="1"/>
  <c r="P23" i="8" s="1"/>
  <c r="P24" i="8" a="1"/>
  <c r="P24" i="8" s="1"/>
  <c r="P25" i="8" a="1"/>
  <c r="P25" i="8" s="1"/>
  <c r="P26" i="8" a="1"/>
  <c r="P26" i="8" s="1"/>
  <c r="P27" i="8" a="1"/>
  <c r="P27" i="8" s="1"/>
  <c r="P28" i="8" a="1"/>
  <c r="P28" i="8" s="1"/>
  <c r="P29" i="8" a="1"/>
  <c r="P29" i="8" s="1"/>
  <c r="P30" i="8" a="1"/>
  <c r="P30" i="8" s="1"/>
  <c r="P31" i="8" a="1"/>
  <c r="P31" i="8" s="1"/>
  <c r="P32" i="8" a="1"/>
  <c r="P32" i="8" s="1"/>
  <c r="P33" i="8" a="1"/>
  <c r="P33" i="8" s="1"/>
  <c r="P34" i="8" a="1"/>
  <c r="P34" i="8" s="1"/>
  <c r="P35" i="8" a="1"/>
  <c r="P35" i="8" s="1"/>
  <c r="P36" i="8" a="1"/>
  <c r="P36" i="8" s="1"/>
  <c r="P37" i="8" a="1"/>
  <c r="P37" i="8" s="1"/>
  <c r="P38" i="8" a="1"/>
  <c r="P38" i="8" s="1"/>
  <c r="P39" i="8" a="1"/>
  <c r="P39" i="8" s="1"/>
  <c r="P40" i="8" a="1"/>
  <c r="P40" i="8" s="1"/>
  <c r="P41" i="8" a="1"/>
  <c r="P41" i="8" s="1"/>
  <c r="P42" i="8" a="1"/>
  <c r="P42" i="8" s="1"/>
  <c r="P43" i="8" a="1"/>
  <c r="P43" i="8" s="1"/>
  <c r="P44" i="8" a="1"/>
  <c r="P44" i="8" s="1"/>
  <c r="P45" i="8" a="1"/>
  <c r="P45" i="8" s="1"/>
  <c r="P46" i="8" a="1"/>
  <c r="P46" i="8" s="1"/>
  <c r="P47" i="8" a="1"/>
  <c r="P47" i="8" s="1"/>
  <c r="P48" i="8" a="1"/>
  <c r="P48" i="8" s="1"/>
  <c r="P49" i="8" a="1"/>
  <c r="P49" i="8" s="1"/>
  <c r="P50" i="8" a="1"/>
  <c r="P50" i="8" s="1"/>
  <c r="P51" i="8" a="1"/>
  <c r="P51" i="8" s="1"/>
  <c r="P52" i="8" a="1"/>
  <c r="P52" i="8" s="1"/>
  <c r="P53" i="8" a="1"/>
  <c r="P53" i="8" s="1"/>
  <c r="P54" i="8" a="1"/>
  <c r="P54" i="8" s="1"/>
  <c r="P55" i="8" a="1"/>
  <c r="P55" i="8" s="1"/>
  <c r="P56" i="8" a="1"/>
  <c r="P56" i="8" s="1"/>
  <c r="P57" i="8" a="1"/>
  <c r="P57" i="8" s="1"/>
  <c r="P58" i="8" a="1"/>
  <c r="P58" i="8" s="1"/>
  <c r="P59" i="8" a="1"/>
  <c r="P59" i="8" s="1"/>
  <c r="P60" i="8" a="1"/>
  <c r="P60" i="8" s="1"/>
  <c r="P61" i="8" a="1"/>
  <c r="P61" i="8" s="1"/>
  <c r="P62" i="8" a="1"/>
  <c r="P62" i="8" s="1"/>
  <c r="P63" i="8" a="1"/>
  <c r="P63" i="8" s="1"/>
  <c r="P64" i="8" a="1"/>
  <c r="P64" i="8" s="1"/>
  <c r="P65" i="8" a="1"/>
  <c r="P65" i="8" s="1"/>
  <c r="P66" i="8" a="1"/>
  <c r="P66" i="8" s="1"/>
  <c r="P67" i="8" a="1"/>
  <c r="P67" i="8" s="1"/>
  <c r="P68" i="8" a="1"/>
  <c r="P68" i="8" s="1"/>
  <c r="P69" i="8" a="1"/>
  <c r="P69" i="8" s="1"/>
  <c r="P70" i="8" a="1"/>
  <c r="P70" i="8" s="1"/>
  <c r="P71" i="8" a="1"/>
  <c r="P71" i="8" s="1"/>
  <c r="P72" i="8" a="1"/>
  <c r="P72" i="8" s="1"/>
  <c r="P73" i="8" a="1"/>
  <c r="P73" i="8" s="1"/>
  <c r="P74" i="8" a="1"/>
  <c r="P74" i="8" s="1"/>
  <c r="P75" i="8" a="1"/>
  <c r="P75" i="8" s="1"/>
  <c r="P76" i="8" a="1"/>
  <c r="P76" i="8" s="1"/>
  <c r="P77" i="8" a="1"/>
  <c r="P77" i="8" s="1"/>
  <c r="P78" i="8" a="1"/>
  <c r="P78" i="8" s="1"/>
  <c r="P79" i="8" a="1"/>
  <c r="P79" i="8" s="1"/>
  <c r="P80" i="8" a="1"/>
  <c r="P80" i="8" s="1"/>
  <c r="P81" i="8" a="1"/>
  <c r="P81" i="8" s="1"/>
  <c r="P82" i="8" a="1"/>
  <c r="P82" i="8" s="1"/>
  <c r="P83" i="8" a="1"/>
  <c r="P83" i="8" s="1"/>
  <c r="P84" i="8" a="1"/>
  <c r="P84" i="8" s="1"/>
  <c r="P85" i="8" a="1"/>
  <c r="P85" i="8" s="1"/>
  <c r="P86" i="8" a="1"/>
  <c r="P86" i="8" s="1"/>
  <c r="P87" i="8" a="1"/>
  <c r="P87" i="8" s="1"/>
  <c r="P88" i="8" a="1"/>
  <c r="P88" i="8" s="1"/>
  <c r="P89" i="8" a="1"/>
  <c r="P89" i="8" s="1"/>
  <c r="P90" i="8" a="1"/>
  <c r="P90" i="8" s="1"/>
  <c r="P91" i="8" a="1"/>
  <c r="P91" i="8" s="1"/>
  <c r="P92" i="8" a="1"/>
  <c r="P92" i="8" s="1"/>
  <c r="P93" i="8" a="1"/>
  <c r="P93" i="8" s="1"/>
  <c r="P94" i="8" a="1"/>
  <c r="P94" i="8" s="1"/>
  <c r="P95" i="8" a="1"/>
  <c r="P95" i="8" s="1"/>
  <c r="P96" i="8" a="1"/>
  <c r="P96" i="8" s="1"/>
  <c r="P97" i="8" a="1"/>
  <c r="P97" i="8" s="1"/>
  <c r="P98" i="8" a="1"/>
  <c r="P98" i="8" s="1"/>
  <c r="P99" i="8" a="1"/>
  <c r="P99" i="8" s="1"/>
  <c r="P100" i="8" a="1"/>
  <c r="P100" i="8" s="1"/>
  <c r="P101" i="8" a="1"/>
  <c r="P101" i="8" s="1"/>
  <c r="P102" i="8" a="1"/>
  <c r="P102" i="8" s="1"/>
  <c r="P103" i="8" a="1"/>
  <c r="P103" i="8" s="1"/>
  <c r="P104" i="8" a="1"/>
  <c r="P104" i="8" s="1"/>
  <c r="P105" i="8" a="1"/>
  <c r="P105" i="8" s="1"/>
  <c r="P106" i="8" a="1"/>
  <c r="P106" i="8" s="1"/>
  <c r="P107" i="8" a="1"/>
  <c r="P107" i="8" s="1"/>
  <c r="P108" i="8" a="1"/>
  <c r="P108" i="8" s="1"/>
  <c r="P109" i="8" a="1"/>
  <c r="P109" i="8" s="1"/>
  <c r="P110" i="8" a="1"/>
  <c r="P110" i="8" s="1"/>
  <c r="P111" i="8" a="1"/>
  <c r="P111" i="8" s="1"/>
  <c r="P112" i="8" a="1"/>
  <c r="P112" i="8" s="1"/>
  <c r="P113" i="8" a="1"/>
  <c r="P113" i="8" s="1"/>
  <c r="P114" i="8" a="1"/>
  <c r="P114" i="8" s="1"/>
  <c r="P115" i="8" a="1"/>
  <c r="P115" i="8" s="1"/>
  <c r="P116" i="8" a="1"/>
  <c r="P116" i="8" s="1"/>
  <c r="P117" i="8" a="1"/>
  <c r="P117" i="8" s="1"/>
  <c r="P118" i="8" a="1"/>
  <c r="P118" i="8" s="1"/>
  <c r="P119" i="8" a="1"/>
  <c r="P119" i="8" s="1"/>
  <c r="P120" i="8" a="1"/>
  <c r="P120" i="8" s="1"/>
  <c r="P121" i="8" a="1"/>
  <c r="P121" i="8" s="1"/>
  <c r="P122" i="8" a="1"/>
  <c r="P122" i="8" s="1"/>
  <c r="P123" i="8" a="1"/>
  <c r="P123" i="8" s="1"/>
  <c r="P124" i="8" a="1"/>
  <c r="P124" i="8" s="1"/>
  <c r="P125" i="8" a="1"/>
  <c r="P125" i="8" s="1"/>
  <c r="P126" i="8" a="1"/>
  <c r="P126" i="8" s="1"/>
  <c r="P127" i="8" a="1"/>
  <c r="P127" i="8" s="1"/>
  <c r="P128" i="8" a="1"/>
  <c r="P128" i="8" s="1"/>
  <c r="P129" i="8" a="1"/>
  <c r="P129" i="8" s="1"/>
  <c r="P130" i="8" a="1"/>
  <c r="P130" i="8" s="1"/>
  <c r="P131" i="8" a="1"/>
  <c r="P131" i="8" s="1"/>
  <c r="P132" i="8" a="1"/>
  <c r="P132" i="8" s="1"/>
  <c r="P133" i="8" a="1"/>
  <c r="P133" i="8" s="1"/>
  <c r="P134" i="8" a="1"/>
  <c r="P134" i="8" s="1"/>
  <c r="P135" i="8" a="1"/>
  <c r="P135" i="8" s="1"/>
  <c r="P136" i="8" a="1"/>
  <c r="P136" i="8" s="1"/>
  <c r="P137" i="8" a="1"/>
  <c r="P137" i="8" s="1"/>
  <c r="P138" i="8" a="1"/>
  <c r="P138" i="8" s="1"/>
  <c r="P139" i="8" a="1"/>
  <c r="P139" i="8" s="1"/>
  <c r="P140" i="8" a="1"/>
  <c r="P140" i="8" s="1"/>
  <c r="P141" i="8" a="1"/>
  <c r="P141" i="8" s="1"/>
  <c r="P142" i="8" a="1"/>
  <c r="P142" i="8" s="1"/>
  <c r="P143" i="8" a="1"/>
  <c r="P143" i="8" s="1"/>
  <c r="P144" i="8" a="1"/>
  <c r="P144" i="8" s="1"/>
  <c r="P145" i="8" a="1"/>
  <c r="P145" i="8" s="1"/>
  <c r="P146" i="8" a="1"/>
  <c r="P146" i="8" s="1"/>
  <c r="P147" i="8" a="1"/>
  <c r="P147" i="8" s="1"/>
  <c r="P148" i="8" a="1"/>
  <c r="P148" i="8" s="1"/>
  <c r="P149" i="8" a="1"/>
  <c r="P149" i="8" s="1"/>
  <c r="P150" i="8" a="1"/>
  <c r="P150" i="8" s="1"/>
  <c r="P151" i="8" a="1"/>
  <c r="P151" i="8" s="1"/>
  <c r="P152" i="8" a="1"/>
  <c r="P152" i="8" s="1"/>
  <c r="P153" i="8" a="1"/>
  <c r="P153" i="8" s="1"/>
  <c r="P154" i="8" a="1"/>
  <c r="P154" i="8" s="1"/>
  <c r="P155" i="8" a="1"/>
  <c r="P155" i="8" s="1"/>
  <c r="P156" i="8" a="1"/>
  <c r="P156" i="8" s="1"/>
  <c r="P157" i="8" a="1"/>
  <c r="P157" i="8" s="1"/>
  <c r="P158" i="8" a="1"/>
  <c r="P158" i="8" s="1"/>
  <c r="P159" i="8" a="1"/>
  <c r="P159" i="8" s="1"/>
  <c r="P160" i="8" a="1"/>
  <c r="P160" i="8" s="1"/>
  <c r="P161" i="8" a="1"/>
  <c r="P161" i="8" s="1"/>
  <c r="P162" i="8" a="1"/>
  <c r="P162" i="8" s="1"/>
  <c r="P163" i="8" a="1"/>
  <c r="P163" i="8" s="1"/>
  <c r="P164" i="8" a="1"/>
  <c r="P164" i="8" s="1"/>
  <c r="P165" i="8" a="1"/>
  <c r="P165" i="8" s="1"/>
  <c r="P166" i="8" a="1"/>
  <c r="P166" i="8" s="1"/>
  <c r="P167" i="8" a="1"/>
  <c r="P167" i="8" s="1"/>
  <c r="P168" i="8" a="1"/>
  <c r="P168" i="8" s="1"/>
  <c r="P169" i="8" a="1"/>
  <c r="P169" i="8" s="1"/>
  <c r="P170" i="8" a="1"/>
  <c r="P170" i="8" s="1"/>
  <c r="P171" i="8" a="1"/>
  <c r="P171" i="8" s="1"/>
  <c r="P172" i="8" a="1"/>
  <c r="P172" i="8" s="1"/>
  <c r="P173" i="8" a="1"/>
  <c r="P173" i="8" s="1"/>
  <c r="P174" i="8" a="1"/>
  <c r="P174" i="8" s="1"/>
  <c r="P175" i="8" a="1"/>
  <c r="P175" i="8" s="1"/>
  <c r="P176" i="8" a="1"/>
  <c r="P176" i="8" s="1"/>
  <c r="P177" i="8" a="1"/>
  <c r="P177" i="8" s="1"/>
  <c r="P178" i="8" a="1"/>
  <c r="P178" i="8" s="1"/>
  <c r="P179" i="8" a="1"/>
  <c r="P179" i="8" s="1"/>
  <c r="P180" i="8" a="1"/>
  <c r="P180" i="8" s="1"/>
  <c r="P181" i="8" a="1"/>
  <c r="P181" i="8" s="1"/>
  <c r="P182" i="8" a="1"/>
  <c r="P182" i="8" s="1"/>
  <c r="P183" i="8" a="1"/>
  <c r="P183" i="8" s="1"/>
  <c r="P184" i="8" a="1"/>
  <c r="P184" i="8" s="1"/>
  <c r="P185" i="8" a="1"/>
  <c r="P185" i="8" s="1"/>
  <c r="P186" i="8" a="1"/>
  <c r="P186" i="8" s="1"/>
  <c r="P187" i="8" a="1"/>
  <c r="P187" i="8" s="1"/>
  <c r="P188" i="8" a="1"/>
  <c r="P188" i="8" s="1"/>
  <c r="P189" i="8" a="1"/>
  <c r="P189" i="8" s="1"/>
  <c r="P190" i="8" a="1"/>
  <c r="P190" i="8" s="1"/>
  <c r="P191" i="8" a="1"/>
  <c r="P191" i="8" s="1"/>
  <c r="P192" i="8" a="1"/>
  <c r="P192" i="8" s="1"/>
  <c r="P193" i="8" a="1"/>
  <c r="P193" i="8" s="1"/>
  <c r="P194" i="8" a="1"/>
  <c r="P194" i="8" s="1"/>
  <c r="P195" i="8" a="1"/>
  <c r="P195" i="8" s="1"/>
  <c r="P196" i="8" a="1"/>
  <c r="P196" i="8" s="1"/>
  <c r="P197" i="8" a="1"/>
  <c r="P197" i="8" s="1"/>
  <c r="P198" i="8" a="1"/>
  <c r="P198" i="8" s="1"/>
  <c r="P199" i="8" a="1"/>
  <c r="P199" i="8" s="1"/>
  <c r="P200" i="8" a="1"/>
  <c r="P200" i="8" s="1"/>
  <c r="P201" i="8" a="1"/>
  <c r="P201" i="8" s="1"/>
  <c r="P202" i="8" a="1"/>
  <c r="P202" i="8" s="1"/>
  <c r="P203" i="8" a="1"/>
  <c r="P203" i="8" s="1"/>
  <c r="P204" i="8" a="1"/>
  <c r="P204" i="8" s="1"/>
  <c r="P205" i="8" a="1"/>
  <c r="P205" i="8" s="1"/>
  <c r="P206" i="8" a="1"/>
  <c r="P206" i="8" s="1"/>
  <c r="P207" i="8" a="1"/>
  <c r="P207" i="8" s="1"/>
  <c r="P208" i="8" a="1"/>
  <c r="P208" i="8" s="1"/>
  <c r="P209" i="8" a="1"/>
  <c r="P209" i="8" s="1"/>
  <c r="P210" i="8" a="1"/>
  <c r="P210" i="8" s="1"/>
  <c r="P211" i="8" a="1"/>
  <c r="P211" i="8" s="1"/>
  <c r="P212" i="8" a="1"/>
  <c r="P212" i="8" s="1"/>
  <c r="P213" i="8" a="1"/>
  <c r="P213" i="8" s="1"/>
  <c r="P214" i="8" a="1"/>
  <c r="P214" i="8" s="1"/>
  <c r="P215" i="8" a="1"/>
  <c r="P215" i="8" s="1"/>
  <c r="P216" i="8" a="1"/>
  <c r="P216" i="8" s="1"/>
  <c r="P217" i="8" a="1"/>
  <c r="P217" i="8" s="1"/>
  <c r="P218" i="8" a="1"/>
  <c r="P218" i="8" s="1"/>
  <c r="P219" i="8" a="1"/>
  <c r="P219" i="8" s="1"/>
  <c r="P220" i="8" a="1"/>
  <c r="P220" i="8" s="1"/>
  <c r="P221" i="8" a="1"/>
  <c r="P221" i="8" s="1"/>
  <c r="P222" i="8" a="1"/>
  <c r="P222" i="8" s="1"/>
  <c r="P223" i="8" a="1"/>
  <c r="P223" i="8" s="1"/>
  <c r="P224" i="8" a="1"/>
  <c r="P224" i="8" s="1"/>
  <c r="P225" i="8" a="1"/>
  <c r="P225" i="8" s="1"/>
  <c r="P226" i="8" a="1"/>
  <c r="P226" i="8" s="1"/>
  <c r="P227" i="8" a="1"/>
  <c r="P227" i="8" s="1"/>
  <c r="P228" i="8" a="1"/>
  <c r="P228" i="8" s="1"/>
  <c r="P229" i="8" a="1"/>
  <c r="P229" i="8" s="1"/>
  <c r="P230" i="8" a="1"/>
  <c r="P230" i="8" s="1"/>
  <c r="P231" i="8" a="1"/>
  <c r="P231" i="8" s="1"/>
  <c r="P232" i="8" a="1"/>
  <c r="P232" i="8" s="1"/>
  <c r="P233" i="8" a="1"/>
  <c r="P233" i="8" s="1"/>
  <c r="P234" i="8" a="1"/>
  <c r="P234" i="8" s="1"/>
  <c r="P235" i="8" a="1"/>
  <c r="P235" i="8" s="1"/>
  <c r="P236" i="8" a="1"/>
  <c r="P236" i="8" s="1"/>
  <c r="P237" i="8" a="1"/>
  <c r="P237" i="8" s="1"/>
  <c r="P238" i="8" a="1"/>
  <c r="P238" i="8" s="1"/>
  <c r="P239" i="8" a="1"/>
  <c r="P239" i="8" s="1"/>
  <c r="P240" i="8" a="1"/>
  <c r="P240" i="8" s="1"/>
  <c r="P241" i="8" a="1"/>
  <c r="P241" i="8" s="1"/>
  <c r="P242" i="8" a="1"/>
  <c r="P242" i="8" s="1"/>
  <c r="P243" i="8" a="1"/>
  <c r="P243" i="8" s="1"/>
  <c r="P244" i="8" a="1"/>
  <c r="P244" i="8" s="1"/>
  <c r="P245" i="8" a="1"/>
  <c r="P245" i="8" s="1"/>
  <c r="P246" i="8" a="1"/>
  <c r="P246" i="8" s="1"/>
  <c r="P247" i="8" a="1"/>
  <c r="P247" i="8" s="1"/>
  <c r="P248" i="8" a="1"/>
  <c r="P248" i="8" s="1"/>
  <c r="P249" i="8" a="1"/>
  <c r="P249" i="8" s="1"/>
  <c r="P250" i="8" a="1"/>
  <c r="P250" i="8" s="1"/>
  <c r="P251" i="8" a="1"/>
  <c r="P251" i="8" s="1"/>
  <c r="P252" i="8" a="1"/>
  <c r="P252" i="8" s="1"/>
  <c r="P253" i="8" a="1"/>
  <c r="P253" i="8" s="1"/>
  <c r="P254" i="8" a="1"/>
  <c r="P254" i="8" s="1"/>
  <c r="P255" i="8" a="1"/>
  <c r="P255" i="8" s="1"/>
  <c r="P256" i="8" a="1"/>
  <c r="P256" i="8" s="1"/>
  <c r="P257" i="8" a="1"/>
  <c r="P257" i="8" s="1"/>
  <c r="P258" i="8" a="1"/>
  <c r="P258" i="8" s="1"/>
  <c r="P259" i="8" a="1"/>
  <c r="P259" i="8" s="1"/>
  <c r="P260" i="8" a="1"/>
  <c r="P260" i="8" s="1"/>
  <c r="P261" i="8" a="1"/>
  <c r="P261" i="8" s="1"/>
  <c r="P262" i="8" a="1"/>
  <c r="P262" i="8" s="1"/>
  <c r="P263" i="8" a="1"/>
  <c r="P263" i="8" s="1"/>
  <c r="P264" i="8" a="1"/>
  <c r="P264" i="8" s="1"/>
  <c r="P265" i="8" a="1"/>
  <c r="P265" i="8" s="1"/>
  <c r="P266" i="8" a="1"/>
  <c r="P266" i="8" s="1"/>
  <c r="P267" i="8" a="1"/>
  <c r="P267" i="8" s="1"/>
  <c r="P268" i="8" a="1"/>
  <c r="P268" i="8" s="1"/>
  <c r="P269" i="8" a="1"/>
  <c r="P269" i="8" s="1"/>
  <c r="P270" i="8" a="1"/>
  <c r="P270" i="8" s="1"/>
  <c r="P271" i="8" a="1"/>
  <c r="P271" i="8" s="1"/>
  <c r="P272" i="8" a="1"/>
  <c r="P272" i="8" s="1"/>
  <c r="P273" i="8" a="1"/>
  <c r="P273" i="8" s="1"/>
  <c r="P274" i="8" a="1"/>
  <c r="P274" i="8" s="1"/>
  <c r="P275" i="8" a="1"/>
  <c r="P275" i="8" s="1"/>
  <c r="P276" i="8" a="1"/>
  <c r="P276" i="8" s="1"/>
  <c r="P277" i="8" a="1"/>
  <c r="P277" i="8" s="1"/>
  <c r="P278" i="8" a="1"/>
  <c r="P278" i="8" s="1"/>
  <c r="P279" i="8" a="1"/>
  <c r="P279" i="8" s="1"/>
  <c r="P280" i="8" a="1"/>
  <c r="P280" i="8" s="1"/>
  <c r="P281" i="8" a="1"/>
  <c r="P281" i="8" s="1"/>
  <c r="P282" i="8" a="1"/>
  <c r="P282" i="8" s="1"/>
  <c r="P283" i="8" a="1"/>
  <c r="P283" i="8" s="1"/>
  <c r="P284" i="8" a="1"/>
  <c r="P284" i="8" s="1"/>
  <c r="P285" i="8" a="1"/>
  <c r="P285" i="8" s="1"/>
  <c r="P286" i="8" a="1"/>
  <c r="P286" i="8" s="1"/>
  <c r="P287" i="8" a="1"/>
  <c r="P287" i="8" s="1"/>
  <c r="P288" i="8" a="1"/>
  <c r="P288" i="8" s="1"/>
  <c r="P289" i="8" a="1"/>
  <c r="P289" i="8" s="1"/>
  <c r="P290" i="8" a="1"/>
  <c r="P290" i="8" s="1"/>
  <c r="P291" i="8" a="1"/>
  <c r="P291" i="8" s="1"/>
  <c r="P292" i="8" a="1"/>
  <c r="P292" i="8" s="1"/>
  <c r="P293" i="8" a="1"/>
  <c r="P293" i="8" s="1"/>
  <c r="P294" i="8" a="1"/>
  <c r="P294" i="8" s="1"/>
  <c r="P295" i="8" a="1"/>
  <c r="P295" i="8" s="1"/>
  <c r="P296" i="8" a="1"/>
  <c r="P296" i="8" s="1"/>
  <c r="P297" i="8" a="1"/>
  <c r="P297" i="8" s="1"/>
  <c r="P298" i="8" a="1"/>
  <c r="P298" i="8" s="1"/>
  <c r="P299" i="8" a="1"/>
  <c r="P299" i="8" s="1"/>
  <c r="P300" i="8" a="1"/>
  <c r="P300" i="8" s="1"/>
  <c r="P301" i="8" a="1"/>
  <c r="P301" i="8" s="1"/>
  <c r="P302" i="8" a="1"/>
  <c r="P302" i="8" s="1"/>
  <c r="P303" i="8" a="1"/>
  <c r="P303" i="8" s="1"/>
  <c r="P304" i="8" a="1"/>
  <c r="P304" i="8" s="1"/>
  <c r="P305" i="8" a="1"/>
  <c r="P305" i="8" s="1"/>
  <c r="P306" i="8" a="1"/>
  <c r="P306" i="8" s="1"/>
  <c r="P307" i="8" a="1"/>
  <c r="P307" i="8" s="1"/>
  <c r="P308" i="8" a="1"/>
  <c r="P308" i="8" s="1"/>
  <c r="P309" i="8" a="1"/>
  <c r="P309" i="8" s="1"/>
  <c r="P310" i="8" a="1"/>
  <c r="P310" i="8" s="1"/>
  <c r="P311" i="8" a="1"/>
  <c r="P311" i="8" s="1"/>
  <c r="P312" i="8" a="1"/>
  <c r="P312" i="8" s="1"/>
  <c r="P313" i="8" a="1"/>
  <c r="P313" i="8" s="1"/>
  <c r="P314" i="8" a="1"/>
  <c r="P314" i="8" s="1"/>
  <c r="P315" i="8" a="1"/>
  <c r="P315" i="8" s="1"/>
  <c r="P316" i="8" a="1"/>
  <c r="P316" i="8" s="1"/>
  <c r="P317" i="8" a="1"/>
  <c r="P317" i="8" s="1"/>
  <c r="P318" i="8" a="1"/>
  <c r="P318" i="8" s="1"/>
  <c r="P319" i="8" a="1"/>
  <c r="P319" i="8" s="1"/>
  <c r="P320" i="8" a="1"/>
  <c r="P320" i="8" s="1"/>
  <c r="P321" i="8" a="1"/>
  <c r="P321" i="8" s="1"/>
  <c r="P322" i="8" a="1"/>
  <c r="P322" i="8" s="1"/>
  <c r="P323" i="8" a="1"/>
  <c r="P323" i="8" s="1"/>
  <c r="P324" i="8" a="1"/>
  <c r="P324" i="8" s="1"/>
  <c r="P325" i="8" a="1"/>
  <c r="P325" i="8" s="1"/>
  <c r="P326" i="8" a="1"/>
  <c r="P326" i="8" s="1"/>
  <c r="P327" i="8" a="1"/>
  <c r="P327" i="8" s="1"/>
  <c r="P328" i="8" a="1"/>
  <c r="P328" i="8" s="1"/>
  <c r="P329" i="8" a="1"/>
  <c r="P329" i="8" s="1"/>
  <c r="P330" i="8" a="1"/>
  <c r="P330" i="8" s="1"/>
  <c r="P331" i="8" a="1"/>
  <c r="P331" i="8" s="1"/>
  <c r="P332" i="8" a="1"/>
  <c r="P332" i="8" s="1"/>
  <c r="P333" i="8" a="1"/>
  <c r="P333" i="8" s="1"/>
  <c r="P334" i="8" a="1"/>
  <c r="P334" i="8" s="1"/>
  <c r="P335" i="8" a="1"/>
  <c r="P335" i="8" s="1"/>
  <c r="P336" i="8" a="1"/>
  <c r="P336" i="8" s="1"/>
  <c r="P337" i="8" a="1"/>
  <c r="P337" i="8" s="1"/>
  <c r="P338" i="8" a="1"/>
  <c r="P338" i="8" s="1"/>
  <c r="P339" i="8" a="1"/>
  <c r="P339" i="8" s="1"/>
  <c r="P340" i="8" a="1"/>
  <c r="P340" i="8" s="1"/>
  <c r="P341" i="8" a="1"/>
  <c r="P341" i="8" s="1"/>
  <c r="P342" i="8" a="1"/>
  <c r="P342" i="8" s="1"/>
  <c r="P343" i="8" a="1"/>
  <c r="P343" i="8" s="1"/>
  <c r="P344" i="8" a="1"/>
  <c r="P344" i="8" s="1"/>
  <c r="P345" i="8" a="1"/>
  <c r="P345" i="8" s="1"/>
  <c r="P346" i="8" a="1"/>
  <c r="P346" i="8" s="1"/>
  <c r="P347" i="8" a="1"/>
  <c r="P347" i="8" s="1"/>
  <c r="P348" i="8" a="1"/>
  <c r="P348" i="8" s="1"/>
  <c r="P349" i="8" a="1"/>
  <c r="P349" i="8" s="1"/>
  <c r="P350" i="8" a="1"/>
  <c r="P350" i="8" s="1"/>
  <c r="P351" i="8" a="1"/>
  <c r="P351" i="8" s="1"/>
  <c r="P352" i="8" a="1"/>
  <c r="P352" i="8" s="1"/>
  <c r="P353" i="8" a="1"/>
  <c r="P353" i="8" s="1"/>
  <c r="P354" i="8" a="1"/>
  <c r="P354" i="8" s="1"/>
  <c r="P355" i="8" a="1"/>
  <c r="P355" i="8" s="1"/>
  <c r="P356" i="8" a="1"/>
  <c r="P356" i="8" s="1"/>
  <c r="P357" i="8" a="1"/>
  <c r="P357" i="8" s="1"/>
  <c r="P358" i="8" a="1"/>
  <c r="P358" i="8" s="1"/>
  <c r="P359" i="8" a="1"/>
  <c r="P359" i="8" s="1"/>
  <c r="P360" i="8" a="1"/>
  <c r="P360" i="8" s="1"/>
  <c r="P361" i="8" a="1"/>
  <c r="P361" i="8" s="1"/>
  <c r="P362" i="8" a="1"/>
  <c r="P362" i="8" s="1"/>
  <c r="P363" i="8" a="1"/>
  <c r="P363" i="8" s="1"/>
  <c r="P364" i="8" a="1"/>
  <c r="P364" i="8" s="1"/>
  <c r="P365" i="8" a="1"/>
  <c r="P365" i="8" s="1"/>
  <c r="P366" i="8" a="1"/>
  <c r="P366" i="8" s="1"/>
  <c r="P367" i="8" a="1"/>
  <c r="P367" i="8" s="1"/>
  <c r="P368" i="8" a="1"/>
  <c r="P368" i="8" s="1"/>
  <c r="P369" i="8" a="1"/>
  <c r="P369" i="8" s="1"/>
  <c r="P370" i="8" a="1"/>
  <c r="P370" i="8" s="1"/>
  <c r="P371" i="8" a="1"/>
  <c r="P371" i="8" s="1"/>
  <c r="P372" i="8" a="1"/>
  <c r="P372" i="8" s="1"/>
  <c r="P373" i="8" a="1"/>
  <c r="P373" i="8" s="1"/>
  <c r="P374" i="8" a="1"/>
  <c r="P374" i="8" s="1"/>
  <c r="P375" i="8" a="1"/>
  <c r="P375" i="8" s="1"/>
  <c r="P376" i="8" a="1"/>
  <c r="P376" i="8" s="1"/>
  <c r="P377" i="8" a="1"/>
  <c r="P377" i="8" s="1"/>
  <c r="P378" i="8" a="1"/>
  <c r="P378" i="8" s="1"/>
  <c r="P379" i="8" a="1"/>
  <c r="P379" i="8" s="1"/>
  <c r="P380" i="8" a="1"/>
  <c r="P380" i="8" s="1"/>
  <c r="P381" i="8" a="1"/>
  <c r="P381" i="8" s="1"/>
  <c r="P382" i="8" a="1"/>
  <c r="P382" i="8" s="1"/>
  <c r="P383" i="8" a="1"/>
  <c r="P383" i="8" s="1"/>
  <c r="P384" i="8" a="1"/>
  <c r="P384" i="8" s="1"/>
  <c r="P385" i="8" a="1"/>
  <c r="P385" i="8" s="1"/>
  <c r="P386" i="8" a="1"/>
  <c r="P386" i="8" s="1"/>
  <c r="P387" i="8" a="1"/>
  <c r="P387" i="8" s="1"/>
  <c r="P388" i="8" a="1"/>
  <c r="P388" i="8" s="1"/>
  <c r="P389" i="8" a="1"/>
  <c r="P389" i="8" s="1"/>
  <c r="P390" i="8" a="1"/>
  <c r="P390" i="8" s="1"/>
  <c r="P391" i="8" a="1"/>
  <c r="P391" i="8" s="1"/>
  <c r="P392" i="8" a="1"/>
  <c r="P392" i="8" s="1"/>
  <c r="P393" i="8" a="1"/>
  <c r="P393" i="8" s="1"/>
  <c r="P394" i="8" a="1"/>
  <c r="P394" i="8" s="1"/>
  <c r="P395" i="8" a="1"/>
  <c r="P395" i="8" s="1"/>
  <c r="P396" i="8" a="1"/>
  <c r="P396" i="8" s="1"/>
  <c r="P397" i="8" a="1"/>
  <c r="P397" i="8" s="1"/>
  <c r="P398" i="8" a="1"/>
  <c r="P398" i="8" s="1"/>
  <c r="P399" i="8" a="1"/>
  <c r="P399" i="8" s="1"/>
  <c r="P400" i="8" a="1"/>
  <c r="P400" i="8" s="1"/>
  <c r="P401" i="8" a="1"/>
  <c r="P401" i="8" s="1"/>
  <c r="P402" i="8" a="1"/>
  <c r="P402" i="8" s="1"/>
  <c r="P403" i="8" a="1"/>
  <c r="P403" i="8" s="1"/>
  <c r="P404" i="8" a="1"/>
  <c r="P404" i="8" s="1"/>
  <c r="P405" i="8" a="1"/>
  <c r="P405" i="8" s="1"/>
  <c r="P406" i="8" a="1"/>
  <c r="P406" i="8" s="1"/>
  <c r="P407" i="8" a="1"/>
  <c r="P407" i="8" s="1"/>
  <c r="P408" i="8" a="1"/>
  <c r="P408" i="8" s="1"/>
  <c r="P409" i="8" a="1"/>
  <c r="P409" i="8" s="1"/>
  <c r="P410" i="8" a="1"/>
  <c r="P410" i="8" s="1"/>
  <c r="P411" i="8" a="1"/>
  <c r="P411" i="8" s="1"/>
  <c r="P412" i="8" a="1"/>
  <c r="P412" i="8" s="1"/>
  <c r="P413" i="8" a="1"/>
  <c r="P413" i="8" s="1"/>
  <c r="P414" i="8" a="1"/>
  <c r="P414" i="8" s="1"/>
  <c r="P415" i="8" a="1"/>
  <c r="P415" i="8" s="1"/>
  <c r="P416" i="8" a="1"/>
  <c r="P416" i="8" s="1"/>
  <c r="P417" i="8" a="1"/>
  <c r="P417" i="8" s="1"/>
  <c r="P418" i="8" a="1"/>
  <c r="P418" i="8" s="1"/>
  <c r="P419" i="8" a="1"/>
  <c r="P419" i="8" s="1"/>
  <c r="P420" i="8" a="1"/>
  <c r="P420" i="8" s="1"/>
  <c r="P421" i="8" a="1"/>
  <c r="P421" i="8" s="1"/>
  <c r="P422" i="8" a="1"/>
  <c r="P422" i="8" s="1"/>
  <c r="P423" i="8" a="1"/>
  <c r="P423" i="8" s="1"/>
  <c r="P424" i="8" a="1"/>
  <c r="P424" i="8" s="1"/>
  <c r="P425" i="8" a="1"/>
  <c r="P425" i="8" s="1"/>
  <c r="P426" i="8" a="1"/>
  <c r="P426" i="8" s="1"/>
  <c r="P427" i="8" a="1"/>
  <c r="P427" i="8" s="1"/>
  <c r="P428" i="8" a="1"/>
  <c r="P428" i="8" s="1"/>
  <c r="P429" i="8" a="1"/>
  <c r="P429" i="8" s="1"/>
  <c r="P430" i="8" a="1"/>
  <c r="P430" i="8" s="1"/>
  <c r="P431" i="8" a="1"/>
  <c r="P431" i="8" s="1"/>
  <c r="P432" i="8" a="1"/>
  <c r="P432" i="8" s="1"/>
  <c r="P433" i="8" a="1"/>
  <c r="P433" i="8" s="1"/>
  <c r="P434" i="8" a="1"/>
  <c r="P434" i="8" s="1"/>
  <c r="P435" i="8" a="1"/>
  <c r="P435" i="8" s="1"/>
  <c r="P436" i="8" a="1"/>
  <c r="P436" i="8" s="1"/>
  <c r="P437" i="8" a="1"/>
  <c r="P437" i="8" s="1"/>
  <c r="P438" i="8" a="1"/>
  <c r="P438" i="8" s="1"/>
  <c r="P439" i="8" a="1"/>
  <c r="P439" i="8" s="1"/>
  <c r="P440" i="8" a="1"/>
  <c r="P440" i="8" s="1"/>
  <c r="P441" i="8" a="1"/>
  <c r="P441" i="8" s="1"/>
  <c r="P442" i="8" a="1"/>
  <c r="P442" i="8" s="1"/>
  <c r="P443" i="8" a="1"/>
  <c r="P443" i="8" s="1"/>
  <c r="P444" i="8" a="1"/>
  <c r="P444" i="8" s="1"/>
  <c r="P445" i="8" a="1"/>
  <c r="P445" i="8" s="1"/>
  <c r="P446" i="8" a="1"/>
  <c r="P446" i="8" s="1"/>
  <c r="P447" i="8" a="1"/>
  <c r="P447" i="8" s="1"/>
  <c r="P448" i="8" a="1"/>
  <c r="P448" i="8" s="1"/>
  <c r="P449" i="8" a="1"/>
  <c r="P449" i="8" s="1"/>
  <c r="P450" i="8" a="1"/>
  <c r="P450" i="8" s="1"/>
  <c r="P451" i="8" a="1"/>
  <c r="P451" i="8" s="1"/>
  <c r="P452" i="8" a="1"/>
  <c r="P452" i="8" s="1"/>
  <c r="P453" i="8" a="1"/>
  <c r="P453" i="8" s="1"/>
  <c r="P454" i="8" a="1"/>
  <c r="P454" i="8" s="1"/>
  <c r="P455" i="8" a="1"/>
  <c r="P455" i="8" s="1"/>
  <c r="P456" i="8" a="1"/>
  <c r="P456" i="8" s="1"/>
  <c r="P457" i="8" a="1"/>
  <c r="P457" i="8" s="1"/>
  <c r="P458" i="8" a="1"/>
  <c r="P458" i="8" s="1"/>
  <c r="P459" i="8" a="1"/>
  <c r="P459" i="8" s="1"/>
  <c r="P460" i="8" a="1"/>
  <c r="P460" i="8" s="1"/>
  <c r="P461" i="8" a="1"/>
  <c r="P461" i="8" s="1"/>
  <c r="P462" i="8" a="1"/>
  <c r="P462" i="8" s="1"/>
  <c r="P463" i="8" a="1"/>
  <c r="P463" i="8" s="1"/>
  <c r="P464" i="8" a="1"/>
  <c r="P464" i="8" s="1"/>
  <c r="P465" i="8" a="1"/>
  <c r="P465" i="8" s="1"/>
  <c r="P466" i="8" a="1"/>
  <c r="P466" i="8" s="1"/>
  <c r="P467" i="8" a="1"/>
  <c r="P467" i="8" s="1"/>
  <c r="P468" i="8" a="1"/>
  <c r="P468" i="8" s="1"/>
  <c r="P469" i="8" a="1"/>
  <c r="P469" i="8" s="1"/>
  <c r="P470" i="8" a="1"/>
  <c r="P470" i="8" s="1"/>
  <c r="P471" i="8" a="1"/>
  <c r="P471" i="8" s="1"/>
  <c r="P472" i="8" a="1"/>
  <c r="P472" i="8" s="1"/>
  <c r="P473" i="8" a="1"/>
  <c r="P473" i="8" s="1"/>
  <c r="P474" i="8" a="1"/>
  <c r="P474" i="8" s="1"/>
  <c r="P475" i="8" a="1"/>
  <c r="P475" i="8" s="1"/>
  <c r="P476" i="8" a="1"/>
  <c r="P476" i="8" s="1"/>
  <c r="P477" i="8" a="1"/>
  <c r="P477" i="8" s="1"/>
  <c r="P478" i="8" a="1"/>
  <c r="P478" i="8" s="1"/>
  <c r="P479" i="8" a="1"/>
  <c r="P479" i="8" s="1"/>
  <c r="P480" i="8" a="1"/>
  <c r="P480" i="8" s="1"/>
  <c r="P481" i="8" a="1"/>
  <c r="P481" i="8" s="1"/>
  <c r="P482" i="8" a="1"/>
  <c r="P482" i="8" s="1"/>
  <c r="P483" i="8" a="1"/>
  <c r="P483" i="8" s="1"/>
  <c r="P484" i="8" a="1"/>
  <c r="P484" i="8" s="1"/>
  <c r="P485" i="8" a="1"/>
  <c r="P485" i="8" s="1"/>
  <c r="P486" i="8" a="1"/>
  <c r="P486" i="8" s="1"/>
  <c r="P487" i="8" a="1"/>
  <c r="P487" i="8" s="1"/>
  <c r="P488" i="8" a="1"/>
  <c r="P488" i="8" s="1"/>
  <c r="P489" i="8" a="1"/>
  <c r="P489" i="8" s="1"/>
  <c r="P490" i="8" a="1"/>
  <c r="P490" i="8" s="1"/>
  <c r="P491" i="8" a="1"/>
  <c r="P491" i="8" s="1"/>
  <c r="P492" i="8" a="1"/>
  <c r="P492" i="8" s="1"/>
  <c r="P493" i="8" a="1"/>
  <c r="P493" i="8" s="1"/>
  <c r="P494" i="8" a="1"/>
  <c r="P494" i="8" s="1"/>
  <c r="P495" i="8" a="1"/>
  <c r="P495" i="8" s="1"/>
  <c r="P496" i="8" a="1"/>
  <c r="P496" i="8" s="1"/>
  <c r="P497" i="8" a="1"/>
  <c r="P497" i="8" s="1"/>
  <c r="P498" i="8" a="1"/>
  <c r="P498" i="8" s="1"/>
  <c r="P499" i="8" a="1"/>
  <c r="P499" i="8" s="1"/>
  <c r="P500" i="8" a="1"/>
  <c r="P500" i="8" s="1"/>
  <c r="P501" i="8" a="1"/>
  <c r="P501" i="8" s="1"/>
  <c r="P502" i="8" a="1"/>
  <c r="P502" i="8" s="1"/>
  <c r="P503" i="8" a="1"/>
  <c r="P503" i="8" s="1"/>
  <c r="P504" i="8" a="1"/>
  <c r="P504" i="8" s="1"/>
  <c r="P2" i="8" a="1"/>
  <c r="P2" i="8" s="1"/>
  <c r="P4" i="8" a="1"/>
  <c r="P4" i="8" s="1"/>
  <c r="P5" i="8" a="1"/>
  <c r="P5" i="8" s="1"/>
  <c r="AR6" i="8"/>
  <c r="AR7" i="8"/>
  <c r="AR8" i="8"/>
  <c r="AR9" i="8"/>
  <c r="AR10" i="8"/>
  <c r="AR11" i="8"/>
  <c r="AR12" i="8"/>
  <c r="AR13" i="8"/>
  <c r="AR14" i="8"/>
  <c r="AR15" i="8"/>
  <c r="AR16" i="8"/>
  <c r="AR17" i="8"/>
  <c r="AR18" i="8"/>
  <c r="AR19" i="8"/>
  <c r="AR20" i="8"/>
  <c r="AR21" i="8"/>
  <c r="AR22" i="8"/>
  <c r="AR23" i="8"/>
  <c r="AR24" i="8"/>
  <c r="AR25" i="8"/>
  <c r="AR26" i="8"/>
  <c r="AR27" i="8"/>
  <c r="AR28" i="8"/>
  <c r="AR29" i="8"/>
  <c r="AR30" i="8"/>
  <c r="AR31" i="8"/>
  <c r="AR32" i="8"/>
  <c r="AR33" i="8"/>
  <c r="AR34" i="8"/>
  <c r="AR35" i="8"/>
  <c r="AR36" i="8"/>
  <c r="AR37" i="8"/>
  <c r="AR38" i="8"/>
  <c r="AR39" i="8"/>
  <c r="AR40" i="8"/>
  <c r="AR41" i="8"/>
  <c r="AR42" i="8"/>
  <c r="AR43" i="8"/>
  <c r="AR44" i="8"/>
  <c r="AR45" i="8"/>
  <c r="AR46" i="8"/>
  <c r="AR47" i="8"/>
  <c r="AR48" i="8"/>
  <c r="AR49" i="8"/>
  <c r="AR50" i="8"/>
  <c r="AR51" i="8"/>
  <c r="AR52" i="8"/>
  <c r="AR53" i="8"/>
  <c r="AR54" i="8"/>
  <c r="AR55" i="8"/>
  <c r="AR56" i="8"/>
  <c r="AR57" i="8"/>
  <c r="AR58" i="8"/>
  <c r="AR59" i="8"/>
  <c r="AR60" i="8"/>
  <c r="AR61" i="8"/>
  <c r="AR62" i="8"/>
  <c r="AR63" i="8"/>
  <c r="AR64" i="8"/>
  <c r="AR65" i="8"/>
  <c r="AR66" i="8"/>
  <c r="AR67" i="8"/>
  <c r="AR68" i="8"/>
  <c r="AR69" i="8"/>
  <c r="AR70" i="8"/>
  <c r="AR71" i="8"/>
  <c r="AR72" i="8"/>
  <c r="AR73" i="8"/>
  <c r="AR74" i="8"/>
  <c r="AR75" i="8"/>
  <c r="AR76" i="8"/>
  <c r="AR77" i="8"/>
  <c r="AR78" i="8"/>
  <c r="AR79" i="8"/>
  <c r="AR80" i="8"/>
  <c r="AR81" i="8"/>
  <c r="AR82" i="8"/>
  <c r="AR83" i="8"/>
  <c r="AR84" i="8"/>
  <c r="AR85" i="8"/>
  <c r="AR86" i="8"/>
  <c r="AR87" i="8"/>
  <c r="AR88" i="8"/>
  <c r="AR89" i="8"/>
  <c r="AR90" i="8"/>
  <c r="AR91" i="8"/>
  <c r="AR92" i="8"/>
  <c r="AR93" i="8"/>
  <c r="AR94" i="8"/>
  <c r="AR95" i="8"/>
  <c r="AR96" i="8"/>
  <c r="AR97" i="8"/>
  <c r="AR98" i="8"/>
  <c r="AR99" i="8"/>
  <c r="AR100" i="8"/>
  <c r="AR101" i="8"/>
  <c r="AR102" i="8"/>
  <c r="AR103" i="8"/>
  <c r="AR104" i="8"/>
  <c r="AR105" i="8"/>
  <c r="AR106" i="8"/>
  <c r="AR107" i="8"/>
  <c r="AR108" i="8"/>
  <c r="AR109" i="8"/>
  <c r="AR110" i="8"/>
  <c r="AR111" i="8"/>
  <c r="AR112" i="8"/>
  <c r="AR113" i="8"/>
  <c r="AR114" i="8"/>
  <c r="AR115" i="8"/>
  <c r="AR116" i="8"/>
  <c r="AR117" i="8"/>
  <c r="AR118" i="8"/>
  <c r="AR119" i="8"/>
  <c r="AR120" i="8"/>
  <c r="AR121" i="8"/>
  <c r="AR122" i="8"/>
  <c r="AR123" i="8"/>
  <c r="AR124" i="8"/>
  <c r="AR125" i="8"/>
  <c r="AR126" i="8"/>
  <c r="AR127" i="8"/>
  <c r="AR128" i="8"/>
  <c r="AR129" i="8"/>
  <c r="AR130" i="8"/>
  <c r="AR131" i="8"/>
  <c r="AR132" i="8"/>
  <c r="AR133" i="8"/>
  <c r="AR134" i="8"/>
  <c r="AR135" i="8"/>
  <c r="AR136" i="8"/>
  <c r="AR137" i="8"/>
  <c r="AR138" i="8"/>
  <c r="AR139" i="8"/>
  <c r="AR140" i="8"/>
  <c r="AR141" i="8"/>
  <c r="AR142" i="8"/>
  <c r="AR143" i="8"/>
  <c r="AR144" i="8"/>
  <c r="AR145" i="8"/>
  <c r="AR146" i="8"/>
  <c r="AR147" i="8"/>
  <c r="AR148" i="8"/>
  <c r="AR149" i="8"/>
  <c r="AR150" i="8"/>
  <c r="AR151" i="8"/>
  <c r="AR152" i="8"/>
  <c r="AR153" i="8"/>
  <c r="AR154" i="8"/>
  <c r="AR155" i="8"/>
  <c r="AR156" i="8"/>
  <c r="AR157" i="8"/>
  <c r="AR158" i="8"/>
  <c r="AR159" i="8"/>
  <c r="AR160" i="8"/>
  <c r="AR161" i="8"/>
  <c r="AR162" i="8"/>
  <c r="AR163" i="8"/>
  <c r="AR164" i="8"/>
  <c r="AR165" i="8"/>
  <c r="AR166" i="8"/>
  <c r="AR167" i="8"/>
  <c r="AR168" i="8"/>
  <c r="AR169" i="8"/>
  <c r="AR170" i="8"/>
  <c r="AR171" i="8"/>
  <c r="AR172" i="8"/>
  <c r="AR173" i="8"/>
  <c r="AR174" i="8"/>
  <c r="AR175" i="8"/>
  <c r="AR176" i="8"/>
  <c r="AR177" i="8"/>
  <c r="AR178" i="8"/>
  <c r="AR179" i="8"/>
  <c r="AR180" i="8"/>
  <c r="AR181" i="8"/>
  <c r="AR182" i="8"/>
  <c r="AR183" i="8"/>
  <c r="AR184" i="8"/>
  <c r="AR185" i="8"/>
  <c r="AR186" i="8"/>
  <c r="AR187" i="8"/>
  <c r="AR188" i="8"/>
  <c r="AR189" i="8"/>
  <c r="AR190" i="8"/>
  <c r="AR191" i="8"/>
  <c r="AR192" i="8"/>
  <c r="AR193" i="8"/>
  <c r="AR194" i="8"/>
  <c r="AR195" i="8"/>
  <c r="AR196" i="8"/>
  <c r="AR197" i="8"/>
  <c r="AR198" i="8"/>
  <c r="AR199" i="8"/>
  <c r="AR200" i="8"/>
  <c r="AR201" i="8"/>
  <c r="AR202" i="8"/>
  <c r="AR203" i="8"/>
  <c r="AR204" i="8"/>
  <c r="AR205" i="8"/>
  <c r="AR206" i="8"/>
  <c r="AR207" i="8"/>
  <c r="AR208" i="8"/>
  <c r="AR209" i="8"/>
  <c r="AR210" i="8"/>
  <c r="AR211" i="8"/>
  <c r="AR212" i="8"/>
  <c r="AR213" i="8"/>
  <c r="AR214" i="8"/>
  <c r="AR215" i="8"/>
  <c r="AR216" i="8"/>
  <c r="AR217" i="8"/>
  <c r="AR218" i="8"/>
  <c r="AR219" i="8"/>
  <c r="AR220" i="8"/>
  <c r="AR221" i="8"/>
  <c r="AR222" i="8"/>
  <c r="AR223" i="8"/>
  <c r="AR224" i="8"/>
  <c r="AR225" i="8"/>
  <c r="AR226" i="8"/>
  <c r="AR227" i="8"/>
  <c r="AR228" i="8"/>
  <c r="AR229" i="8"/>
  <c r="AR230" i="8"/>
  <c r="AR231" i="8"/>
  <c r="AR232" i="8"/>
  <c r="AR233" i="8"/>
  <c r="AR234" i="8"/>
  <c r="AR235" i="8"/>
  <c r="AR236" i="8"/>
  <c r="AR237" i="8"/>
  <c r="AR238" i="8"/>
  <c r="AR239" i="8"/>
  <c r="AR240" i="8"/>
  <c r="AR241" i="8"/>
  <c r="AR242" i="8"/>
  <c r="AR243" i="8"/>
  <c r="AR244" i="8"/>
  <c r="AR245" i="8"/>
  <c r="AR246" i="8"/>
  <c r="AR247" i="8"/>
  <c r="AR248" i="8"/>
  <c r="AR249" i="8"/>
  <c r="AR250" i="8"/>
  <c r="AR251" i="8"/>
  <c r="AR252" i="8"/>
  <c r="AR253" i="8"/>
  <c r="AR254" i="8"/>
  <c r="AR255" i="8"/>
  <c r="AR256" i="8"/>
  <c r="AR257" i="8"/>
  <c r="AR258" i="8"/>
  <c r="AR259" i="8"/>
  <c r="AR260" i="8"/>
  <c r="AR261" i="8"/>
  <c r="AR262" i="8"/>
  <c r="AR263" i="8"/>
  <c r="AR264" i="8"/>
  <c r="AR265" i="8"/>
  <c r="AR266" i="8"/>
  <c r="AR267" i="8"/>
  <c r="AR268" i="8"/>
  <c r="AR269" i="8"/>
  <c r="AR270" i="8"/>
  <c r="AR271" i="8"/>
  <c r="AR272" i="8"/>
  <c r="AR273" i="8"/>
  <c r="AR274" i="8"/>
  <c r="AR275" i="8"/>
  <c r="AR276" i="8"/>
  <c r="AR277" i="8"/>
  <c r="AR278" i="8"/>
  <c r="AR279" i="8"/>
  <c r="AR280" i="8"/>
  <c r="AR281" i="8"/>
  <c r="AR282" i="8"/>
  <c r="AR283" i="8"/>
  <c r="AR284" i="8"/>
  <c r="AR285" i="8"/>
  <c r="AR286" i="8"/>
  <c r="AR287" i="8"/>
  <c r="AR288" i="8"/>
  <c r="AR289" i="8"/>
  <c r="AR290" i="8"/>
  <c r="AR291" i="8"/>
  <c r="AR292" i="8"/>
  <c r="AR293" i="8"/>
  <c r="AR294" i="8"/>
  <c r="AR295" i="8"/>
  <c r="AR296" i="8"/>
  <c r="AR297" i="8"/>
  <c r="AR298" i="8"/>
  <c r="AR299" i="8"/>
  <c r="AR300" i="8"/>
  <c r="AR301" i="8"/>
  <c r="AR302" i="8"/>
  <c r="AR303" i="8"/>
  <c r="AR304" i="8"/>
  <c r="AR305" i="8"/>
  <c r="AR306" i="8"/>
  <c r="AR307" i="8"/>
  <c r="AR308" i="8"/>
  <c r="AR309" i="8"/>
  <c r="AR310" i="8"/>
  <c r="AR311" i="8"/>
  <c r="AR312" i="8"/>
  <c r="AR313" i="8"/>
  <c r="AR314" i="8"/>
  <c r="AR315" i="8"/>
  <c r="AR316" i="8"/>
  <c r="AR317" i="8"/>
  <c r="AR318" i="8"/>
  <c r="AR319" i="8"/>
  <c r="AR320" i="8"/>
  <c r="AR321" i="8"/>
  <c r="AR322" i="8"/>
  <c r="AR323" i="8"/>
  <c r="AR324" i="8"/>
  <c r="AR325" i="8"/>
  <c r="AR326" i="8"/>
  <c r="AR327" i="8"/>
  <c r="AR328" i="8"/>
  <c r="AR329" i="8"/>
  <c r="AR330" i="8"/>
  <c r="AR331" i="8"/>
  <c r="AR332" i="8"/>
  <c r="AR333" i="8"/>
  <c r="AR334" i="8"/>
  <c r="AR335" i="8"/>
  <c r="AR336" i="8"/>
  <c r="AR337" i="8"/>
  <c r="AR338" i="8"/>
  <c r="AR339" i="8"/>
  <c r="AR340" i="8"/>
  <c r="AR341" i="8"/>
  <c r="AR342" i="8"/>
  <c r="AR343" i="8"/>
  <c r="AR344" i="8"/>
  <c r="AR345" i="8"/>
  <c r="AR346" i="8"/>
  <c r="AR347" i="8"/>
  <c r="AR348" i="8"/>
  <c r="AR349" i="8"/>
  <c r="AR350" i="8"/>
  <c r="AR351" i="8"/>
  <c r="AR352" i="8"/>
  <c r="AR353" i="8"/>
  <c r="AR354" i="8"/>
  <c r="AR355" i="8"/>
  <c r="AR356" i="8"/>
  <c r="AR357" i="8"/>
  <c r="AR358" i="8"/>
  <c r="AR359" i="8"/>
  <c r="AR360" i="8"/>
  <c r="AR361" i="8"/>
  <c r="AR362" i="8"/>
  <c r="AR363" i="8"/>
  <c r="AR364" i="8"/>
  <c r="AR365" i="8"/>
  <c r="AR366" i="8"/>
  <c r="AR367" i="8"/>
  <c r="AR368" i="8"/>
  <c r="AR369" i="8"/>
  <c r="AR370" i="8"/>
  <c r="AR371" i="8"/>
  <c r="AR372" i="8"/>
  <c r="AR373" i="8"/>
  <c r="AR374" i="8"/>
  <c r="AR375" i="8"/>
  <c r="AR376" i="8"/>
  <c r="AR377" i="8"/>
  <c r="AR378" i="8"/>
  <c r="AR379" i="8"/>
  <c r="AR380" i="8"/>
  <c r="AR381" i="8"/>
  <c r="AR382" i="8"/>
  <c r="AR383" i="8"/>
  <c r="AR384" i="8"/>
  <c r="AR385" i="8"/>
  <c r="AR386" i="8"/>
  <c r="AR387" i="8"/>
  <c r="AR388" i="8"/>
  <c r="AR389" i="8"/>
  <c r="AR390" i="8"/>
  <c r="AR391" i="8"/>
  <c r="AR392" i="8"/>
  <c r="AR393" i="8"/>
  <c r="AR394" i="8"/>
  <c r="AR395" i="8"/>
  <c r="AR396" i="8"/>
  <c r="AR397" i="8"/>
  <c r="AR398" i="8"/>
  <c r="AR399" i="8"/>
  <c r="AR400" i="8"/>
  <c r="AR401" i="8"/>
  <c r="AR402" i="8"/>
  <c r="AR403" i="8"/>
  <c r="AR404" i="8"/>
  <c r="AR405" i="8"/>
  <c r="AR406" i="8"/>
  <c r="AR407" i="8"/>
  <c r="AR408" i="8"/>
  <c r="AR409" i="8"/>
  <c r="AR410" i="8"/>
  <c r="AR411" i="8"/>
  <c r="AR412" i="8"/>
  <c r="AR413" i="8"/>
  <c r="AR414" i="8"/>
  <c r="AR415" i="8"/>
  <c r="AR416" i="8"/>
  <c r="AR417" i="8"/>
  <c r="AR418" i="8"/>
  <c r="AR419" i="8"/>
  <c r="AR420" i="8"/>
  <c r="AR421" i="8"/>
  <c r="AR422" i="8"/>
  <c r="AR423" i="8"/>
  <c r="AR424" i="8"/>
  <c r="AR425" i="8"/>
  <c r="AR426" i="8"/>
  <c r="AR427" i="8"/>
  <c r="AR428" i="8"/>
  <c r="AR429" i="8"/>
  <c r="AR430" i="8"/>
  <c r="AR431" i="8"/>
  <c r="AR432" i="8"/>
  <c r="AR433" i="8"/>
  <c r="AR434" i="8"/>
  <c r="AR435" i="8"/>
  <c r="AR436" i="8"/>
  <c r="AR437" i="8"/>
  <c r="AR438" i="8"/>
  <c r="AR439" i="8"/>
  <c r="AR440" i="8"/>
  <c r="AR441" i="8"/>
  <c r="AR442" i="8"/>
  <c r="AR443" i="8"/>
  <c r="AR444" i="8"/>
  <c r="AR445" i="8"/>
  <c r="AR446" i="8"/>
  <c r="AR447" i="8"/>
  <c r="AR448" i="8"/>
  <c r="AR449" i="8"/>
  <c r="AR450" i="8"/>
  <c r="AR451" i="8"/>
  <c r="AR452" i="8"/>
  <c r="AR453" i="8"/>
  <c r="AR454" i="8"/>
  <c r="AR455" i="8"/>
  <c r="AR456" i="8"/>
  <c r="AR457" i="8"/>
  <c r="AR458" i="8"/>
  <c r="AR459" i="8"/>
  <c r="AR460" i="8"/>
  <c r="AR461" i="8"/>
  <c r="AR462" i="8"/>
  <c r="AR463" i="8"/>
  <c r="AR464" i="8"/>
  <c r="AR465" i="8"/>
  <c r="AR466" i="8"/>
  <c r="AR467" i="8"/>
  <c r="AR468" i="8"/>
  <c r="AR469" i="8"/>
  <c r="AR470" i="8"/>
  <c r="AR471" i="8"/>
  <c r="AR472" i="8"/>
  <c r="AR473" i="8"/>
  <c r="AR474" i="8"/>
  <c r="AR475" i="8"/>
  <c r="AR476" i="8"/>
  <c r="AR477" i="8"/>
  <c r="AR478" i="8"/>
  <c r="AR479" i="8"/>
  <c r="AR480" i="8"/>
  <c r="AR481" i="8"/>
  <c r="AR482" i="8"/>
  <c r="AR483" i="8"/>
  <c r="AR484" i="8"/>
  <c r="AR485" i="8"/>
  <c r="AR486" i="8"/>
  <c r="AR487" i="8"/>
  <c r="AR488" i="8"/>
  <c r="AR489" i="8"/>
  <c r="AR490" i="8"/>
  <c r="AR491" i="8"/>
  <c r="AR492" i="8"/>
  <c r="AR493" i="8"/>
  <c r="AR494" i="8"/>
  <c r="AR495" i="8"/>
  <c r="AR496" i="8"/>
  <c r="AR497" i="8"/>
  <c r="AR498" i="8"/>
  <c r="AR499" i="8"/>
  <c r="AR500" i="8"/>
  <c r="AR501" i="8"/>
  <c r="AR502" i="8"/>
  <c r="AR503" i="8"/>
  <c r="AR504" i="8"/>
  <c r="AR5" i="8"/>
  <c r="AO503" i="8"/>
  <c r="AP503" i="8" s="1"/>
  <c r="AH503" i="8"/>
  <c r="AI503" i="8" s="1"/>
  <c r="AO502" i="8"/>
  <c r="AP502" i="8" s="1"/>
  <c r="AH502" i="8"/>
  <c r="AI502" i="8" s="1"/>
  <c r="AO501" i="8"/>
  <c r="AP501" i="8" s="1"/>
  <c r="AH501" i="8"/>
  <c r="AI501" i="8" s="1"/>
  <c r="AP500" i="8"/>
  <c r="AH500" i="8"/>
  <c r="AF500" i="8"/>
  <c r="AO498" i="8"/>
  <c r="AP498" i="8" s="1"/>
  <c r="AH498" i="8"/>
  <c r="AI498" i="8" s="1"/>
  <c r="AO496" i="8"/>
  <c r="AP496" i="8" s="1"/>
  <c r="AH496" i="8"/>
  <c r="AI496" i="8" s="1"/>
  <c r="AO495" i="8"/>
  <c r="AP495" i="8" s="1"/>
  <c r="AH495" i="8"/>
  <c r="AI495" i="8" s="1"/>
  <c r="AN494" i="8"/>
  <c r="AP494" i="8" s="1"/>
  <c r="AF494" i="8"/>
  <c r="AI494" i="8" s="1"/>
  <c r="AO493" i="8"/>
  <c r="AP493" i="8" s="1"/>
  <c r="AH493" i="8"/>
  <c r="AI493" i="8" s="1"/>
  <c r="AO492" i="8"/>
  <c r="AP492" i="8" s="1"/>
  <c r="AH492" i="8"/>
  <c r="AI492" i="8" s="1"/>
  <c r="AO491" i="8"/>
  <c r="AP491" i="8" s="1"/>
  <c r="AH491" i="8"/>
  <c r="AI491" i="8" s="1"/>
  <c r="AP490" i="8"/>
  <c r="AI490" i="8"/>
  <c r="AO488" i="8"/>
  <c r="AP488" i="8" s="1"/>
  <c r="AH488" i="8"/>
  <c r="AI488" i="8" s="1"/>
  <c r="AO486" i="8"/>
  <c r="AP486" i="8" s="1"/>
  <c r="AH486" i="8"/>
  <c r="AI486" i="8" s="1"/>
  <c r="AO485" i="8"/>
  <c r="AP485" i="8" s="1"/>
  <c r="AH485" i="8"/>
  <c r="AI485" i="8" s="1"/>
  <c r="AO484" i="8"/>
  <c r="AP484" i="8" s="1"/>
  <c r="AH484" i="8"/>
  <c r="AI484" i="8" s="1"/>
  <c r="AO483" i="8"/>
  <c r="AP483" i="8" s="1"/>
  <c r="AH483" i="8"/>
  <c r="AI483" i="8" s="1"/>
  <c r="AH482" i="8"/>
  <c r="AI482" i="8" s="1"/>
  <c r="AO481" i="8"/>
  <c r="AN481" i="8"/>
  <c r="AH481" i="8"/>
  <c r="AF481" i="8"/>
  <c r="AI481" i="8" s="1"/>
  <c r="AO480" i="8"/>
  <c r="AP480" i="8" s="1"/>
  <c r="AH480" i="8"/>
  <c r="AI480" i="8" s="1"/>
  <c r="AH479" i="8"/>
  <c r="AI479" i="8" s="1"/>
  <c r="AO478" i="8"/>
  <c r="AP478" i="8" s="1"/>
  <c r="AH478" i="8"/>
  <c r="AI478" i="8" s="1"/>
  <c r="AO477" i="8"/>
  <c r="AP477" i="8" s="1"/>
  <c r="AH477" i="8"/>
  <c r="AI477" i="8" s="1"/>
  <c r="AO476" i="8"/>
  <c r="AP476" i="8" s="1"/>
  <c r="AH476" i="8"/>
  <c r="AI476" i="8" s="1"/>
  <c r="AO475" i="8"/>
  <c r="AP475" i="8" s="1"/>
  <c r="AH475" i="8"/>
  <c r="AI475" i="8" s="1"/>
  <c r="AO474" i="8"/>
  <c r="AP474" i="8" s="1"/>
  <c r="AH474" i="8"/>
  <c r="AI474" i="8" s="1"/>
  <c r="AP473" i="8"/>
  <c r="AM473" i="8"/>
  <c r="AK473" i="8"/>
  <c r="AH473" i="8"/>
  <c r="AI473" i="8" s="1"/>
  <c r="AO471" i="8"/>
  <c r="AP471" i="8" s="1"/>
  <c r="AH471" i="8"/>
  <c r="AI471" i="8" s="1"/>
  <c r="AO467" i="8"/>
  <c r="AP467" i="8" s="1"/>
  <c r="AH467" i="8"/>
  <c r="AI467" i="8" s="1"/>
  <c r="AO466" i="8"/>
  <c r="AP466" i="8" s="1"/>
  <c r="AH466" i="8"/>
  <c r="AI466" i="8" s="1"/>
  <c r="AO465" i="8"/>
  <c r="AP465" i="8" s="1"/>
  <c r="AH465" i="8"/>
  <c r="AI465" i="8" s="1"/>
  <c r="AO464" i="8"/>
  <c r="AP464" i="8" s="1"/>
  <c r="AH464" i="8"/>
  <c r="AI464" i="8" s="1"/>
  <c r="AO463" i="8"/>
  <c r="AP463" i="8" s="1"/>
  <c r="AH463" i="8"/>
  <c r="AI463" i="8" s="1"/>
  <c r="AO462" i="8"/>
  <c r="AP462" i="8" s="1"/>
  <c r="AH462" i="8"/>
  <c r="AI462" i="8" s="1"/>
  <c r="AO461" i="8"/>
  <c r="AP461" i="8" s="1"/>
  <c r="AH461" i="8"/>
  <c r="AI461" i="8" s="1"/>
  <c r="AO460" i="8"/>
  <c r="AP460" i="8" s="1"/>
  <c r="AH460" i="8"/>
  <c r="AI460" i="8" s="1"/>
  <c r="AO459" i="8"/>
  <c r="AP459" i="8" s="1"/>
  <c r="AH459" i="8"/>
  <c r="AI459" i="8" s="1"/>
  <c r="AO458" i="8"/>
  <c r="AP458" i="8" s="1"/>
  <c r="AC458" i="8"/>
  <c r="AH458" i="8" s="1"/>
  <c r="AI458" i="8" s="1"/>
  <c r="AO457" i="8"/>
  <c r="AP457" i="8" s="1"/>
  <c r="AH457" i="8"/>
  <c r="AI457" i="8" s="1"/>
  <c r="AO456" i="8"/>
  <c r="AN456" i="8"/>
  <c r="AH456" i="8"/>
  <c r="AF456" i="8"/>
  <c r="AO454" i="8"/>
  <c r="AP454" i="8" s="1"/>
  <c r="AO452" i="8"/>
  <c r="AP452" i="8" s="1"/>
  <c r="AO451" i="8"/>
  <c r="AP451" i="8" s="1"/>
  <c r="AH451" i="8"/>
  <c r="AI451" i="8" s="1"/>
  <c r="AO450" i="8"/>
  <c r="AP450" i="8" s="1"/>
  <c r="AH450" i="8"/>
  <c r="AI450" i="8" s="1"/>
  <c r="AO449" i="8"/>
  <c r="AP449" i="8" s="1"/>
  <c r="AH449" i="8"/>
  <c r="AI449" i="8" s="1"/>
  <c r="AO448" i="8"/>
  <c r="AP448" i="8" s="1"/>
  <c r="AI448" i="8"/>
  <c r="AO447" i="8"/>
  <c r="AN447" i="8"/>
  <c r="AF447" i="8"/>
  <c r="AI447" i="8" s="1"/>
  <c r="AO445" i="8"/>
  <c r="AN445" i="8"/>
  <c r="AH445" i="8"/>
  <c r="AF445" i="8"/>
  <c r="AO443" i="8"/>
  <c r="AP443" i="8" s="1"/>
  <c r="AH443" i="8"/>
  <c r="AI443" i="8" s="1"/>
  <c r="AO441" i="8"/>
  <c r="AP441" i="8" s="1"/>
  <c r="AH441" i="8"/>
  <c r="AI441" i="8" s="1"/>
  <c r="AP439" i="8"/>
  <c r="AH439" i="8"/>
  <c r="AI439" i="8" s="1"/>
  <c r="AO437" i="8"/>
  <c r="AN437" i="8"/>
  <c r="AH437" i="8"/>
  <c r="AF437" i="8"/>
  <c r="AI437" i="8" s="1"/>
  <c r="AO436" i="8"/>
  <c r="AP436" i="8" s="1"/>
  <c r="AO434" i="8"/>
  <c r="AP434" i="8" s="1"/>
  <c r="AH434" i="8"/>
  <c r="AI434" i="8" s="1"/>
  <c r="AO433" i="8"/>
  <c r="AP433" i="8" s="1"/>
  <c r="AH433" i="8"/>
  <c r="AI433" i="8" s="1"/>
  <c r="AO432" i="8"/>
  <c r="AP432" i="8" s="1"/>
  <c r="AH432" i="8"/>
  <c r="AI432" i="8" s="1"/>
  <c r="AO431" i="8"/>
  <c r="AP431" i="8" s="1"/>
  <c r="AO429" i="8"/>
  <c r="AP429" i="8" s="1"/>
  <c r="AH429" i="8"/>
  <c r="AF429" i="8"/>
  <c r="AO428" i="8"/>
  <c r="AP428" i="8" s="1"/>
  <c r="AH428" i="8"/>
  <c r="AI428" i="8" s="1"/>
  <c r="AL427" i="8"/>
  <c r="AK427" i="8"/>
  <c r="AO427" i="8" s="1"/>
  <c r="AP427" i="8" s="1"/>
  <c r="AD427" i="8"/>
  <c r="AC427" i="8"/>
  <c r="AH427" i="8" s="1"/>
  <c r="AI427" i="8" s="1"/>
  <c r="AO426" i="8"/>
  <c r="AP426" i="8" s="1"/>
  <c r="AH426" i="8"/>
  <c r="AI426" i="8" s="1"/>
  <c r="AO425" i="8"/>
  <c r="AP425" i="8" s="1"/>
  <c r="AH425" i="8"/>
  <c r="AI425" i="8" s="1"/>
  <c r="AM424" i="8"/>
  <c r="AK424" i="8"/>
  <c r="AE424" i="8"/>
  <c r="AC424" i="8"/>
  <c r="AH423" i="8"/>
  <c r="AO422" i="8"/>
  <c r="AP422" i="8" s="1"/>
  <c r="AH422" i="8"/>
  <c r="AI422" i="8" s="1"/>
  <c r="AO420" i="8"/>
  <c r="AP420" i="8" s="1"/>
  <c r="AF420" i="8"/>
  <c r="AC420" i="8"/>
  <c r="AH420" i="8" s="1"/>
  <c r="AO419" i="8"/>
  <c r="AP419" i="8" s="1"/>
  <c r="AH419" i="8"/>
  <c r="AI419" i="8" s="1"/>
  <c r="AO418" i="8"/>
  <c r="AP418" i="8" s="1"/>
  <c r="AO417" i="8"/>
  <c r="AP417" i="8" s="1"/>
  <c r="AH417" i="8"/>
  <c r="AI417" i="8" s="1"/>
  <c r="AO413" i="8"/>
  <c r="AP413" i="8" s="1"/>
  <c r="AH413" i="8"/>
  <c r="AI413" i="8" s="1"/>
  <c r="AO411" i="8"/>
  <c r="AP411" i="8" s="1"/>
  <c r="AH411" i="8"/>
  <c r="AI411" i="8" s="1"/>
  <c r="AO410" i="8"/>
  <c r="AP410" i="8" s="1"/>
  <c r="AO409" i="8"/>
  <c r="AP409" i="8" s="1"/>
  <c r="AH409" i="8"/>
  <c r="AI409" i="8" s="1"/>
  <c r="AO408" i="8"/>
  <c r="AP408" i="8" s="1"/>
  <c r="AH408" i="8"/>
  <c r="AI408" i="8" s="1"/>
  <c r="AO407" i="8"/>
  <c r="AP407" i="8" s="1"/>
  <c r="AH407" i="8"/>
  <c r="AF407" i="8"/>
  <c r="AI407" i="8" s="1"/>
  <c r="AO406" i="8"/>
  <c r="AP406" i="8" s="1"/>
  <c r="AH406" i="8"/>
  <c r="AI406" i="8" s="1"/>
  <c r="AO405" i="8"/>
  <c r="AP405" i="8" s="1"/>
  <c r="AO403" i="8"/>
  <c r="AP403" i="8" s="1"/>
  <c r="AH403" i="8"/>
  <c r="AI403" i="8" s="1"/>
  <c r="AO402" i="8"/>
  <c r="AP402" i="8" s="1"/>
  <c r="AH402" i="8"/>
  <c r="AI402" i="8" s="1"/>
  <c r="AO401" i="8"/>
  <c r="AP401" i="8" s="1"/>
  <c r="AH401" i="8"/>
  <c r="AI401" i="8" s="1"/>
  <c r="AO399" i="8"/>
  <c r="AP399" i="8" s="1"/>
  <c r="AH399" i="8"/>
  <c r="AI399" i="8" s="1"/>
  <c r="AP398" i="8"/>
  <c r="AI398" i="8"/>
  <c r="AO397" i="8"/>
  <c r="AP397" i="8" s="1"/>
  <c r="AH397" i="8"/>
  <c r="AI397" i="8" s="1"/>
  <c r="AO396" i="8"/>
  <c r="AP396" i="8" s="1"/>
  <c r="AH396" i="8"/>
  <c r="AI396" i="8" s="1"/>
  <c r="AP394" i="8"/>
  <c r="AI394" i="8"/>
  <c r="AO392" i="8"/>
  <c r="AP392" i="8" s="1"/>
  <c r="AH392" i="8"/>
  <c r="AI392" i="8" s="1"/>
  <c r="AO391" i="8"/>
  <c r="AP391" i="8" s="1"/>
  <c r="AH391" i="8"/>
  <c r="AI391" i="8" s="1"/>
  <c r="AO390" i="8"/>
  <c r="AP390" i="8" s="1"/>
  <c r="AH390" i="8"/>
  <c r="AO389" i="8"/>
  <c r="AP389" i="8" s="1"/>
  <c r="AH389" i="8"/>
  <c r="AI389" i="8" s="1"/>
  <c r="AO388" i="8"/>
  <c r="AP388" i="8" s="1"/>
  <c r="AH388" i="8"/>
  <c r="AI388" i="8" s="1"/>
  <c r="AO387" i="8"/>
  <c r="AP387" i="8" s="1"/>
  <c r="AI387" i="8"/>
  <c r="AO386" i="8"/>
  <c r="AP386" i="8" s="1"/>
  <c r="AH386" i="8"/>
  <c r="AI386" i="8" s="1"/>
  <c r="AO383" i="8"/>
  <c r="AP383" i="8" s="1"/>
  <c r="AH383" i="8"/>
  <c r="AI383" i="8" s="1"/>
  <c r="AO382" i="8"/>
  <c r="AP382" i="8" s="1"/>
  <c r="AH382" i="8"/>
  <c r="AI382" i="8" s="1"/>
  <c r="AO381" i="8"/>
  <c r="AP381" i="8" s="1"/>
  <c r="AF381" i="8"/>
  <c r="AE381" i="8"/>
  <c r="AC381" i="8"/>
  <c r="AO380" i="8"/>
  <c r="AN380" i="8"/>
  <c r="AH380" i="8"/>
  <c r="AF380" i="8"/>
  <c r="AO379" i="8"/>
  <c r="AP379" i="8" s="1"/>
  <c r="AH379" i="8"/>
  <c r="AI379" i="8" s="1"/>
  <c r="AO378" i="8"/>
  <c r="AP378" i="8" s="1"/>
  <c r="AH378" i="8"/>
  <c r="AI378" i="8" s="1"/>
  <c r="AO377" i="8"/>
  <c r="AP377" i="8" s="1"/>
  <c r="AH377" i="8"/>
  <c r="AI377" i="8" s="1"/>
  <c r="AO376" i="8"/>
  <c r="AP376" i="8" s="1"/>
  <c r="AH376" i="8"/>
  <c r="AI376" i="8" s="1"/>
  <c r="AO375" i="8"/>
  <c r="AP375" i="8" s="1"/>
  <c r="AH375" i="8"/>
  <c r="AI375" i="8" s="1"/>
  <c r="AP374" i="8"/>
  <c r="AO373" i="8"/>
  <c r="AP373" i="8" s="1"/>
  <c r="AH373" i="8"/>
  <c r="AI373" i="8" s="1"/>
  <c r="AO371" i="8"/>
  <c r="AP371" i="8" s="1"/>
  <c r="AH371" i="8"/>
  <c r="AF371" i="8"/>
  <c r="AO370" i="8"/>
  <c r="AP370" i="8" s="1"/>
  <c r="AH370" i="8"/>
  <c r="AI370" i="8" s="1"/>
  <c r="AO369" i="8"/>
  <c r="AP369" i="8" s="1"/>
  <c r="AH369" i="8"/>
  <c r="AI369" i="8" s="1"/>
  <c r="AO368" i="8"/>
  <c r="AP368" i="8" s="1"/>
  <c r="AH368" i="8"/>
  <c r="AI368" i="8" s="1"/>
  <c r="AO366" i="8"/>
  <c r="AP366" i="8" s="1"/>
  <c r="AH366" i="8"/>
  <c r="AI366" i="8" s="1"/>
  <c r="AO365" i="8"/>
  <c r="AP365" i="8" s="1"/>
  <c r="AH365" i="8"/>
  <c r="AI365" i="8" s="1"/>
  <c r="AO364" i="8"/>
  <c r="AP364" i="8" s="1"/>
  <c r="AH364" i="8"/>
  <c r="AI364" i="8" s="1"/>
  <c r="AP362" i="8"/>
  <c r="AI362" i="8"/>
  <c r="AO361" i="8"/>
  <c r="AP361" i="8" s="1"/>
  <c r="AH361" i="8"/>
  <c r="AI361" i="8" s="1"/>
  <c r="AO359" i="8"/>
  <c r="AP359" i="8" s="1"/>
  <c r="AH359" i="8"/>
  <c r="AI359" i="8" s="1"/>
  <c r="AO358" i="8"/>
  <c r="AP358" i="8" s="1"/>
  <c r="AH358" i="8"/>
  <c r="AI358" i="8" s="1"/>
  <c r="AO356" i="8"/>
  <c r="AP356" i="8" s="1"/>
  <c r="AI356" i="8"/>
  <c r="AO354" i="8"/>
  <c r="AP354" i="8" s="1"/>
  <c r="AH354" i="8"/>
  <c r="AI354" i="8" s="1"/>
  <c r="AO353" i="8"/>
  <c r="AN353" i="8"/>
  <c r="AH353" i="8"/>
  <c r="AF353" i="8"/>
  <c r="AO351" i="8"/>
  <c r="AP351" i="8" s="1"/>
  <c r="AH351" i="8"/>
  <c r="AI351" i="8" s="1"/>
  <c r="AO350" i="8"/>
  <c r="AP350" i="8" s="1"/>
  <c r="AH350" i="8"/>
  <c r="AI350" i="8" s="1"/>
  <c r="AO348" i="8"/>
  <c r="AN348" i="8"/>
  <c r="AH348" i="8"/>
  <c r="AF348" i="8"/>
  <c r="AK347" i="8"/>
  <c r="AO347" i="8" s="1"/>
  <c r="AP347" i="8" s="1"/>
  <c r="AE347" i="8"/>
  <c r="AD347" i="8"/>
  <c r="AC347" i="8"/>
  <c r="AH347" i="8" s="1"/>
  <c r="AI347" i="8" s="1"/>
  <c r="AO346" i="8"/>
  <c r="AN346" i="8"/>
  <c r="AH346" i="8"/>
  <c r="AI346" i="8" s="1"/>
  <c r="AN344" i="8"/>
  <c r="AM344" i="8"/>
  <c r="AO344" i="8" s="1"/>
  <c r="AK344" i="8"/>
  <c r="AF344" i="8"/>
  <c r="AE344" i="8"/>
  <c r="AC344" i="8"/>
  <c r="AO343" i="8"/>
  <c r="AP343" i="8" s="1"/>
  <c r="AI343" i="8"/>
  <c r="AH343" i="8"/>
  <c r="AP342" i="8"/>
  <c r="AN342" i="8" s="1"/>
  <c r="AM342" i="8"/>
  <c r="AL342" i="8"/>
  <c r="AE342" i="8"/>
  <c r="AH342" i="8" s="1"/>
  <c r="AI342" i="8" s="1"/>
  <c r="AD342" i="8"/>
  <c r="AO340" i="8"/>
  <c r="AP340" i="8" s="1"/>
  <c r="AH340" i="8"/>
  <c r="AI340" i="8" s="1"/>
  <c r="AP339" i="8"/>
  <c r="AI339" i="8"/>
  <c r="AO338" i="8"/>
  <c r="AP338" i="8" s="1"/>
  <c r="AH338" i="8"/>
  <c r="AI338" i="8" s="1"/>
  <c r="AO337" i="8"/>
  <c r="AP337" i="8" s="1"/>
  <c r="AH337" i="8"/>
  <c r="AI337" i="8" s="1"/>
  <c r="AO336" i="8"/>
  <c r="AP336" i="8" s="1"/>
  <c r="AH336" i="8"/>
  <c r="AI336" i="8" s="1"/>
  <c r="AO335" i="8"/>
  <c r="AP335" i="8" s="1"/>
  <c r="AH335" i="8"/>
  <c r="AI335" i="8" s="1"/>
  <c r="AO334" i="8"/>
  <c r="AP334" i="8" s="1"/>
  <c r="AH334" i="8"/>
  <c r="AI334" i="8" s="1"/>
  <c r="AO333" i="8"/>
  <c r="AP333" i="8" s="1"/>
  <c r="AH333" i="8"/>
  <c r="AI333" i="8" s="1"/>
  <c r="AO332" i="8"/>
  <c r="AP332" i="8" s="1"/>
  <c r="AH332" i="8"/>
  <c r="AI332" i="8" s="1"/>
  <c r="AO331" i="8"/>
  <c r="AP331" i="8" s="1"/>
  <c r="AH331" i="8"/>
  <c r="AI331" i="8" s="1"/>
  <c r="AO330" i="8"/>
  <c r="AP330" i="8" s="1"/>
  <c r="AH330" i="8"/>
  <c r="AI330" i="8" s="1"/>
  <c r="AO329" i="8"/>
  <c r="AP329" i="8" s="1"/>
  <c r="AH329" i="8"/>
  <c r="AI329" i="8" s="1"/>
  <c r="AO328" i="8"/>
  <c r="AP328" i="8" s="1"/>
  <c r="AH328" i="8"/>
  <c r="AI328" i="8" s="1"/>
  <c r="AO326" i="8"/>
  <c r="AP326" i="8" s="1"/>
  <c r="AH326" i="8"/>
  <c r="AI326" i="8" s="1"/>
  <c r="AO325" i="8"/>
  <c r="AP325" i="8" s="1"/>
  <c r="AH325" i="8"/>
  <c r="AI325" i="8" s="1"/>
  <c r="AO323" i="8"/>
  <c r="AP323" i="8" s="1"/>
  <c r="AH323" i="8"/>
  <c r="AI323" i="8" s="1"/>
  <c r="AO322" i="8"/>
  <c r="AP322" i="8" s="1"/>
  <c r="AH322" i="8"/>
  <c r="AI322" i="8" s="1"/>
  <c r="AO321" i="8"/>
  <c r="AP321" i="8" s="1"/>
  <c r="AH321" i="8"/>
  <c r="AI321" i="8" s="1"/>
  <c r="AO320" i="8"/>
  <c r="AP320" i="8" s="1"/>
  <c r="AH320" i="8"/>
  <c r="AI320" i="8" s="1"/>
  <c r="AN319" i="8"/>
  <c r="AM319" i="8"/>
  <c r="AL319" i="8"/>
  <c r="AK319" i="8"/>
  <c r="AH319" i="8"/>
  <c r="AI319" i="8" s="1"/>
  <c r="AO318" i="8"/>
  <c r="AN318" i="8" s="1"/>
  <c r="AH318" i="8"/>
  <c r="AF318" i="8" s="1"/>
  <c r="AO316" i="8"/>
  <c r="AP316" i="8" s="1"/>
  <c r="AH316" i="8"/>
  <c r="AI316" i="8" s="1"/>
  <c r="AO315" i="8"/>
  <c r="AP315" i="8" s="1"/>
  <c r="AH315" i="8"/>
  <c r="AI315" i="8" s="1"/>
  <c r="AO312" i="8"/>
  <c r="AP312" i="8" s="1"/>
  <c r="AH312" i="8"/>
  <c r="AI312" i="8" s="1"/>
  <c r="AO311" i="8"/>
  <c r="AP311" i="8" s="1"/>
  <c r="AH311" i="8"/>
  <c r="AI311" i="8" s="1"/>
  <c r="AO310" i="8"/>
  <c r="AP310" i="8" s="1"/>
  <c r="AH310" i="8"/>
  <c r="AI310" i="8" s="1"/>
  <c r="AO308" i="8"/>
  <c r="AP308" i="8" s="1"/>
  <c r="AH308" i="8"/>
  <c r="AI308" i="8" s="1"/>
  <c r="AO307" i="8"/>
  <c r="AN307" i="8" s="1"/>
  <c r="AH307" i="8"/>
  <c r="AI307" i="8" s="1"/>
  <c r="AO306" i="8"/>
  <c r="AP306" i="8" s="1"/>
  <c r="AH306" i="8"/>
  <c r="AI306" i="8" s="1"/>
  <c r="AO305" i="8"/>
  <c r="AP305" i="8" s="1"/>
  <c r="AH305" i="8"/>
  <c r="AI305" i="8" s="1"/>
  <c r="AK303" i="8"/>
  <c r="AO303" i="8" s="1"/>
  <c r="AP303" i="8" s="1"/>
  <c r="AC303" i="8"/>
  <c r="AH303" i="8" s="1"/>
  <c r="AI303" i="8" s="1"/>
  <c r="AO301" i="8"/>
  <c r="AP301" i="8" s="1"/>
  <c r="AH301" i="8"/>
  <c r="AI301" i="8" s="1"/>
  <c r="AO299" i="8"/>
  <c r="AP299" i="8" s="1"/>
  <c r="AH299" i="8"/>
  <c r="AI299" i="8" s="1"/>
  <c r="AO298" i="8"/>
  <c r="AN298" i="8"/>
  <c r="AH298" i="8"/>
  <c r="AF298" i="8"/>
  <c r="AO297" i="8"/>
  <c r="AP297" i="8" s="1"/>
  <c r="AH297" i="8"/>
  <c r="AI297" i="8" s="1"/>
  <c r="AO296" i="8"/>
  <c r="AP296" i="8" s="1"/>
  <c r="AE296" i="8"/>
  <c r="AC296" i="8"/>
  <c r="AO295" i="8"/>
  <c r="AP295" i="8" s="1"/>
  <c r="AH295" i="8"/>
  <c r="AI295" i="8" s="1"/>
  <c r="AO294" i="8"/>
  <c r="AP294" i="8" s="1"/>
  <c r="AH294" i="8"/>
  <c r="AI294" i="8" s="1"/>
  <c r="AH292" i="8"/>
  <c r="AI292" i="8" s="1"/>
  <c r="AH291" i="8"/>
  <c r="AI291" i="8" s="1"/>
  <c r="AO289" i="8"/>
  <c r="AN289" i="8"/>
  <c r="AH289" i="8"/>
  <c r="AF289" i="8"/>
  <c r="AO288" i="8"/>
  <c r="AP288" i="8" s="1"/>
  <c r="AH288" i="8"/>
  <c r="AI288" i="8" s="1"/>
  <c r="AK286" i="8"/>
  <c r="AO286" i="8" s="1"/>
  <c r="AP286" i="8" s="1"/>
  <c r="AC286" i="8"/>
  <c r="AH286" i="8" s="1"/>
  <c r="AI286" i="8" s="1"/>
  <c r="AO285" i="8"/>
  <c r="AP285" i="8" s="1"/>
  <c r="AH285" i="8"/>
  <c r="AI285" i="8" s="1"/>
  <c r="AK284" i="8"/>
  <c r="AO284" i="8" s="1"/>
  <c r="AP284" i="8" s="1"/>
  <c r="AC284" i="8"/>
  <c r="AH284" i="8" s="1"/>
  <c r="AI284" i="8" s="1"/>
  <c r="AO282" i="8"/>
  <c r="AP282" i="8" s="1"/>
  <c r="AH282" i="8"/>
  <c r="AI282" i="8" s="1"/>
  <c r="AO281" i="8"/>
  <c r="AP281" i="8" s="1"/>
  <c r="AH281" i="8"/>
  <c r="AI281" i="8" s="1"/>
  <c r="AO280" i="8"/>
  <c r="AP280" i="8" s="1"/>
  <c r="AH280" i="8"/>
  <c r="AI280" i="8" s="1"/>
  <c r="AO279" i="8"/>
  <c r="AN279" i="8"/>
  <c r="AH279" i="8"/>
  <c r="AF279" i="8"/>
  <c r="AO278" i="8"/>
  <c r="AP278" i="8" s="1"/>
  <c r="AH278" i="8"/>
  <c r="AI278" i="8" s="1"/>
  <c r="AO277" i="8"/>
  <c r="AP277" i="8" s="1"/>
  <c r="AH277" i="8"/>
  <c r="AI277" i="8" s="1"/>
  <c r="AO275" i="8"/>
  <c r="AP275" i="8" s="1"/>
  <c r="AH275" i="8"/>
  <c r="AI275" i="8" s="1"/>
  <c r="AO274" i="8"/>
  <c r="AP274" i="8" s="1"/>
  <c r="AH274" i="8"/>
  <c r="AI274" i="8" s="1"/>
  <c r="AO272" i="8"/>
  <c r="AP272" i="8" s="1"/>
  <c r="AH272" i="8"/>
  <c r="AI272" i="8" s="1"/>
  <c r="AO271" i="8"/>
  <c r="AP271" i="8" s="1"/>
  <c r="AH271" i="8"/>
  <c r="AI271" i="8" s="1"/>
  <c r="AO270" i="8"/>
  <c r="AP270" i="8" s="1"/>
  <c r="AH270" i="8"/>
  <c r="AI270" i="8" s="1"/>
  <c r="AO269" i="8"/>
  <c r="AP269" i="8" s="1"/>
  <c r="AH269" i="8"/>
  <c r="AI269" i="8" s="1"/>
  <c r="AP268" i="8"/>
  <c r="AK268" i="8"/>
  <c r="AM268" i="8" s="1"/>
  <c r="AI267" i="8"/>
  <c r="AO265" i="8"/>
  <c r="AP265" i="8" s="1"/>
  <c r="AH265" i="8"/>
  <c r="AI265" i="8" s="1"/>
  <c r="AH263" i="8"/>
  <c r="AI263" i="8" s="1"/>
  <c r="AO262" i="8"/>
  <c r="AP262" i="8" s="1"/>
  <c r="AH262" i="8"/>
  <c r="AI262" i="8" s="1"/>
  <c r="AO258" i="8"/>
  <c r="AP258" i="8" s="1"/>
  <c r="AH258" i="8"/>
  <c r="AI258" i="8" s="1"/>
  <c r="AO257" i="8"/>
  <c r="AN257" i="8"/>
  <c r="AH257" i="8"/>
  <c r="AF257" i="8"/>
  <c r="AP255" i="8"/>
  <c r="AH255" i="8"/>
  <c r="AI255" i="8" s="1"/>
  <c r="AO254" i="8"/>
  <c r="AN254" i="8"/>
  <c r="AH254" i="8"/>
  <c r="AF254" i="8"/>
  <c r="AO253" i="8"/>
  <c r="AP253" i="8" s="1"/>
  <c r="AH253" i="8"/>
  <c r="AI253" i="8" s="1"/>
  <c r="AO252" i="8"/>
  <c r="AP252" i="8" s="1"/>
  <c r="AH252" i="8"/>
  <c r="AI252" i="8" s="1"/>
  <c r="AO250" i="8"/>
  <c r="AP250" i="8" s="1"/>
  <c r="AC250" i="8"/>
  <c r="AH250" i="8" s="1"/>
  <c r="AI250" i="8" s="1"/>
  <c r="AO249" i="8"/>
  <c r="AP249" i="8" s="1"/>
  <c r="AH249" i="8"/>
  <c r="AI249" i="8" s="1"/>
  <c r="AP248" i="8"/>
  <c r="AI248" i="8"/>
  <c r="AP247" i="8"/>
  <c r="AI247" i="8"/>
  <c r="AO246" i="8"/>
  <c r="AP246" i="8" s="1"/>
  <c r="AH246" i="8"/>
  <c r="AI246" i="8" s="1"/>
  <c r="AN245" i="8"/>
  <c r="AF245" i="8"/>
  <c r="AO244" i="8"/>
  <c r="AP244" i="8" s="1"/>
  <c r="AH244" i="8"/>
  <c r="AI244" i="8" s="1"/>
  <c r="AO243" i="8"/>
  <c r="AP243" i="8" s="1"/>
  <c r="AH243" i="8"/>
  <c r="AI243" i="8" s="1"/>
  <c r="AH242" i="8"/>
  <c r="AI242" i="8" s="1"/>
  <c r="AO241" i="8"/>
  <c r="AP241" i="8" s="1"/>
  <c r="AH241" i="8"/>
  <c r="AI241" i="8" s="1"/>
  <c r="AO240" i="8"/>
  <c r="AP240" i="8" s="1"/>
  <c r="AH240" i="8"/>
  <c r="AI240" i="8" s="1"/>
  <c r="AO239" i="8"/>
  <c r="AP239" i="8" s="1"/>
  <c r="AH239" i="8"/>
  <c r="AI239" i="8" s="1"/>
  <c r="AO238" i="8"/>
  <c r="AP238" i="8" s="1"/>
  <c r="AH238" i="8"/>
  <c r="AI238" i="8" s="1"/>
  <c r="AO237" i="8"/>
  <c r="AP237" i="8" s="1"/>
  <c r="AH237" i="8"/>
  <c r="AI237" i="8" s="1"/>
  <c r="AO236" i="8"/>
  <c r="AP236" i="8" s="1"/>
  <c r="AH236" i="8"/>
  <c r="AI236" i="8" s="1"/>
  <c r="AO235" i="8"/>
  <c r="AP235" i="8" s="1"/>
  <c r="AH235" i="8"/>
  <c r="AI235" i="8" s="1"/>
  <c r="AO234" i="8"/>
  <c r="AP234" i="8" s="1"/>
  <c r="AH234" i="8"/>
  <c r="AI234" i="8" s="1"/>
  <c r="AO232" i="8"/>
  <c r="AP232" i="8" s="1"/>
  <c r="AH232" i="8"/>
  <c r="AI232" i="8" s="1"/>
  <c r="AO231" i="8"/>
  <c r="AP231" i="8" s="1"/>
  <c r="AH231" i="8"/>
  <c r="AI231" i="8" s="1"/>
  <c r="AO230" i="8"/>
  <c r="AP230" i="8" s="1"/>
  <c r="AH230" i="8"/>
  <c r="AI230" i="8" s="1"/>
  <c r="AO229" i="8"/>
  <c r="AP229" i="8" s="1"/>
  <c r="AH229" i="8"/>
  <c r="AI229" i="8" s="1"/>
  <c r="AO228" i="8"/>
  <c r="AP228" i="8" s="1"/>
  <c r="AH228" i="8"/>
  <c r="AI228" i="8" s="1"/>
  <c r="AH227" i="8"/>
  <c r="AI227" i="8" s="1"/>
  <c r="AO225" i="8"/>
  <c r="AP225" i="8" s="1"/>
  <c r="AH225" i="8"/>
  <c r="AI225" i="8" s="1"/>
  <c r="AO224" i="8"/>
  <c r="AP224" i="8" s="1"/>
  <c r="AH224" i="8"/>
  <c r="AI224" i="8" s="1"/>
  <c r="AN223" i="8"/>
  <c r="AP223" i="8" s="1"/>
  <c r="AF223" i="8"/>
  <c r="AI223" i="8" s="1"/>
  <c r="AN222" i="8"/>
  <c r="AM222" i="8"/>
  <c r="AK222" i="8"/>
  <c r="AO222" i="8" s="1"/>
  <c r="AH222" i="8"/>
  <c r="AI222" i="8" s="1"/>
  <c r="AO221" i="8"/>
  <c r="AP221" i="8" s="1"/>
  <c r="AH221" i="8"/>
  <c r="AI221" i="8" s="1"/>
  <c r="AO220" i="8"/>
  <c r="AP220" i="8" s="1"/>
  <c r="AH220" i="8"/>
  <c r="AI220" i="8" s="1"/>
  <c r="AH219" i="8"/>
  <c r="AI219" i="8" s="1"/>
  <c r="AO218" i="8"/>
  <c r="AP218" i="8" s="1"/>
  <c r="AH218" i="8"/>
  <c r="AI218" i="8" s="1"/>
  <c r="AO217" i="8"/>
  <c r="AP217" i="8" s="1"/>
  <c r="AH217" i="8"/>
  <c r="AI217" i="8" s="1"/>
  <c r="AO216" i="8"/>
  <c r="AP216" i="8" s="1"/>
  <c r="AH216" i="8"/>
  <c r="AI216" i="8" s="1"/>
  <c r="AO215" i="8"/>
  <c r="AP215" i="8" s="1"/>
  <c r="AH215" i="8"/>
  <c r="AI215" i="8" s="1"/>
  <c r="AO214" i="8"/>
  <c r="AN214" i="8"/>
  <c r="AH214" i="8"/>
  <c r="AI214" i="8" s="1"/>
  <c r="AF214" i="8"/>
  <c r="AO212" i="8"/>
  <c r="AP212" i="8" s="1"/>
  <c r="AH212" i="8"/>
  <c r="AI212" i="8" s="1"/>
  <c r="AO211" i="8"/>
  <c r="AP211" i="8" s="1"/>
  <c r="AH211" i="8"/>
  <c r="AI211" i="8" s="1"/>
  <c r="AO210" i="8"/>
  <c r="AP210" i="8" s="1"/>
  <c r="AI210" i="8"/>
  <c r="AO208" i="8"/>
  <c r="AN208" i="8"/>
  <c r="AH208" i="8"/>
  <c r="AF208" i="8"/>
  <c r="AO207" i="8"/>
  <c r="AP207" i="8" s="1"/>
  <c r="AH207" i="8"/>
  <c r="AI207" i="8" s="1"/>
  <c r="AH206" i="8"/>
  <c r="AI206" i="8" s="1"/>
  <c r="AO205" i="8"/>
  <c r="AP205" i="8" s="1"/>
  <c r="AI205" i="8"/>
  <c r="AO204" i="8"/>
  <c r="AP204" i="8" s="1"/>
  <c r="AH204" i="8"/>
  <c r="AI204" i="8" s="1"/>
  <c r="AO203" i="8"/>
  <c r="AP203" i="8" s="1"/>
  <c r="AH203" i="8"/>
  <c r="AI203" i="8" s="1"/>
  <c r="AO201" i="8"/>
  <c r="AN201" i="8"/>
  <c r="AH201" i="8"/>
  <c r="AF201" i="8"/>
  <c r="AO200" i="8"/>
  <c r="AP200" i="8" s="1"/>
  <c r="AH200" i="8"/>
  <c r="AI200" i="8" s="1"/>
  <c r="AO199" i="8"/>
  <c r="AP199" i="8" s="1"/>
  <c r="AH199" i="8"/>
  <c r="AI199" i="8" s="1"/>
  <c r="AO198" i="8"/>
  <c r="AP198" i="8" s="1"/>
  <c r="AH198" i="8"/>
  <c r="AI198" i="8" s="1"/>
  <c r="AO197" i="8"/>
  <c r="AP197" i="8" s="1"/>
  <c r="AH197" i="8"/>
  <c r="AI197" i="8" s="1"/>
  <c r="AO196" i="8"/>
  <c r="AP196" i="8" s="1"/>
  <c r="AH196" i="8"/>
  <c r="AI196" i="8" s="1"/>
  <c r="AO194" i="8"/>
  <c r="AP194" i="8" s="1"/>
  <c r="AH194" i="8"/>
  <c r="AI194" i="8" s="1"/>
  <c r="AO193" i="8"/>
  <c r="AP193" i="8" s="1"/>
  <c r="AH193" i="8"/>
  <c r="AI193" i="8" s="1"/>
  <c r="AO192" i="8"/>
  <c r="AP192" i="8" s="1"/>
  <c r="AI192" i="8"/>
  <c r="AO191" i="8"/>
  <c r="AP191" i="8" s="1"/>
  <c r="AH191" i="8"/>
  <c r="AI191" i="8" s="1"/>
  <c r="AO190" i="8"/>
  <c r="AN190" i="8"/>
  <c r="AH190" i="8"/>
  <c r="AF190" i="8"/>
  <c r="AO189" i="8"/>
  <c r="AP189" i="8" s="1"/>
  <c r="AH189" i="8"/>
  <c r="AI189" i="8" s="1"/>
  <c r="AO188" i="8"/>
  <c r="AP188" i="8" s="1"/>
  <c r="AH188" i="8"/>
  <c r="AI188" i="8" s="1"/>
  <c r="AO187" i="8"/>
  <c r="AP187" i="8" s="1"/>
  <c r="AH187" i="8"/>
  <c r="AI187" i="8" s="1"/>
  <c r="AO186" i="8"/>
  <c r="AP186" i="8" s="1"/>
  <c r="AH186" i="8"/>
  <c r="AI186" i="8" s="1"/>
  <c r="AO185" i="8"/>
  <c r="AP185" i="8" s="1"/>
  <c r="AH185" i="8"/>
  <c r="AI185" i="8" s="1"/>
  <c r="AO184" i="8"/>
  <c r="AP184" i="8" s="1"/>
  <c r="AH184" i="8"/>
  <c r="AI184" i="8" s="1"/>
  <c r="AO183" i="8"/>
  <c r="AP183" i="8" s="1"/>
  <c r="AH183" i="8"/>
  <c r="AI183" i="8" s="1"/>
  <c r="AO182" i="8"/>
  <c r="AN182" i="8" s="1"/>
  <c r="AH182" i="8"/>
  <c r="AF182" i="8" s="1"/>
  <c r="AO181" i="8"/>
  <c r="AP181" i="8" s="1"/>
  <c r="AH181" i="8"/>
  <c r="AI181" i="8" s="1"/>
  <c r="AO180" i="8"/>
  <c r="AP180" i="8" s="1"/>
  <c r="AH180" i="8"/>
  <c r="AI180" i="8" s="1"/>
  <c r="AO178" i="8"/>
  <c r="AP178" i="8" s="1"/>
  <c r="AH178" i="8"/>
  <c r="AI178" i="8" s="1"/>
  <c r="AM177" i="8"/>
  <c r="AK177" i="8"/>
  <c r="AE177" i="8"/>
  <c r="AC177" i="8"/>
  <c r="AP175" i="8"/>
  <c r="AO175" i="8"/>
  <c r="AH175" i="8"/>
  <c r="AI175" i="8" s="1"/>
  <c r="AO174" i="8"/>
  <c r="AN174" i="8"/>
  <c r="AH174" i="8"/>
  <c r="AF174" i="8"/>
  <c r="AN172" i="8"/>
  <c r="AM172" i="8"/>
  <c r="AK172" i="8"/>
  <c r="AF172" i="8"/>
  <c r="AE172" i="8"/>
  <c r="AC172" i="8"/>
  <c r="AO171" i="8"/>
  <c r="AN171" i="8"/>
  <c r="AH171" i="8"/>
  <c r="AF171" i="8"/>
  <c r="AP170" i="8"/>
  <c r="AI170" i="8"/>
  <c r="AP169" i="8"/>
  <c r="AI169" i="8"/>
  <c r="AP168" i="8"/>
  <c r="AH168" i="8"/>
  <c r="AI168" i="8" s="1"/>
  <c r="AO166" i="8"/>
  <c r="AP166" i="8" s="1"/>
  <c r="AH166" i="8"/>
  <c r="AI166" i="8" s="1"/>
  <c r="AO165" i="8"/>
  <c r="AP165" i="8" s="1"/>
  <c r="AH165" i="8"/>
  <c r="AI165" i="8" s="1"/>
  <c r="AO164" i="8"/>
  <c r="AP164" i="8" s="1"/>
  <c r="AH164" i="8"/>
  <c r="AI164" i="8" s="1"/>
  <c r="AO163" i="8"/>
  <c r="AP163" i="8" s="1"/>
  <c r="AH163" i="8"/>
  <c r="AI163" i="8" s="1"/>
  <c r="AO162" i="8"/>
  <c r="AP162" i="8" s="1"/>
  <c r="AH162" i="8"/>
  <c r="AI162" i="8" s="1"/>
  <c r="AO160" i="8"/>
  <c r="AP160" i="8" s="1"/>
  <c r="AH160" i="8"/>
  <c r="AI160" i="8" s="1"/>
  <c r="AO159" i="8"/>
  <c r="AP159" i="8" s="1"/>
  <c r="AH159" i="8"/>
  <c r="AI159" i="8" s="1"/>
  <c r="AO158" i="8"/>
  <c r="AP158" i="8" s="1"/>
  <c r="AH158" i="8"/>
  <c r="AF158" i="8"/>
  <c r="AI158" i="8" s="1"/>
  <c r="AO157" i="8"/>
  <c r="AP157" i="8" s="1"/>
  <c r="AH157" i="8"/>
  <c r="AI157" i="8" s="1"/>
  <c r="AO156" i="8"/>
  <c r="AN156" i="8"/>
  <c r="AH156" i="8"/>
  <c r="AF156" i="8"/>
  <c r="AO155" i="8"/>
  <c r="AP155" i="8" s="1"/>
  <c r="AH155" i="8"/>
  <c r="AI155" i="8" s="1"/>
  <c r="AO153" i="8"/>
  <c r="AP153" i="8" s="1"/>
  <c r="AH153" i="8"/>
  <c r="AI153" i="8" s="1"/>
  <c r="AO152" i="8"/>
  <c r="AP152" i="8" s="1"/>
  <c r="AH152" i="8"/>
  <c r="AI152" i="8" s="1"/>
  <c r="AO151" i="8"/>
  <c r="AP151" i="8" s="1"/>
  <c r="AH151" i="8"/>
  <c r="AI151" i="8" s="1"/>
  <c r="AO149" i="8"/>
  <c r="AP149" i="8" s="1"/>
  <c r="AH149" i="8"/>
  <c r="AI149" i="8" s="1"/>
  <c r="AO148" i="8"/>
  <c r="AN148" i="8"/>
  <c r="AH148" i="8"/>
  <c r="AF148" i="8"/>
  <c r="AO145" i="8"/>
  <c r="AN145" i="8"/>
  <c r="AH145" i="8"/>
  <c r="AI145" i="8" s="1"/>
  <c r="AO144" i="8"/>
  <c r="AP144" i="8" s="1"/>
  <c r="AH144" i="8"/>
  <c r="AI144" i="8" s="1"/>
  <c r="AO143" i="8"/>
  <c r="AP143" i="8" s="1"/>
  <c r="AH143" i="8"/>
  <c r="AI143" i="8" s="1"/>
  <c r="AN141" i="8"/>
  <c r="AI141" i="8"/>
  <c r="AO139" i="8"/>
  <c r="AP139" i="8" s="1"/>
  <c r="AH139" i="8"/>
  <c r="AI139" i="8" s="1"/>
  <c r="AO136" i="8"/>
  <c r="AP136" i="8" s="1"/>
  <c r="AO134" i="8"/>
  <c r="AN134" i="8"/>
  <c r="AH134" i="8"/>
  <c r="AF134" i="8"/>
  <c r="AO133" i="8"/>
  <c r="AP133" i="8" s="1"/>
  <c r="AH133" i="8"/>
  <c r="AI133" i="8" s="1"/>
  <c r="AO132" i="8"/>
  <c r="AP132" i="8" s="1"/>
  <c r="AH132" i="8"/>
  <c r="AI132" i="8" s="1"/>
  <c r="AO130" i="8"/>
  <c r="AP130" i="8" s="1"/>
  <c r="AH130" i="8"/>
  <c r="AI130" i="8" s="1"/>
  <c r="AP129" i="8"/>
  <c r="AI129" i="8"/>
  <c r="AN126" i="8"/>
  <c r="AM126" i="8"/>
  <c r="AO126" i="8" s="1"/>
  <c r="AH126" i="8"/>
  <c r="AF126" i="8"/>
  <c r="AO125" i="8"/>
  <c r="AP125" i="8" s="1"/>
  <c r="AH125" i="8"/>
  <c r="AI125" i="8" s="1"/>
  <c r="AM124" i="8"/>
  <c r="AK124" i="8"/>
  <c r="AE124" i="8"/>
  <c r="AC124" i="8"/>
  <c r="AP123" i="8"/>
  <c r="AK123" i="8"/>
  <c r="AC123" i="8"/>
  <c r="AH123" i="8" s="1"/>
  <c r="AI123" i="8" s="1"/>
  <c r="AO122" i="8"/>
  <c r="AP122" i="8" s="1"/>
  <c r="AH122" i="8"/>
  <c r="AI122" i="8" s="1"/>
  <c r="AO121" i="8"/>
  <c r="AP121" i="8" s="1"/>
  <c r="AH121" i="8"/>
  <c r="AI121" i="8" s="1"/>
  <c r="AO120" i="8"/>
  <c r="AP120" i="8" s="1"/>
  <c r="AH120" i="8"/>
  <c r="AI120" i="8" s="1"/>
  <c r="AO119" i="8"/>
  <c r="AP119" i="8" s="1"/>
  <c r="AH119" i="8"/>
  <c r="AI119" i="8" s="1"/>
  <c r="AM118" i="8"/>
  <c r="AK118" i="8"/>
  <c r="AO118" i="8" s="1"/>
  <c r="AP118" i="8" s="1"/>
  <c r="AE118" i="8"/>
  <c r="AC118" i="8"/>
  <c r="AP117" i="8"/>
  <c r="AH117" i="8"/>
  <c r="AI117" i="8" s="1"/>
  <c r="AP116" i="8"/>
  <c r="AI116" i="8"/>
  <c r="AO115" i="8"/>
  <c r="AP115" i="8" s="1"/>
  <c r="AH115" i="8"/>
  <c r="AI115" i="8" s="1"/>
  <c r="AN114" i="8"/>
  <c r="AM114" i="8"/>
  <c r="AL114" i="8"/>
  <c r="AK114" i="8"/>
  <c r="AO114" i="8" s="1"/>
  <c r="AP114" i="8" s="1"/>
  <c r="AF114" i="8"/>
  <c r="AE114" i="8"/>
  <c r="AD114" i="8"/>
  <c r="AC114" i="8"/>
  <c r="AO113" i="8"/>
  <c r="AP113" i="8" s="1"/>
  <c r="AH113" i="8"/>
  <c r="AI113" i="8" s="1"/>
  <c r="AO112" i="8"/>
  <c r="AP112" i="8" s="1"/>
  <c r="AH112" i="8"/>
  <c r="AI112" i="8" s="1"/>
  <c r="AO110" i="8"/>
  <c r="AP110" i="8" s="1"/>
  <c r="AH110" i="8"/>
  <c r="AI110" i="8" s="1"/>
  <c r="AO108" i="8"/>
  <c r="AP108" i="8" s="1"/>
  <c r="AH108" i="8"/>
  <c r="AI108" i="8" s="1"/>
  <c r="AO107" i="8"/>
  <c r="AP107" i="8" s="1"/>
  <c r="AH107" i="8"/>
  <c r="AI107" i="8" s="1"/>
  <c r="AN106" i="8"/>
  <c r="AP106" i="8" s="1"/>
  <c r="AF106" i="8"/>
  <c r="AI106" i="8" s="1"/>
  <c r="AN105" i="8"/>
  <c r="AM105" i="8"/>
  <c r="AK105" i="8"/>
  <c r="AF105" i="8"/>
  <c r="AE105" i="8"/>
  <c r="AC105" i="8"/>
  <c r="AP104" i="8"/>
  <c r="AI104" i="8"/>
  <c r="AO103" i="8"/>
  <c r="AN103" i="8"/>
  <c r="AH103" i="8"/>
  <c r="AI103" i="8" s="1"/>
  <c r="AF103" i="8"/>
  <c r="AO102" i="8"/>
  <c r="AP102" i="8" s="1"/>
  <c r="AH102" i="8"/>
  <c r="AI102" i="8" s="1"/>
  <c r="AO101" i="8"/>
  <c r="AN101" i="8"/>
  <c r="AH101" i="8"/>
  <c r="AF101" i="8"/>
  <c r="AN100" i="8"/>
  <c r="AM100" i="8"/>
  <c r="AO100" i="8" s="1"/>
  <c r="AP100" i="8" s="1"/>
  <c r="AF100" i="8"/>
  <c r="AE100" i="8"/>
  <c r="AH100" i="8" s="1"/>
  <c r="AH99" i="8"/>
  <c r="AI99" i="8" s="1"/>
  <c r="AO98" i="8"/>
  <c r="AP98" i="8" s="1"/>
  <c r="AH98" i="8"/>
  <c r="AI98" i="8" s="1"/>
  <c r="AN97" i="8"/>
  <c r="AP97" i="8" s="1"/>
  <c r="AF97" i="8"/>
  <c r="AI97" i="8" s="1"/>
  <c r="AO95" i="8"/>
  <c r="AH95" i="8"/>
  <c r="AP94" i="8"/>
  <c r="AK94" i="8"/>
  <c r="AI94" i="8"/>
  <c r="AC94" i="8"/>
  <c r="AO93" i="8"/>
  <c r="AP93" i="8" s="1"/>
  <c r="AH93" i="8"/>
  <c r="AI93" i="8" s="1"/>
  <c r="AO92" i="8"/>
  <c r="AP92" i="8" s="1"/>
  <c r="AH92" i="8"/>
  <c r="AI92" i="8" s="1"/>
  <c r="AP89" i="8"/>
  <c r="AI89" i="8"/>
  <c r="AO88" i="8"/>
  <c r="AP88" i="8" s="1"/>
  <c r="AI88" i="8"/>
  <c r="AH88" i="8"/>
  <c r="AO86" i="8"/>
  <c r="AN86" i="8"/>
  <c r="AH86" i="8"/>
  <c r="AF86" i="8"/>
  <c r="AO85" i="8"/>
  <c r="AP85" i="8" s="1"/>
  <c r="AO84" i="8"/>
  <c r="AP84" i="8" s="1"/>
  <c r="AH84" i="8"/>
  <c r="AI84" i="8" s="1"/>
  <c r="AN83" i="8"/>
  <c r="AM83" i="8"/>
  <c r="AO83" i="8" s="1"/>
  <c r="AF83" i="8"/>
  <c r="AE83" i="8"/>
  <c r="AH83" i="8" s="1"/>
  <c r="AO82" i="8"/>
  <c r="AP82" i="8" s="1"/>
  <c r="AH82" i="8"/>
  <c r="AI82" i="8" s="1"/>
  <c r="AO81" i="8"/>
  <c r="AP81" i="8" s="1"/>
  <c r="AH81" i="8"/>
  <c r="AI81" i="8" s="1"/>
  <c r="AO78" i="8"/>
  <c r="AP78" i="8" s="1"/>
  <c r="AH78" i="8"/>
  <c r="AI78" i="8" s="1"/>
  <c r="AO77" i="8"/>
  <c r="AP77" i="8" s="1"/>
  <c r="AH77" i="8"/>
  <c r="AI77" i="8" s="1"/>
  <c r="AO75" i="8"/>
  <c r="AP75" i="8" s="1"/>
  <c r="AH75" i="8"/>
  <c r="AI75" i="8" s="1"/>
  <c r="AO74" i="8"/>
  <c r="AN74" i="8"/>
  <c r="AH74" i="8"/>
  <c r="AF74" i="8"/>
  <c r="AO73" i="8"/>
  <c r="AP73" i="8" s="1"/>
  <c r="AH73" i="8"/>
  <c r="AI73" i="8" s="1"/>
  <c r="AO72" i="8"/>
  <c r="AP72" i="8" s="1"/>
  <c r="AH72" i="8"/>
  <c r="AI72" i="8" s="1"/>
  <c r="AO71" i="8"/>
  <c r="AP71" i="8" s="1"/>
  <c r="AH71" i="8"/>
  <c r="AI71" i="8" s="1"/>
  <c r="AO70" i="8"/>
  <c r="AP70" i="8" s="1"/>
  <c r="AH70" i="8"/>
  <c r="AI70" i="8" s="1"/>
  <c r="AO68" i="8"/>
  <c r="AP68" i="8" s="1"/>
  <c r="AH68" i="8"/>
  <c r="AI68" i="8" s="1"/>
  <c r="AO66" i="8"/>
  <c r="AN66" i="8"/>
  <c r="AH66" i="8"/>
  <c r="AF66" i="8"/>
  <c r="AO65" i="8"/>
  <c r="AN65" i="8"/>
  <c r="AH65" i="8"/>
  <c r="AF65" i="8"/>
  <c r="AO64" i="8"/>
  <c r="AP64" i="8" s="1"/>
  <c r="AH64" i="8"/>
  <c r="AI64" i="8" s="1"/>
  <c r="AO63" i="8"/>
  <c r="AP63" i="8" s="1"/>
  <c r="AH63" i="8"/>
  <c r="AI63" i="8" s="1"/>
  <c r="AN62" i="8"/>
  <c r="AM62" i="8"/>
  <c r="AL62" i="8"/>
  <c r="AK62" i="8"/>
  <c r="AH62" i="8"/>
  <c r="AI62" i="8" s="1"/>
  <c r="AO61" i="8"/>
  <c r="AP61" i="8" s="1"/>
  <c r="AH61" i="8"/>
  <c r="AI61" i="8" s="1"/>
  <c r="AO60" i="8"/>
  <c r="AN60" i="8"/>
  <c r="AH60" i="8"/>
  <c r="AF60" i="8"/>
  <c r="AO59" i="8"/>
  <c r="AP59" i="8" s="1"/>
  <c r="AH59" i="8"/>
  <c r="AI59" i="8" s="1"/>
  <c r="AO58" i="8"/>
  <c r="AP58" i="8" s="1"/>
  <c r="AH58" i="8"/>
  <c r="AI58" i="8" s="1"/>
  <c r="AO57" i="8"/>
  <c r="AP57" i="8" s="1"/>
  <c r="AH57" i="8"/>
  <c r="AI57" i="8" s="1"/>
  <c r="AO56" i="8"/>
  <c r="AP56" i="8" s="1"/>
  <c r="AH56" i="8"/>
  <c r="AO55" i="8"/>
  <c r="AP55" i="8" s="1"/>
  <c r="AH55" i="8"/>
  <c r="AI55" i="8" s="1"/>
  <c r="AO54" i="8"/>
  <c r="AP54" i="8" s="1"/>
  <c r="AH54" i="8"/>
  <c r="AI54" i="8" s="1"/>
  <c r="AF53" i="8"/>
  <c r="AE53" i="8"/>
  <c r="AO52" i="8"/>
  <c r="AP52" i="8" s="1"/>
  <c r="AH52" i="8"/>
  <c r="AI52" i="8" s="1"/>
  <c r="AN51" i="8"/>
  <c r="AF51" i="8"/>
  <c r="AO50" i="8"/>
  <c r="AP50" i="8" s="1"/>
  <c r="AH50" i="8"/>
  <c r="AI50" i="8" s="1"/>
  <c r="AO49" i="8"/>
  <c r="AP49" i="8" s="1"/>
  <c r="AH49" i="8"/>
  <c r="AI49" i="8" s="1"/>
  <c r="AO45" i="8"/>
  <c r="AP45" i="8" s="1"/>
  <c r="AH45" i="8"/>
  <c r="AI45" i="8" s="1"/>
  <c r="AM44" i="8"/>
  <c r="AK44" i="8"/>
  <c r="AE44" i="8"/>
  <c r="AC44" i="8"/>
  <c r="AH44" i="8" s="1"/>
  <c r="AI44" i="8" s="1"/>
  <c r="AN41" i="8"/>
  <c r="AM41" i="8"/>
  <c r="AK41" i="8"/>
  <c r="AO41" i="8" s="1"/>
  <c r="AP41" i="8" s="1"/>
  <c r="AE41" i="8"/>
  <c r="AC41" i="8"/>
  <c r="AH41" i="8" s="1"/>
  <c r="AI41" i="8" s="1"/>
  <c r="AO40" i="8"/>
  <c r="AP40" i="8" s="1"/>
  <c r="AH40" i="8"/>
  <c r="AI40" i="8" s="1"/>
  <c r="AO39" i="8"/>
  <c r="AP39" i="8" s="1"/>
  <c r="AI39" i="8"/>
  <c r="AH39" i="8"/>
  <c r="AO38" i="8"/>
  <c r="AP38" i="8" s="1"/>
  <c r="AH38" i="8"/>
  <c r="AI38" i="8" s="1"/>
  <c r="AO37" i="8"/>
  <c r="AP37" i="8" s="1"/>
  <c r="AH37" i="8"/>
  <c r="AI37" i="8" s="1"/>
  <c r="AO35" i="8"/>
  <c r="AP35" i="8" s="1"/>
  <c r="AH35" i="8"/>
  <c r="AI35" i="8" s="1"/>
  <c r="AO34" i="8"/>
  <c r="AP34" i="8" s="1"/>
  <c r="AH34" i="8"/>
  <c r="AI34" i="8" s="1"/>
  <c r="AP33" i="8"/>
  <c r="AI33" i="8"/>
  <c r="AO32" i="8"/>
  <c r="AP32" i="8" s="1"/>
  <c r="AH32" i="8"/>
  <c r="AI32" i="8" s="1"/>
  <c r="AO31" i="8"/>
  <c r="AP31" i="8" s="1"/>
  <c r="AH31" i="8"/>
  <c r="AI31" i="8" s="1"/>
  <c r="AP30" i="8"/>
  <c r="AM30" i="8"/>
  <c r="AH30" i="8"/>
  <c r="AI30" i="8" s="1"/>
  <c r="AH29" i="8"/>
  <c r="AI29" i="8" s="1"/>
  <c r="AO28" i="8"/>
  <c r="AP28" i="8" s="1"/>
  <c r="AH28" i="8"/>
  <c r="AI28" i="8" s="1"/>
  <c r="AO27" i="8"/>
  <c r="AP27" i="8" s="1"/>
  <c r="AH27" i="8"/>
  <c r="AI27" i="8" s="1"/>
  <c r="AO26" i="8"/>
  <c r="AP26" i="8" s="1"/>
  <c r="AH26" i="8"/>
  <c r="AI26" i="8" s="1"/>
  <c r="AO25" i="8"/>
  <c r="AP25" i="8" s="1"/>
  <c r="AH25" i="8"/>
  <c r="AI25" i="8" s="1"/>
  <c r="AO24" i="8"/>
  <c r="AP24" i="8" s="1"/>
  <c r="AH24" i="8"/>
  <c r="AI24" i="8" s="1"/>
  <c r="AO23" i="8"/>
  <c r="AP23" i="8" s="1"/>
  <c r="AH23" i="8"/>
  <c r="AI23" i="8" s="1"/>
  <c r="AP22" i="8"/>
  <c r="AH22" i="8"/>
  <c r="AI22" i="8" s="1"/>
  <c r="AO21" i="8"/>
  <c r="AP21" i="8" s="1"/>
  <c r="AH21" i="8"/>
  <c r="AI21" i="8" s="1"/>
  <c r="AO20" i="8"/>
  <c r="AP20" i="8" s="1"/>
  <c r="AH20" i="8"/>
  <c r="AI20" i="8" s="1"/>
  <c r="AP19" i="8"/>
  <c r="AO19" i="8"/>
  <c r="AI19" i="8"/>
  <c r="AH19" i="8"/>
  <c r="AP16" i="8"/>
  <c r="AI16" i="8"/>
  <c r="AO15" i="8"/>
  <c r="AN15" i="8"/>
  <c r="AH15" i="8"/>
  <c r="AI15" i="8" s="1"/>
  <c r="AO14" i="8"/>
  <c r="AP14" i="8" s="1"/>
  <c r="AO13" i="8"/>
  <c r="AP13" i="8" s="1"/>
  <c r="AH13" i="8"/>
  <c r="AI13" i="8" s="1"/>
  <c r="AO12" i="8"/>
  <c r="AP12" i="8" s="1"/>
  <c r="AH12" i="8"/>
  <c r="AF12" i="8"/>
  <c r="AO11" i="8"/>
  <c r="AP11" i="8" s="1"/>
  <c r="AH11" i="8"/>
  <c r="AI11" i="8" s="1"/>
  <c r="AM10" i="8"/>
  <c r="AK10" i="8"/>
  <c r="AH10" i="8"/>
  <c r="AI10" i="8" s="1"/>
  <c r="AO9" i="8"/>
  <c r="AP9" i="8" s="1"/>
  <c r="AH9" i="8"/>
  <c r="AO8" i="8"/>
  <c r="AP8" i="8" s="1"/>
  <c r="AH8" i="8"/>
  <c r="AI8" i="8" s="1"/>
  <c r="AP7" i="8"/>
  <c r="AI7" i="8"/>
  <c r="AO6" i="8"/>
  <c r="AP6" i="8" s="1"/>
  <c r="AH6" i="8"/>
  <c r="AI6" i="8" s="1"/>
  <c r="AM5" i="8"/>
  <c r="AO5" i="8" s="1"/>
  <c r="AP5" i="8" s="1"/>
  <c r="AE5" i="8"/>
  <c r="AC5" i="8"/>
  <c r="AO6" i="5"/>
  <c r="AO7" i="5"/>
  <c r="AO8" i="5"/>
  <c r="AO9" i="5"/>
  <c r="AO10" i="5"/>
  <c r="AO11" i="5"/>
  <c r="AO12" i="5"/>
  <c r="AO13" i="5"/>
  <c r="AO14" i="5"/>
  <c r="AO15" i="5"/>
  <c r="AO16" i="5"/>
  <c r="AO17" i="5"/>
  <c r="AO18" i="5"/>
  <c r="AO19" i="5"/>
  <c r="AO20" i="5"/>
  <c r="AO21" i="5"/>
  <c r="AO5" i="5"/>
  <c r="AN21" i="5"/>
  <c r="AN6" i="5"/>
  <c r="AN7" i="5"/>
  <c r="AN8" i="5"/>
  <c r="AN9" i="5"/>
  <c r="AN10" i="5"/>
  <c r="AN11" i="5"/>
  <c r="AN12" i="5"/>
  <c r="AN13" i="5"/>
  <c r="AN14" i="5"/>
  <c r="AN15" i="5"/>
  <c r="AN16" i="5"/>
  <c r="AN17" i="5"/>
  <c r="AN18" i="5"/>
  <c r="AN19" i="5"/>
  <c r="AN20" i="5"/>
  <c r="AN5" i="5"/>
  <c r="AM6" i="5"/>
  <c r="AM7" i="5"/>
  <c r="AM8" i="5"/>
  <c r="AM9" i="5"/>
  <c r="AM10" i="5"/>
  <c r="AM11" i="5"/>
  <c r="AM12" i="5"/>
  <c r="AM13" i="5"/>
  <c r="AM14" i="5"/>
  <c r="AM15" i="5"/>
  <c r="AM16" i="5"/>
  <c r="AM17" i="5"/>
  <c r="AM18" i="5"/>
  <c r="AM19" i="5"/>
  <c r="AM20" i="5"/>
  <c r="AM21" i="5"/>
  <c r="AM5" i="5"/>
  <c r="W35" i="5"/>
  <c r="W36" i="5"/>
  <c r="W37" i="5"/>
  <c r="W38" i="5"/>
  <c r="W39" i="5"/>
  <c r="W40" i="5"/>
  <c r="W41" i="5"/>
  <c r="W42" i="5"/>
  <c r="W43" i="5"/>
  <c r="W44" i="5"/>
  <c r="W45" i="5"/>
  <c r="W46" i="5"/>
  <c r="W47" i="5"/>
  <c r="W48" i="5"/>
  <c r="W49" i="5"/>
  <c r="W50" i="5"/>
  <c r="W51" i="5"/>
  <c r="W52" i="5"/>
  <c r="W53" i="5"/>
  <c r="W54" i="5"/>
  <c r="W55" i="5"/>
  <c r="W56" i="5"/>
  <c r="W57" i="5"/>
  <c r="W58" i="5"/>
  <c r="W59" i="5"/>
  <c r="W60" i="5"/>
  <c r="W61" i="5"/>
  <c r="W62" i="5"/>
  <c r="W63" i="5"/>
  <c r="W64" i="5"/>
  <c r="W65" i="5"/>
  <c r="W66" i="5"/>
  <c r="W67" i="5"/>
  <c r="W68" i="5"/>
  <c r="W69" i="5"/>
  <c r="W70" i="5"/>
  <c r="W71" i="5"/>
  <c r="W72" i="5"/>
  <c r="W73" i="5"/>
  <c r="W74" i="5"/>
  <c r="W75" i="5"/>
  <c r="W76" i="5"/>
  <c r="W77" i="5"/>
  <c r="W78" i="5"/>
  <c r="W79" i="5"/>
  <c r="W80" i="5"/>
  <c r="W81" i="5"/>
  <c r="W82" i="5"/>
  <c r="W83" i="5"/>
  <c r="W84" i="5"/>
  <c r="W85" i="5"/>
  <c r="W86" i="5"/>
  <c r="W87" i="5"/>
  <c r="W88" i="5"/>
  <c r="W89" i="5"/>
  <c r="W90" i="5"/>
  <c r="W91" i="5"/>
  <c r="W92" i="5"/>
  <c r="W93" i="5"/>
  <c r="W94" i="5"/>
  <c r="W95" i="5"/>
  <c r="W96" i="5"/>
  <c r="W97" i="5"/>
  <c r="W98" i="5"/>
  <c r="W99" i="5"/>
  <c r="W100" i="5"/>
  <c r="W101" i="5"/>
  <c r="W102" i="5"/>
  <c r="W103" i="5"/>
  <c r="W104" i="5"/>
  <c r="W105" i="5"/>
  <c r="W106" i="5"/>
  <c r="W107" i="5"/>
  <c r="W108" i="5"/>
  <c r="W109" i="5"/>
  <c r="W110" i="5"/>
  <c r="W111" i="5"/>
  <c r="W112" i="5"/>
  <c r="W113" i="5"/>
  <c r="W114" i="5"/>
  <c r="W115" i="5"/>
  <c r="W116" i="5"/>
  <c r="W117" i="5"/>
  <c r="W118" i="5"/>
  <c r="W119" i="5"/>
  <c r="W120" i="5"/>
  <c r="W121" i="5"/>
  <c r="W122" i="5"/>
  <c r="W123" i="5"/>
  <c r="W124" i="5"/>
  <c r="W125" i="5"/>
  <c r="W126" i="5"/>
  <c r="W127" i="5"/>
  <c r="W128" i="5"/>
  <c r="W129" i="5"/>
  <c r="W130" i="5"/>
  <c r="W131" i="5"/>
  <c r="W132" i="5"/>
  <c r="W133" i="5"/>
  <c r="W134" i="5"/>
  <c r="W135" i="5"/>
  <c r="W136" i="5"/>
  <c r="W137" i="5"/>
  <c r="W138" i="5"/>
  <c r="W139" i="5"/>
  <c r="W140" i="5"/>
  <c r="W141" i="5"/>
  <c r="W142" i="5"/>
  <c r="W143" i="5"/>
  <c r="W144" i="5"/>
  <c r="W145" i="5"/>
  <c r="W146" i="5"/>
  <c r="W147" i="5"/>
  <c r="W148" i="5"/>
  <c r="W149" i="5"/>
  <c r="W150" i="5"/>
  <c r="W151" i="5"/>
  <c r="W152" i="5"/>
  <c r="W153" i="5"/>
  <c r="W154" i="5"/>
  <c r="W155" i="5"/>
  <c r="W156" i="5"/>
  <c r="W157" i="5"/>
  <c r="W158" i="5"/>
  <c r="W159" i="5"/>
  <c r="W160" i="5"/>
  <c r="W161" i="5"/>
  <c r="W162" i="5"/>
  <c r="W163" i="5"/>
  <c r="W164" i="5"/>
  <c r="W165" i="5"/>
  <c r="W166" i="5"/>
  <c r="W167" i="5"/>
  <c r="W168" i="5"/>
  <c r="W169" i="5"/>
  <c r="W170" i="5"/>
  <c r="W171" i="5"/>
  <c r="W172" i="5"/>
  <c r="W173" i="5"/>
  <c r="W174" i="5"/>
  <c r="W175" i="5"/>
  <c r="W176" i="5"/>
  <c r="W177" i="5"/>
  <c r="W178" i="5"/>
  <c r="W179" i="5"/>
  <c r="W180" i="5"/>
  <c r="W181" i="5"/>
  <c r="W182" i="5"/>
  <c r="W183" i="5"/>
  <c r="W184" i="5"/>
  <c r="W185" i="5"/>
  <c r="W186" i="5"/>
  <c r="W187" i="5"/>
  <c r="W188" i="5"/>
  <c r="W189" i="5"/>
  <c r="W190" i="5"/>
  <c r="W191" i="5"/>
  <c r="W192" i="5"/>
  <c r="W193" i="5"/>
  <c r="W194" i="5"/>
  <c r="W195" i="5"/>
  <c r="W196" i="5"/>
  <c r="W197" i="5"/>
  <c r="W198" i="5"/>
  <c r="W199" i="5"/>
  <c r="W200" i="5"/>
  <c r="W201" i="5"/>
  <c r="W202" i="5"/>
  <c r="W203" i="5"/>
  <c r="W204" i="5"/>
  <c r="W205" i="5"/>
  <c r="W206" i="5"/>
  <c r="W207" i="5"/>
  <c r="W208" i="5"/>
  <c r="W209" i="5"/>
  <c r="W210" i="5"/>
  <c r="W211" i="5"/>
  <c r="W212" i="5"/>
  <c r="W213" i="5"/>
  <c r="W214" i="5"/>
  <c r="W215" i="5"/>
  <c r="W216" i="5"/>
  <c r="W217" i="5"/>
  <c r="W218" i="5"/>
  <c r="W219" i="5"/>
  <c r="W220" i="5"/>
  <c r="W221" i="5"/>
  <c r="W222" i="5"/>
  <c r="W223" i="5"/>
  <c r="W224" i="5"/>
  <c r="W225" i="5"/>
  <c r="W226" i="5"/>
  <c r="W227" i="5"/>
  <c r="W228" i="5"/>
  <c r="W229" i="5"/>
  <c r="W230" i="5"/>
  <c r="W231" i="5"/>
  <c r="W232" i="5"/>
  <c r="W233" i="5"/>
  <c r="W234" i="5"/>
  <c r="W235" i="5"/>
  <c r="W236" i="5"/>
  <c r="W237" i="5"/>
  <c r="W238" i="5"/>
  <c r="W239" i="5"/>
  <c r="W240" i="5"/>
  <c r="W241" i="5"/>
  <c r="W242" i="5"/>
  <c r="W243" i="5"/>
  <c r="W244" i="5"/>
  <c r="W245" i="5"/>
  <c r="W246" i="5"/>
  <c r="W247" i="5"/>
  <c r="W248" i="5"/>
  <c r="W249" i="5"/>
  <c r="W250" i="5"/>
  <c r="W251" i="5"/>
  <c r="W252" i="5"/>
  <c r="W253" i="5"/>
  <c r="W254" i="5"/>
  <c r="W255" i="5"/>
  <c r="W256" i="5"/>
  <c r="W257" i="5"/>
  <c r="W258" i="5"/>
  <c r="W259" i="5"/>
  <c r="W260" i="5"/>
  <c r="W261" i="5"/>
  <c r="W262" i="5"/>
  <c r="W263" i="5"/>
  <c r="W264" i="5"/>
  <c r="W265" i="5"/>
  <c r="W266" i="5"/>
  <c r="W267" i="5"/>
  <c r="W268" i="5"/>
  <c r="W269" i="5"/>
  <c r="W270" i="5"/>
  <c r="W271" i="5"/>
  <c r="W272" i="5"/>
  <c r="W273" i="5"/>
  <c r="W274" i="5"/>
  <c r="W275" i="5"/>
  <c r="W276" i="5"/>
  <c r="W277" i="5"/>
  <c r="W278" i="5"/>
  <c r="W279" i="5"/>
  <c r="W280" i="5"/>
  <c r="W281" i="5"/>
  <c r="W282" i="5"/>
  <c r="W283" i="5"/>
  <c r="W284" i="5"/>
  <c r="W285" i="5"/>
  <c r="W286" i="5"/>
  <c r="W287" i="5"/>
  <c r="W288" i="5"/>
  <c r="W289" i="5"/>
  <c r="W290" i="5"/>
  <c r="W291" i="5"/>
  <c r="W292" i="5"/>
  <c r="W293" i="5"/>
  <c r="W294" i="5"/>
  <c r="W295" i="5"/>
  <c r="W296" i="5"/>
  <c r="W297" i="5"/>
  <c r="W298" i="5"/>
  <c r="W299" i="5"/>
  <c r="W300" i="5"/>
  <c r="W301" i="5"/>
  <c r="W302" i="5"/>
  <c r="W303" i="5"/>
  <c r="W304" i="5"/>
  <c r="W305" i="5"/>
  <c r="W306" i="5"/>
  <c r="W307" i="5"/>
  <c r="W308" i="5"/>
  <c r="W309" i="5"/>
  <c r="W310" i="5"/>
  <c r="W311" i="5"/>
  <c r="W312" i="5"/>
  <c r="W313" i="5"/>
  <c r="W314" i="5"/>
  <c r="W315" i="5"/>
  <c r="W316" i="5"/>
  <c r="W317" i="5"/>
  <c r="W318" i="5"/>
  <c r="W319" i="5"/>
  <c r="W320" i="5"/>
  <c r="W321" i="5"/>
  <c r="W322" i="5"/>
  <c r="W323" i="5"/>
  <c r="W324" i="5"/>
  <c r="W325" i="5"/>
  <c r="W326" i="5"/>
  <c r="W327" i="5"/>
  <c r="W328" i="5"/>
  <c r="W329" i="5"/>
  <c r="W330" i="5"/>
  <c r="W331" i="5"/>
  <c r="W332" i="5"/>
  <c r="W333" i="5"/>
  <c r="W334" i="5"/>
  <c r="W335" i="5"/>
  <c r="W336" i="5"/>
  <c r="W337" i="5"/>
  <c r="W338" i="5"/>
  <c r="W339" i="5"/>
  <c r="W340" i="5"/>
  <c r="W341" i="5"/>
  <c r="W342" i="5"/>
  <c r="W343" i="5"/>
  <c r="W344" i="5"/>
  <c r="W345" i="5"/>
  <c r="W346" i="5"/>
  <c r="W347" i="5"/>
  <c r="W348" i="5"/>
  <c r="W349" i="5"/>
  <c r="W350" i="5"/>
  <c r="W351" i="5"/>
  <c r="W352" i="5"/>
  <c r="W353" i="5"/>
  <c r="W354" i="5"/>
  <c r="W355" i="5"/>
  <c r="W356" i="5"/>
  <c r="W357" i="5"/>
  <c r="W358" i="5"/>
  <c r="W359" i="5"/>
  <c r="W360" i="5"/>
  <c r="W361" i="5"/>
  <c r="W362" i="5"/>
  <c r="W363" i="5"/>
  <c r="W364" i="5"/>
  <c r="W365" i="5"/>
  <c r="W366" i="5"/>
  <c r="W367" i="5"/>
  <c r="W368" i="5"/>
  <c r="W369" i="5"/>
  <c r="W370" i="5"/>
  <c r="W371" i="5"/>
  <c r="W372" i="5"/>
  <c r="W373" i="5"/>
  <c r="W374" i="5"/>
  <c r="W375" i="5"/>
  <c r="W376" i="5"/>
  <c r="W377" i="5"/>
  <c r="W378" i="5"/>
  <c r="W379" i="5"/>
  <c r="W380" i="5"/>
  <c r="W381" i="5"/>
  <c r="W382" i="5"/>
  <c r="W383" i="5"/>
  <c r="W384" i="5"/>
  <c r="W385" i="5"/>
  <c r="W386" i="5"/>
  <c r="W387" i="5"/>
  <c r="W388" i="5"/>
  <c r="W389" i="5"/>
  <c r="W390" i="5"/>
  <c r="W391" i="5"/>
  <c r="W392" i="5"/>
  <c r="W393" i="5"/>
  <c r="W394" i="5"/>
  <c r="W395" i="5"/>
  <c r="W396" i="5"/>
  <c r="W397" i="5"/>
  <c r="W398" i="5"/>
  <c r="W399" i="5"/>
  <c r="W400" i="5"/>
  <c r="W401" i="5"/>
  <c r="W402" i="5"/>
  <c r="W403" i="5"/>
  <c r="W404" i="5"/>
  <c r="W405" i="5"/>
  <c r="W406" i="5"/>
  <c r="W407" i="5"/>
  <c r="W408" i="5"/>
  <c r="W409" i="5"/>
  <c r="W410" i="5"/>
  <c r="W411" i="5"/>
  <c r="W412" i="5"/>
  <c r="W413" i="5"/>
  <c r="W414" i="5"/>
  <c r="W415" i="5"/>
  <c r="W416" i="5"/>
  <c r="W417" i="5"/>
  <c r="W418" i="5"/>
  <c r="W419" i="5"/>
  <c r="W420" i="5"/>
  <c r="W421" i="5"/>
  <c r="W422" i="5"/>
  <c r="W423" i="5"/>
  <c r="W424" i="5"/>
  <c r="W425" i="5"/>
  <c r="W426" i="5"/>
  <c r="W427" i="5"/>
  <c r="W428" i="5"/>
  <c r="W429" i="5"/>
  <c r="W430" i="5"/>
  <c r="W431" i="5"/>
  <c r="W432" i="5"/>
  <c r="W433" i="5"/>
  <c r="W434" i="5"/>
  <c r="W435" i="5"/>
  <c r="W436" i="5"/>
  <c r="W437" i="5"/>
  <c r="W438" i="5"/>
  <c r="W439" i="5"/>
  <c r="W440" i="5"/>
  <c r="W441" i="5"/>
  <c r="W442" i="5"/>
  <c r="W443" i="5"/>
  <c r="W444" i="5"/>
  <c r="W445" i="5"/>
  <c r="W446" i="5"/>
  <c r="W447" i="5"/>
  <c r="W448" i="5"/>
  <c r="W449" i="5"/>
  <c r="W450" i="5"/>
  <c r="W451" i="5"/>
  <c r="W452" i="5"/>
  <c r="W453" i="5"/>
  <c r="W454" i="5"/>
  <c r="W455" i="5"/>
  <c r="W456" i="5"/>
  <c r="W457" i="5"/>
  <c r="W458" i="5"/>
  <c r="W459" i="5"/>
  <c r="W460" i="5"/>
  <c r="W461" i="5"/>
  <c r="W462" i="5"/>
  <c r="W463" i="5"/>
  <c r="W464" i="5"/>
  <c r="W465" i="5"/>
  <c r="W466" i="5"/>
  <c r="W467" i="5"/>
  <c r="W468" i="5"/>
  <c r="W469" i="5"/>
  <c r="W470" i="5"/>
  <c r="W471" i="5"/>
  <c r="W472" i="5"/>
  <c r="W473" i="5"/>
  <c r="W474" i="5"/>
  <c r="W475" i="5"/>
  <c r="W476" i="5"/>
  <c r="W477" i="5"/>
  <c r="W478" i="5"/>
  <c r="W479" i="5"/>
  <c r="W480" i="5"/>
  <c r="W481" i="5"/>
  <c r="W482" i="5"/>
  <c r="W483" i="5"/>
  <c r="W484" i="5"/>
  <c r="W485" i="5"/>
  <c r="W486" i="5"/>
  <c r="W487" i="5"/>
  <c r="W488" i="5"/>
  <c r="W489" i="5"/>
  <c r="W490" i="5"/>
  <c r="W491" i="5"/>
  <c r="W492" i="5"/>
  <c r="W493" i="5"/>
  <c r="W494" i="5"/>
  <c r="W495" i="5"/>
  <c r="W496" i="5"/>
  <c r="W497" i="5"/>
  <c r="W498" i="5"/>
  <c r="W499" i="5"/>
  <c r="W500" i="5"/>
  <c r="W501" i="5"/>
  <c r="W502" i="5"/>
  <c r="W4" i="5"/>
  <c r="W5" i="5"/>
  <c r="W6" i="5"/>
  <c r="W7" i="5"/>
  <c r="W8" i="5"/>
  <c r="W9" i="5"/>
  <c r="W10" i="5"/>
  <c r="W11" i="5"/>
  <c r="W12" i="5"/>
  <c r="W13" i="5"/>
  <c r="W14" i="5"/>
  <c r="W15" i="5"/>
  <c r="W16" i="5"/>
  <c r="W17" i="5"/>
  <c r="W18" i="5"/>
  <c r="W19" i="5"/>
  <c r="W20" i="5"/>
  <c r="W21" i="5"/>
  <c r="W22" i="5"/>
  <c r="W23" i="5"/>
  <c r="W24" i="5"/>
  <c r="W25" i="5"/>
  <c r="W26" i="5"/>
  <c r="W27" i="5"/>
  <c r="W28" i="5"/>
  <c r="W29" i="5"/>
  <c r="W30" i="5"/>
  <c r="W31" i="5"/>
  <c r="W32" i="5"/>
  <c r="W33" i="5"/>
  <c r="W34" i="5"/>
  <c r="W3" i="5"/>
  <c r="V6" i="4" a="1"/>
  <c r="V6" i="4" s="1"/>
  <c r="AK6" i="5"/>
  <c r="AK7" i="5"/>
  <c r="AK8" i="5"/>
  <c r="AK9" i="5"/>
  <c r="AK10" i="5"/>
  <c r="AK11" i="5"/>
  <c r="AK12" i="5"/>
  <c r="AK13" i="5"/>
  <c r="AK14" i="5"/>
  <c r="AK15" i="5"/>
  <c r="AK16" i="5"/>
  <c r="AK17" i="5"/>
  <c r="AK18" i="5"/>
  <c r="AK19" i="5"/>
  <c r="AK20" i="5"/>
  <c r="AK21" i="5"/>
  <c r="AL6" i="5"/>
  <c r="AL7" i="5"/>
  <c r="AL8" i="5"/>
  <c r="AL9" i="5"/>
  <c r="AL10" i="5"/>
  <c r="AL11" i="5"/>
  <c r="AL12" i="5"/>
  <c r="AL13" i="5"/>
  <c r="AL14" i="5"/>
  <c r="AL15" i="5"/>
  <c r="AL16" i="5"/>
  <c r="AL17" i="5"/>
  <c r="AL18" i="5"/>
  <c r="AL19" i="5"/>
  <c r="AL20" i="5"/>
  <c r="AL21" i="5"/>
  <c r="AL5" i="5"/>
  <c r="AJ6" i="5"/>
  <c r="AJ7" i="5"/>
  <c r="AJ8" i="5"/>
  <c r="AJ9" i="5"/>
  <c r="AJ10" i="5"/>
  <c r="AJ11" i="5"/>
  <c r="AJ12" i="5"/>
  <c r="AJ13" i="5"/>
  <c r="AJ14" i="5"/>
  <c r="AJ15" i="5"/>
  <c r="AJ16" i="5"/>
  <c r="AJ17" i="5"/>
  <c r="AJ18" i="5"/>
  <c r="AJ19" i="5"/>
  <c r="AJ20" i="5"/>
  <c r="AJ21" i="5"/>
  <c r="AJ5" i="5"/>
  <c r="DL27" i="3"/>
  <c r="DK27" i="3"/>
  <c r="DJ27" i="3"/>
  <c r="DI27" i="3"/>
  <c r="DH27" i="3"/>
  <c r="DG27" i="3"/>
  <c r="DF27" i="3"/>
  <c r="DE27" i="3"/>
  <c r="DP26" i="3"/>
  <c r="DO26" i="3"/>
  <c r="DN26" i="3"/>
  <c r="DM26" i="3"/>
  <c r="DP25" i="3"/>
  <c r="DO25" i="3"/>
  <c r="DN25" i="3"/>
  <c r="DM25" i="3"/>
  <c r="DP24" i="3"/>
  <c r="DO24" i="3"/>
  <c r="DN24" i="3"/>
  <c r="DM24" i="3"/>
  <c r="DQ24" i="3" s="1"/>
  <c r="DP23" i="3"/>
  <c r="DO23" i="3"/>
  <c r="DN23" i="3"/>
  <c r="DM23" i="3"/>
  <c r="DM20" i="3"/>
  <c r="DL20" i="3"/>
  <c r="DK20" i="3"/>
  <c r="DG20" i="3"/>
  <c r="DF20" i="3"/>
  <c r="DP19" i="3"/>
  <c r="DO19" i="3"/>
  <c r="DN19" i="3"/>
  <c r="DJ19" i="3"/>
  <c r="DP18" i="3"/>
  <c r="DO18" i="3"/>
  <c r="DN18" i="3"/>
  <c r="DJ18" i="3"/>
  <c r="DQ18" i="3" s="1"/>
  <c r="DP17" i="3"/>
  <c r="DO17" i="3"/>
  <c r="DN17" i="3"/>
  <c r="DJ17" i="3"/>
  <c r="DP16" i="3"/>
  <c r="DO16" i="3"/>
  <c r="DN16" i="3"/>
  <c r="DJ16" i="3"/>
  <c r="DP15" i="3"/>
  <c r="DO15" i="3"/>
  <c r="DN15" i="3"/>
  <c r="DJ15" i="3"/>
  <c r="DP14" i="3"/>
  <c r="DO14" i="3"/>
  <c r="DN14" i="3"/>
  <c r="DJ14" i="3"/>
  <c r="DP13" i="3"/>
  <c r="DO13" i="3"/>
  <c r="DN13" i="3"/>
  <c r="DJ13" i="3"/>
  <c r="DP12" i="3"/>
  <c r="DO12" i="3"/>
  <c r="DN12" i="3"/>
  <c r="DJ12" i="3"/>
  <c r="DQ12" i="3" s="1"/>
  <c r="DP11" i="3"/>
  <c r="DQ11" i="3" s="1"/>
  <c r="DO11" i="3"/>
  <c r="DN11" i="3"/>
  <c r="DJ11" i="3"/>
  <c r="DP10" i="3"/>
  <c r="DO10" i="3"/>
  <c r="DN10" i="3"/>
  <c r="DJ10" i="3"/>
  <c r="DP9" i="3"/>
  <c r="DO9" i="3"/>
  <c r="DN9" i="3"/>
  <c r="DJ9" i="3"/>
  <c r="DP8" i="3"/>
  <c r="DO8" i="3"/>
  <c r="DN8" i="3"/>
  <c r="DJ8" i="3"/>
  <c r="DP7" i="3"/>
  <c r="DO7" i="3"/>
  <c r="DN7" i="3"/>
  <c r="DJ7" i="3"/>
  <c r="DP6" i="3"/>
  <c r="DO6" i="3"/>
  <c r="DN6" i="3"/>
  <c r="DJ6" i="3"/>
  <c r="DQ6" i="3" s="1"/>
  <c r="DP5" i="3"/>
  <c r="DO5" i="3"/>
  <c r="DN5" i="3"/>
  <c r="DJ5" i="3"/>
  <c r="DP4" i="3"/>
  <c r="DO4" i="3"/>
  <c r="DN4" i="3"/>
  <c r="DJ4" i="3"/>
  <c r="DP3" i="3"/>
  <c r="DO3" i="3"/>
  <c r="DN3" i="3"/>
  <c r="DJ3" i="3"/>
  <c r="V429" i="4" a="1"/>
  <c r="V429" i="4" s="1"/>
  <c r="V430" i="4" a="1"/>
  <c r="V430" i="4" s="1"/>
  <c r="V431" i="4" a="1"/>
  <c r="V431" i="4" s="1"/>
  <c r="V432" i="4" a="1"/>
  <c r="V432" i="4" s="1"/>
  <c r="V433" i="4" a="1"/>
  <c r="V433" i="4" s="1"/>
  <c r="V434" i="4" a="1"/>
  <c r="V434" i="4" s="1"/>
  <c r="V435" i="4" a="1"/>
  <c r="V435" i="4" s="1"/>
  <c r="V436" i="4" a="1"/>
  <c r="V436" i="4"/>
  <c r="V437" i="4" a="1"/>
  <c r="V437" i="4" s="1"/>
  <c r="V438" i="4" a="1"/>
  <c r="V438" i="4" s="1"/>
  <c r="V439" i="4" a="1"/>
  <c r="V439" i="4" s="1"/>
  <c r="V440" i="4" a="1"/>
  <c r="V440" i="4"/>
  <c r="V441" i="4" a="1"/>
  <c r="V441" i="4" s="1"/>
  <c r="V442" i="4" a="1"/>
  <c r="V442" i="4" s="1"/>
  <c r="V443" i="4" a="1"/>
  <c r="V443" i="4"/>
  <c r="V444" i="4" a="1"/>
  <c r="V444" i="4" s="1"/>
  <c r="V445" i="4" a="1"/>
  <c r="V445" i="4" s="1"/>
  <c r="V446" i="4" a="1"/>
  <c r="V446" i="4" s="1"/>
  <c r="V447" i="4" a="1"/>
  <c r="V447" i="4" s="1"/>
  <c r="V448" i="4" a="1"/>
  <c r="V448" i="4" s="1"/>
  <c r="V449" i="4" a="1"/>
  <c r="V449" i="4" s="1"/>
  <c r="V450" i="4" a="1"/>
  <c r="V450" i="4" s="1"/>
  <c r="V451" i="4" a="1"/>
  <c r="V451" i="4" s="1"/>
  <c r="V452" i="4" a="1"/>
  <c r="V452" i="4"/>
  <c r="V453" i="4" a="1"/>
  <c r="V453" i="4" s="1"/>
  <c r="V454" i="4" a="1"/>
  <c r="V454" i="4" s="1"/>
  <c r="V455" i="4" a="1"/>
  <c r="V455" i="4" s="1"/>
  <c r="V456" i="4" a="1"/>
  <c r="V456" i="4" s="1"/>
  <c r="V457" i="4" a="1"/>
  <c r="V457" i="4" s="1"/>
  <c r="V458" i="4" a="1"/>
  <c r="V458" i="4"/>
  <c r="V459" i="4" a="1"/>
  <c r="V459" i="4" s="1"/>
  <c r="V460" i="4" a="1"/>
  <c r="V460" i="4" s="1"/>
  <c r="V461" i="4" a="1"/>
  <c r="V461" i="4"/>
  <c r="V462" i="4" a="1"/>
  <c r="V462" i="4" s="1"/>
  <c r="V463" i="4" a="1"/>
  <c r="V463" i="4" s="1"/>
  <c r="V464" i="4" a="1"/>
  <c r="V464" i="4" s="1"/>
  <c r="V465" i="4" a="1"/>
  <c r="V465" i="4" s="1"/>
  <c r="V466" i="4" a="1"/>
  <c r="V466" i="4" s="1"/>
  <c r="V467" i="4" a="1"/>
  <c r="V467" i="4" s="1"/>
  <c r="V468" i="4" a="1"/>
  <c r="V468" i="4" s="1"/>
  <c r="V469" i="4" a="1"/>
  <c r="V469" i="4" s="1"/>
  <c r="V470" i="4" a="1"/>
  <c r="V470" i="4" s="1"/>
  <c r="V471" i="4" a="1"/>
  <c r="V471" i="4" s="1"/>
  <c r="V472" i="4" a="1"/>
  <c r="V472" i="4"/>
  <c r="V473" i="4" a="1"/>
  <c r="V473" i="4" s="1"/>
  <c r="V474" i="4" a="1"/>
  <c r="V474" i="4"/>
  <c r="V475" i="4" a="1"/>
  <c r="V475" i="4"/>
  <c r="V476" i="4" a="1"/>
  <c r="V476" i="4" s="1"/>
  <c r="V477" i="4" a="1"/>
  <c r="V477" i="4" s="1"/>
  <c r="V478" i="4" a="1"/>
  <c r="V478" i="4" s="1"/>
  <c r="V479" i="4" a="1"/>
  <c r="V479" i="4" s="1"/>
  <c r="V480" i="4" a="1"/>
  <c r="V480" i="4" s="1"/>
  <c r="V481" i="4" a="1"/>
  <c r="V481" i="4" s="1"/>
  <c r="V482" i="4" a="1"/>
  <c r="V482" i="4" s="1"/>
  <c r="V483" i="4" a="1"/>
  <c r="V483" i="4" s="1"/>
  <c r="V484" i="4" a="1"/>
  <c r="V484" i="4"/>
  <c r="V485" i="4" a="1"/>
  <c r="V485" i="4"/>
  <c r="V486" i="4" a="1"/>
  <c r="V486" i="4" s="1"/>
  <c r="V487" i="4" a="1"/>
  <c r="V487" i="4" s="1"/>
  <c r="V488" i="4" a="1"/>
  <c r="V488" i="4"/>
  <c r="V489" i="4" a="1"/>
  <c r="V489" i="4" s="1"/>
  <c r="V490" i="4" a="1"/>
  <c r="V490" i="4" s="1"/>
  <c r="V491" i="4" a="1"/>
  <c r="V491" i="4" s="1"/>
  <c r="V492" i="4" a="1"/>
  <c r="V492" i="4" s="1"/>
  <c r="V493" i="4" a="1"/>
  <c r="V493" i="4" s="1"/>
  <c r="V494" i="4" a="1"/>
  <c r="V494" i="4" s="1"/>
  <c r="V495" i="4" a="1"/>
  <c r="V495" i="4" s="1"/>
  <c r="V496" i="4" a="1"/>
  <c r="V496" i="4" s="1"/>
  <c r="V497" i="4" a="1"/>
  <c r="V497" i="4"/>
  <c r="V498" i="4" a="1"/>
  <c r="V498" i="4"/>
  <c r="V499" i="4" a="1"/>
  <c r="V499" i="4" s="1"/>
  <c r="V500" i="4" a="1"/>
  <c r="V500" i="4"/>
  <c r="V501" i="4" a="1"/>
  <c r="V501" i="4" s="1"/>
  <c r="V502" i="4" a="1"/>
  <c r="V502" i="4" s="1"/>
  <c r="V4" i="4" a="1"/>
  <c r="V4" i="4" s="1"/>
  <c r="V5" i="4" a="1"/>
  <c r="V5" i="4" s="1"/>
  <c r="V7" i="4" a="1"/>
  <c r="V7" i="4"/>
  <c r="V8" i="4" a="1"/>
  <c r="V8" i="4" s="1"/>
  <c r="V9" i="4" a="1"/>
  <c r="V9" i="4" s="1"/>
  <c r="V10" i="4" a="1"/>
  <c r="V10" i="4" s="1"/>
  <c r="V11" i="4" a="1"/>
  <c r="V11" i="4" s="1"/>
  <c r="V12" i="4" a="1"/>
  <c r="V12" i="4" s="1"/>
  <c r="V13" i="4" a="1"/>
  <c r="V13" i="4" s="1"/>
  <c r="V14" i="4" a="1"/>
  <c r="V14" i="4" s="1"/>
  <c r="V15" i="4" a="1"/>
  <c r="V15" i="4" s="1"/>
  <c r="V16" i="4" a="1"/>
  <c r="V16" i="4" s="1"/>
  <c r="V17" i="4" a="1"/>
  <c r="V17" i="4" s="1"/>
  <c r="V18" i="4" a="1"/>
  <c r="V18" i="4" s="1"/>
  <c r="V19" i="4" a="1"/>
  <c r="V19" i="4" s="1"/>
  <c r="V20" i="4" a="1"/>
  <c r="V20" i="4" s="1"/>
  <c r="V21" i="4" a="1"/>
  <c r="V21" i="4" s="1"/>
  <c r="V22" i="4" a="1"/>
  <c r="V22" i="4" s="1"/>
  <c r="V23" i="4" a="1"/>
  <c r="V23" i="4" s="1"/>
  <c r="V24" i="4" a="1"/>
  <c r="V24" i="4" s="1"/>
  <c r="V25" i="4" a="1"/>
  <c r="V25" i="4" s="1"/>
  <c r="V26" i="4" a="1"/>
  <c r="V26" i="4" s="1"/>
  <c r="V27" i="4" a="1"/>
  <c r="V27" i="4"/>
  <c r="V28" i="4" a="1"/>
  <c r="V28" i="4" s="1"/>
  <c r="V29" i="4" a="1"/>
  <c r="V29" i="4" s="1"/>
  <c r="V30" i="4" a="1"/>
  <c r="V30" i="4" s="1"/>
  <c r="V31" i="4" a="1"/>
  <c r="V31" i="4" s="1"/>
  <c r="V32" i="4" a="1"/>
  <c r="V32" i="4" s="1"/>
  <c r="V33" i="4" a="1"/>
  <c r="V33" i="4" s="1"/>
  <c r="V34" i="4" a="1"/>
  <c r="V34" i="4" s="1"/>
  <c r="V35" i="4" a="1"/>
  <c r="V35" i="4" s="1"/>
  <c r="V36" i="4" a="1"/>
  <c r="V36" i="4" s="1"/>
  <c r="V37" i="4" a="1"/>
  <c r="V37" i="4" s="1"/>
  <c r="V38" i="4" a="1"/>
  <c r="V38" i="4" s="1"/>
  <c r="V39" i="4" a="1"/>
  <c r="V39" i="4"/>
  <c r="V40" i="4" a="1"/>
  <c r="V40" i="4" s="1"/>
  <c r="V41" i="4" a="1"/>
  <c r="V41" i="4" s="1"/>
  <c r="V42" i="4" a="1"/>
  <c r="V42" i="4" s="1"/>
  <c r="V43" i="4" a="1"/>
  <c r="V43" i="4" s="1"/>
  <c r="V44" i="4" a="1"/>
  <c r="V44" i="4" s="1"/>
  <c r="V45" i="4" a="1"/>
  <c r="V45" i="4"/>
  <c r="V46" i="4" a="1"/>
  <c r="V46" i="4" s="1"/>
  <c r="V47" i="4" a="1"/>
  <c r="V47" i="4" s="1"/>
  <c r="V48" i="4" a="1"/>
  <c r="V48" i="4" s="1"/>
  <c r="V49" i="4" a="1"/>
  <c r="V49" i="4" s="1"/>
  <c r="V50" i="4" a="1"/>
  <c r="V50" i="4" s="1"/>
  <c r="V51" i="4" a="1"/>
  <c r="V51" i="4" s="1"/>
  <c r="V52" i="4" a="1"/>
  <c r="V52" i="4" s="1"/>
  <c r="V53" i="4" a="1"/>
  <c r="V53" i="4" s="1"/>
  <c r="V54" i="4" a="1"/>
  <c r="V54" i="4" s="1"/>
  <c r="V55" i="4" a="1"/>
  <c r="V55" i="4" s="1"/>
  <c r="V56" i="4" a="1"/>
  <c r="V56" i="4" s="1"/>
  <c r="V57" i="4" a="1"/>
  <c r="V57" i="4" s="1"/>
  <c r="V58" i="4" a="1"/>
  <c r="V58" i="4" s="1"/>
  <c r="V59" i="4" a="1"/>
  <c r="V59" i="4" s="1"/>
  <c r="V60" i="4" a="1"/>
  <c r="V60" i="4" s="1"/>
  <c r="V61" i="4" a="1"/>
  <c r="V61" i="4" s="1"/>
  <c r="V62" i="4" a="1"/>
  <c r="V62" i="4" s="1"/>
  <c r="V63" i="4" a="1"/>
  <c r="V63" i="4" s="1"/>
  <c r="V64" i="4" a="1"/>
  <c r="V64" i="4" s="1"/>
  <c r="V65" i="4" a="1"/>
  <c r="V65" i="4" s="1"/>
  <c r="V66" i="4" a="1"/>
  <c r="V66" i="4" s="1"/>
  <c r="V67" i="4" a="1"/>
  <c r="V67" i="4" s="1"/>
  <c r="V68" i="4" a="1"/>
  <c r="V68" i="4" s="1"/>
  <c r="V69" i="4" a="1"/>
  <c r="V69" i="4"/>
  <c r="V70" i="4" a="1"/>
  <c r="V70" i="4" s="1"/>
  <c r="V71" i="4" a="1"/>
  <c r="V71" i="4" s="1"/>
  <c r="V72" i="4" a="1"/>
  <c r="V72" i="4" s="1"/>
  <c r="V73" i="4" a="1"/>
  <c r="V73" i="4" s="1"/>
  <c r="V74" i="4" a="1"/>
  <c r="V74" i="4" s="1"/>
  <c r="V75" i="4" a="1"/>
  <c r="V75" i="4"/>
  <c r="V76" i="4" a="1"/>
  <c r="V76" i="4" s="1"/>
  <c r="V77" i="4" a="1"/>
  <c r="V77" i="4" s="1"/>
  <c r="V78" i="4" a="1"/>
  <c r="V78" i="4" s="1"/>
  <c r="V79" i="4" a="1"/>
  <c r="V79" i="4" s="1"/>
  <c r="V80" i="4" a="1"/>
  <c r="V80" i="4" s="1"/>
  <c r="V81" i="4" a="1"/>
  <c r="V81" i="4"/>
  <c r="V82" i="4" a="1"/>
  <c r="V82" i="4" s="1"/>
  <c r="V83" i="4" a="1"/>
  <c r="V83" i="4" s="1"/>
  <c r="V84" i="4" a="1"/>
  <c r="V84" i="4" s="1"/>
  <c r="V85" i="4" a="1"/>
  <c r="V85" i="4" s="1"/>
  <c r="V86" i="4" a="1"/>
  <c r="V86" i="4" s="1"/>
  <c r="V87" i="4" a="1"/>
  <c r="V87" i="4" s="1"/>
  <c r="V88" i="4" a="1"/>
  <c r="V88" i="4" s="1"/>
  <c r="V89" i="4" a="1"/>
  <c r="V89" i="4" s="1"/>
  <c r="V90" i="4" a="1"/>
  <c r="V90" i="4" s="1"/>
  <c r="V91" i="4" a="1"/>
  <c r="V91" i="4" s="1"/>
  <c r="V92" i="4" a="1"/>
  <c r="V92" i="4" s="1"/>
  <c r="V93" i="4" a="1"/>
  <c r="V93" i="4" s="1"/>
  <c r="V94" i="4" a="1"/>
  <c r="V94" i="4" s="1"/>
  <c r="V95" i="4" a="1"/>
  <c r="V95" i="4" s="1"/>
  <c r="V96" i="4" a="1"/>
  <c r="V96" i="4" s="1"/>
  <c r="V97" i="4" a="1"/>
  <c r="V97" i="4" s="1"/>
  <c r="V98" i="4" a="1"/>
  <c r="V98" i="4" s="1"/>
  <c r="V99" i="4" a="1"/>
  <c r="V99" i="4" s="1"/>
  <c r="V100" i="4" a="1"/>
  <c r="V100" i="4" s="1"/>
  <c r="V101" i="4" a="1"/>
  <c r="V101" i="4" s="1"/>
  <c r="V102" i="4" a="1"/>
  <c r="V102" i="4" s="1"/>
  <c r="V103" i="4" a="1"/>
  <c r="V103" i="4" s="1"/>
  <c r="V104" i="4" a="1"/>
  <c r="V104" i="4" s="1"/>
  <c r="V105" i="4" a="1"/>
  <c r="V105" i="4" s="1"/>
  <c r="V106" i="4" a="1"/>
  <c r="V106" i="4" s="1"/>
  <c r="V107" i="4" a="1"/>
  <c r="V107" i="4" s="1"/>
  <c r="V108" i="4" a="1"/>
  <c r="V108" i="4" s="1"/>
  <c r="V109" i="4" a="1"/>
  <c r="V109" i="4" s="1"/>
  <c r="V110" i="4" a="1"/>
  <c r="V110" i="4" s="1"/>
  <c r="V111" i="4" a="1"/>
  <c r="V111" i="4" s="1"/>
  <c r="V112" i="4" a="1"/>
  <c r="V112" i="4" s="1"/>
  <c r="V113" i="4" a="1"/>
  <c r="V113" i="4" s="1"/>
  <c r="V114" i="4" a="1"/>
  <c r="V114" i="4" s="1"/>
  <c r="V115" i="4" a="1"/>
  <c r="V115" i="4" s="1"/>
  <c r="V116" i="4" a="1"/>
  <c r="V116" i="4" s="1"/>
  <c r="V117" i="4" a="1"/>
  <c r="V117" i="4" s="1"/>
  <c r="V118" i="4" a="1"/>
  <c r="V118" i="4" s="1"/>
  <c r="V119" i="4" a="1"/>
  <c r="V119" i="4" s="1"/>
  <c r="V120" i="4" a="1"/>
  <c r="V120" i="4" s="1"/>
  <c r="V121" i="4" a="1"/>
  <c r="V121" i="4" s="1"/>
  <c r="V122" i="4" a="1"/>
  <c r="V122" i="4" s="1"/>
  <c r="V123" i="4" a="1"/>
  <c r="V123" i="4" s="1"/>
  <c r="V124" i="4" a="1"/>
  <c r="V124" i="4" s="1"/>
  <c r="V125" i="4" a="1"/>
  <c r="V125" i="4" s="1"/>
  <c r="V126" i="4" a="1"/>
  <c r="V126" i="4" s="1"/>
  <c r="V127" i="4" a="1"/>
  <c r="V127" i="4" s="1"/>
  <c r="V128" i="4" a="1"/>
  <c r="V128" i="4" s="1"/>
  <c r="V129" i="4" a="1"/>
  <c r="V129" i="4" s="1"/>
  <c r="V130" i="4" a="1"/>
  <c r="V130" i="4" s="1"/>
  <c r="V131" i="4" a="1"/>
  <c r="V131" i="4" s="1"/>
  <c r="V132" i="4" a="1"/>
  <c r="V132" i="4" s="1"/>
  <c r="V133" i="4" a="1"/>
  <c r="V133" i="4" s="1"/>
  <c r="V134" i="4" a="1"/>
  <c r="V134" i="4" s="1"/>
  <c r="V135" i="4" a="1"/>
  <c r="V135" i="4"/>
  <c r="V136" i="4" a="1"/>
  <c r="V136" i="4" s="1"/>
  <c r="V137" i="4" a="1"/>
  <c r="V137" i="4" s="1"/>
  <c r="V138" i="4" a="1"/>
  <c r="V138" i="4" s="1"/>
  <c r="V139" i="4" a="1"/>
  <c r="V139" i="4" s="1"/>
  <c r="V140" i="4" a="1"/>
  <c r="V140" i="4" s="1"/>
  <c r="V141" i="4" a="1"/>
  <c r="V141" i="4" s="1"/>
  <c r="V142" i="4" a="1"/>
  <c r="V142" i="4" s="1"/>
  <c r="V143" i="4" a="1"/>
  <c r="V143" i="4" s="1"/>
  <c r="V144" i="4" a="1"/>
  <c r="V144" i="4" s="1"/>
  <c r="V145" i="4" a="1"/>
  <c r="V145" i="4" s="1"/>
  <c r="V146" i="4" a="1"/>
  <c r="V146" i="4" s="1"/>
  <c r="V147" i="4" a="1"/>
  <c r="V147" i="4" s="1"/>
  <c r="V148" i="4" a="1"/>
  <c r="V148" i="4" s="1"/>
  <c r="V149" i="4" a="1"/>
  <c r="V149" i="4" s="1"/>
  <c r="V150" i="4" a="1"/>
  <c r="V150" i="4" s="1"/>
  <c r="V151" i="4" a="1"/>
  <c r="V151" i="4" s="1"/>
  <c r="V152" i="4" a="1"/>
  <c r="V152" i="4" s="1"/>
  <c r="V153" i="4" a="1"/>
  <c r="V153" i="4" s="1"/>
  <c r="V154" i="4" a="1"/>
  <c r="V154" i="4" s="1"/>
  <c r="V155" i="4" a="1"/>
  <c r="V155" i="4" s="1"/>
  <c r="V156" i="4" a="1"/>
  <c r="V156" i="4" s="1"/>
  <c r="V157" i="4" a="1"/>
  <c r="V157" i="4" s="1"/>
  <c r="V158" i="4" a="1"/>
  <c r="V158" i="4" s="1"/>
  <c r="V159" i="4" a="1"/>
  <c r="V159" i="4"/>
  <c r="V160" i="4" a="1"/>
  <c r="V160" i="4" s="1"/>
  <c r="V161" i="4" a="1"/>
  <c r="V161" i="4" s="1"/>
  <c r="V162" i="4" a="1"/>
  <c r="V162" i="4" s="1"/>
  <c r="V163" i="4" a="1"/>
  <c r="V163" i="4" s="1"/>
  <c r="V164" i="4" a="1"/>
  <c r="V164" i="4" s="1"/>
  <c r="V165" i="4" a="1"/>
  <c r="V165" i="4" s="1"/>
  <c r="V166" i="4" a="1"/>
  <c r="V166" i="4" s="1"/>
  <c r="V167" i="4" a="1"/>
  <c r="V167" i="4" s="1"/>
  <c r="V168" i="4" a="1"/>
  <c r="V168" i="4" s="1"/>
  <c r="V169" i="4" a="1"/>
  <c r="V169" i="4" s="1"/>
  <c r="V170" i="4" a="1"/>
  <c r="V170" i="4" s="1"/>
  <c r="V171" i="4" a="1"/>
  <c r="V171" i="4" s="1"/>
  <c r="V172" i="4" a="1"/>
  <c r="V172" i="4" s="1"/>
  <c r="V173" i="4" a="1"/>
  <c r="V173" i="4" s="1"/>
  <c r="V174" i="4" a="1"/>
  <c r="V174" i="4" s="1"/>
  <c r="V175" i="4" a="1"/>
  <c r="V175" i="4" s="1"/>
  <c r="V176" i="4" a="1"/>
  <c r="V176" i="4" s="1"/>
  <c r="V177" i="4" a="1"/>
  <c r="V177" i="4" s="1"/>
  <c r="V178" i="4" a="1"/>
  <c r="V178" i="4" s="1"/>
  <c r="V179" i="4" a="1"/>
  <c r="V179" i="4" s="1"/>
  <c r="V180" i="4" a="1"/>
  <c r="V180" i="4" s="1"/>
  <c r="V181" i="4" a="1"/>
  <c r="V181" i="4" s="1"/>
  <c r="V182" i="4" a="1"/>
  <c r="V182" i="4" s="1"/>
  <c r="V183" i="4" a="1"/>
  <c r="V183" i="4" s="1"/>
  <c r="V184" i="4" a="1"/>
  <c r="V184" i="4" s="1"/>
  <c r="V185" i="4" a="1"/>
  <c r="V185" i="4" s="1"/>
  <c r="V186" i="4" a="1"/>
  <c r="V186" i="4" s="1"/>
  <c r="V187" i="4" a="1"/>
  <c r="V187" i="4" s="1"/>
  <c r="V188" i="4" a="1"/>
  <c r="V188" i="4" s="1"/>
  <c r="V189" i="4" a="1"/>
  <c r="V189" i="4"/>
  <c r="V190" i="4" a="1"/>
  <c r="V190" i="4" s="1"/>
  <c r="V191" i="4" a="1"/>
  <c r="V191" i="4" s="1"/>
  <c r="V192" i="4" a="1"/>
  <c r="V192" i="4" s="1"/>
  <c r="V193" i="4" a="1"/>
  <c r="V193" i="4" s="1"/>
  <c r="V194" i="4" a="1"/>
  <c r="V194" i="4" s="1"/>
  <c r="V195" i="4" a="1"/>
  <c r="V195" i="4" s="1"/>
  <c r="V196" i="4" a="1"/>
  <c r="V196" i="4" s="1"/>
  <c r="V197" i="4" a="1"/>
  <c r="V197" i="4" s="1"/>
  <c r="V198" i="4" a="1"/>
  <c r="V198" i="4" s="1"/>
  <c r="V199" i="4" a="1"/>
  <c r="V199" i="4" s="1"/>
  <c r="V200" i="4" a="1"/>
  <c r="V200" i="4" s="1"/>
  <c r="V201" i="4" a="1"/>
  <c r="V201" i="4"/>
  <c r="V202" i="4" a="1"/>
  <c r="V202" i="4" s="1"/>
  <c r="V203" i="4" a="1"/>
  <c r="V203" i="4" s="1"/>
  <c r="V204" i="4" a="1"/>
  <c r="V204" i="4" s="1"/>
  <c r="V205" i="4" a="1"/>
  <c r="V205" i="4" s="1"/>
  <c r="V206" i="4" a="1"/>
  <c r="V206" i="4" s="1"/>
  <c r="V207" i="4" a="1"/>
  <c r="V207" i="4" s="1"/>
  <c r="V208" i="4" a="1"/>
  <c r="V208" i="4" s="1"/>
  <c r="V209" i="4" a="1"/>
  <c r="V209" i="4" s="1"/>
  <c r="V210" i="4" a="1"/>
  <c r="V210" i="4" s="1"/>
  <c r="V211" i="4" a="1"/>
  <c r="V211" i="4" s="1"/>
  <c r="V212" i="4" a="1"/>
  <c r="V212" i="4" s="1"/>
  <c r="V213" i="4" a="1"/>
  <c r="V213" i="4" s="1"/>
  <c r="V214" i="4" a="1"/>
  <c r="V214" i="4" s="1"/>
  <c r="V215" i="4" a="1"/>
  <c r="V215" i="4" s="1"/>
  <c r="V216" i="4" a="1"/>
  <c r="V216" i="4" s="1"/>
  <c r="V217" i="4" a="1"/>
  <c r="V217" i="4" s="1"/>
  <c r="V218" i="4" a="1"/>
  <c r="V218" i="4" s="1"/>
  <c r="V219" i="4" a="1"/>
  <c r="V219" i="4" s="1"/>
  <c r="V220" i="4" a="1"/>
  <c r="V220" i="4" s="1"/>
  <c r="V221" i="4" a="1"/>
  <c r="V221" i="4" s="1"/>
  <c r="V222" i="4" a="1"/>
  <c r="V222" i="4" s="1"/>
  <c r="V223" i="4" a="1"/>
  <c r="V223" i="4" s="1"/>
  <c r="V224" i="4" a="1"/>
  <c r="V224" i="4" s="1"/>
  <c r="V225" i="4" a="1"/>
  <c r="V225" i="4" s="1"/>
  <c r="V226" i="4" a="1"/>
  <c r="V226" i="4" s="1"/>
  <c r="V227" i="4" a="1"/>
  <c r="V227" i="4" s="1"/>
  <c r="V228" i="4" a="1"/>
  <c r="V228" i="4" s="1"/>
  <c r="V229" i="4" a="1"/>
  <c r="V229" i="4" s="1"/>
  <c r="V230" i="4" a="1"/>
  <c r="V230" i="4" s="1"/>
  <c r="V231" i="4" a="1"/>
  <c r="V231" i="4" s="1"/>
  <c r="V232" i="4" a="1"/>
  <c r="V232" i="4" s="1"/>
  <c r="V233" i="4" a="1"/>
  <c r="V233" i="4" s="1"/>
  <c r="V234" i="4" a="1"/>
  <c r="V234" i="4" s="1"/>
  <c r="V235" i="4" a="1"/>
  <c r="V235" i="4" s="1"/>
  <c r="V236" i="4" a="1"/>
  <c r="V236" i="4" s="1"/>
  <c r="V237" i="4" a="1"/>
  <c r="V237" i="4" s="1"/>
  <c r="V238" i="4" a="1"/>
  <c r="V238" i="4" s="1"/>
  <c r="V239" i="4" a="1"/>
  <c r="V239" i="4" s="1"/>
  <c r="V240" i="4" a="1"/>
  <c r="V240" i="4" s="1"/>
  <c r="V241" i="4" a="1"/>
  <c r="V241" i="4" s="1"/>
  <c r="V242" i="4" a="1"/>
  <c r="V242" i="4" s="1"/>
  <c r="V243" i="4" a="1"/>
  <c r="V243" i="4"/>
  <c r="V244" i="4" a="1"/>
  <c r="V244" i="4" s="1"/>
  <c r="V245" i="4" a="1"/>
  <c r="V245" i="4" s="1"/>
  <c r="V246" i="4" a="1"/>
  <c r="V246" i="4" s="1"/>
  <c r="V247" i="4" a="1"/>
  <c r="V247" i="4" s="1"/>
  <c r="V248" i="4" a="1"/>
  <c r="V248" i="4" s="1"/>
  <c r="V249" i="4" a="1"/>
  <c r="V249" i="4" s="1"/>
  <c r="V250" i="4" a="1"/>
  <c r="V250" i="4" s="1"/>
  <c r="V251" i="4" a="1"/>
  <c r="V251" i="4" s="1"/>
  <c r="V252" i="4" a="1"/>
  <c r="V252" i="4" s="1"/>
  <c r="V253" i="4" a="1"/>
  <c r="V253" i="4" s="1"/>
  <c r="V254" i="4" a="1"/>
  <c r="V254" i="4" s="1"/>
  <c r="V255" i="4" a="1"/>
  <c r="V255" i="4"/>
  <c r="V256" i="4" a="1"/>
  <c r="V256" i="4" s="1"/>
  <c r="V257" i="4" a="1"/>
  <c r="V257" i="4" s="1"/>
  <c r="V258" i="4" a="1"/>
  <c r="V258" i="4" s="1"/>
  <c r="V259" i="4" a="1"/>
  <c r="V259" i="4" s="1"/>
  <c r="V260" i="4" a="1"/>
  <c r="V260" i="4" s="1"/>
  <c r="V261" i="4" a="1"/>
  <c r="V261" i="4"/>
  <c r="V262" i="4" a="1"/>
  <c r="V262" i="4" s="1"/>
  <c r="V263" i="4" a="1"/>
  <c r="V263" i="4" s="1"/>
  <c r="V264" i="4" a="1"/>
  <c r="V264" i="4" s="1"/>
  <c r="V265" i="4" a="1"/>
  <c r="V265" i="4" s="1"/>
  <c r="V266" i="4" a="1"/>
  <c r="V266" i="4" s="1"/>
  <c r="V267" i="4" a="1"/>
  <c r="V267" i="4" s="1"/>
  <c r="V268" i="4" a="1"/>
  <c r="V268" i="4" s="1"/>
  <c r="V269" i="4" a="1"/>
  <c r="V269" i="4" s="1"/>
  <c r="V270" i="4" a="1"/>
  <c r="V270" i="4" s="1"/>
  <c r="V271" i="4" a="1"/>
  <c r="V271" i="4" s="1"/>
  <c r="V272" i="4" a="1"/>
  <c r="V272" i="4" s="1"/>
  <c r="V273" i="4" a="1"/>
  <c r="V273" i="4" s="1"/>
  <c r="V274" i="4" a="1"/>
  <c r="V274" i="4" s="1"/>
  <c r="V275" i="4" a="1"/>
  <c r="V275" i="4" s="1"/>
  <c r="V276" i="4" a="1"/>
  <c r="V276" i="4" s="1"/>
  <c r="V277" i="4" a="1"/>
  <c r="V277" i="4" s="1"/>
  <c r="V278" i="4" a="1"/>
  <c r="V278" i="4" s="1"/>
  <c r="V279" i="4" a="1"/>
  <c r="V279" i="4" s="1"/>
  <c r="V280" i="4" a="1"/>
  <c r="V280" i="4" s="1"/>
  <c r="V281" i="4" a="1"/>
  <c r="V281" i="4" s="1"/>
  <c r="V282" i="4" a="1"/>
  <c r="V282" i="4" s="1"/>
  <c r="V283" i="4" a="1"/>
  <c r="V283" i="4" s="1"/>
  <c r="V284" i="4" a="1"/>
  <c r="V284" i="4" s="1"/>
  <c r="V285" i="4" a="1"/>
  <c r="V285" i="4" s="1"/>
  <c r="V286" i="4" a="1"/>
  <c r="V286" i="4" s="1"/>
  <c r="V287" i="4" a="1"/>
  <c r="V287" i="4" s="1"/>
  <c r="V288" i="4" a="1"/>
  <c r="V288" i="4" s="1"/>
  <c r="V289" i="4" a="1"/>
  <c r="V289" i="4" s="1"/>
  <c r="V290" i="4" a="1"/>
  <c r="V290" i="4" s="1"/>
  <c r="V291" i="4" a="1"/>
  <c r="V291" i="4" s="1"/>
  <c r="V292" i="4" a="1"/>
  <c r="V292" i="4" s="1"/>
  <c r="V293" i="4" a="1"/>
  <c r="V293" i="4" s="1"/>
  <c r="V294" i="4" a="1"/>
  <c r="V294" i="4" s="1"/>
  <c r="V295" i="4" a="1"/>
  <c r="V295" i="4" s="1"/>
  <c r="V296" i="4" a="1"/>
  <c r="V296" i="4" s="1"/>
  <c r="V297" i="4" a="1"/>
  <c r="V297" i="4" s="1"/>
  <c r="V298" i="4" a="1"/>
  <c r="V298" i="4" s="1"/>
  <c r="V299" i="4" a="1"/>
  <c r="V299" i="4" s="1"/>
  <c r="V300" i="4" a="1"/>
  <c r="V300" i="4" s="1"/>
  <c r="V301" i="4" a="1"/>
  <c r="V301" i="4" s="1"/>
  <c r="V302" i="4" a="1"/>
  <c r="V302" i="4" s="1"/>
  <c r="V303" i="4" a="1"/>
  <c r="V303" i="4" s="1"/>
  <c r="V304" i="4" a="1"/>
  <c r="V304" i="4" s="1"/>
  <c r="V305" i="4" a="1"/>
  <c r="V305" i="4" s="1"/>
  <c r="V306" i="4" a="1"/>
  <c r="V306" i="4" s="1"/>
  <c r="V307" i="4" a="1"/>
  <c r="V307" i="4" s="1"/>
  <c r="V308" i="4" a="1"/>
  <c r="V308" i="4" s="1"/>
  <c r="V309" i="4" a="1"/>
  <c r="V309" i="4" s="1"/>
  <c r="V310" i="4" a="1"/>
  <c r="V310" i="4" s="1"/>
  <c r="V311" i="4" a="1"/>
  <c r="V311" i="4" s="1"/>
  <c r="V312" i="4" a="1"/>
  <c r="V312" i="4" s="1"/>
  <c r="V313" i="4" a="1"/>
  <c r="V313" i="4" s="1"/>
  <c r="V314" i="4" a="1"/>
  <c r="V314" i="4" s="1"/>
  <c r="V315" i="4" a="1"/>
  <c r="V315" i="4"/>
  <c r="V316" i="4" a="1"/>
  <c r="V316" i="4" s="1"/>
  <c r="V317" i="4" a="1"/>
  <c r="V317" i="4" s="1"/>
  <c r="V318" i="4" a="1"/>
  <c r="V318" i="4" s="1"/>
  <c r="V319" i="4" a="1"/>
  <c r="V319" i="4" s="1"/>
  <c r="V320" i="4" a="1"/>
  <c r="V320" i="4" s="1"/>
  <c r="V321" i="4" a="1"/>
  <c r="V321" i="4" s="1"/>
  <c r="V322" i="4" a="1"/>
  <c r="V322" i="4" s="1"/>
  <c r="V323" i="4" a="1"/>
  <c r="V323" i="4" s="1"/>
  <c r="V324" i="4" a="1"/>
  <c r="V324" i="4" s="1"/>
  <c r="V325" i="4" a="1"/>
  <c r="V325" i="4" s="1"/>
  <c r="V326" i="4" a="1"/>
  <c r="V326" i="4" s="1"/>
  <c r="V327" i="4" a="1"/>
  <c r="V327" i="4"/>
  <c r="V328" i="4" a="1"/>
  <c r="V328" i="4" s="1"/>
  <c r="V329" i="4" a="1"/>
  <c r="V329" i="4" s="1"/>
  <c r="V330" i="4" a="1"/>
  <c r="V330" i="4" s="1"/>
  <c r="V331" i="4" a="1"/>
  <c r="V331" i="4" s="1"/>
  <c r="V332" i="4" a="1"/>
  <c r="V332" i="4" s="1"/>
  <c r="V333" i="4" a="1"/>
  <c r="V333" i="4"/>
  <c r="V334" i="4" a="1"/>
  <c r="V334" i="4" s="1"/>
  <c r="V335" i="4" a="1"/>
  <c r="V335" i="4" s="1"/>
  <c r="V336" i="4" a="1"/>
  <c r="V336" i="4" s="1"/>
  <c r="V337" i="4" a="1"/>
  <c r="V337" i="4" s="1"/>
  <c r="V338" i="4" a="1"/>
  <c r="V338" i="4" s="1"/>
  <c r="V339" i="4" a="1"/>
  <c r="V339" i="4"/>
  <c r="V340" i="4" a="1"/>
  <c r="V340" i="4" s="1"/>
  <c r="V341" i="4" a="1"/>
  <c r="V341" i="4" s="1"/>
  <c r="V342" i="4" a="1"/>
  <c r="V342" i="4" s="1"/>
  <c r="V343" i="4" a="1"/>
  <c r="V343" i="4" s="1"/>
  <c r="V344" i="4" a="1"/>
  <c r="V344" i="4" s="1"/>
  <c r="V345" i="4" a="1"/>
  <c r="V345" i="4" s="1"/>
  <c r="V346" i="4" a="1"/>
  <c r="V346" i="4" s="1"/>
  <c r="V347" i="4" a="1"/>
  <c r="V347" i="4" s="1"/>
  <c r="V348" i="4" a="1"/>
  <c r="V348" i="4" s="1"/>
  <c r="V349" i="4" a="1"/>
  <c r="V349" i="4" s="1"/>
  <c r="V350" i="4" a="1"/>
  <c r="V350" i="4" s="1"/>
  <c r="V351" i="4" a="1"/>
  <c r="V351" i="4"/>
  <c r="V352" i="4" a="1"/>
  <c r="V352" i="4" s="1"/>
  <c r="V353" i="4" a="1"/>
  <c r="V353" i="4" s="1"/>
  <c r="V354" i="4" a="1"/>
  <c r="V354" i="4" s="1"/>
  <c r="V355" i="4" a="1"/>
  <c r="V355" i="4" s="1"/>
  <c r="V356" i="4" a="1"/>
  <c r="V356" i="4" s="1"/>
  <c r="V357" i="4" a="1"/>
  <c r="V357" i="4" s="1"/>
  <c r="V358" i="4" a="1"/>
  <c r="V358" i="4" s="1"/>
  <c r="V359" i="4" a="1"/>
  <c r="V359" i="4" s="1"/>
  <c r="V360" i="4" a="1"/>
  <c r="V360" i="4" s="1"/>
  <c r="V361" i="4" a="1"/>
  <c r="V361" i="4" s="1"/>
  <c r="V362" i="4" a="1"/>
  <c r="V362" i="4" s="1"/>
  <c r="V363" i="4" a="1"/>
  <c r="V363" i="4" s="1"/>
  <c r="V364" i="4" a="1"/>
  <c r="V364" i="4" s="1"/>
  <c r="V365" i="4" a="1"/>
  <c r="V365" i="4" s="1"/>
  <c r="V366" i="4" a="1"/>
  <c r="V366" i="4" s="1"/>
  <c r="V367" i="4" a="1"/>
  <c r="V367" i="4" s="1"/>
  <c r="V368" i="4" a="1"/>
  <c r="V368" i="4" s="1"/>
  <c r="V369" i="4" a="1"/>
  <c r="V369" i="4" s="1"/>
  <c r="V370" i="4" a="1"/>
  <c r="V370" i="4" s="1"/>
  <c r="V371" i="4" a="1"/>
  <c r="V371" i="4" s="1"/>
  <c r="V372" i="4" a="1"/>
  <c r="V372" i="4" s="1"/>
  <c r="V373" i="4" a="1"/>
  <c r="V373" i="4" s="1"/>
  <c r="V374" i="4" a="1"/>
  <c r="V374" i="4" s="1"/>
  <c r="V375" i="4" a="1"/>
  <c r="V375" i="4"/>
  <c r="V376" i="4" a="1"/>
  <c r="V376" i="4" s="1"/>
  <c r="V377" i="4" a="1"/>
  <c r="V377" i="4" s="1"/>
  <c r="V378" i="4" a="1"/>
  <c r="V378" i="4" s="1"/>
  <c r="V379" i="4" a="1"/>
  <c r="V379" i="4" s="1"/>
  <c r="V380" i="4" a="1"/>
  <c r="V380" i="4" s="1"/>
  <c r="V381" i="4" a="1"/>
  <c r="V381" i="4" s="1"/>
  <c r="V382" i="4" a="1"/>
  <c r="V382" i="4" s="1"/>
  <c r="V383" i="4" a="1"/>
  <c r="V383" i="4" s="1"/>
  <c r="V384" i="4" a="1"/>
  <c r="V384" i="4" s="1"/>
  <c r="V385" i="4" a="1"/>
  <c r="V385" i="4" s="1"/>
  <c r="V386" i="4" a="1"/>
  <c r="V386" i="4" s="1"/>
  <c r="V387" i="4" a="1"/>
  <c r="V387" i="4" s="1"/>
  <c r="V388" i="4" a="1"/>
  <c r="V388" i="4" s="1"/>
  <c r="V389" i="4" a="1"/>
  <c r="V389" i="4" s="1"/>
  <c r="V390" i="4" a="1"/>
  <c r="V390" i="4" s="1"/>
  <c r="V391" i="4" a="1"/>
  <c r="V391" i="4" s="1"/>
  <c r="V392" i="4" a="1"/>
  <c r="V392" i="4" s="1"/>
  <c r="V393" i="4" a="1"/>
  <c r="V393" i="4" s="1"/>
  <c r="V394" i="4" a="1"/>
  <c r="V394" i="4" s="1"/>
  <c r="V395" i="4" a="1"/>
  <c r="V395" i="4" s="1"/>
  <c r="V396" i="4" a="1"/>
  <c r="V396" i="4" s="1"/>
  <c r="V397" i="4" a="1"/>
  <c r="V397" i="4" s="1"/>
  <c r="V398" i="4" a="1"/>
  <c r="V398" i="4" s="1"/>
  <c r="V399" i="4" a="1"/>
  <c r="V399" i="4" s="1"/>
  <c r="V400" i="4" a="1"/>
  <c r="V400" i="4" s="1"/>
  <c r="V401" i="4" a="1"/>
  <c r="V401" i="4" s="1"/>
  <c r="V402" i="4" a="1"/>
  <c r="V402" i="4" s="1"/>
  <c r="V403" i="4" a="1"/>
  <c r="V403" i="4" s="1"/>
  <c r="V404" i="4" a="1"/>
  <c r="V404" i="4" s="1"/>
  <c r="V405" i="4" a="1"/>
  <c r="V405" i="4" s="1"/>
  <c r="V406" i="4" a="1"/>
  <c r="V406" i="4" s="1"/>
  <c r="V407" i="4" a="1"/>
  <c r="V407" i="4" s="1"/>
  <c r="V408" i="4" a="1"/>
  <c r="V408" i="4" s="1"/>
  <c r="V409" i="4" a="1"/>
  <c r="V409" i="4" s="1"/>
  <c r="V410" i="4" a="1"/>
  <c r="V410" i="4" s="1"/>
  <c r="V411" i="4" a="1"/>
  <c r="V411" i="4" s="1"/>
  <c r="V412" i="4" a="1"/>
  <c r="V412" i="4" s="1"/>
  <c r="V413" i="4" a="1"/>
  <c r="V413" i="4" s="1"/>
  <c r="V414" i="4" a="1"/>
  <c r="V414" i="4" s="1"/>
  <c r="V415" i="4" a="1"/>
  <c r="V415" i="4" s="1"/>
  <c r="V416" i="4" a="1"/>
  <c r="V416" i="4" s="1"/>
  <c r="V417" i="4" a="1"/>
  <c r="V417" i="4" s="1"/>
  <c r="V418" i="4" a="1"/>
  <c r="V418" i="4" s="1"/>
  <c r="V419" i="4" a="1"/>
  <c r="V419" i="4" s="1"/>
  <c r="V420" i="4" a="1"/>
  <c r="V420" i="4" s="1"/>
  <c r="V421" i="4" a="1"/>
  <c r="V421" i="4" s="1"/>
  <c r="V422" i="4" a="1"/>
  <c r="V422" i="4" s="1"/>
  <c r="V423" i="4" a="1"/>
  <c r="V423" i="4"/>
  <c r="V424" i="4" a="1"/>
  <c r="V424" i="4" s="1"/>
  <c r="V425" i="4" a="1"/>
  <c r="V425" i="4" s="1"/>
  <c r="V426" i="4" a="1"/>
  <c r="V426" i="4" s="1"/>
  <c r="V427" i="4" a="1"/>
  <c r="V427" i="4" s="1"/>
  <c r="V428" i="4" a="1"/>
  <c r="V428" i="4" s="1"/>
  <c r="V3" i="4" a="1"/>
  <c r="V3" i="4" s="1"/>
  <c r="AH33" i="4"/>
  <c r="AG33" i="4"/>
  <c r="AF33" i="4"/>
  <c r="AE33" i="4"/>
  <c r="AD33" i="4"/>
  <c r="AC33" i="4"/>
  <c r="AB33" i="4"/>
  <c r="AA33" i="4"/>
  <c r="D2"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460" i="7"/>
  <c r="D461" i="7"/>
  <c r="D462" i="7"/>
  <c r="D463" i="7"/>
  <c r="D464" i="7"/>
  <c r="D465" i="7"/>
  <c r="D466" i="7"/>
  <c r="D467" i="7"/>
  <c r="D468" i="7"/>
  <c r="D469" i="7"/>
  <c r="D470" i="7"/>
  <c r="D471" i="7"/>
  <c r="D472" i="7"/>
  <c r="D473" i="7"/>
  <c r="D474" i="7"/>
  <c r="D475" i="7"/>
  <c r="D476" i="7"/>
  <c r="D477" i="7"/>
  <c r="D478" i="7"/>
  <c r="D479" i="7"/>
  <c r="D480" i="7"/>
  <c r="D481" i="7"/>
  <c r="D482" i="7"/>
  <c r="D483" i="7"/>
  <c r="D484" i="7"/>
  <c r="D485" i="7"/>
  <c r="D486" i="7"/>
  <c r="D487" i="7"/>
  <c r="D488" i="7"/>
  <c r="D489" i="7"/>
  <c r="D490" i="7"/>
  <c r="D491" i="7"/>
  <c r="D492" i="7"/>
  <c r="D493" i="7"/>
  <c r="D494" i="7"/>
  <c r="D495" i="7"/>
  <c r="D496" i="7"/>
  <c r="D497" i="7"/>
  <c r="D498" i="7"/>
  <c r="D499" i="7"/>
  <c r="D500" i="7"/>
  <c r="D501" i="7"/>
  <c r="BM502" i="7"/>
  <c r="BM503" i="7" s="1"/>
  <c r="BQ502" i="7"/>
  <c r="BU502" i="7"/>
  <c r="BU503" i="7" s="1"/>
  <c r="CC502" i="7"/>
  <c r="CC503" i="7" s="1"/>
  <c r="CD502" i="7"/>
  <c r="CD503" i="7" s="1"/>
  <c r="BM504" i="7"/>
  <c r="BU504" i="7"/>
  <c r="BM505" i="7"/>
  <c r="BU505" i="7"/>
  <c r="BM506" i="7"/>
  <c r="BU506" i="7"/>
  <c r="BM507" i="7"/>
  <c r="BU507" i="7"/>
  <c r="DD28" i="7" l="1"/>
  <c r="DD7" i="7"/>
  <c r="DD19" i="7"/>
  <c r="DD15" i="7"/>
  <c r="DD12" i="7"/>
  <c r="DG22" i="7"/>
  <c r="DD14" i="7"/>
  <c r="DD20" i="7"/>
  <c r="DD8" i="7"/>
  <c r="DD11" i="7"/>
  <c r="DD10" i="7"/>
  <c r="DD9" i="7"/>
  <c r="DD18" i="7"/>
  <c r="DD26" i="7"/>
  <c r="DD16" i="7"/>
  <c r="DD25" i="7"/>
  <c r="DA22" i="7"/>
  <c r="DC22" i="7"/>
  <c r="DC29" i="7"/>
  <c r="DB22" i="7"/>
  <c r="DA29" i="7"/>
  <c r="DB29" i="7"/>
  <c r="DD27" i="7"/>
  <c r="DM27" i="3"/>
  <c r="DQ26" i="3"/>
  <c r="DQ7" i="3"/>
  <c r="DQ10" i="3"/>
  <c r="DO27" i="3"/>
  <c r="DQ13" i="3"/>
  <c r="DQ19" i="3"/>
  <c r="DP27" i="3"/>
  <c r="DN27" i="3"/>
  <c r="DQ5" i="3"/>
  <c r="DQ8" i="3"/>
  <c r="DQ16" i="3"/>
  <c r="DQ15" i="3"/>
  <c r="DO20" i="3"/>
  <c r="DP20" i="3"/>
  <c r="DQ17" i="3"/>
  <c r="DQ14" i="3"/>
  <c r="DN20" i="3"/>
  <c r="DQ25" i="3"/>
  <c r="AH26" i="4"/>
  <c r="AC26" i="4"/>
  <c r="AI26" i="4"/>
  <c r="AB26" i="4"/>
  <c r="AG26" i="4"/>
  <c r="AM22" i="4"/>
  <c r="AM23" i="4"/>
  <c r="AM16" i="4"/>
  <c r="AM12" i="4"/>
  <c r="AM11" i="4"/>
  <c r="AM10" i="4"/>
  <c r="AM17" i="4"/>
  <c r="AM19" i="4"/>
  <c r="AM25" i="4"/>
  <c r="AM24" i="4"/>
  <c r="AM9" i="4"/>
  <c r="AM14" i="4"/>
  <c r="AM13" i="4"/>
  <c r="AM21" i="4"/>
  <c r="AF26" i="4"/>
  <c r="AM20" i="4"/>
  <c r="AM18" i="4"/>
  <c r="AM15" i="4"/>
  <c r="AP26" i="5"/>
  <c r="AU26" i="5"/>
  <c r="AQ26" i="5"/>
  <c r="AU27" i="5"/>
  <c r="AR26" i="5"/>
  <c r="AU28" i="5"/>
  <c r="AP27" i="5"/>
  <c r="AU25" i="5"/>
  <c r="AQ27" i="5"/>
  <c r="AT26" i="5"/>
  <c r="AR27" i="5"/>
  <c r="AT27" i="5"/>
  <c r="AT29" i="5" s="1"/>
  <c r="AP28" i="5"/>
  <c r="AT28" i="5"/>
  <c r="AQ28" i="5"/>
  <c r="AT25" i="5"/>
  <c r="AR28" i="5"/>
  <c r="AS26" i="5"/>
  <c r="AP25" i="5"/>
  <c r="AS27" i="5"/>
  <c r="AQ25" i="5"/>
  <c r="AS28" i="5"/>
  <c r="AR25" i="5"/>
  <c r="AS25" i="5"/>
  <c r="AH424" i="8"/>
  <c r="AI424" i="8" s="1"/>
  <c r="AH118" i="8"/>
  <c r="AI118" i="8" s="1"/>
  <c r="AH172" i="8"/>
  <c r="AI172" i="8" s="1"/>
  <c r="AP344" i="8"/>
  <c r="AO172" i="8"/>
  <c r="AP172" i="8" s="1"/>
  <c r="AO177" i="8"/>
  <c r="AP177" i="8" s="1"/>
  <c r="AO124" i="8"/>
  <c r="AP124" i="8" s="1"/>
  <c r="AO105" i="8"/>
  <c r="BF13" i="8"/>
  <c r="BE8" i="8"/>
  <c r="BE20" i="8"/>
  <c r="BE10" i="8"/>
  <c r="BE11" i="8"/>
  <c r="BG5" i="8"/>
  <c r="BE12" i="8"/>
  <c r="BF6" i="8"/>
  <c r="BE13" i="8"/>
  <c r="BE7" i="8"/>
  <c r="BF14" i="8"/>
  <c r="BE9" i="8"/>
  <c r="BE21" i="8"/>
  <c r="BF15" i="8"/>
  <c r="BE5" i="8"/>
  <c r="BF16" i="8"/>
  <c r="BF17" i="8"/>
  <c r="BF18" i="8"/>
  <c r="BE19" i="8"/>
  <c r="BF7" i="8"/>
  <c r="BF19" i="8"/>
  <c r="BE14" i="8"/>
  <c r="BF10" i="8"/>
  <c r="BE6" i="8"/>
  <c r="BF8" i="8"/>
  <c r="BF20" i="8"/>
  <c r="BE15" i="8"/>
  <c r="BE17" i="8"/>
  <c r="BE18" i="8"/>
  <c r="BF9" i="8"/>
  <c r="BF21" i="8"/>
  <c r="BE16" i="8"/>
  <c r="BF5" i="8"/>
  <c r="BF11" i="8"/>
  <c r="BF12" i="8"/>
  <c r="BE26" i="8"/>
  <c r="BF26" i="8"/>
  <c r="BE27" i="8"/>
  <c r="BE28" i="8"/>
  <c r="BE25" i="8"/>
  <c r="BF27" i="8"/>
  <c r="BF28" i="8"/>
  <c r="BG28" i="8"/>
  <c r="BG25" i="8"/>
  <c r="BF25" i="8"/>
  <c r="BG26" i="8"/>
  <c r="BG27" i="8"/>
  <c r="AI456" i="8"/>
  <c r="AW28" i="8"/>
  <c r="AW26" i="8"/>
  <c r="AW27" i="8"/>
  <c r="AV7" i="5"/>
  <c r="AV17" i="5"/>
  <c r="AV19" i="5"/>
  <c r="AV12" i="5"/>
  <c r="AM22" i="5"/>
  <c r="AV11" i="5"/>
  <c r="AO27" i="5"/>
  <c r="AL25" i="5"/>
  <c r="AV10" i="5"/>
  <c r="AN25" i="5"/>
  <c r="AO26" i="5"/>
  <c r="AP22" i="5"/>
  <c r="AV9" i="5"/>
  <c r="AK25" i="5"/>
  <c r="AV20" i="5"/>
  <c r="AV8" i="5"/>
  <c r="AK28" i="5"/>
  <c r="AN27" i="5"/>
  <c r="AU22" i="5"/>
  <c r="AV21" i="5"/>
  <c r="AN28" i="5"/>
  <c r="AK27" i="5"/>
  <c r="AM25" i="5"/>
  <c r="AN26" i="5"/>
  <c r="AV18" i="5"/>
  <c r="AV6" i="5"/>
  <c r="AK26" i="5"/>
  <c r="AM28" i="5"/>
  <c r="AS22" i="5"/>
  <c r="AV16" i="5"/>
  <c r="AL28" i="5"/>
  <c r="AM26" i="5"/>
  <c r="AV15" i="5"/>
  <c r="AL27" i="5"/>
  <c r="AL26" i="5"/>
  <c r="AJ22" i="5"/>
  <c r="AM27" i="5"/>
  <c r="AU29" i="5"/>
  <c r="AV14" i="5"/>
  <c r="AV13" i="5"/>
  <c r="AO25" i="5"/>
  <c r="AO28" i="5"/>
  <c r="AV25" i="8"/>
  <c r="AP101" i="8"/>
  <c r="AV28" i="8"/>
  <c r="AP65" i="8"/>
  <c r="AV27" i="8"/>
  <c r="BD15" i="8"/>
  <c r="BC10" i="8"/>
  <c r="BC5" i="8"/>
  <c r="BB17" i="8"/>
  <c r="BA12" i="8"/>
  <c r="AZ7" i="8"/>
  <c r="AZ19" i="8"/>
  <c r="AY14" i="8"/>
  <c r="BD16" i="8"/>
  <c r="BC11" i="8"/>
  <c r="BB6" i="8"/>
  <c r="BB18" i="8"/>
  <c r="BA13" i="8"/>
  <c r="AZ8" i="8"/>
  <c r="AZ20" i="8"/>
  <c r="AY15" i="8"/>
  <c r="BC17" i="8"/>
  <c r="BC19" i="8"/>
  <c r="AY12" i="8"/>
  <c r="BC21" i="8"/>
  <c r="BD17" i="8"/>
  <c r="BC12" i="8"/>
  <c r="BB7" i="8"/>
  <c r="BB19" i="8"/>
  <c r="BA14" i="8"/>
  <c r="AZ9" i="8"/>
  <c r="AZ21" i="8"/>
  <c r="AY16" i="8"/>
  <c r="AZ14" i="8"/>
  <c r="BC8" i="8"/>
  <c r="AZ6" i="8"/>
  <c r="BD6" i="8"/>
  <c r="BD18" i="8"/>
  <c r="BC13" i="8"/>
  <c r="BB8" i="8"/>
  <c r="BB20" i="8"/>
  <c r="BA15" i="8"/>
  <c r="AZ10" i="8"/>
  <c r="AZ5" i="8"/>
  <c r="AY17" i="8"/>
  <c r="BA19" i="8"/>
  <c r="BC20" i="8"/>
  <c r="AY13" i="8"/>
  <c r="BD7" i="8"/>
  <c r="BD19" i="8"/>
  <c r="BC14" i="8"/>
  <c r="BB9" i="8"/>
  <c r="BB21" i="8"/>
  <c r="BA16" i="8"/>
  <c r="AZ11" i="8"/>
  <c r="AY6" i="8"/>
  <c r="AY18" i="8"/>
  <c r="BD13" i="8"/>
  <c r="BA11" i="8"/>
  <c r="BD8" i="8"/>
  <c r="BD20" i="8"/>
  <c r="BC15" i="8"/>
  <c r="BB10" i="8"/>
  <c r="BB5" i="8"/>
  <c r="BA17" i="8"/>
  <c r="AZ12" i="8"/>
  <c r="AY7" i="8"/>
  <c r="AY19" i="8"/>
  <c r="BD5" i="8"/>
  <c r="BA7" i="8"/>
  <c r="AY9" i="8"/>
  <c r="BA9" i="8"/>
  <c r="BA5" i="8"/>
  <c r="BD14" i="8"/>
  <c r="AZ18" i="8"/>
  <c r="BD9" i="8"/>
  <c r="BD21" i="8"/>
  <c r="BC16" i="8"/>
  <c r="BB11" i="8"/>
  <c r="BA6" i="8"/>
  <c r="BA18" i="8"/>
  <c r="AZ13" i="8"/>
  <c r="AY8" i="8"/>
  <c r="AY20" i="8"/>
  <c r="AY21" i="8"/>
  <c r="AY11" i="8"/>
  <c r="BD10" i="8"/>
  <c r="BB12" i="8"/>
  <c r="AZ17" i="8"/>
  <c r="BD11" i="8"/>
  <c r="BC6" i="8"/>
  <c r="BC18" i="8"/>
  <c r="BB13" i="8"/>
  <c r="BA8" i="8"/>
  <c r="BA20" i="8"/>
  <c r="AZ15" i="8"/>
  <c r="AY10" i="8"/>
  <c r="AY5" i="8"/>
  <c r="BD12" i="8"/>
  <c r="BC7" i="8"/>
  <c r="BB14" i="8"/>
  <c r="AZ16" i="8"/>
  <c r="BA10" i="8"/>
  <c r="BB16" i="8"/>
  <c r="BA21" i="8"/>
  <c r="BB15" i="8"/>
  <c r="BC9" i="8"/>
  <c r="AV26" i="8"/>
  <c r="AP208" i="8"/>
  <c r="AP346" i="8"/>
  <c r="AP15" i="8"/>
  <c r="AI171" i="8"/>
  <c r="AX14" i="8"/>
  <c r="AV15" i="8"/>
  <c r="AW20" i="8"/>
  <c r="AW8" i="8"/>
  <c r="AX13" i="8"/>
  <c r="AV14" i="8"/>
  <c r="AW19" i="8"/>
  <c r="AW7" i="8"/>
  <c r="AX12" i="8"/>
  <c r="AV13" i="8"/>
  <c r="AW18" i="8"/>
  <c r="AW6" i="8"/>
  <c r="AX11" i="8"/>
  <c r="AV12" i="8"/>
  <c r="AW17" i="8"/>
  <c r="AX5" i="8"/>
  <c r="AX10" i="8"/>
  <c r="AV11" i="8"/>
  <c r="AW16" i="8"/>
  <c r="AX21" i="8"/>
  <c r="AX9" i="8"/>
  <c r="AV5" i="8"/>
  <c r="AV10" i="8"/>
  <c r="AW15" i="8"/>
  <c r="AX20" i="8"/>
  <c r="AX8" i="8"/>
  <c r="AV21" i="8"/>
  <c r="AV9" i="8"/>
  <c r="AW14" i="8"/>
  <c r="AX19" i="8"/>
  <c r="AX7" i="8"/>
  <c r="AV20" i="8"/>
  <c r="AV8" i="8"/>
  <c r="AW13" i="8"/>
  <c r="AX18" i="8"/>
  <c r="AX6" i="8"/>
  <c r="AV19" i="8"/>
  <c r="AV7" i="8"/>
  <c r="AW12" i="8"/>
  <c r="AX17" i="8"/>
  <c r="AV18" i="8"/>
  <c r="AV6" i="8"/>
  <c r="AW11" i="8"/>
  <c r="AX16" i="8"/>
  <c r="AV17" i="8"/>
  <c r="AW5" i="8"/>
  <c r="AW10" i="8"/>
  <c r="AX15" i="8"/>
  <c r="AV16" i="8"/>
  <c r="AW21" i="8"/>
  <c r="AW9" i="8"/>
  <c r="AI156" i="8"/>
  <c r="AP298" i="8"/>
  <c r="AP156" i="8"/>
  <c r="AH114" i="8"/>
  <c r="AI114" i="8" s="1"/>
  <c r="AO319" i="8"/>
  <c r="AP319" i="8" s="1"/>
  <c r="AH177" i="8"/>
  <c r="AI177" i="8" s="1"/>
  <c r="AO62" i="8"/>
  <c r="AP62" i="8" s="1"/>
  <c r="AI148" i="8"/>
  <c r="AI298" i="8"/>
  <c r="AP86" i="8"/>
  <c r="AI201" i="8"/>
  <c r="AI86" i="8"/>
  <c r="AP148" i="8"/>
  <c r="AI208" i="8"/>
  <c r="BD26" i="8"/>
  <c r="BB25" i="8"/>
  <c r="BB28" i="8"/>
  <c r="BB27" i="8"/>
  <c r="BB26" i="8"/>
  <c r="BC25" i="8"/>
  <c r="BC28" i="8"/>
  <c r="BC27" i="8"/>
  <c r="BC26" i="8"/>
  <c r="BD25" i="8"/>
  <c r="BD28" i="8"/>
  <c r="BD27" i="8"/>
  <c r="AP380" i="8"/>
  <c r="AP437" i="8"/>
  <c r="AP481" i="8"/>
  <c r="AP134" i="8"/>
  <c r="AI420" i="8"/>
  <c r="AI254" i="8"/>
  <c r="AI134" i="8"/>
  <c r="AP254" i="8"/>
  <c r="AI289" i="8"/>
  <c r="AI380" i="8"/>
  <c r="AP348" i="8"/>
  <c r="AI445" i="8"/>
  <c r="AH296" i="8"/>
  <c r="AI296" i="8" s="1"/>
  <c r="AI500" i="8"/>
  <c r="AI66" i="8"/>
  <c r="AI371" i="8"/>
  <c r="AI74" i="8"/>
  <c r="AI174" i="8"/>
  <c r="AH381" i="8"/>
  <c r="AI381" i="8" s="1"/>
  <c r="AP447" i="8"/>
  <c r="AP353" i="8"/>
  <c r="AP103" i="8"/>
  <c r="AP171" i="8"/>
  <c r="AP190" i="8"/>
  <c r="AP201" i="8"/>
  <c r="AI348" i="8"/>
  <c r="AP222" i="8"/>
  <c r="AP145" i="8"/>
  <c r="AI257" i="8"/>
  <c r="BA26" i="8"/>
  <c r="AX26" i="8"/>
  <c r="BA27" i="8"/>
  <c r="AX27" i="8"/>
  <c r="BA28" i="8"/>
  <c r="AX28" i="8"/>
  <c r="BA25" i="8"/>
  <c r="AX25" i="8"/>
  <c r="AZ26" i="8"/>
  <c r="AZ27" i="8"/>
  <c r="AZ28" i="8"/>
  <c r="AZ25" i="8"/>
  <c r="AW25" i="8"/>
  <c r="AW29" i="8" s="1"/>
  <c r="AY26" i="8"/>
  <c r="AY27" i="8"/>
  <c r="AY28" i="8"/>
  <c r="AY25" i="8"/>
  <c r="AP74" i="8"/>
  <c r="AI429" i="8"/>
  <c r="AP279" i="8"/>
  <c r="AI12" i="8"/>
  <c r="AI60" i="8"/>
  <c r="AP105" i="8"/>
  <c r="AP257" i="8"/>
  <c r="AP60" i="8"/>
  <c r="AP214" i="8"/>
  <c r="AI279" i="8"/>
  <c r="AI101" i="8"/>
  <c r="AH5" i="8"/>
  <c r="AI5" i="8" s="1"/>
  <c r="AO44" i="8"/>
  <c r="AP44" i="8" s="1"/>
  <c r="AP66" i="8"/>
  <c r="AH344" i="8"/>
  <c r="AI344" i="8" s="1"/>
  <c r="AO10" i="8"/>
  <c r="AP10" i="8" s="1"/>
  <c r="AH105" i="8"/>
  <c r="AI105" i="8" s="1"/>
  <c r="AH124" i="8"/>
  <c r="AI124" i="8" s="1"/>
  <c r="AO424" i="8"/>
  <c r="AP424" i="8" s="1"/>
  <c r="AI190" i="8"/>
  <c r="AI65" i="8"/>
  <c r="AI100" i="8"/>
  <c r="AP174" i="8"/>
  <c r="AP289" i="8"/>
  <c r="AI353" i="8"/>
  <c r="AP445" i="8"/>
  <c r="AP456" i="8"/>
  <c r="AI83" i="8"/>
  <c r="AP83" i="8"/>
  <c r="AT22" i="5"/>
  <c r="AR22" i="5"/>
  <c r="AQ22" i="5"/>
  <c r="AO22" i="5"/>
  <c r="AN22" i="5"/>
  <c r="AJ27" i="5"/>
  <c r="AJ26" i="5"/>
  <c r="AJ28" i="5"/>
  <c r="AJ25" i="5"/>
  <c r="AL29" i="4"/>
  <c r="AJ29" i="4"/>
  <c r="AL22" i="5"/>
  <c r="AK22" i="5"/>
  <c r="AV5" i="5"/>
  <c r="DQ3" i="3"/>
  <c r="DQ4" i="3"/>
  <c r="DQ9" i="3"/>
  <c r="DQ23" i="3"/>
  <c r="DJ20" i="3"/>
  <c r="AL30" i="4"/>
  <c r="AK29" i="4"/>
  <c r="AL31" i="4"/>
  <c r="AL32" i="4"/>
  <c r="AK30" i="4"/>
  <c r="AK31" i="4"/>
  <c r="AK32" i="4"/>
  <c r="AJ30" i="4"/>
  <c r="AJ31" i="4"/>
  <c r="AJ32" i="4"/>
  <c r="AL26" i="4"/>
  <c r="AK26" i="4"/>
  <c r="AJ26" i="4"/>
  <c r="BU508" i="7"/>
  <c r="BM508" i="7"/>
  <c r="DD22" i="7" l="1"/>
  <c r="DD29" i="7"/>
  <c r="DQ27" i="3"/>
  <c r="DQ20" i="3"/>
  <c r="AM26" i="4"/>
  <c r="AM32" i="4"/>
  <c r="AM29" i="4"/>
  <c r="AI33" i="4"/>
  <c r="BH17" i="8"/>
  <c r="BH20" i="8"/>
  <c r="AW22" i="8"/>
  <c r="BH11" i="8"/>
  <c r="BF22" i="8"/>
  <c r="AY22" i="8"/>
  <c r="AN29" i="5"/>
  <c r="AQ29" i="5"/>
  <c r="AP29" i="5"/>
  <c r="AK29" i="5"/>
  <c r="AV26" i="5"/>
  <c r="AR29" i="5"/>
  <c r="AO29" i="5"/>
  <c r="AV25" i="5"/>
  <c r="AV28" i="5"/>
  <c r="AV27" i="5"/>
  <c r="AL29" i="5"/>
  <c r="AM29" i="5"/>
  <c r="AV22" i="5"/>
  <c r="AS29" i="5"/>
  <c r="BH19" i="8"/>
  <c r="BH14" i="8"/>
  <c r="AX22" i="8"/>
  <c r="BC22" i="8"/>
  <c r="BG22" i="8"/>
  <c r="BB22" i="8"/>
  <c r="BH15" i="8"/>
  <c r="BA22" i="8"/>
  <c r="AV22" i="8"/>
  <c r="BE22" i="8"/>
  <c r="BH16" i="8"/>
  <c r="AZ22" i="8"/>
  <c r="BD22" i="8"/>
  <c r="BH21" i="8"/>
  <c r="BH12" i="8"/>
  <c r="BH6" i="8"/>
  <c r="BH18" i="8"/>
  <c r="BH10" i="8"/>
  <c r="BH13" i="8"/>
  <c r="BH7" i="8"/>
  <c r="BH9" i="8"/>
  <c r="BC29" i="8"/>
  <c r="BH8" i="8"/>
  <c r="BG29" i="8"/>
  <c r="BH26" i="8"/>
  <c r="BF29" i="8"/>
  <c r="BH27" i="8"/>
  <c r="AZ29" i="8"/>
  <c r="AX29" i="8"/>
  <c r="BB29" i="8"/>
  <c r="BH28" i="8"/>
  <c r="AV29" i="8"/>
  <c r="AY29" i="8"/>
  <c r="BE29" i="8"/>
  <c r="BH25" i="8"/>
  <c r="BD29" i="8"/>
  <c r="BA29" i="8"/>
  <c r="BH5" i="8"/>
  <c r="AJ29" i="5"/>
  <c r="AM31" i="4"/>
  <c r="AM30" i="4"/>
  <c r="AK33" i="4"/>
  <c r="AJ33" i="4"/>
  <c r="AL33" i="4"/>
  <c r="I2" i="3"/>
  <c r="L2" i="3"/>
  <c r="M2" i="3"/>
  <c r="T2" i="3"/>
  <c r="AW2" i="3"/>
  <c r="AX2" i="3"/>
  <c r="BB2" i="3"/>
  <c r="BC2" i="3"/>
  <c r="CH2" i="3"/>
  <c r="I3" i="3"/>
  <c r="L3" i="3"/>
  <c r="M3" i="3"/>
  <c r="T3" i="3"/>
  <c r="AW3" i="3"/>
  <c r="AX3" i="3"/>
  <c r="BB3" i="3"/>
  <c r="BC3" i="3"/>
  <c r="CH3" i="3"/>
  <c r="I4" i="3"/>
  <c r="L4" i="3"/>
  <c r="M4" i="3"/>
  <c r="T4" i="3"/>
  <c r="AW4" i="3"/>
  <c r="AX4" i="3"/>
  <c r="BB4" i="3"/>
  <c r="BC4" i="3"/>
  <c r="CH4" i="3"/>
  <c r="I5" i="3"/>
  <c r="L5" i="3"/>
  <c r="M5" i="3"/>
  <c r="T5" i="3"/>
  <c r="AW5" i="3"/>
  <c r="AX5" i="3"/>
  <c r="BB5" i="3"/>
  <c r="BC5" i="3"/>
  <c r="CH5" i="3"/>
  <c r="I6" i="3"/>
  <c r="L6" i="3"/>
  <c r="M6" i="3"/>
  <c r="T6" i="3"/>
  <c r="AW6" i="3"/>
  <c r="AX6" i="3"/>
  <c r="BB6" i="3"/>
  <c r="BC6" i="3"/>
  <c r="CH6" i="3"/>
  <c r="I7" i="3"/>
  <c r="L7" i="3"/>
  <c r="M7" i="3"/>
  <c r="T7" i="3"/>
  <c r="AW7" i="3"/>
  <c r="AX7" i="3"/>
  <c r="BB7" i="3"/>
  <c r="BC7" i="3"/>
  <c r="AV7" i="3" s="1"/>
  <c r="CH7" i="3"/>
  <c r="I8" i="3"/>
  <c r="L8" i="3"/>
  <c r="M8" i="3"/>
  <c r="T8" i="3"/>
  <c r="AW8" i="3"/>
  <c r="AX8" i="3"/>
  <c r="BB8" i="3"/>
  <c r="BC8" i="3"/>
  <c r="AV8" i="3" s="1"/>
  <c r="CH8" i="3"/>
  <c r="I9" i="3"/>
  <c r="L9" i="3"/>
  <c r="M9" i="3"/>
  <c r="T9" i="3"/>
  <c r="AW9" i="3"/>
  <c r="AX9" i="3"/>
  <c r="BB9" i="3"/>
  <c r="BC9" i="3"/>
  <c r="CH9" i="3"/>
  <c r="I10" i="3"/>
  <c r="L10" i="3"/>
  <c r="M10" i="3"/>
  <c r="T10" i="3"/>
  <c r="AW10" i="3"/>
  <c r="AX10" i="3"/>
  <c r="BB10" i="3"/>
  <c r="BC10" i="3"/>
  <c r="AV10" i="3" s="1"/>
  <c r="CH10" i="3"/>
  <c r="I11" i="3"/>
  <c r="L11" i="3"/>
  <c r="M11" i="3"/>
  <c r="T11" i="3"/>
  <c r="AW11" i="3"/>
  <c r="AX11" i="3"/>
  <c r="BB11" i="3"/>
  <c r="BC11" i="3"/>
  <c r="CH11" i="3"/>
  <c r="I12" i="3"/>
  <c r="L12" i="3"/>
  <c r="M12" i="3"/>
  <c r="T12" i="3"/>
  <c r="AW12" i="3"/>
  <c r="AX12" i="3"/>
  <c r="BB12" i="3"/>
  <c r="BC12" i="3"/>
  <c r="CH12" i="3"/>
  <c r="I13" i="3"/>
  <c r="L13" i="3"/>
  <c r="M13" i="3"/>
  <c r="T13" i="3"/>
  <c r="AW13" i="3"/>
  <c r="AX13" i="3"/>
  <c r="BB13" i="3"/>
  <c r="BC13" i="3"/>
  <c r="CH13" i="3"/>
  <c r="I14" i="3"/>
  <c r="L14" i="3"/>
  <c r="M14" i="3"/>
  <c r="T14" i="3"/>
  <c r="AW14" i="3"/>
  <c r="AX14" i="3"/>
  <c r="BB14" i="3"/>
  <c r="BC14" i="3"/>
  <c r="AV14" i="3" s="1"/>
  <c r="CH14" i="3"/>
  <c r="I15" i="3"/>
  <c r="L15" i="3"/>
  <c r="M15" i="3"/>
  <c r="T15" i="3"/>
  <c r="AW15" i="3"/>
  <c r="AX15" i="3"/>
  <c r="BB15" i="3"/>
  <c r="BC15" i="3"/>
  <c r="AV15" i="3" s="1"/>
  <c r="CH15" i="3"/>
  <c r="I16" i="3"/>
  <c r="L16" i="3"/>
  <c r="M16" i="3"/>
  <c r="T16" i="3"/>
  <c r="AW16" i="3"/>
  <c r="AX16" i="3"/>
  <c r="BB16" i="3"/>
  <c r="BC16" i="3"/>
  <c r="CH16" i="3"/>
  <c r="I17" i="3"/>
  <c r="L17" i="3"/>
  <c r="M17" i="3"/>
  <c r="T17" i="3"/>
  <c r="AW17" i="3"/>
  <c r="AX17" i="3"/>
  <c r="BB17" i="3"/>
  <c r="BC17" i="3"/>
  <c r="CH17" i="3"/>
  <c r="I18" i="3"/>
  <c r="L18" i="3"/>
  <c r="M18" i="3"/>
  <c r="T18" i="3"/>
  <c r="AW18" i="3"/>
  <c r="AX18" i="3"/>
  <c r="BB18" i="3"/>
  <c r="BC18" i="3"/>
  <c r="CH18" i="3"/>
  <c r="I19" i="3"/>
  <c r="L19" i="3"/>
  <c r="M19" i="3"/>
  <c r="T19" i="3"/>
  <c r="AW19" i="3"/>
  <c r="AX19" i="3"/>
  <c r="BB19" i="3"/>
  <c r="BC19" i="3"/>
  <c r="CH19" i="3"/>
  <c r="I20" i="3"/>
  <c r="L20" i="3"/>
  <c r="M20" i="3"/>
  <c r="T20" i="3"/>
  <c r="AW20" i="3"/>
  <c r="AX20" i="3"/>
  <c r="BB20" i="3"/>
  <c r="BC20" i="3"/>
  <c r="AV20" i="3" s="1"/>
  <c r="CH20" i="3"/>
  <c r="I21" i="3"/>
  <c r="L21" i="3"/>
  <c r="M21" i="3"/>
  <c r="T21" i="3"/>
  <c r="AW21" i="3"/>
  <c r="AX21" i="3"/>
  <c r="BB21" i="3"/>
  <c r="BC21" i="3"/>
  <c r="AT21" i="3" s="1"/>
  <c r="CH21" i="3"/>
  <c r="I22" i="3"/>
  <c r="L22" i="3"/>
  <c r="M22" i="3"/>
  <c r="T22" i="3"/>
  <c r="AW22" i="3"/>
  <c r="AX22" i="3"/>
  <c r="BB22" i="3"/>
  <c r="BC22" i="3"/>
  <c r="AV22" i="3" s="1"/>
  <c r="CH22" i="3"/>
  <c r="I23" i="3"/>
  <c r="L23" i="3"/>
  <c r="M23" i="3"/>
  <c r="T23" i="3"/>
  <c r="AW23" i="3"/>
  <c r="AX23" i="3"/>
  <c r="BB23" i="3"/>
  <c r="BC23" i="3"/>
  <c r="CH23" i="3"/>
  <c r="I24" i="3"/>
  <c r="L24" i="3"/>
  <c r="M24" i="3"/>
  <c r="T24" i="3"/>
  <c r="AW24" i="3"/>
  <c r="AX24" i="3"/>
  <c r="BB24" i="3"/>
  <c r="BC24" i="3"/>
  <c r="CH24" i="3"/>
  <c r="I25" i="3"/>
  <c r="L25" i="3"/>
  <c r="M25" i="3"/>
  <c r="T25" i="3"/>
  <c r="AW25" i="3"/>
  <c r="AX25" i="3"/>
  <c r="BB25" i="3"/>
  <c r="BC25" i="3"/>
  <c r="CH25" i="3"/>
  <c r="I26" i="3"/>
  <c r="L26" i="3"/>
  <c r="M26" i="3"/>
  <c r="T26" i="3"/>
  <c r="AW26" i="3"/>
  <c r="AX26" i="3"/>
  <c r="BB26" i="3"/>
  <c r="BC26" i="3"/>
  <c r="CH26" i="3"/>
  <c r="I27" i="3"/>
  <c r="L27" i="3"/>
  <c r="M27" i="3"/>
  <c r="T27" i="3"/>
  <c r="AW27" i="3"/>
  <c r="AX27" i="3"/>
  <c r="BB27" i="3"/>
  <c r="BC27" i="3"/>
  <c r="CH27" i="3"/>
  <c r="I28" i="3"/>
  <c r="L28" i="3"/>
  <c r="M28" i="3"/>
  <c r="T28" i="3"/>
  <c r="AW28" i="3"/>
  <c r="AX28" i="3"/>
  <c r="BB28" i="3"/>
  <c r="BC28" i="3"/>
  <c r="CH28" i="3"/>
  <c r="I29" i="3"/>
  <c r="L29" i="3"/>
  <c r="M29" i="3"/>
  <c r="T29" i="3"/>
  <c r="AW29" i="3"/>
  <c r="AX29" i="3"/>
  <c r="BB29" i="3"/>
  <c r="BC29" i="3"/>
  <c r="CH29" i="3"/>
  <c r="I30" i="3"/>
  <c r="L30" i="3"/>
  <c r="M30" i="3"/>
  <c r="T30" i="3"/>
  <c r="AW30" i="3"/>
  <c r="AX30" i="3"/>
  <c r="BB30" i="3"/>
  <c r="BC30" i="3"/>
  <c r="AT30" i="3" s="1"/>
  <c r="CH30" i="3"/>
  <c r="I31" i="3"/>
  <c r="L31" i="3"/>
  <c r="M31" i="3"/>
  <c r="T31" i="3"/>
  <c r="AW31" i="3"/>
  <c r="AX31" i="3"/>
  <c r="BB31" i="3"/>
  <c r="BC31" i="3"/>
  <c r="CH31" i="3"/>
  <c r="I32" i="3"/>
  <c r="L32" i="3"/>
  <c r="M32" i="3"/>
  <c r="T32" i="3"/>
  <c r="AW32" i="3"/>
  <c r="AX32" i="3"/>
  <c r="BB32" i="3"/>
  <c r="BC32" i="3"/>
  <c r="AV32" i="3" s="1"/>
  <c r="CH32" i="3"/>
  <c r="I33" i="3"/>
  <c r="L33" i="3"/>
  <c r="M33" i="3"/>
  <c r="T33" i="3"/>
  <c r="AW33" i="3"/>
  <c r="AX33" i="3"/>
  <c r="BB33" i="3"/>
  <c r="BC33" i="3"/>
  <c r="AV33" i="3" s="1"/>
  <c r="CH33" i="3"/>
  <c r="I34" i="3"/>
  <c r="L34" i="3"/>
  <c r="M34" i="3"/>
  <c r="T34" i="3"/>
  <c r="AW34" i="3"/>
  <c r="AX34" i="3"/>
  <c r="BB34" i="3"/>
  <c r="BC34" i="3"/>
  <c r="AV34" i="3" s="1"/>
  <c r="CH34" i="3"/>
  <c r="I35" i="3"/>
  <c r="L35" i="3"/>
  <c r="M35" i="3"/>
  <c r="T35" i="3"/>
  <c r="AW35" i="3"/>
  <c r="AX35" i="3"/>
  <c r="BB35" i="3"/>
  <c r="BC35" i="3"/>
  <c r="CH35" i="3"/>
  <c r="I36" i="3"/>
  <c r="L36" i="3"/>
  <c r="M36" i="3"/>
  <c r="T36" i="3"/>
  <c r="AW36" i="3"/>
  <c r="AX36" i="3"/>
  <c r="BB36" i="3"/>
  <c r="BC36" i="3"/>
  <c r="AV36" i="3" s="1"/>
  <c r="CH36" i="3"/>
  <c r="I37" i="3"/>
  <c r="L37" i="3"/>
  <c r="M37" i="3"/>
  <c r="T37" i="3"/>
  <c r="AW37" i="3"/>
  <c r="AX37" i="3"/>
  <c r="BB37" i="3"/>
  <c r="BC37" i="3"/>
  <c r="AV37" i="3" s="1"/>
  <c r="CH37" i="3"/>
  <c r="I38" i="3"/>
  <c r="L38" i="3"/>
  <c r="M38" i="3"/>
  <c r="T38" i="3"/>
  <c r="AW38" i="3"/>
  <c r="AX38" i="3"/>
  <c r="BB38" i="3"/>
  <c r="BC38" i="3"/>
  <c r="CH38" i="3"/>
  <c r="I39" i="3"/>
  <c r="L39" i="3"/>
  <c r="M39" i="3"/>
  <c r="T39" i="3"/>
  <c r="AW39" i="3"/>
  <c r="AX39" i="3"/>
  <c r="BB39" i="3"/>
  <c r="BC39" i="3"/>
  <c r="CH39" i="3"/>
  <c r="I40" i="3"/>
  <c r="L40" i="3"/>
  <c r="M40" i="3"/>
  <c r="T40" i="3"/>
  <c r="AW40" i="3"/>
  <c r="AX40" i="3"/>
  <c r="BB40" i="3"/>
  <c r="BC40" i="3"/>
  <c r="CH40" i="3"/>
  <c r="I41" i="3"/>
  <c r="L41" i="3"/>
  <c r="M41" i="3"/>
  <c r="T41" i="3"/>
  <c r="AW41" i="3"/>
  <c r="AX41" i="3"/>
  <c r="BB41" i="3"/>
  <c r="BC41" i="3"/>
  <c r="CH41" i="3"/>
  <c r="I42" i="3"/>
  <c r="L42" i="3"/>
  <c r="M42" i="3"/>
  <c r="T42" i="3"/>
  <c r="AW42" i="3"/>
  <c r="AX42" i="3"/>
  <c r="BB42" i="3"/>
  <c r="BC42" i="3"/>
  <c r="CH42" i="3"/>
  <c r="I43" i="3"/>
  <c r="L43" i="3"/>
  <c r="M43" i="3"/>
  <c r="T43" i="3"/>
  <c r="AW43" i="3"/>
  <c r="AX43" i="3"/>
  <c r="BB43" i="3"/>
  <c r="BC43" i="3"/>
  <c r="CH43" i="3"/>
  <c r="I44" i="3"/>
  <c r="L44" i="3"/>
  <c r="M44" i="3"/>
  <c r="T44" i="3"/>
  <c r="AW44" i="3"/>
  <c r="AX44" i="3"/>
  <c r="BB44" i="3"/>
  <c r="BC44" i="3"/>
  <c r="CH44" i="3"/>
  <c r="I45" i="3"/>
  <c r="L45" i="3"/>
  <c r="M45" i="3"/>
  <c r="T45" i="3"/>
  <c r="AW45" i="3"/>
  <c r="AX45" i="3"/>
  <c r="BB45" i="3"/>
  <c r="BC45" i="3"/>
  <c r="AV45" i="3" s="1"/>
  <c r="CH45" i="3"/>
  <c r="I46" i="3"/>
  <c r="L46" i="3"/>
  <c r="M46" i="3"/>
  <c r="T46" i="3"/>
  <c r="AW46" i="3"/>
  <c r="AX46" i="3"/>
  <c r="BB46" i="3"/>
  <c r="BC46" i="3"/>
  <c r="AV46" i="3" s="1"/>
  <c r="CH46" i="3"/>
  <c r="I47" i="3"/>
  <c r="L47" i="3"/>
  <c r="M47" i="3"/>
  <c r="T47" i="3"/>
  <c r="AW47" i="3"/>
  <c r="AX47" i="3"/>
  <c r="BB47" i="3"/>
  <c r="BC47" i="3"/>
  <c r="CH47" i="3"/>
  <c r="I48" i="3"/>
  <c r="L48" i="3"/>
  <c r="M48" i="3"/>
  <c r="T48" i="3"/>
  <c r="AW48" i="3"/>
  <c r="AX48" i="3"/>
  <c r="BB48" i="3"/>
  <c r="BC48" i="3"/>
  <c r="AV48" i="3" s="1"/>
  <c r="CH48" i="3"/>
  <c r="I49" i="3"/>
  <c r="L49" i="3"/>
  <c r="M49" i="3"/>
  <c r="T49" i="3"/>
  <c r="AW49" i="3"/>
  <c r="AX49" i="3"/>
  <c r="BB49" i="3"/>
  <c r="BC49" i="3"/>
  <c r="CH49" i="3"/>
  <c r="I50" i="3"/>
  <c r="L50" i="3"/>
  <c r="M50" i="3"/>
  <c r="T50" i="3"/>
  <c r="AW50" i="3"/>
  <c r="AX50" i="3"/>
  <c r="BB50" i="3"/>
  <c r="BC50" i="3"/>
  <c r="CH50" i="3"/>
  <c r="I51" i="3"/>
  <c r="L51" i="3"/>
  <c r="M51" i="3"/>
  <c r="T51" i="3"/>
  <c r="AW51" i="3"/>
  <c r="AX51" i="3"/>
  <c r="BB51" i="3"/>
  <c r="BC51" i="3"/>
  <c r="CH51" i="3"/>
  <c r="I52" i="3"/>
  <c r="L52" i="3"/>
  <c r="M52" i="3"/>
  <c r="T52" i="3"/>
  <c r="AW52" i="3"/>
  <c r="AX52" i="3"/>
  <c r="BB52" i="3"/>
  <c r="BC52" i="3"/>
  <c r="CH52" i="3"/>
  <c r="I53" i="3"/>
  <c r="L53" i="3"/>
  <c r="M53" i="3"/>
  <c r="T53" i="3"/>
  <c r="AW53" i="3"/>
  <c r="AX53" i="3"/>
  <c r="BB53" i="3"/>
  <c r="BC53" i="3"/>
  <c r="CH53" i="3"/>
  <c r="I54" i="3"/>
  <c r="L54" i="3"/>
  <c r="M54" i="3"/>
  <c r="T54" i="3"/>
  <c r="AW54" i="3"/>
  <c r="AX54" i="3"/>
  <c r="BB54" i="3"/>
  <c r="BC54" i="3"/>
  <c r="CH54" i="3"/>
  <c r="I55" i="3"/>
  <c r="L55" i="3"/>
  <c r="M55" i="3"/>
  <c r="T55" i="3"/>
  <c r="AW55" i="3"/>
  <c r="AX55" i="3"/>
  <c r="BB55" i="3"/>
  <c r="BC55" i="3"/>
  <c r="AV55" i="3" s="1"/>
  <c r="CH55" i="3"/>
  <c r="I56" i="3"/>
  <c r="L56" i="3"/>
  <c r="M56" i="3"/>
  <c r="T56" i="3"/>
  <c r="AW56" i="3"/>
  <c r="AX56" i="3"/>
  <c r="BB56" i="3"/>
  <c r="BC56" i="3"/>
  <c r="CH56" i="3"/>
  <c r="I57" i="3"/>
  <c r="L57" i="3"/>
  <c r="M57" i="3"/>
  <c r="T57" i="3"/>
  <c r="AW57" i="3"/>
  <c r="AX57" i="3"/>
  <c r="BB57" i="3"/>
  <c r="BC57" i="3"/>
  <c r="AT57" i="3" s="1"/>
  <c r="CH57" i="3"/>
  <c r="I58" i="3"/>
  <c r="L58" i="3"/>
  <c r="M58" i="3"/>
  <c r="T58" i="3"/>
  <c r="AW58" i="3"/>
  <c r="AX58" i="3"/>
  <c r="BB58" i="3"/>
  <c r="BC58" i="3"/>
  <c r="AT58" i="3" s="1"/>
  <c r="CH58" i="3"/>
  <c r="I59" i="3"/>
  <c r="L59" i="3"/>
  <c r="M59" i="3"/>
  <c r="T59" i="3"/>
  <c r="AW59" i="3"/>
  <c r="AX59" i="3"/>
  <c r="BB59" i="3"/>
  <c r="BC59" i="3"/>
  <c r="CH59" i="3"/>
  <c r="I60" i="3"/>
  <c r="L60" i="3"/>
  <c r="M60" i="3"/>
  <c r="T60" i="3"/>
  <c r="AW60" i="3"/>
  <c r="AX60" i="3"/>
  <c r="BB60" i="3"/>
  <c r="BC60" i="3"/>
  <c r="AV60" i="3" s="1"/>
  <c r="CH60" i="3"/>
  <c r="I61" i="3"/>
  <c r="L61" i="3"/>
  <c r="M61" i="3"/>
  <c r="T61" i="3"/>
  <c r="AW61" i="3"/>
  <c r="AX61" i="3"/>
  <c r="BB61" i="3"/>
  <c r="BC61" i="3"/>
  <c r="CH61" i="3"/>
  <c r="I62" i="3"/>
  <c r="L62" i="3"/>
  <c r="M62" i="3"/>
  <c r="T62" i="3"/>
  <c r="AW62" i="3"/>
  <c r="AX62" i="3"/>
  <c r="BB62" i="3"/>
  <c r="BC62" i="3"/>
  <c r="CH62" i="3"/>
  <c r="I63" i="3"/>
  <c r="L63" i="3"/>
  <c r="M63" i="3"/>
  <c r="T63" i="3"/>
  <c r="AW63" i="3"/>
  <c r="AX63" i="3"/>
  <c r="BB63" i="3"/>
  <c r="BC63" i="3"/>
  <c r="CH63" i="3"/>
  <c r="I64" i="3"/>
  <c r="L64" i="3"/>
  <c r="M64" i="3"/>
  <c r="T64" i="3"/>
  <c r="AW64" i="3"/>
  <c r="AX64" i="3"/>
  <c r="BB64" i="3"/>
  <c r="BC64" i="3"/>
  <c r="AV64" i="3" s="1"/>
  <c r="CH64" i="3"/>
  <c r="I65" i="3"/>
  <c r="L65" i="3"/>
  <c r="M65" i="3"/>
  <c r="T65" i="3"/>
  <c r="AW65" i="3"/>
  <c r="AX65" i="3"/>
  <c r="BB65" i="3"/>
  <c r="BC65" i="3"/>
  <c r="CH65" i="3"/>
  <c r="I66" i="3"/>
  <c r="L66" i="3"/>
  <c r="M66" i="3"/>
  <c r="T66" i="3"/>
  <c r="AW66" i="3"/>
  <c r="AX66" i="3"/>
  <c r="BB66" i="3"/>
  <c r="BC66" i="3"/>
  <c r="CH66" i="3"/>
  <c r="I67" i="3"/>
  <c r="L67" i="3"/>
  <c r="M67" i="3"/>
  <c r="T67" i="3"/>
  <c r="AW67" i="3"/>
  <c r="AX67" i="3"/>
  <c r="BB67" i="3"/>
  <c r="BC67" i="3"/>
  <c r="CH67" i="3"/>
  <c r="I68" i="3"/>
  <c r="L68" i="3"/>
  <c r="M68" i="3"/>
  <c r="T68" i="3"/>
  <c r="AW68" i="3"/>
  <c r="AX68" i="3"/>
  <c r="BB68" i="3"/>
  <c r="BC68" i="3"/>
  <c r="CH68" i="3"/>
  <c r="I69" i="3"/>
  <c r="L69" i="3"/>
  <c r="M69" i="3"/>
  <c r="T69" i="3"/>
  <c r="AW69" i="3"/>
  <c r="AX69" i="3"/>
  <c r="BB69" i="3"/>
  <c r="BC69" i="3"/>
  <c r="CH69" i="3"/>
  <c r="I70" i="3"/>
  <c r="L70" i="3"/>
  <c r="M70" i="3"/>
  <c r="T70" i="3"/>
  <c r="AW70" i="3"/>
  <c r="AX70" i="3"/>
  <c r="BB70" i="3"/>
  <c r="BC70" i="3"/>
  <c r="AV70" i="3" s="1"/>
  <c r="CH70" i="3"/>
  <c r="I71" i="3"/>
  <c r="L71" i="3"/>
  <c r="M71" i="3"/>
  <c r="T71" i="3"/>
  <c r="AW71" i="3"/>
  <c r="AX71" i="3"/>
  <c r="BB71" i="3"/>
  <c r="BC71" i="3"/>
  <c r="AV71" i="3" s="1"/>
  <c r="CH71" i="3"/>
  <c r="AU71" i="3" s="1"/>
  <c r="I72" i="3"/>
  <c r="L72" i="3"/>
  <c r="M72" i="3"/>
  <c r="T72" i="3"/>
  <c r="AW72" i="3"/>
  <c r="AX72" i="3"/>
  <c r="BB72" i="3"/>
  <c r="BC72" i="3"/>
  <c r="AT72" i="3" s="1"/>
  <c r="CH72" i="3"/>
  <c r="I73" i="3"/>
  <c r="L73" i="3"/>
  <c r="M73" i="3"/>
  <c r="T73" i="3"/>
  <c r="AW73" i="3"/>
  <c r="AX73" i="3"/>
  <c r="BB73" i="3"/>
  <c r="BC73" i="3"/>
  <c r="CH73" i="3"/>
  <c r="I74" i="3"/>
  <c r="L74" i="3"/>
  <c r="M74" i="3"/>
  <c r="T74" i="3"/>
  <c r="AW74" i="3"/>
  <c r="AX74" i="3"/>
  <c r="BB74" i="3"/>
  <c r="BC74" i="3"/>
  <c r="AV74" i="3" s="1"/>
  <c r="CH74" i="3"/>
  <c r="I75" i="3"/>
  <c r="L75" i="3"/>
  <c r="M75" i="3"/>
  <c r="T75" i="3"/>
  <c r="AW75" i="3"/>
  <c r="AX75" i="3"/>
  <c r="BB75" i="3"/>
  <c r="BC75" i="3"/>
  <c r="AV75" i="3" s="1"/>
  <c r="CH75" i="3"/>
  <c r="I76" i="3"/>
  <c r="L76" i="3"/>
  <c r="M76" i="3"/>
  <c r="T76" i="3"/>
  <c r="AW76" i="3"/>
  <c r="AX76" i="3"/>
  <c r="BB76" i="3"/>
  <c r="BC76" i="3"/>
  <c r="CH76" i="3"/>
  <c r="I77" i="3"/>
  <c r="L77" i="3"/>
  <c r="M77" i="3"/>
  <c r="T77" i="3"/>
  <c r="AW77" i="3"/>
  <c r="AX77" i="3"/>
  <c r="BB77" i="3"/>
  <c r="BC77" i="3"/>
  <c r="CH77" i="3"/>
  <c r="I78" i="3"/>
  <c r="L78" i="3"/>
  <c r="M78" i="3"/>
  <c r="T78" i="3"/>
  <c r="AW78" i="3"/>
  <c r="AX78" i="3"/>
  <c r="BB78" i="3"/>
  <c r="BC78" i="3"/>
  <c r="CH78" i="3"/>
  <c r="I79" i="3"/>
  <c r="L79" i="3"/>
  <c r="M79" i="3"/>
  <c r="T79" i="3"/>
  <c r="AW79" i="3"/>
  <c r="AX79" i="3"/>
  <c r="BB79" i="3"/>
  <c r="BC79" i="3"/>
  <c r="CH79" i="3"/>
  <c r="I80" i="3"/>
  <c r="L80" i="3"/>
  <c r="M80" i="3"/>
  <c r="T80" i="3"/>
  <c r="AW80" i="3"/>
  <c r="AX80" i="3"/>
  <c r="BB80" i="3"/>
  <c r="BC80" i="3"/>
  <c r="CH80" i="3"/>
  <c r="I81" i="3"/>
  <c r="L81" i="3"/>
  <c r="M81" i="3"/>
  <c r="T81" i="3"/>
  <c r="AW81" i="3"/>
  <c r="AX81" i="3"/>
  <c r="BB81" i="3"/>
  <c r="BC81" i="3"/>
  <c r="CH81" i="3"/>
  <c r="I82" i="3"/>
  <c r="L82" i="3"/>
  <c r="M82" i="3"/>
  <c r="T82" i="3"/>
  <c r="AW82" i="3"/>
  <c r="AX82" i="3"/>
  <c r="BB82" i="3"/>
  <c r="BC82" i="3"/>
  <c r="AV82" i="3" s="1"/>
  <c r="CH82" i="3"/>
  <c r="I83" i="3"/>
  <c r="L83" i="3"/>
  <c r="M83" i="3"/>
  <c r="T83" i="3"/>
  <c r="AW83" i="3"/>
  <c r="AX83" i="3"/>
  <c r="BB83" i="3"/>
  <c r="BC83" i="3"/>
  <c r="CH83" i="3"/>
  <c r="I84" i="3"/>
  <c r="L84" i="3"/>
  <c r="M84" i="3"/>
  <c r="T84" i="3"/>
  <c r="AW84" i="3"/>
  <c r="AX84" i="3"/>
  <c r="BB84" i="3"/>
  <c r="BC84" i="3"/>
  <c r="CH84" i="3"/>
  <c r="I85" i="3"/>
  <c r="L85" i="3"/>
  <c r="M85" i="3"/>
  <c r="T85" i="3"/>
  <c r="AW85" i="3"/>
  <c r="AX85" i="3"/>
  <c r="BB85" i="3"/>
  <c r="BC85" i="3"/>
  <c r="CH85" i="3"/>
  <c r="I86" i="3"/>
  <c r="L86" i="3"/>
  <c r="M86" i="3"/>
  <c r="T86" i="3"/>
  <c r="AW86" i="3"/>
  <c r="AX86" i="3"/>
  <c r="BB86" i="3"/>
  <c r="BC86" i="3"/>
  <c r="AV86" i="3" s="1"/>
  <c r="CH86" i="3"/>
  <c r="I87" i="3"/>
  <c r="L87" i="3"/>
  <c r="M87" i="3"/>
  <c r="T87" i="3"/>
  <c r="AW87" i="3"/>
  <c r="AX87" i="3"/>
  <c r="BB87" i="3"/>
  <c r="BC87" i="3"/>
  <c r="AV87" i="3" s="1"/>
  <c r="CH87" i="3"/>
  <c r="AU87" i="3" s="1"/>
  <c r="I88" i="3"/>
  <c r="L88" i="3"/>
  <c r="M88" i="3"/>
  <c r="T88" i="3"/>
  <c r="AW88" i="3"/>
  <c r="AX88" i="3"/>
  <c r="BB88" i="3"/>
  <c r="BC88" i="3"/>
  <c r="AV88" i="3" s="1"/>
  <c r="CH88" i="3"/>
  <c r="I89" i="3"/>
  <c r="L89" i="3"/>
  <c r="M89" i="3"/>
  <c r="T89" i="3"/>
  <c r="AW89" i="3"/>
  <c r="AX89" i="3"/>
  <c r="BB89" i="3"/>
  <c r="BC89" i="3"/>
  <c r="CH89" i="3"/>
  <c r="I90" i="3"/>
  <c r="L90" i="3"/>
  <c r="M90" i="3"/>
  <c r="T90" i="3"/>
  <c r="AW90" i="3"/>
  <c r="AX90" i="3"/>
  <c r="BB90" i="3"/>
  <c r="BC90" i="3"/>
  <c r="CH90" i="3"/>
  <c r="I91" i="3"/>
  <c r="L91" i="3"/>
  <c r="M91" i="3"/>
  <c r="T91" i="3"/>
  <c r="AW91" i="3"/>
  <c r="AX91" i="3"/>
  <c r="BB91" i="3"/>
  <c r="BC91" i="3"/>
  <c r="CH91" i="3"/>
  <c r="I92" i="3"/>
  <c r="L92" i="3"/>
  <c r="M92" i="3"/>
  <c r="T92" i="3"/>
  <c r="AW92" i="3"/>
  <c r="AX92" i="3"/>
  <c r="BB92" i="3"/>
  <c r="BC92" i="3"/>
  <c r="CH92" i="3"/>
  <c r="I93" i="3"/>
  <c r="L93" i="3"/>
  <c r="M93" i="3"/>
  <c r="T93" i="3"/>
  <c r="AW93" i="3"/>
  <c r="AX93" i="3"/>
  <c r="BB93" i="3"/>
  <c r="BC93" i="3"/>
  <c r="CH93" i="3"/>
  <c r="I94" i="3"/>
  <c r="L94" i="3"/>
  <c r="M94" i="3"/>
  <c r="T94" i="3"/>
  <c r="AW94" i="3"/>
  <c r="AX94" i="3"/>
  <c r="BB94" i="3"/>
  <c r="BC94" i="3"/>
  <c r="CH94" i="3"/>
  <c r="I95" i="3"/>
  <c r="L95" i="3"/>
  <c r="M95" i="3"/>
  <c r="T95" i="3"/>
  <c r="AW95" i="3"/>
  <c r="AX95" i="3"/>
  <c r="BB95" i="3"/>
  <c r="BC95" i="3"/>
  <c r="CH95" i="3"/>
  <c r="I96" i="3"/>
  <c r="L96" i="3"/>
  <c r="M96" i="3"/>
  <c r="T96" i="3"/>
  <c r="AW96" i="3"/>
  <c r="AX96" i="3"/>
  <c r="BB96" i="3"/>
  <c r="BC96" i="3"/>
  <c r="AV96" i="3" s="1"/>
  <c r="CH96" i="3"/>
  <c r="I97" i="3"/>
  <c r="L97" i="3"/>
  <c r="M97" i="3"/>
  <c r="T97" i="3"/>
  <c r="AW97" i="3"/>
  <c r="AX97" i="3"/>
  <c r="BB97" i="3"/>
  <c r="BC97" i="3"/>
  <c r="CH97" i="3"/>
  <c r="I98" i="3"/>
  <c r="L98" i="3"/>
  <c r="M98" i="3"/>
  <c r="T98" i="3"/>
  <c r="AW98" i="3"/>
  <c r="AX98" i="3"/>
  <c r="BB98" i="3"/>
  <c r="BC98" i="3"/>
  <c r="CH98" i="3"/>
  <c r="I99" i="3"/>
  <c r="L99" i="3"/>
  <c r="M99" i="3"/>
  <c r="T99" i="3"/>
  <c r="AW99" i="3"/>
  <c r="AX99" i="3"/>
  <c r="BB99" i="3"/>
  <c r="BC99" i="3"/>
  <c r="CH99" i="3"/>
  <c r="I100" i="3"/>
  <c r="L100" i="3"/>
  <c r="M100" i="3"/>
  <c r="T100" i="3"/>
  <c r="AW100" i="3"/>
  <c r="AX100" i="3"/>
  <c r="BB100" i="3"/>
  <c r="BC100" i="3"/>
  <c r="CH100" i="3"/>
  <c r="I101" i="3"/>
  <c r="L101" i="3"/>
  <c r="M101" i="3"/>
  <c r="T101" i="3"/>
  <c r="AW101" i="3"/>
  <c r="AX101" i="3"/>
  <c r="BB101" i="3"/>
  <c r="BC101" i="3"/>
  <c r="CH101" i="3"/>
  <c r="I102" i="3"/>
  <c r="L102" i="3"/>
  <c r="M102" i="3"/>
  <c r="T102" i="3"/>
  <c r="AW102" i="3"/>
  <c r="AX102" i="3"/>
  <c r="BB102" i="3"/>
  <c r="BC102" i="3"/>
  <c r="CH102" i="3"/>
  <c r="I103" i="3"/>
  <c r="L103" i="3"/>
  <c r="M103" i="3"/>
  <c r="T103" i="3"/>
  <c r="AW103" i="3"/>
  <c r="AX103" i="3"/>
  <c r="BB103" i="3"/>
  <c r="BC103" i="3"/>
  <c r="CH103" i="3"/>
  <c r="I104" i="3"/>
  <c r="L104" i="3"/>
  <c r="M104" i="3"/>
  <c r="T104" i="3"/>
  <c r="AW104" i="3"/>
  <c r="AX104" i="3"/>
  <c r="BB104" i="3"/>
  <c r="BC104" i="3"/>
  <c r="CH104" i="3"/>
  <c r="I105" i="3"/>
  <c r="L105" i="3"/>
  <c r="M105" i="3"/>
  <c r="T105" i="3"/>
  <c r="AW105" i="3"/>
  <c r="AX105" i="3"/>
  <c r="BB105" i="3"/>
  <c r="BC105" i="3"/>
  <c r="CH105" i="3"/>
  <c r="I106" i="3"/>
  <c r="L106" i="3"/>
  <c r="M106" i="3"/>
  <c r="T106" i="3"/>
  <c r="AW106" i="3"/>
  <c r="AX106" i="3"/>
  <c r="BB106" i="3"/>
  <c r="BC106" i="3"/>
  <c r="AV106" i="3" s="1"/>
  <c r="CH106" i="3"/>
  <c r="I107" i="3"/>
  <c r="L107" i="3"/>
  <c r="M107" i="3"/>
  <c r="T107" i="3"/>
  <c r="AW107" i="3"/>
  <c r="AX107" i="3"/>
  <c r="BB107" i="3"/>
  <c r="BC107" i="3"/>
  <c r="CH107" i="3"/>
  <c r="I108" i="3"/>
  <c r="L108" i="3"/>
  <c r="M108" i="3"/>
  <c r="T108" i="3"/>
  <c r="AW108" i="3"/>
  <c r="AX108" i="3"/>
  <c r="BB108" i="3"/>
  <c r="BC108" i="3"/>
  <c r="CH108" i="3"/>
  <c r="I109" i="3"/>
  <c r="L109" i="3"/>
  <c r="M109" i="3"/>
  <c r="T109" i="3"/>
  <c r="AW109" i="3"/>
  <c r="AX109" i="3"/>
  <c r="BB109" i="3"/>
  <c r="BC109" i="3"/>
  <c r="CH109" i="3"/>
  <c r="I110" i="3"/>
  <c r="L110" i="3"/>
  <c r="M110" i="3"/>
  <c r="T110" i="3"/>
  <c r="AW110" i="3"/>
  <c r="AX110" i="3"/>
  <c r="BB110" i="3"/>
  <c r="BC110" i="3"/>
  <c r="AV110" i="3" s="1"/>
  <c r="CH110" i="3"/>
  <c r="I111" i="3"/>
  <c r="L111" i="3"/>
  <c r="M111" i="3"/>
  <c r="T111" i="3"/>
  <c r="AW111" i="3"/>
  <c r="AX111" i="3"/>
  <c r="BB111" i="3"/>
  <c r="BC111" i="3"/>
  <c r="CH111" i="3"/>
  <c r="I112" i="3"/>
  <c r="L112" i="3"/>
  <c r="M112" i="3"/>
  <c r="T112" i="3"/>
  <c r="AW112" i="3"/>
  <c r="AX112" i="3"/>
  <c r="BB112" i="3"/>
  <c r="BC112" i="3"/>
  <c r="AV112" i="3" s="1"/>
  <c r="CH112" i="3"/>
  <c r="I113" i="3"/>
  <c r="L113" i="3"/>
  <c r="M113" i="3"/>
  <c r="T113" i="3"/>
  <c r="AW113" i="3"/>
  <c r="AX113" i="3"/>
  <c r="BB113" i="3"/>
  <c r="BC113" i="3"/>
  <c r="CH113" i="3"/>
  <c r="I114" i="3"/>
  <c r="L114" i="3"/>
  <c r="M114" i="3"/>
  <c r="T114" i="3"/>
  <c r="AW114" i="3"/>
  <c r="AX114" i="3"/>
  <c r="BB114" i="3"/>
  <c r="BC114" i="3"/>
  <c r="CH114" i="3"/>
  <c r="I115" i="3"/>
  <c r="L115" i="3"/>
  <c r="M115" i="3"/>
  <c r="T115" i="3"/>
  <c r="AW115" i="3"/>
  <c r="AX115" i="3"/>
  <c r="BB115" i="3"/>
  <c r="BC115" i="3"/>
  <c r="CH115" i="3"/>
  <c r="I116" i="3"/>
  <c r="L116" i="3"/>
  <c r="M116" i="3"/>
  <c r="T116" i="3"/>
  <c r="AW116" i="3"/>
  <c r="AX116" i="3"/>
  <c r="BB116" i="3"/>
  <c r="BC116" i="3"/>
  <c r="CH116" i="3"/>
  <c r="I117" i="3"/>
  <c r="L117" i="3"/>
  <c r="M117" i="3"/>
  <c r="T117" i="3"/>
  <c r="AW117" i="3"/>
  <c r="AX117" i="3"/>
  <c r="BB117" i="3"/>
  <c r="BC117" i="3"/>
  <c r="CH117" i="3"/>
  <c r="I118" i="3"/>
  <c r="L118" i="3"/>
  <c r="M118" i="3"/>
  <c r="T118" i="3"/>
  <c r="AW118" i="3"/>
  <c r="AX118" i="3"/>
  <c r="BB118" i="3"/>
  <c r="BC118" i="3"/>
  <c r="AV118" i="3" s="1"/>
  <c r="CH118" i="3"/>
  <c r="I119" i="3"/>
  <c r="L119" i="3"/>
  <c r="M119" i="3"/>
  <c r="T119" i="3"/>
  <c r="AW119" i="3"/>
  <c r="AX119" i="3"/>
  <c r="BB119" i="3"/>
  <c r="BC119" i="3"/>
  <c r="CH119" i="3"/>
  <c r="I120" i="3"/>
  <c r="L120" i="3"/>
  <c r="M120" i="3"/>
  <c r="T120" i="3"/>
  <c r="AW120" i="3"/>
  <c r="AX120" i="3"/>
  <c r="BB120" i="3"/>
  <c r="BC120" i="3"/>
  <c r="CH120" i="3"/>
  <c r="I121" i="3"/>
  <c r="L121" i="3"/>
  <c r="M121" i="3"/>
  <c r="T121" i="3"/>
  <c r="AW121" i="3"/>
  <c r="AX121" i="3"/>
  <c r="BB121" i="3"/>
  <c r="BC121" i="3"/>
  <c r="CH121" i="3"/>
  <c r="I122" i="3"/>
  <c r="L122" i="3"/>
  <c r="M122" i="3"/>
  <c r="T122" i="3"/>
  <c r="AW122" i="3"/>
  <c r="AX122" i="3"/>
  <c r="BB122" i="3"/>
  <c r="BC122" i="3"/>
  <c r="CH122" i="3"/>
  <c r="I123" i="3"/>
  <c r="L123" i="3"/>
  <c r="M123" i="3"/>
  <c r="T123" i="3"/>
  <c r="AW123" i="3"/>
  <c r="AX123" i="3"/>
  <c r="BB123" i="3"/>
  <c r="BC123" i="3"/>
  <c r="AV123" i="3" s="1"/>
  <c r="CH123" i="3"/>
  <c r="I124" i="3"/>
  <c r="L124" i="3"/>
  <c r="M124" i="3"/>
  <c r="T124" i="3"/>
  <c r="AW124" i="3"/>
  <c r="AX124" i="3"/>
  <c r="BB124" i="3"/>
  <c r="BC124" i="3"/>
  <c r="CH124" i="3"/>
  <c r="I125" i="3"/>
  <c r="L125" i="3"/>
  <c r="M125" i="3"/>
  <c r="T125" i="3"/>
  <c r="AW125" i="3"/>
  <c r="AX125" i="3"/>
  <c r="BB125" i="3"/>
  <c r="BC125" i="3"/>
  <c r="CH125" i="3"/>
  <c r="I126" i="3"/>
  <c r="L126" i="3"/>
  <c r="M126" i="3"/>
  <c r="T126" i="3"/>
  <c r="AW126" i="3"/>
  <c r="AX126" i="3"/>
  <c r="BB126" i="3"/>
  <c r="BC126" i="3"/>
  <c r="CH126" i="3"/>
  <c r="I127" i="3"/>
  <c r="L127" i="3"/>
  <c r="M127" i="3"/>
  <c r="T127" i="3"/>
  <c r="AW127" i="3"/>
  <c r="AX127" i="3"/>
  <c r="BB127" i="3"/>
  <c r="BC127" i="3"/>
  <c r="CH127" i="3"/>
  <c r="I128" i="3"/>
  <c r="L128" i="3"/>
  <c r="M128" i="3"/>
  <c r="T128" i="3"/>
  <c r="AW128" i="3"/>
  <c r="AX128" i="3"/>
  <c r="BB128" i="3"/>
  <c r="BC128" i="3"/>
  <c r="CH128" i="3"/>
  <c r="I129" i="3"/>
  <c r="L129" i="3"/>
  <c r="M129" i="3"/>
  <c r="T129" i="3"/>
  <c r="AW129" i="3"/>
  <c r="AX129" i="3"/>
  <c r="BB129" i="3"/>
  <c r="BC129" i="3"/>
  <c r="CH129" i="3"/>
  <c r="I130" i="3"/>
  <c r="L130" i="3"/>
  <c r="M130" i="3"/>
  <c r="T130" i="3"/>
  <c r="AW130" i="3"/>
  <c r="AX130" i="3"/>
  <c r="BB130" i="3"/>
  <c r="BC130" i="3"/>
  <c r="AV130" i="3" s="1"/>
  <c r="CH130" i="3"/>
  <c r="I131" i="3"/>
  <c r="L131" i="3"/>
  <c r="M131" i="3"/>
  <c r="T131" i="3"/>
  <c r="AW131" i="3"/>
  <c r="AX131" i="3"/>
  <c r="BB131" i="3"/>
  <c r="BC131" i="3"/>
  <c r="AV131" i="3" s="1"/>
  <c r="CH131" i="3"/>
  <c r="AU131" i="3" s="1"/>
  <c r="I132" i="3"/>
  <c r="L132" i="3"/>
  <c r="M132" i="3"/>
  <c r="T132" i="3"/>
  <c r="AW132" i="3"/>
  <c r="AX132" i="3"/>
  <c r="BB132" i="3"/>
  <c r="BC132" i="3"/>
  <c r="AV132" i="3" s="1"/>
  <c r="CH132" i="3"/>
  <c r="I133" i="3"/>
  <c r="L133" i="3"/>
  <c r="M133" i="3"/>
  <c r="T133" i="3"/>
  <c r="AW133" i="3"/>
  <c r="AX133" i="3"/>
  <c r="BB133" i="3"/>
  <c r="BC133" i="3"/>
  <c r="CH133" i="3"/>
  <c r="I134" i="3"/>
  <c r="L134" i="3"/>
  <c r="M134" i="3"/>
  <c r="T134" i="3"/>
  <c r="AW134" i="3"/>
  <c r="AX134" i="3"/>
  <c r="BB134" i="3"/>
  <c r="BC134" i="3"/>
  <c r="AV134" i="3" s="1"/>
  <c r="CH134" i="3"/>
  <c r="I135" i="3"/>
  <c r="L135" i="3"/>
  <c r="M135" i="3"/>
  <c r="T135" i="3"/>
  <c r="AU135" i="3"/>
  <c r="AW135" i="3"/>
  <c r="AX135" i="3"/>
  <c r="BB135" i="3"/>
  <c r="BC135" i="3"/>
  <c r="AV135" i="3" s="1"/>
  <c r="CH135" i="3"/>
  <c r="I136" i="3"/>
  <c r="L136" i="3"/>
  <c r="M136" i="3"/>
  <c r="T136" i="3"/>
  <c r="AW136" i="3"/>
  <c r="AX136" i="3"/>
  <c r="BB136" i="3"/>
  <c r="BC136" i="3"/>
  <c r="AV136" i="3" s="1"/>
  <c r="CH136" i="3"/>
  <c r="I137" i="3"/>
  <c r="L137" i="3"/>
  <c r="M137" i="3"/>
  <c r="T137" i="3"/>
  <c r="AW137" i="3"/>
  <c r="AX137" i="3"/>
  <c r="BB137" i="3"/>
  <c r="BC137" i="3"/>
  <c r="CH137" i="3"/>
  <c r="I138" i="3"/>
  <c r="L138" i="3"/>
  <c r="M138" i="3"/>
  <c r="T138" i="3"/>
  <c r="AW138" i="3"/>
  <c r="AX138" i="3"/>
  <c r="BB138" i="3"/>
  <c r="BC138" i="3"/>
  <c r="CH138" i="3"/>
  <c r="I139" i="3"/>
  <c r="L139" i="3"/>
  <c r="M139" i="3"/>
  <c r="T139" i="3"/>
  <c r="AW139" i="3"/>
  <c r="AX139" i="3"/>
  <c r="BB139" i="3"/>
  <c r="BC139" i="3"/>
  <c r="CH139" i="3"/>
  <c r="I140" i="3"/>
  <c r="L140" i="3"/>
  <c r="M140" i="3"/>
  <c r="T140" i="3"/>
  <c r="AW140" i="3"/>
  <c r="AX140" i="3"/>
  <c r="BB140" i="3"/>
  <c r="BC140" i="3"/>
  <c r="AU140" i="3" s="1"/>
  <c r="CH140" i="3"/>
  <c r="I141" i="3"/>
  <c r="L141" i="3"/>
  <c r="M141" i="3"/>
  <c r="T141" i="3"/>
  <c r="AW141" i="3"/>
  <c r="AX141" i="3"/>
  <c r="BB141" i="3"/>
  <c r="BC141" i="3"/>
  <c r="AV141" i="3" s="1"/>
  <c r="CH141" i="3"/>
  <c r="I142" i="3"/>
  <c r="L142" i="3"/>
  <c r="M142" i="3"/>
  <c r="T142" i="3"/>
  <c r="AW142" i="3"/>
  <c r="AX142" i="3"/>
  <c r="BB142" i="3"/>
  <c r="BC142" i="3"/>
  <c r="AU142" i="3" s="1"/>
  <c r="CH142" i="3"/>
  <c r="I143" i="3"/>
  <c r="L143" i="3"/>
  <c r="M143" i="3"/>
  <c r="T143" i="3"/>
  <c r="AW143" i="3"/>
  <c r="AX143" i="3"/>
  <c r="BB143" i="3"/>
  <c r="BC143" i="3"/>
  <c r="CH143" i="3"/>
  <c r="I144" i="3"/>
  <c r="L144" i="3"/>
  <c r="M144" i="3"/>
  <c r="T144" i="3"/>
  <c r="AW144" i="3"/>
  <c r="AX144" i="3"/>
  <c r="BB144" i="3"/>
  <c r="BC144" i="3"/>
  <c r="CH144" i="3"/>
  <c r="I145" i="3"/>
  <c r="L145" i="3"/>
  <c r="M145" i="3"/>
  <c r="T145" i="3"/>
  <c r="AW145" i="3"/>
  <c r="AX145" i="3"/>
  <c r="BB145" i="3"/>
  <c r="BC145" i="3"/>
  <c r="CH145" i="3"/>
  <c r="I146" i="3"/>
  <c r="L146" i="3"/>
  <c r="M146" i="3"/>
  <c r="T146" i="3"/>
  <c r="AW146" i="3"/>
  <c r="AX146" i="3"/>
  <c r="BB146" i="3"/>
  <c r="BC146" i="3"/>
  <c r="CH146" i="3"/>
  <c r="I147" i="3"/>
  <c r="L147" i="3"/>
  <c r="M147" i="3"/>
  <c r="T147" i="3"/>
  <c r="AW147" i="3"/>
  <c r="AX147" i="3"/>
  <c r="BB147" i="3"/>
  <c r="BC147" i="3"/>
  <c r="CH147" i="3"/>
  <c r="I148" i="3"/>
  <c r="L148" i="3"/>
  <c r="M148" i="3"/>
  <c r="T148" i="3"/>
  <c r="AW148" i="3"/>
  <c r="AX148" i="3"/>
  <c r="BB148" i="3"/>
  <c r="BC148" i="3"/>
  <c r="CH148" i="3"/>
  <c r="I149" i="3"/>
  <c r="L149" i="3"/>
  <c r="M149" i="3"/>
  <c r="T149" i="3"/>
  <c r="AW149" i="3"/>
  <c r="AX149" i="3"/>
  <c r="BB149" i="3"/>
  <c r="BC149" i="3"/>
  <c r="CH149" i="3"/>
  <c r="I150" i="3"/>
  <c r="L150" i="3"/>
  <c r="M150" i="3"/>
  <c r="T150" i="3"/>
  <c r="AW150" i="3"/>
  <c r="AX150" i="3"/>
  <c r="BB150" i="3"/>
  <c r="BC150" i="3"/>
  <c r="AV150" i="3" s="1"/>
  <c r="CH150" i="3"/>
  <c r="I151" i="3"/>
  <c r="L151" i="3"/>
  <c r="M151" i="3"/>
  <c r="T151" i="3"/>
  <c r="AW151" i="3"/>
  <c r="AX151" i="3"/>
  <c r="BB151" i="3"/>
  <c r="BC151" i="3"/>
  <c r="AV151" i="3" s="1"/>
  <c r="CH151" i="3"/>
  <c r="I152" i="3"/>
  <c r="L152" i="3"/>
  <c r="M152" i="3"/>
  <c r="T152" i="3"/>
  <c r="AW152" i="3"/>
  <c r="AX152" i="3"/>
  <c r="BB152" i="3"/>
  <c r="BC152" i="3"/>
  <c r="CH152" i="3"/>
  <c r="I153" i="3"/>
  <c r="L153" i="3"/>
  <c r="M153" i="3"/>
  <c r="T153" i="3"/>
  <c r="AW153" i="3"/>
  <c r="AX153" i="3"/>
  <c r="BB153" i="3"/>
  <c r="BC153" i="3"/>
  <c r="CH153" i="3"/>
  <c r="I154" i="3"/>
  <c r="L154" i="3"/>
  <c r="M154" i="3"/>
  <c r="T154" i="3"/>
  <c r="AW154" i="3"/>
  <c r="AX154" i="3"/>
  <c r="BB154" i="3"/>
  <c r="BC154" i="3"/>
  <c r="CH154" i="3"/>
  <c r="I155" i="3"/>
  <c r="L155" i="3"/>
  <c r="M155" i="3"/>
  <c r="T155" i="3"/>
  <c r="AW155" i="3"/>
  <c r="AX155" i="3"/>
  <c r="BB155" i="3"/>
  <c r="BC155" i="3"/>
  <c r="CH155" i="3"/>
  <c r="I156" i="3"/>
  <c r="L156" i="3"/>
  <c r="M156" i="3"/>
  <c r="T156" i="3"/>
  <c r="AW156" i="3"/>
  <c r="AX156" i="3"/>
  <c r="BB156" i="3"/>
  <c r="BC156" i="3"/>
  <c r="AV156" i="3" s="1"/>
  <c r="CH156" i="3"/>
  <c r="I157" i="3"/>
  <c r="L157" i="3"/>
  <c r="M157" i="3"/>
  <c r="T157" i="3"/>
  <c r="AW157" i="3"/>
  <c r="AX157" i="3"/>
  <c r="BB157" i="3"/>
  <c r="BC157" i="3"/>
  <c r="AV157" i="3" s="1"/>
  <c r="CH157" i="3"/>
  <c r="I158" i="3"/>
  <c r="L158" i="3"/>
  <c r="M158" i="3"/>
  <c r="T158" i="3"/>
  <c r="AW158" i="3"/>
  <c r="AX158" i="3"/>
  <c r="BB158" i="3"/>
  <c r="BC158" i="3"/>
  <c r="CH158" i="3"/>
  <c r="I159" i="3"/>
  <c r="L159" i="3"/>
  <c r="M159" i="3"/>
  <c r="T159" i="3"/>
  <c r="AW159" i="3"/>
  <c r="AX159" i="3"/>
  <c r="BB159" i="3"/>
  <c r="BC159" i="3"/>
  <c r="CH159" i="3"/>
  <c r="I160" i="3"/>
  <c r="L160" i="3"/>
  <c r="M160" i="3"/>
  <c r="T160" i="3"/>
  <c r="AW160" i="3"/>
  <c r="AX160" i="3"/>
  <c r="BB160" i="3"/>
  <c r="BC160" i="3"/>
  <c r="CH160" i="3"/>
  <c r="I161" i="3"/>
  <c r="L161" i="3"/>
  <c r="M161" i="3"/>
  <c r="T161" i="3"/>
  <c r="AW161" i="3"/>
  <c r="AX161" i="3"/>
  <c r="BB161" i="3"/>
  <c r="BC161" i="3"/>
  <c r="CH161" i="3"/>
  <c r="I162" i="3"/>
  <c r="L162" i="3"/>
  <c r="M162" i="3"/>
  <c r="T162" i="3"/>
  <c r="AW162" i="3"/>
  <c r="AX162" i="3"/>
  <c r="BB162" i="3"/>
  <c r="BC162" i="3"/>
  <c r="CH162" i="3"/>
  <c r="I163" i="3"/>
  <c r="L163" i="3"/>
  <c r="M163" i="3"/>
  <c r="T163" i="3"/>
  <c r="AW163" i="3"/>
  <c r="AX163" i="3"/>
  <c r="BB163" i="3"/>
  <c r="BC163" i="3"/>
  <c r="CH163" i="3"/>
  <c r="I164" i="3"/>
  <c r="L164" i="3"/>
  <c r="M164" i="3"/>
  <c r="T164" i="3"/>
  <c r="AW164" i="3"/>
  <c r="AX164" i="3"/>
  <c r="BB164" i="3"/>
  <c r="BC164" i="3"/>
  <c r="CH164" i="3"/>
  <c r="I165" i="3"/>
  <c r="L165" i="3"/>
  <c r="M165" i="3"/>
  <c r="T165" i="3"/>
  <c r="AW165" i="3"/>
  <c r="AX165" i="3"/>
  <c r="BB165" i="3"/>
  <c r="BC165" i="3"/>
  <c r="AV165" i="3" s="1"/>
  <c r="CH165" i="3"/>
  <c r="I166" i="3"/>
  <c r="L166" i="3"/>
  <c r="M166" i="3"/>
  <c r="T166" i="3"/>
  <c r="AW166" i="3"/>
  <c r="AX166" i="3"/>
  <c r="BB166" i="3"/>
  <c r="BC166" i="3"/>
  <c r="CH166" i="3"/>
  <c r="I167" i="3"/>
  <c r="L167" i="3"/>
  <c r="M167" i="3"/>
  <c r="T167" i="3"/>
  <c r="AW167" i="3"/>
  <c r="AX167" i="3"/>
  <c r="BB167" i="3"/>
  <c r="BC167" i="3"/>
  <c r="AV167" i="3" s="1"/>
  <c r="CH167" i="3"/>
  <c r="I168" i="3"/>
  <c r="L168" i="3"/>
  <c r="M168" i="3"/>
  <c r="T168" i="3"/>
  <c r="AW168" i="3"/>
  <c r="AX168" i="3"/>
  <c r="BB168" i="3"/>
  <c r="BC168" i="3"/>
  <c r="AV168" i="3" s="1"/>
  <c r="CH168" i="3"/>
  <c r="I169" i="3"/>
  <c r="L169" i="3"/>
  <c r="M169" i="3"/>
  <c r="T169" i="3"/>
  <c r="AW169" i="3"/>
  <c r="AX169" i="3"/>
  <c r="BB169" i="3"/>
  <c r="BC169" i="3"/>
  <c r="CH169" i="3"/>
  <c r="I170" i="3"/>
  <c r="L170" i="3"/>
  <c r="M170" i="3"/>
  <c r="T170" i="3"/>
  <c r="AW170" i="3"/>
  <c r="AX170" i="3"/>
  <c r="BB170" i="3"/>
  <c r="BC170" i="3"/>
  <c r="CH170" i="3"/>
  <c r="I171" i="3"/>
  <c r="L171" i="3"/>
  <c r="M171" i="3"/>
  <c r="T171" i="3"/>
  <c r="AW171" i="3"/>
  <c r="AX171" i="3"/>
  <c r="BB171" i="3"/>
  <c r="BC171" i="3"/>
  <c r="CH171" i="3"/>
  <c r="I172" i="3"/>
  <c r="L172" i="3"/>
  <c r="M172" i="3"/>
  <c r="T172" i="3"/>
  <c r="AW172" i="3"/>
  <c r="AX172" i="3"/>
  <c r="BB172" i="3"/>
  <c r="BC172" i="3"/>
  <c r="CH172" i="3"/>
  <c r="I173" i="3"/>
  <c r="L173" i="3"/>
  <c r="M173" i="3"/>
  <c r="T173" i="3"/>
  <c r="AW173" i="3"/>
  <c r="AX173" i="3"/>
  <c r="BB173" i="3"/>
  <c r="BC173" i="3"/>
  <c r="CH173" i="3"/>
  <c r="I174" i="3"/>
  <c r="L174" i="3"/>
  <c r="M174" i="3"/>
  <c r="T174" i="3"/>
  <c r="AW174" i="3"/>
  <c r="AX174" i="3"/>
  <c r="BB174" i="3"/>
  <c r="BC174" i="3"/>
  <c r="CH174" i="3"/>
  <c r="I175" i="3"/>
  <c r="L175" i="3"/>
  <c r="M175" i="3"/>
  <c r="T175" i="3"/>
  <c r="AW175" i="3"/>
  <c r="AX175" i="3"/>
  <c r="BB175" i="3"/>
  <c r="BC175" i="3"/>
  <c r="CH175" i="3"/>
  <c r="I176" i="3"/>
  <c r="L176" i="3"/>
  <c r="M176" i="3"/>
  <c r="T176" i="3"/>
  <c r="AW176" i="3"/>
  <c r="AX176" i="3"/>
  <c r="BB176" i="3"/>
  <c r="BC176" i="3"/>
  <c r="CH176" i="3"/>
  <c r="I177" i="3"/>
  <c r="L177" i="3"/>
  <c r="M177" i="3"/>
  <c r="T177" i="3"/>
  <c r="AW177" i="3"/>
  <c r="AX177" i="3"/>
  <c r="BC177" i="3"/>
  <c r="AV177" i="3" s="1"/>
  <c r="CH177" i="3"/>
  <c r="I178" i="3"/>
  <c r="L178" i="3"/>
  <c r="M178" i="3"/>
  <c r="T178" i="3"/>
  <c r="AW178" i="3"/>
  <c r="AX178" i="3"/>
  <c r="BB178" i="3"/>
  <c r="BC178" i="3"/>
  <c r="AV178" i="3" s="1"/>
  <c r="CH178" i="3"/>
  <c r="I179" i="3"/>
  <c r="L179" i="3"/>
  <c r="M179" i="3"/>
  <c r="T179" i="3"/>
  <c r="AW179" i="3"/>
  <c r="AX179" i="3"/>
  <c r="BB179" i="3"/>
  <c r="BC179" i="3"/>
  <c r="AV179" i="3" s="1"/>
  <c r="CH179" i="3"/>
  <c r="I180" i="3"/>
  <c r="L180" i="3"/>
  <c r="M180" i="3"/>
  <c r="T180" i="3"/>
  <c r="AW180" i="3"/>
  <c r="AX180" i="3"/>
  <c r="BB180" i="3"/>
  <c r="BC180" i="3"/>
  <c r="AV180" i="3" s="1"/>
  <c r="CH180" i="3"/>
  <c r="I181" i="3"/>
  <c r="L181" i="3"/>
  <c r="M181" i="3"/>
  <c r="T181" i="3"/>
  <c r="AW181" i="3"/>
  <c r="AX181" i="3"/>
  <c r="BB181" i="3"/>
  <c r="BC181" i="3"/>
  <c r="AV181" i="3" s="1"/>
  <c r="CH181" i="3"/>
  <c r="I182" i="3"/>
  <c r="L182" i="3"/>
  <c r="M182" i="3"/>
  <c r="T182" i="3"/>
  <c r="AW182" i="3"/>
  <c r="AX182" i="3"/>
  <c r="BB182" i="3"/>
  <c r="BC182" i="3"/>
  <c r="AV182" i="3" s="1"/>
  <c r="CH182" i="3"/>
  <c r="I183" i="3"/>
  <c r="L183" i="3"/>
  <c r="M183" i="3"/>
  <c r="T183" i="3"/>
  <c r="AW183" i="3"/>
  <c r="AX183" i="3"/>
  <c r="BB183" i="3"/>
  <c r="BC183" i="3"/>
  <c r="AT183" i="3" s="1"/>
  <c r="CH183" i="3"/>
  <c r="AU183" i="3" s="1"/>
  <c r="I184" i="3"/>
  <c r="L184" i="3"/>
  <c r="M184" i="3"/>
  <c r="T184" i="3"/>
  <c r="AW184" i="3"/>
  <c r="AX184" i="3"/>
  <c r="BB184" i="3"/>
  <c r="BC184" i="3"/>
  <c r="AV184" i="3" s="1"/>
  <c r="CH184" i="3"/>
  <c r="I185" i="3"/>
  <c r="L185" i="3"/>
  <c r="M185" i="3"/>
  <c r="T185" i="3"/>
  <c r="AW185" i="3"/>
  <c r="AX185" i="3"/>
  <c r="BB185" i="3"/>
  <c r="BC185" i="3"/>
  <c r="CH185" i="3"/>
  <c r="I186" i="3"/>
  <c r="L186" i="3"/>
  <c r="M186" i="3"/>
  <c r="T186" i="3"/>
  <c r="AW186" i="3"/>
  <c r="AX186" i="3"/>
  <c r="BB186" i="3"/>
  <c r="BC186" i="3"/>
  <c r="AV186" i="3" s="1"/>
  <c r="CH186" i="3"/>
  <c r="I187" i="3"/>
  <c r="L187" i="3"/>
  <c r="M187" i="3"/>
  <c r="T187" i="3"/>
  <c r="AW187" i="3"/>
  <c r="AX187" i="3"/>
  <c r="BB187" i="3"/>
  <c r="BC187" i="3"/>
  <c r="AV187" i="3" s="1"/>
  <c r="CH187" i="3"/>
  <c r="I188" i="3"/>
  <c r="L188" i="3"/>
  <c r="M188" i="3"/>
  <c r="T188" i="3"/>
  <c r="AW188" i="3"/>
  <c r="AX188" i="3"/>
  <c r="BB188" i="3"/>
  <c r="BC188" i="3"/>
  <c r="AV188" i="3" s="1"/>
  <c r="CH188" i="3"/>
  <c r="I189" i="3"/>
  <c r="L189" i="3"/>
  <c r="M189" i="3"/>
  <c r="T189" i="3"/>
  <c r="AW189" i="3"/>
  <c r="AX189" i="3"/>
  <c r="BB189" i="3"/>
  <c r="BC189" i="3"/>
  <c r="AV189" i="3" s="1"/>
  <c r="CH189" i="3"/>
  <c r="I190" i="3"/>
  <c r="L190" i="3"/>
  <c r="M190" i="3"/>
  <c r="T190" i="3"/>
  <c r="AW190" i="3"/>
  <c r="AX190" i="3"/>
  <c r="BB190" i="3"/>
  <c r="BC190" i="3"/>
  <c r="AV190" i="3" s="1"/>
  <c r="CH190" i="3"/>
  <c r="I191" i="3"/>
  <c r="L191" i="3"/>
  <c r="M191" i="3"/>
  <c r="T191" i="3"/>
  <c r="AW191" i="3"/>
  <c r="AX191" i="3"/>
  <c r="BB191" i="3"/>
  <c r="BC191" i="3"/>
  <c r="AV191" i="3" s="1"/>
  <c r="CH191" i="3"/>
  <c r="I192" i="3"/>
  <c r="L192" i="3"/>
  <c r="M192" i="3"/>
  <c r="T192" i="3"/>
  <c r="AW192" i="3"/>
  <c r="AX192" i="3"/>
  <c r="BB192" i="3"/>
  <c r="BC192" i="3"/>
  <c r="AV192" i="3" s="1"/>
  <c r="CH192" i="3"/>
  <c r="I193" i="3"/>
  <c r="L193" i="3"/>
  <c r="M193" i="3"/>
  <c r="T193" i="3"/>
  <c r="AW193" i="3"/>
  <c r="AX193" i="3"/>
  <c r="BB193" i="3"/>
  <c r="BC193" i="3"/>
  <c r="AV193" i="3" s="1"/>
  <c r="CH193" i="3"/>
  <c r="I194" i="3"/>
  <c r="L194" i="3"/>
  <c r="M194" i="3"/>
  <c r="T194" i="3"/>
  <c r="AW194" i="3"/>
  <c r="AX194" i="3"/>
  <c r="BB194" i="3"/>
  <c r="BC194" i="3"/>
  <c r="AV194" i="3" s="1"/>
  <c r="CH194" i="3"/>
  <c r="I195" i="3"/>
  <c r="L195" i="3"/>
  <c r="M195" i="3"/>
  <c r="T195" i="3"/>
  <c r="AW195" i="3"/>
  <c r="AX195" i="3"/>
  <c r="BB195" i="3"/>
  <c r="BC195" i="3"/>
  <c r="AV195" i="3" s="1"/>
  <c r="CH195" i="3"/>
  <c r="I196" i="3"/>
  <c r="L196" i="3"/>
  <c r="M196" i="3"/>
  <c r="T196" i="3"/>
  <c r="AW196" i="3"/>
  <c r="AX196" i="3"/>
  <c r="BB196" i="3"/>
  <c r="BC196" i="3"/>
  <c r="AV196" i="3" s="1"/>
  <c r="CH196" i="3"/>
  <c r="I197" i="3"/>
  <c r="L197" i="3"/>
  <c r="M197" i="3"/>
  <c r="T197" i="3"/>
  <c r="AW197" i="3"/>
  <c r="AX197" i="3"/>
  <c r="BB197" i="3"/>
  <c r="BC197" i="3"/>
  <c r="AV197" i="3" s="1"/>
  <c r="CH197" i="3"/>
  <c r="I198" i="3"/>
  <c r="L198" i="3"/>
  <c r="M198" i="3"/>
  <c r="T198" i="3"/>
  <c r="AW198" i="3"/>
  <c r="AX198" i="3"/>
  <c r="BB198" i="3"/>
  <c r="BC198" i="3"/>
  <c r="AV198" i="3" s="1"/>
  <c r="CH198" i="3"/>
  <c r="I199" i="3"/>
  <c r="L199" i="3"/>
  <c r="M199" i="3"/>
  <c r="T199" i="3"/>
  <c r="AW199" i="3"/>
  <c r="AX199" i="3"/>
  <c r="BB199" i="3"/>
  <c r="BC199" i="3"/>
  <c r="AV199" i="3" s="1"/>
  <c r="CH199" i="3"/>
  <c r="I200" i="3"/>
  <c r="L200" i="3"/>
  <c r="M200" i="3"/>
  <c r="T200" i="3"/>
  <c r="AW200" i="3"/>
  <c r="AX200" i="3"/>
  <c r="BB200" i="3"/>
  <c r="BC200" i="3"/>
  <c r="AV200" i="3" s="1"/>
  <c r="CH200" i="3"/>
  <c r="I201" i="3"/>
  <c r="L201" i="3"/>
  <c r="M201" i="3"/>
  <c r="T201" i="3"/>
  <c r="AW201" i="3"/>
  <c r="AX201" i="3"/>
  <c r="BB201" i="3"/>
  <c r="BC201" i="3"/>
  <c r="AV201" i="3" s="1"/>
  <c r="CH201" i="3"/>
  <c r="I202" i="3"/>
  <c r="L202" i="3"/>
  <c r="M202" i="3"/>
  <c r="T202" i="3"/>
  <c r="AW202" i="3"/>
  <c r="AX202" i="3"/>
  <c r="BB202" i="3"/>
  <c r="BC202" i="3"/>
  <c r="AV202" i="3" s="1"/>
  <c r="CH202" i="3"/>
  <c r="I203" i="3"/>
  <c r="L203" i="3"/>
  <c r="M203" i="3"/>
  <c r="T203" i="3"/>
  <c r="AW203" i="3"/>
  <c r="AX203" i="3"/>
  <c r="BB203" i="3"/>
  <c r="BC203" i="3"/>
  <c r="AV203" i="3" s="1"/>
  <c r="CH203" i="3"/>
  <c r="I204" i="3"/>
  <c r="L204" i="3"/>
  <c r="M204" i="3"/>
  <c r="T204" i="3"/>
  <c r="AW204" i="3"/>
  <c r="AX204" i="3"/>
  <c r="BB204" i="3"/>
  <c r="BC204" i="3"/>
  <c r="AV204" i="3" s="1"/>
  <c r="CH204" i="3"/>
  <c r="I205" i="3"/>
  <c r="L205" i="3"/>
  <c r="M205" i="3"/>
  <c r="T205" i="3"/>
  <c r="AW205" i="3"/>
  <c r="AX205" i="3"/>
  <c r="BB205" i="3"/>
  <c r="BC205" i="3"/>
  <c r="AT205" i="3" s="1"/>
  <c r="CH205" i="3"/>
  <c r="I206" i="3"/>
  <c r="L206" i="3"/>
  <c r="M206" i="3"/>
  <c r="T206" i="3"/>
  <c r="AW206" i="3"/>
  <c r="AX206" i="3"/>
  <c r="BB206" i="3"/>
  <c r="BC206" i="3"/>
  <c r="AV206" i="3" s="1"/>
  <c r="CH206" i="3"/>
  <c r="I207" i="3"/>
  <c r="L207" i="3"/>
  <c r="M207" i="3"/>
  <c r="T207" i="3"/>
  <c r="AW207" i="3"/>
  <c r="AX207" i="3"/>
  <c r="BB207" i="3"/>
  <c r="BC207" i="3"/>
  <c r="AV207" i="3" s="1"/>
  <c r="CH207" i="3"/>
  <c r="I208" i="3"/>
  <c r="L208" i="3"/>
  <c r="M208" i="3"/>
  <c r="T208" i="3"/>
  <c r="AW208" i="3"/>
  <c r="AX208" i="3"/>
  <c r="BC208" i="3"/>
  <c r="AV208" i="3" s="1"/>
  <c r="CH208" i="3"/>
  <c r="I209" i="3"/>
  <c r="L209" i="3"/>
  <c r="M209" i="3"/>
  <c r="T209" i="3"/>
  <c r="AW209" i="3"/>
  <c r="AX209" i="3"/>
  <c r="BB209" i="3"/>
  <c r="BC209" i="3"/>
  <c r="CH209" i="3"/>
  <c r="I210" i="3"/>
  <c r="L210" i="3"/>
  <c r="M210" i="3"/>
  <c r="T210" i="3"/>
  <c r="AW210" i="3"/>
  <c r="AX210" i="3"/>
  <c r="BB210" i="3"/>
  <c r="BC210" i="3"/>
  <c r="CH210" i="3"/>
  <c r="I211" i="3"/>
  <c r="L211" i="3"/>
  <c r="M211" i="3"/>
  <c r="T211" i="3"/>
  <c r="AW211" i="3"/>
  <c r="AX211" i="3"/>
  <c r="BB211" i="3"/>
  <c r="BC211" i="3"/>
  <c r="AT211" i="3" s="1"/>
  <c r="CH211" i="3"/>
  <c r="I212" i="3"/>
  <c r="L212" i="3"/>
  <c r="M212" i="3"/>
  <c r="T212" i="3"/>
  <c r="AW212" i="3"/>
  <c r="AX212" i="3"/>
  <c r="BB212" i="3"/>
  <c r="BC212" i="3"/>
  <c r="CH212" i="3"/>
  <c r="I213" i="3"/>
  <c r="L213" i="3"/>
  <c r="M213" i="3"/>
  <c r="T213" i="3"/>
  <c r="AW213" i="3"/>
  <c r="AX213" i="3"/>
  <c r="BB213" i="3"/>
  <c r="BC213" i="3"/>
  <c r="CH213" i="3"/>
  <c r="I214" i="3"/>
  <c r="L214" i="3"/>
  <c r="M214" i="3"/>
  <c r="T214" i="3"/>
  <c r="AW214" i="3"/>
  <c r="AX214" i="3"/>
  <c r="BB214" i="3"/>
  <c r="BC214" i="3"/>
  <c r="CH214" i="3"/>
  <c r="I215" i="3"/>
  <c r="L215" i="3"/>
  <c r="M215" i="3"/>
  <c r="T215" i="3"/>
  <c r="AW215" i="3"/>
  <c r="AX215" i="3"/>
  <c r="BB215" i="3"/>
  <c r="BC215" i="3"/>
  <c r="CH215" i="3"/>
  <c r="I216" i="3"/>
  <c r="L216" i="3"/>
  <c r="M216" i="3"/>
  <c r="T216" i="3"/>
  <c r="AW216" i="3"/>
  <c r="AX216" i="3"/>
  <c r="BB216" i="3"/>
  <c r="BC216" i="3"/>
  <c r="CH216" i="3"/>
  <c r="I217" i="3"/>
  <c r="L217" i="3"/>
  <c r="M217" i="3"/>
  <c r="T217" i="3"/>
  <c r="AW217" i="3"/>
  <c r="AX217" i="3"/>
  <c r="BB217" i="3"/>
  <c r="BC217" i="3"/>
  <c r="CH217" i="3"/>
  <c r="I218" i="3"/>
  <c r="L218" i="3"/>
  <c r="M218" i="3"/>
  <c r="T218" i="3"/>
  <c r="AW218" i="3"/>
  <c r="AX218" i="3"/>
  <c r="BB218" i="3"/>
  <c r="BC218" i="3"/>
  <c r="CH218" i="3"/>
  <c r="I219" i="3"/>
  <c r="L219" i="3"/>
  <c r="M219" i="3"/>
  <c r="T219" i="3"/>
  <c r="AW219" i="3"/>
  <c r="AX219" i="3"/>
  <c r="BB219" i="3"/>
  <c r="BC219" i="3"/>
  <c r="CH219" i="3"/>
  <c r="I220" i="3"/>
  <c r="L220" i="3"/>
  <c r="M220" i="3"/>
  <c r="T220" i="3"/>
  <c r="AW220" i="3"/>
  <c r="AX220" i="3"/>
  <c r="BB220" i="3"/>
  <c r="BC220" i="3"/>
  <c r="CH220" i="3"/>
  <c r="I221" i="3"/>
  <c r="L221" i="3"/>
  <c r="M221" i="3"/>
  <c r="T221" i="3"/>
  <c r="AW221" i="3"/>
  <c r="AX221" i="3"/>
  <c r="BB221" i="3"/>
  <c r="BC221" i="3"/>
  <c r="CH221" i="3"/>
  <c r="I222" i="3"/>
  <c r="L222" i="3"/>
  <c r="M222" i="3"/>
  <c r="T222" i="3"/>
  <c r="AW222" i="3"/>
  <c r="AX222" i="3"/>
  <c r="BB222" i="3"/>
  <c r="BC222" i="3"/>
  <c r="CH222" i="3"/>
  <c r="I223" i="3"/>
  <c r="L223" i="3"/>
  <c r="M223" i="3"/>
  <c r="T223" i="3"/>
  <c r="AW223" i="3"/>
  <c r="AX223" i="3"/>
  <c r="BB223" i="3"/>
  <c r="BC223" i="3"/>
  <c r="CH223" i="3"/>
  <c r="I224" i="3"/>
  <c r="L224" i="3"/>
  <c r="M224" i="3"/>
  <c r="T224" i="3"/>
  <c r="AW224" i="3"/>
  <c r="AX224" i="3"/>
  <c r="BB224" i="3"/>
  <c r="BC224" i="3"/>
  <c r="CH224" i="3"/>
  <c r="I225" i="3"/>
  <c r="L225" i="3"/>
  <c r="M225" i="3"/>
  <c r="T225" i="3"/>
  <c r="AW225" i="3"/>
  <c r="AX225" i="3"/>
  <c r="BB225" i="3"/>
  <c r="BC225" i="3"/>
  <c r="CH225" i="3"/>
  <c r="I226" i="3"/>
  <c r="L226" i="3"/>
  <c r="M226" i="3"/>
  <c r="T226" i="3"/>
  <c r="AW226" i="3"/>
  <c r="AX226" i="3"/>
  <c r="BB226" i="3"/>
  <c r="BC226" i="3"/>
  <c r="CH226" i="3"/>
  <c r="I227" i="3"/>
  <c r="L227" i="3"/>
  <c r="M227" i="3"/>
  <c r="T227" i="3"/>
  <c r="AW227" i="3"/>
  <c r="AX227" i="3"/>
  <c r="BB227" i="3"/>
  <c r="BC227" i="3"/>
  <c r="CH227" i="3"/>
  <c r="I228" i="3"/>
  <c r="L228" i="3"/>
  <c r="M228" i="3"/>
  <c r="T228" i="3"/>
  <c r="AW228" i="3"/>
  <c r="AX228" i="3"/>
  <c r="BB228" i="3"/>
  <c r="BC228" i="3"/>
  <c r="AV228" i="3" s="1"/>
  <c r="CH228" i="3"/>
  <c r="I229" i="3"/>
  <c r="L229" i="3"/>
  <c r="M229" i="3"/>
  <c r="T229" i="3"/>
  <c r="AW229" i="3"/>
  <c r="AX229" i="3"/>
  <c r="BB229" i="3"/>
  <c r="BC229" i="3"/>
  <c r="CH229" i="3"/>
  <c r="I230" i="3"/>
  <c r="L230" i="3"/>
  <c r="M230" i="3"/>
  <c r="T230" i="3"/>
  <c r="AW230" i="3"/>
  <c r="AX230" i="3"/>
  <c r="BB230" i="3"/>
  <c r="BC230" i="3"/>
  <c r="CH230" i="3"/>
  <c r="I231" i="3"/>
  <c r="L231" i="3"/>
  <c r="M231" i="3"/>
  <c r="T231" i="3"/>
  <c r="AW231" i="3"/>
  <c r="AX231" i="3"/>
  <c r="BB231" i="3"/>
  <c r="BC231" i="3"/>
  <c r="AV231" i="3" s="1"/>
  <c r="CH231" i="3"/>
  <c r="I232" i="3"/>
  <c r="L232" i="3"/>
  <c r="M232" i="3"/>
  <c r="T232" i="3"/>
  <c r="AW232" i="3"/>
  <c r="AX232" i="3"/>
  <c r="BB232" i="3"/>
  <c r="BC232" i="3"/>
  <c r="AV232" i="3" s="1"/>
  <c r="CH232" i="3"/>
  <c r="I233" i="3"/>
  <c r="L233" i="3"/>
  <c r="M233" i="3"/>
  <c r="T233" i="3"/>
  <c r="AW233" i="3"/>
  <c r="AX233" i="3"/>
  <c r="BB233" i="3"/>
  <c r="BC233" i="3"/>
  <c r="AV233" i="3" s="1"/>
  <c r="CH233" i="3"/>
  <c r="I234" i="3"/>
  <c r="L234" i="3"/>
  <c r="M234" i="3"/>
  <c r="T234" i="3"/>
  <c r="AW234" i="3"/>
  <c r="AX234" i="3"/>
  <c r="BB234" i="3"/>
  <c r="BC234" i="3"/>
  <c r="CH234" i="3"/>
  <c r="I235" i="3"/>
  <c r="L235" i="3"/>
  <c r="M235" i="3"/>
  <c r="T235" i="3"/>
  <c r="AW235" i="3"/>
  <c r="AX235" i="3"/>
  <c r="BB235" i="3"/>
  <c r="BC235" i="3"/>
  <c r="AV235" i="3" s="1"/>
  <c r="CH235" i="3"/>
  <c r="I236" i="3"/>
  <c r="L236" i="3"/>
  <c r="M236" i="3"/>
  <c r="T236" i="3"/>
  <c r="AW236" i="3"/>
  <c r="AX236" i="3"/>
  <c r="BB236" i="3"/>
  <c r="BC236" i="3"/>
  <c r="AV236" i="3" s="1"/>
  <c r="CH236" i="3"/>
  <c r="AU236" i="3" s="1"/>
  <c r="I237" i="3"/>
  <c r="L237" i="3"/>
  <c r="M237" i="3"/>
  <c r="T237" i="3"/>
  <c r="AW237" i="3"/>
  <c r="AX237" i="3"/>
  <c r="BB237" i="3"/>
  <c r="BC237" i="3"/>
  <c r="AV237" i="3" s="1"/>
  <c r="CH237" i="3"/>
  <c r="I238" i="3"/>
  <c r="L238" i="3"/>
  <c r="M238" i="3"/>
  <c r="T238" i="3"/>
  <c r="AW238" i="3"/>
  <c r="AX238" i="3"/>
  <c r="BB238" i="3"/>
  <c r="BC238" i="3"/>
  <c r="AV238" i="3" s="1"/>
  <c r="CH238" i="3"/>
  <c r="I239" i="3"/>
  <c r="L239" i="3"/>
  <c r="M239" i="3"/>
  <c r="T239" i="3"/>
  <c r="AW239" i="3"/>
  <c r="AX239" i="3"/>
  <c r="BB239" i="3"/>
  <c r="BC239" i="3"/>
  <c r="AV239" i="3" s="1"/>
  <c r="CH239" i="3"/>
  <c r="I240" i="3"/>
  <c r="L240" i="3"/>
  <c r="M240" i="3"/>
  <c r="T240" i="3"/>
  <c r="AW240" i="3"/>
  <c r="AX240" i="3"/>
  <c r="BC240" i="3"/>
  <c r="CH240" i="3"/>
  <c r="I241" i="3"/>
  <c r="L241" i="3"/>
  <c r="M241" i="3"/>
  <c r="T241" i="3"/>
  <c r="AW241" i="3"/>
  <c r="AX241" i="3"/>
  <c r="BB241" i="3"/>
  <c r="BC241" i="3"/>
  <c r="CH241" i="3"/>
  <c r="I242" i="3"/>
  <c r="L242" i="3"/>
  <c r="M242" i="3"/>
  <c r="T242" i="3"/>
  <c r="AW242" i="3"/>
  <c r="AX242" i="3"/>
  <c r="BB242" i="3"/>
  <c r="BC242" i="3"/>
  <c r="CH242" i="3"/>
  <c r="I243" i="3"/>
  <c r="L243" i="3"/>
  <c r="M243" i="3"/>
  <c r="T243" i="3"/>
  <c r="AW243" i="3"/>
  <c r="AX243" i="3"/>
  <c r="BB243" i="3"/>
  <c r="BC243" i="3"/>
  <c r="CH243" i="3"/>
  <c r="I244" i="3"/>
  <c r="L244" i="3"/>
  <c r="M244" i="3"/>
  <c r="T244" i="3"/>
  <c r="AW244" i="3"/>
  <c r="AX244" i="3"/>
  <c r="BB244" i="3"/>
  <c r="BC244" i="3"/>
  <c r="AV244" i="3" s="1"/>
  <c r="CH244" i="3"/>
  <c r="I245" i="3"/>
  <c r="L245" i="3"/>
  <c r="M245" i="3"/>
  <c r="T245" i="3"/>
  <c r="AW245" i="3"/>
  <c r="AX245" i="3"/>
  <c r="BB245" i="3"/>
  <c r="BC245" i="3"/>
  <c r="AV245" i="3" s="1"/>
  <c r="CH245" i="3"/>
  <c r="I246" i="3"/>
  <c r="L246" i="3"/>
  <c r="M246" i="3"/>
  <c r="T246" i="3"/>
  <c r="AW246" i="3"/>
  <c r="AX246" i="3"/>
  <c r="BB246" i="3"/>
  <c r="BC246" i="3"/>
  <c r="CH246" i="3"/>
  <c r="I247" i="3"/>
  <c r="L247" i="3"/>
  <c r="M247" i="3"/>
  <c r="T247" i="3"/>
  <c r="AW247" i="3"/>
  <c r="AX247" i="3"/>
  <c r="BB247" i="3"/>
  <c r="BC247" i="3"/>
  <c r="CH247" i="3"/>
  <c r="I248" i="3"/>
  <c r="L248" i="3"/>
  <c r="M248" i="3"/>
  <c r="T248" i="3"/>
  <c r="AW248" i="3"/>
  <c r="AX248" i="3"/>
  <c r="BB248" i="3"/>
  <c r="BC248" i="3"/>
  <c r="CH248" i="3"/>
  <c r="I249" i="3"/>
  <c r="L249" i="3"/>
  <c r="M249" i="3"/>
  <c r="T249" i="3"/>
  <c r="AW249" i="3"/>
  <c r="AX249" i="3"/>
  <c r="BB249" i="3"/>
  <c r="BC249" i="3"/>
  <c r="CH249" i="3"/>
  <c r="I250" i="3"/>
  <c r="L250" i="3"/>
  <c r="M250" i="3"/>
  <c r="T250" i="3"/>
  <c r="AW250" i="3"/>
  <c r="AX250" i="3"/>
  <c r="BB250" i="3"/>
  <c r="BC250" i="3"/>
  <c r="CH250" i="3"/>
  <c r="I251" i="3"/>
  <c r="L251" i="3"/>
  <c r="M251" i="3"/>
  <c r="T251" i="3"/>
  <c r="AW251" i="3"/>
  <c r="AX251" i="3"/>
  <c r="BB251" i="3"/>
  <c r="BC251" i="3"/>
  <c r="CH251" i="3"/>
  <c r="I252" i="3"/>
  <c r="L252" i="3"/>
  <c r="M252" i="3"/>
  <c r="T252" i="3"/>
  <c r="AW252" i="3"/>
  <c r="AX252" i="3"/>
  <c r="BB252" i="3"/>
  <c r="BC252" i="3"/>
  <c r="CH252" i="3"/>
  <c r="I253" i="3"/>
  <c r="L253" i="3"/>
  <c r="M253" i="3"/>
  <c r="T253" i="3"/>
  <c r="AW253" i="3"/>
  <c r="AX253" i="3"/>
  <c r="BB253" i="3"/>
  <c r="BC253" i="3"/>
  <c r="AT253" i="3" s="1"/>
  <c r="CH253" i="3"/>
  <c r="I254" i="3"/>
  <c r="L254" i="3"/>
  <c r="M254" i="3"/>
  <c r="T254" i="3"/>
  <c r="AW254" i="3"/>
  <c r="AX254" i="3"/>
  <c r="BB254" i="3"/>
  <c r="BC254" i="3"/>
  <c r="CH254" i="3"/>
  <c r="I255" i="3"/>
  <c r="L255" i="3"/>
  <c r="M255" i="3"/>
  <c r="T255" i="3"/>
  <c r="AW255" i="3"/>
  <c r="AX255" i="3"/>
  <c r="BB255" i="3"/>
  <c r="BC255" i="3"/>
  <c r="CH255" i="3"/>
  <c r="I256" i="3"/>
  <c r="L256" i="3"/>
  <c r="M256" i="3"/>
  <c r="T256" i="3"/>
  <c r="AW256" i="3"/>
  <c r="AX256" i="3"/>
  <c r="BB256" i="3"/>
  <c r="BC256" i="3"/>
  <c r="CH256" i="3"/>
  <c r="I257" i="3"/>
  <c r="L257" i="3"/>
  <c r="M257" i="3"/>
  <c r="T257" i="3"/>
  <c r="AW257" i="3"/>
  <c r="AX257" i="3"/>
  <c r="BB257" i="3"/>
  <c r="BC257" i="3"/>
  <c r="CH257" i="3"/>
  <c r="I258" i="3"/>
  <c r="L258" i="3"/>
  <c r="M258" i="3"/>
  <c r="T258" i="3"/>
  <c r="AW258" i="3"/>
  <c r="AX258" i="3"/>
  <c r="BB258" i="3"/>
  <c r="BC258" i="3"/>
  <c r="CH258" i="3"/>
  <c r="I259" i="3"/>
  <c r="L259" i="3"/>
  <c r="M259" i="3"/>
  <c r="T259" i="3"/>
  <c r="AW259" i="3"/>
  <c r="AX259" i="3"/>
  <c r="BB259" i="3"/>
  <c r="BC259" i="3"/>
  <c r="CH259" i="3"/>
  <c r="I260" i="3"/>
  <c r="L260" i="3"/>
  <c r="M260" i="3"/>
  <c r="T260" i="3"/>
  <c r="AW260" i="3"/>
  <c r="AX260" i="3"/>
  <c r="BB260" i="3"/>
  <c r="BC260" i="3"/>
  <c r="CH260" i="3"/>
  <c r="I261" i="3"/>
  <c r="L261" i="3"/>
  <c r="M261" i="3"/>
  <c r="T261" i="3"/>
  <c r="AW261" i="3"/>
  <c r="AX261" i="3"/>
  <c r="BB261" i="3"/>
  <c r="BC261" i="3"/>
  <c r="CH261" i="3"/>
  <c r="I262" i="3"/>
  <c r="L262" i="3"/>
  <c r="M262" i="3"/>
  <c r="T262" i="3"/>
  <c r="AW262" i="3"/>
  <c r="AX262" i="3"/>
  <c r="BB262" i="3"/>
  <c r="BC262" i="3"/>
  <c r="CH262" i="3"/>
  <c r="I263" i="3"/>
  <c r="L263" i="3"/>
  <c r="M263" i="3"/>
  <c r="T263" i="3"/>
  <c r="AW263" i="3"/>
  <c r="AX263" i="3"/>
  <c r="BB263" i="3"/>
  <c r="BC263" i="3"/>
  <c r="CH263" i="3"/>
  <c r="I264" i="3"/>
  <c r="L264" i="3"/>
  <c r="M264" i="3"/>
  <c r="T264" i="3"/>
  <c r="AW264" i="3"/>
  <c r="AX264" i="3"/>
  <c r="BB264" i="3"/>
  <c r="BC264" i="3"/>
  <c r="CH264" i="3"/>
  <c r="I265" i="3"/>
  <c r="L265" i="3"/>
  <c r="M265" i="3"/>
  <c r="T265" i="3"/>
  <c r="AW265" i="3"/>
  <c r="AX265" i="3"/>
  <c r="BB265" i="3"/>
  <c r="BC265" i="3"/>
  <c r="AV265" i="3" s="1"/>
  <c r="CH265" i="3"/>
  <c r="I266" i="3"/>
  <c r="L266" i="3"/>
  <c r="M266" i="3"/>
  <c r="T266" i="3"/>
  <c r="AW266" i="3"/>
  <c r="AX266" i="3"/>
  <c r="BB266" i="3"/>
  <c r="BC266" i="3"/>
  <c r="AV266" i="3" s="1"/>
  <c r="CH266" i="3"/>
  <c r="I267" i="3"/>
  <c r="L267" i="3"/>
  <c r="M267" i="3"/>
  <c r="T267" i="3"/>
  <c r="AW267" i="3"/>
  <c r="AX267" i="3"/>
  <c r="BB267" i="3"/>
  <c r="BC267" i="3"/>
  <c r="CH267" i="3"/>
  <c r="I268" i="3"/>
  <c r="L268" i="3"/>
  <c r="M268" i="3"/>
  <c r="T268" i="3"/>
  <c r="AW268" i="3"/>
  <c r="AX268" i="3"/>
  <c r="BB268" i="3"/>
  <c r="BC268" i="3"/>
  <c r="CH268" i="3"/>
  <c r="I269" i="3"/>
  <c r="L269" i="3"/>
  <c r="M269" i="3"/>
  <c r="T269" i="3"/>
  <c r="AW269" i="3"/>
  <c r="AX269" i="3"/>
  <c r="BB269" i="3"/>
  <c r="BC269" i="3"/>
  <c r="CH269" i="3"/>
  <c r="I270" i="3"/>
  <c r="L270" i="3"/>
  <c r="M270" i="3"/>
  <c r="T270" i="3"/>
  <c r="AW270" i="3"/>
  <c r="AX270" i="3"/>
  <c r="BB270" i="3"/>
  <c r="BC270" i="3"/>
  <c r="CH270" i="3"/>
  <c r="I271" i="3"/>
  <c r="L271" i="3"/>
  <c r="M271" i="3"/>
  <c r="T271" i="3"/>
  <c r="AW271" i="3"/>
  <c r="AX271" i="3"/>
  <c r="BB271" i="3"/>
  <c r="BC271" i="3"/>
  <c r="AV271" i="3" s="1"/>
  <c r="CH271" i="3"/>
  <c r="I272" i="3"/>
  <c r="L272" i="3"/>
  <c r="M272" i="3"/>
  <c r="T272" i="3"/>
  <c r="AW272" i="3"/>
  <c r="AX272" i="3"/>
  <c r="BB272" i="3"/>
  <c r="BC272" i="3"/>
  <c r="AV272" i="3" s="1"/>
  <c r="CH272" i="3"/>
  <c r="I273" i="3"/>
  <c r="L273" i="3"/>
  <c r="M273" i="3"/>
  <c r="T273" i="3"/>
  <c r="AW273" i="3"/>
  <c r="AX273" i="3"/>
  <c r="BB273" i="3"/>
  <c r="BC273" i="3"/>
  <c r="CH273" i="3"/>
  <c r="I274" i="3"/>
  <c r="L274" i="3"/>
  <c r="M274" i="3"/>
  <c r="T274" i="3"/>
  <c r="AW274" i="3"/>
  <c r="AX274" i="3"/>
  <c r="BB274" i="3"/>
  <c r="BC274" i="3"/>
  <c r="AT274" i="3" s="1"/>
  <c r="CH274" i="3"/>
  <c r="I275" i="3"/>
  <c r="L275" i="3"/>
  <c r="M275" i="3"/>
  <c r="T275" i="3"/>
  <c r="AW275" i="3"/>
  <c r="AX275" i="3"/>
  <c r="BB275" i="3"/>
  <c r="BC275" i="3"/>
  <c r="AV275" i="3" s="1"/>
  <c r="CH275" i="3"/>
  <c r="I276" i="3"/>
  <c r="L276" i="3"/>
  <c r="M276" i="3"/>
  <c r="T276" i="3"/>
  <c r="AW276" i="3"/>
  <c r="AX276" i="3"/>
  <c r="BB276" i="3"/>
  <c r="BC276" i="3"/>
  <c r="CH276" i="3"/>
  <c r="I277" i="3"/>
  <c r="L277" i="3"/>
  <c r="M277" i="3"/>
  <c r="T277" i="3"/>
  <c r="AW277" i="3"/>
  <c r="AX277" i="3"/>
  <c r="BB277" i="3"/>
  <c r="BC277" i="3"/>
  <c r="AV277" i="3" s="1"/>
  <c r="CH277" i="3"/>
  <c r="I278" i="3"/>
  <c r="L278" i="3"/>
  <c r="M278" i="3"/>
  <c r="T278" i="3"/>
  <c r="AW278" i="3"/>
  <c r="AX278" i="3"/>
  <c r="BB278" i="3"/>
  <c r="BC278" i="3"/>
  <c r="CH278" i="3"/>
  <c r="I279" i="3"/>
  <c r="L279" i="3"/>
  <c r="M279" i="3"/>
  <c r="T279" i="3"/>
  <c r="AW279" i="3"/>
  <c r="AX279" i="3"/>
  <c r="BB279" i="3"/>
  <c r="BC279" i="3"/>
  <c r="CH279" i="3"/>
  <c r="I280" i="3"/>
  <c r="L280" i="3"/>
  <c r="M280" i="3"/>
  <c r="T280" i="3"/>
  <c r="AW280" i="3"/>
  <c r="AX280" i="3"/>
  <c r="BB280" i="3"/>
  <c r="BC280" i="3"/>
  <c r="CH280" i="3"/>
  <c r="I281" i="3"/>
  <c r="L281" i="3"/>
  <c r="M281" i="3"/>
  <c r="T281" i="3"/>
  <c r="AW281" i="3"/>
  <c r="AX281" i="3"/>
  <c r="BB281" i="3"/>
  <c r="BC281" i="3"/>
  <c r="AV281" i="3" s="1"/>
  <c r="CH281" i="3"/>
  <c r="I282" i="3"/>
  <c r="L282" i="3"/>
  <c r="M282" i="3"/>
  <c r="T282" i="3"/>
  <c r="AW282" i="3"/>
  <c r="AX282" i="3"/>
  <c r="BB282" i="3"/>
  <c r="BC282" i="3"/>
  <c r="CH282" i="3"/>
  <c r="I283" i="3"/>
  <c r="L283" i="3"/>
  <c r="M283" i="3"/>
  <c r="T283" i="3"/>
  <c r="AW283" i="3"/>
  <c r="AX283" i="3"/>
  <c r="BB283" i="3"/>
  <c r="BC283" i="3"/>
  <c r="AT283" i="3" s="1"/>
  <c r="CH283" i="3"/>
  <c r="I284" i="3"/>
  <c r="L284" i="3"/>
  <c r="M284" i="3"/>
  <c r="T284" i="3"/>
  <c r="AW284" i="3"/>
  <c r="AX284" i="3"/>
  <c r="BB284" i="3"/>
  <c r="BC284" i="3"/>
  <c r="AV284" i="3" s="1"/>
  <c r="CH284" i="3"/>
  <c r="I285" i="3"/>
  <c r="L285" i="3"/>
  <c r="M285" i="3"/>
  <c r="T285" i="3"/>
  <c r="AW285" i="3"/>
  <c r="AX285" i="3"/>
  <c r="BB285" i="3"/>
  <c r="BC285" i="3"/>
  <c r="CH285" i="3"/>
  <c r="I286" i="3"/>
  <c r="L286" i="3"/>
  <c r="M286" i="3"/>
  <c r="T286" i="3"/>
  <c r="AW286" i="3"/>
  <c r="AX286" i="3"/>
  <c r="BB286" i="3"/>
  <c r="BC286" i="3"/>
  <c r="CH286" i="3"/>
  <c r="I287" i="3"/>
  <c r="L287" i="3"/>
  <c r="M287" i="3"/>
  <c r="T287" i="3"/>
  <c r="AW287" i="3"/>
  <c r="AX287" i="3"/>
  <c r="BB287" i="3"/>
  <c r="BC287" i="3"/>
  <c r="AV287" i="3" s="1"/>
  <c r="CH287" i="3"/>
  <c r="I288" i="3"/>
  <c r="L288" i="3"/>
  <c r="M288" i="3"/>
  <c r="T288" i="3"/>
  <c r="AW288" i="3"/>
  <c r="AX288" i="3"/>
  <c r="BB288" i="3"/>
  <c r="BC288" i="3"/>
  <c r="CH288" i="3"/>
  <c r="I289" i="3"/>
  <c r="L289" i="3"/>
  <c r="M289" i="3"/>
  <c r="T289" i="3"/>
  <c r="AW289" i="3"/>
  <c r="AX289" i="3"/>
  <c r="BB289" i="3"/>
  <c r="BC289" i="3"/>
  <c r="AV289" i="3" s="1"/>
  <c r="CH289" i="3"/>
  <c r="I290" i="3"/>
  <c r="L290" i="3"/>
  <c r="M290" i="3"/>
  <c r="T290" i="3"/>
  <c r="AW290" i="3"/>
  <c r="AX290" i="3"/>
  <c r="BB290" i="3"/>
  <c r="BC290" i="3"/>
  <c r="CH290" i="3"/>
  <c r="I291" i="3"/>
  <c r="L291" i="3"/>
  <c r="M291" i="3"/>
  <c r="T291" i="3"/>
  <c r="AW291" i="3"/>
  <c r="AX291" i="3"/>
  <c r="BB291" i="3"/>
  <c r="BC291" i="3"/>
  <c r="CH291" i="3"/>
  <c r="I292" i="3"/>
  <c r="L292" i="3"/>
  <c r="M292" i="3"/>
  <c r="T292" i="3"/>
  <c r="AW292" i="3"/>
  <c r="AX292" i="3"/>
  <c r="BB292" i="3"/>
  <c r="BC292" i="3"/>
  <c r="AV292" i="3" s="1"/>
  <c r="CH292" i="3"/>
  <c r="I293" i="3"/>
  <c r="L293" i="3"/>
  <c r="M293" i="3"/>
  <c r="T293" i="3"/>
  <c r="AW293" i="3"/>
  <c r="AX293" i="3"/>
  <c r="BB293" i="3"/>
  <c r="BC293" i="3"/>
  <c r="CH293" i="3"/>
  <c r="I294" i="3"/>
  <c r="L294" i="3"/>
  <c r="M294" i="3"/>
  <c r="T294" i="3"/>
  <c r="AW294" i="3"/>
  <c r="AX294" i="3"/>
  <c r="BB294" i="3"/>
  <c r="BC294" i="3"/>
  <c r="CH294" i="3"/>
  <c r="I295" i="3"/>
  <c r="L295" i="3"/>
  <c r="M295" i="3"/>
  <c r="T295" i="3"/>
  <c r="AW295" i="3"/>
  <c r="AX295" i="3"/>
  <c r="BB295" i="3"/>
  <c r="BC295" i="3"/>
  <c r="CH295" i="3"/>
  <c r="I296" i="3"/>
  <c r="L296" i="3"/>
  <c r="M296" i="3"/>
  <c r="T296" i="3"/>
  <c r="AW296" i="3"/>
  <c r="AX296" i="3"/>
  <c r="BB296" i="3"/>
  <c r="BC296" i="3"/>
  <c r="AV296" i="3" s="1"/>
  <c r="CH296" i="3"/>
  <c r="I297" i="3"/>
  <c r="L297" i="3"/>
  <c r="M297" i="3"/>
  <c r="T297" i="3"/>
  <c r="AW297" i="3"/>
  <c r="AX297" i="3"/>
  <c r="BB297" i="3"/>
  <c r="BC297" i="3"/>
  <c r="CH297" i="3"/>
  <c r="I298" i="3"/>
  <c r="L298" i="3"/>
  <c r="M298" i="3"/>
  <c r="T298" i="3"/>
  <c r="AW298" i="3"/>
  <c r="AX298" i="3"/>
  <c r="BB298" i="3"/>
  <c r="BC298" i="3"/>
  <c r="AV298" i="3" s="1"/>
  <c r="CH298" i="3"/>
  <c r="I299" i="3"/>
  <c r="L299" i="3"/>
  <c r="M299" i="3"/>
  <c r="T299" i="3"/>
  <c r="AW299" i="3"/>
  <c r="AX299" i="3"/>
  <c r="BB299" i="3"/>
  <c r="BC299" i="3"/>
  <c r="CH299" i="3"/>
  <c r="I300" i="3"/>
  <c r="L300" i="3"/>
  <c r="M300" i="3"/>
  <c r="T300" i="3"/>
  <c r="AW300" i="3"/>
  <c r="AX300" i="3"/>
  <c r="BB300" i="3"/>
  <c r="BC300" i="3"/>
  <c r="CH300" i="3"/>
  <c r="I301" i="3"/>
  <c r="L301" i="3"/>
  <c r="M301" i="3"/>
  <c r="T301" i="3"/>
  <c r="AW301" i="3"/>
  <c r="AX301" i="3"/>
  <c r="BB301" i="3"/>
  <c r="BC301" i="3"/>
  <c r="AV301" i="3" s="1"/>
  <c r="CH301" i="3"/>
  <c r="I302" i="3"/>
  <c r="L302" i="3"/>
  <c r="M302" i="3"/>
  <c r="T302" i="3"/>
  <c r="AW302" i="3"/>
  <c r="AX302" i="3"/>
  <c r="BB302" i="3"/>
  <c r="BC302" i="3"/>
  <c r="CH302" i="3"/>
  <c r="I303" i="3"/>
  <c r="L303" i="3"/>
  <c r="M303" i="3"/>
  <c r="T303" i="3"/>
  <c r="AW303" i="3"/>
  <c r="AX303" i="3"/>
  <c r="BB303" i="3"/>
  <c r="BC303" i="3"/>
  <c r="AT303" i="3" s="1"/>
  <c r="CH303" i="3"/>
  <c r="I304" i="3"/>
  <c r="L304" i="3"/>
  <c r="M304" i="3"/>
  <c r="T304" i="3"/>
  <c r="AW304" i="3"/>
  <c r="AX304" i="3"/>
  <c r="BB304" i="3"/>
  <c r="BC304" i="3"/>
  <c r="AV304" i="3" s="1"/>
  <c r="CH304" i="3"/>
  <c r="I305" i="3"/>
  <c r="L305" i="3"/>
  <c r="M305" i="3"/>
  <c r="T305" i="3"/>
  <c r="AW305" i="3"/>
  <c r="AX305" i="3"/>
  <c r="BB305" i="3"/>
  <c r="BC305" i="3"/>
  <c r="AV305" i="3" s="1"/>
  <c r="CH305" i="3"/>
  <c r="I306" i="3"/>
  <c r="L306" i="3"/>
  <c r="M306" i="3"/>
  <c r="T306" i="3"/>
  <c r="AW306" i="3"/>
  <c r="AX306" i="3"/>
  <c r="BB306" i="3"/>
  <c r="BC306" i="3"/>
  <c r="CH306" i="3"/>
  <c r="I307" i="3"/>
  <c r="L307" i="3"/>
  <c r="M307" i="3"/>
  <c r="T307" i="3"/>
  <c r="AW307" i="3"/>
  <c r="AX307" i="3"/>
  <c r="BB307" i="3"/>
  <c r="BC307" i="3"/>
  <c r="CH307" i="3"/>
  <c r="I308" i="3"/>
  <c r="L308" i="3"/>
  <c r="M308" i="3"/>
  <c r="T308" i="3"/>
  <c r="AW308" i="3"/>
  <c r="AX308" i="3"/>
  <c r="BB308" i="3"/>
  <c r="BC308" i="3"/>
  <c r="AV308" i="3" s="1"/>
  <c r="CH308" i="3"/>
  <c r="I309" i="3"/>
  <c r="L309" i="3"/>
  <c r="M309" i="3"/>
  <c r="T309" i="3"/>
  <c r="AW309" i="3"/>
  <c r="AX309" i="3"/>
  <c r="BB309" i="3"/>
  <c r="BC309" i="3"/>
  <c r="CH309" i="3"/>
  <c r="I310" i="3"/>
  <c r="L310" i="3"/>
  <c r="M310" i="3"/>
  <c r="T310" i="3"/>
  <c r="AW310" i="3"/>
  <c r="AX310" i="3"/>
  <c r="BB310" i="3"/>
  <c r="BC310" i="3"/>
  <c r="AV310" i="3" s="1"/>
  <c r="CH310" i="3"/>
  <c r="AU310" i="3" s="1"/>
  <c r="I311" i="3"/>
  <c r="L311" i="3"/>
  <c r="M311" i="3"/>
  <c r="T311" i="3"/>
  <c r="AW311" i="3"/>
  <c r="AX311" i="3"/>
  <c r="BB311" i="3"/>
  <c r="BC311" i="3"/>
  <c r="AV311" i="3" s="1"/>
  <c r="CH311" i="3"/>
  <c r="I312" i="3"/>
  <c r="L312" i="3"/>
  <c r="M312" i="3"/>
  <c r="T312" i="3"/>
  <c r="AW312" i="3"/>
  <c r="AX312" i="3"/>
  <c r="BB312" i="3"/>
  <c r="BC312" i="3"/>
  <c r="CH312" i="3"/>
  <c r="I313" i="3"/>
  <c r="L313" i="3"/>
  <c r="M313" i="3"/>
  <c r="T313" i="3"/>
  <c r="AW313" i="3"/>
  <c r="AX313" i="3"/>
  <c r="BB313" i="3"/>
  <c r="BC313" i="3"/>
  <c r="CH313" i="3"/>
  <c r="I314" i="3"/>
  <c r="L314" i="3"/>
  <c r="M314" i="3"/>
  <c r="T314" i="3"/>
  <c r="AW314" i="3"/>
  <c r="AX314" i="3"/>
  <c r="BB314" i="3"/>
  <c r="BC314" i="3"/>
  <c r="CH314" i="3"/>
  <c r="I315" i="3"/>
  <c r="L315" i="3"/>
  <c r="M315" i="3"/>
  <c r="T315" i="3"/>
  <c r="AW315" i="3"/>
  <c r="AX315" i="3"/>
  <c r="BB315" i="3"/>
  <c r="BC315" i="3"/>
  <c r="CH315" i="3"/>
  <c r="I316" i="3"/>
  <c r="L316" i="3"/>
  <c r="M316" i="3"/>
  <c r="T316" i="3"/>
  <c r="AW316" i="3"/>
  <c r="AX316" i="3"/>
  <c r="BB316" i="3"/>
  <c r="BC316" i="3"/>
  <c r="AV316" i="3" s="1"/>
  <c r="CH316" i="3"/>
  <c r="I317" i="3"/>
  <c r="L317" i="3"/>
  <c r="M317" i="3"/>
  <c r="T317" i="3"/>
  <c r="AW317" i="3"/>
  <c r="AX317" i="3"/>
  <c r="BB317" i="3"/>
  <c r="BC317" i="3"/>
  <c r="CH317" i="3"/>
  <c r="I318" i="3"/>
  <c r="L318" i="3"/>
  <c r="M318" i="3"/>
  <c r="T318" i="3"/>
  <c r="AW318" i="3"/>
  <c r="AX318" i="3"/>
  <c r="BB318" i="3"/>
  <c r="BC318" i="3"/>
  <c r="CH318" i="3"/>
  <c r="I319" i="3"/>
  <c r="L319" i="3"/>
  <c r="M319" i="3"/>
  <c r="T319" i="3"/>
  <c r="AW319" i="3"/>
  <c r="AX319" i="3"/>
  <c r="BB319" i="3"/>
  <c r="BC319" i="3"/>
  <c r="AV319" i="3" s="1"/>
  <c r="CH319" i="3"/>
  <c r="I320" i="3"/>
  <c r="L320" i="3"/>
  <c r="M320" i="3"/>
  <c r="T320" i="3"/>
  <c r="AW320" i="3"/>
  <c r="AX320" i="3"/>
  <c r="BB320" i="3"/>
  <c r="BC320" i="3"/>
  <c r="CH320" i="3"/>
  <c r="I321" i="3"/>
  <c r="L321" i="3"/>
  <c r="M321" i="3"/>
  <c r="T321" i="3"/>
  <c r="AW321" i="3"/>
  <c r="AX321" i="3"/>
  <c r="BB321" i="3"/>
  <c r="BC321" i="3"/>
  <c r="AV321" i="3" s="1"/>
  <c r="CH321" i="3"/>
  <c r="I322" i="3"/>
  <c r="L322" i="3"/>
  <c r="M322" i="3"/>
  <c r="T322" i="3"/>
  <c r="AW322" i="3"/>
  <c r="AX322" i="3"/>
  <c r="BB322" i="3"/>
  <c r="BC322" i="3"/>
  <c r="AV322" i="3" s="1"/>
  <c r="CH322" i="3"/>
  <c r="I323" i="3"/>
  <c r="L323" i="3"/>
  <c r="M323" i="3"/>
  <c r="T323" i="3"/>
  <c r="AW323" i="3"/>
  <c r="AX323" i="3"/>
  <c r="BB323" i="3"/>
  <c r="BC323" i="3"/>
  <c r="CH323" i="3"/>
  <c r="I324" i="3"/>
  <c r="L324" i="3"/>
  <c r="M324" i="3"/>
  <c r="T324" i="3"/>
  <c r="AW324" i="3"/>
  <c r="AX324" i="3"/>
  <c r="BB324" i="3"/>
  <c r="BC324" i="3"/>
  <c r="AV324" i="3" s="1"/>
  <c r="CH324" i="3"/>
  <c r="I325" i="3"/>
  <c r="L325" i="3"/>
  <c r="M325" i="3"/>
  <c r="T325" i="3"/>
  <c r="AW325" i="3"/>
  <c r="AX325" i="3"/>
  <c r="BB325" i="3"/>
  <c r="BC325" i="3"/>
  <c r="CH325" i="3"/>
  <c r="I326" i="3"/>
  <c r="L326" i="3"/>
  <c r="M326" i="3"/>
  <c r="T326" i="3"/>
  <c r="AW326" i="3"/>
  <c r="AX326" i="3"/>
  <c r="BB326" i="3"/>
  <c r="BC326" i="3"/>
  <c r="CH326" i="3"/>
  <c r="I327" i="3"/>
  <c r="L327" i="3"/>
  <c r="M327" i="3"/>
  <c r="T327" i="3"/>
  <c r="AW327" i="3"/>
  <c r="AX327" i="3"/>
  <c r="BB327" i="3"/>
  <c r="BC327" i="3"/>
  <c r="AV327" i="3" s="1"/>
  <c r="CH327" i="3"/>
  <c r="I328" i="3"/>
  <c r="L328" i="3"/>
  <c r="M328" i="3"/>
  <c r="T328" i="3"/>
  <c r="AW328" i="3"/>
  <c r="AX328" i="3"/>
  <c r="BB328" i="3"/>
  <c r="BC328" i="3"/>
  <c r="AV328" i="3" s="1"/>
  <c r="CH328" i="3"/>
  <c r="I329" i="3"/>
  <c r="L329" i="3"/>
  <c r="M329" i="3"/>
  <c r="T329" i="3"/>
  <c r="AW329" i="3"/>
  <c r="AX329" i="3"/>
  <c r="BB329" i="3"/>
  <c r="BC329" i="3"/>
  <c r="CH329" i="3"/>
  <c r="I330" i="3"/>
  <c r="L330" i="3"/>
  <c r="M330" i="3"/>
  <c r="T330" i="3"/>
  <c r="AW330" i="3"/>
  <c r="AX330" i="3"/>
  <c r="BB330" i="3"/>
  <c r="BC330" i="3"/>
  <c r="CH330" i="3"/>
  <c r="I331" i="3"/>
  <c r="L331" i="3"/>
  <c r="M331" i="3"/>
  <c r="T331" i="3"/>
  <c r="AW331" i="3"/>
  <c r="AX331" i="3"/>
  <c r="BB331" i="3"/>
  <c r="BC331" i="3"/>
  <c r="AV331" i="3" s="1"/>
  <c r="CH331" i="3"/>
  <c r="I332" i="3"/>
  <c r="L332" i="3"/>
  <c r="M332" i="3"/>
  <c r="T332" i="3"/>
  <c r="AW332" i="3"/>
  <c r="AX332" i="3"/>
  <c r="BB332" i="3"/>
  <c r="BC332" i="3"/>
  <c r="CH332" i="3"/>
  <c r="I333" i="3"/>
  <c r="L333" i="3"/>
  <c r="M333" i="3"/>
  <c r="T333" i="3"/>
  <c r="AW333" i="3"/>
  <c r="AX333" i="3"/>
  <c r="BB333" i="3"/>
  <c r="BC333" i="3"/>
  <c r="AV333" i="3" s="1"/>
  <c r="CH333" i="3"/>
  <c r="I334" i="3"/>
  <c r="L334" i="3"/>
  <c r="M334" i="3"/>
  <c r="T334" i="3"/>
  <c r="AW334" i="3"/>
  <c r="AX334" i="3"/>
  <c r="BB334" i="3"/>
  <c r="BC334" i="3"/>
  <c r="AV334" i="3" s="1"/>
  <c r="CH334" i="3"/>
  <c r="I335" i="3"/>
  <c r="L335" i="3"/>
  <c r="M335" i="3"/>
  <c r="T335" i="3"/>
  <c r="AW335" i="3"/>
  <c r="AX335" i="3"/>
  <c r="BB335" i="3"/>
  <c r="BC335" i="3"/>
  <c r="CH335" i="3"/>
  <c r="I336" i="3"/>
  <c r="L336" i="3"/>
  <c r="M336" i="3"/>
  <c r="T336" i="3"/>
  <c r="AW336" i="3"/>
  <c r="AX336" i="3"/>
  <c r="BB336" i="3"/>
  <c r="BC336" i="3"/>
  <c r="CH336" i="3"/>
  <c r="I337" i="3"/>
  <c r="L337" i="3"/>
  <c r="M337" i="3"/>
  <c r="T337" i="3"/>
  <c r="AW337" i="3"/>
  <c r="AX337" i="3"/>
  <c r="BB337" i="3"/>
  <c r="BC337" i="3"/>
  <c r="CH337" i="3"/>
  <c r="I338" i="3"/>
  <c r="L338" i="3"/>
  <c r="M338" i="3"/>
  <c r="T338" i="3"/>
  <c r="AW338" i="3"/>
  <c r="AX338" i="3"/>
  <c r="BB338" i="3"/>
  <c r="BC338" i="3"/>
  <c r="CH338" i="3"/>
  <c r="I339" i="3"/>
  <c r="L339" i="3"/>
  <c r="M339" i="3"/>
  <c r="T339" i="3"/>
  <c r="AW339" i="3"/>
  <c r="AX339" i="3"/>
  <c r="BC339" i="3"/>
  <c r="CH339" i="3"/>
  <c r="I340" i="3"/>
  <c r="L340" i="3"/>
  <c r="M340" i="3"/>
  <c r="T340" i="3"/>
  <c r="AW340" i="3"/>
  <c r="AX340" i="3"/>
  <c r="BB340" i="3"/>
  <c r="BC340" i="3"/>
  <c r="CH340" i="3"/>
  <c r="I341" i="3"/>
  <c r="L341" i="3"/>
  <c r="M341" i="3"/>
  <c r="T341" i="3"/>
  <c r="AW341" i="3"/>
  <c r="AX341" i="3"/>
  <c r="BB341" i="3"/>
  <c r="BC341" i="3"/>
  <c r="CH341" i="3"/>
  <c r="I342" i="3"/>
  <c r="L342" i="3"/>
  <c r="M342" i="3"/>
  <c r="T342" i="3"/>
  <c r="AW342" i="3"/>
  <c r="AX342" i="3"/>
  <c r="BB342" i="3"/>
  <c r="BC342" i="3"/>
  <c r="CH342" i="3"/>
  <c r="I343" i="3"/>
  <c r="L343" i="3"/>
  <c r="M343" i="3"/>
  <c r="T343" i="3"/>
  <c r="AW343" i="3"/>
  <c r="AX343" i="3"/>
  <c r="BB343" i="3"/>
  <c r="BC343" i="3"/>
  <c r="CH343" i="3"/>
  <c r="I344" i="3"/>
  <c r="L344" i="3"/>
  <c r="M344" i="3"/>
  <c r="T344" i="3"/>
  <c r="AW344" i="3"/>
  <c r="AX344" i="3"/>
  <c r="BB344" i="3"/>
  <c r="BC344" i="3"/>
  <c r="CH344" i="3"/>
  <c r="I345" i="3"/>
  <c r="L345" i="3"/>
  <c r="M345" i="3"/>
  <c r="T345" i="3"/>
  <c r="AW345" i="3"/>
  <c r="AX345" i="3"/>
  <c r="BB345" i="3"/>
  <c r="BC345" i="3"/>
  <c r="CH345" i="3"/>
  <c r="I346" i="3"/>
  <c r="L346" i="3"/>
  <c r="M346" i="3"/>
  <c r="T346" i="3"/>
  <c r="AW346" i="3"/>
  <c r="AX346" i="3"/>
  <c r="BB346" i="3"/>
  <c r="BC346" i="3"/>
  <c r="CH346" i="3"/>
  <c r="I347" i="3"/>
  <c r="L347" i="3"/>
  <c r="M347" i="3"/>
  <c r="T347" i="3"/>
  <c r="AW347" i="3"/>
  <c r="AX347" i="3"/>
  <c r="BB347" i="3"/>
  <c r="BC347" i="3"/>
  <c r="CH347" i="3"/>
  <c r="I348" i="3"/>
  <c r="L348" i="3"/>
  <c r="M348" i="3"/>
  <c r="T348" i="3"/>
  <c r="AW348" i="3"/>
  <c r="AX348" i="3"/>
  <c r="BB348" i="3"/>
  <c r="BC348" i="3"/>
  <c r="CH348" i="3"/>
  <c r="I349" i="3"/>
  <c r="L349" i="3"/>
  <c r="M349" i="3"/>
  <c r="T349" i="3"/>
  <c r="AW349" i="3"/>
  <c r="AX349" i="3"/>
  <c r="BB349" i="3"/>
  <c r="BC349" i="3"/>
  <c r="CH349" i="3"/>
  <c r="I350" i="3"/>
  <c r="L350" i="3"/>
  <c r="M350" i="3"/>
  <c r="T350" i="3"/>
  <c r="AW350" i="3"/>
  <c r="AX350" i="3"/>
  <c r="BB350" i="3"/>
  <c r="BC350" i="3"/>
  <c r="CH350" i="3"/>
  <c r="I351" i="3"/>
  <c r="L351" i="3"/>
  <c r="M351" i="3"/>
  <c r="T351" i="3"/>
  <c r="AW351" i="3"/>
  <c r="AX351" i="3"/>
  <c r="BB351" i="3"/>
  <c r="BC351" i="3"/>
  <c r="CH351" i="3"/>
  <c r="I352" i="3"/>
  <c r="L352" i="3"/>
  <c r="M352" i="3"/>
  <c r="T352" i="3"/>
  <c r="AW352" i="3"/>
  <c r="AX352" i="3"/>
  <c r="BB352" i="3"/>
  <c r="BC352" i="3"/>
  <c r="CH352" i="3"/>
  <c r="I353" i="3"/>
  <c r="L353" i="3"/>
  <c r="M353" i="3"/>
  <c r="T353" i="3"/>
  <c r="AW353" i="3"/>
  <c r="AX353" i="3"/>
  <c r="BB353" i="3"/>
  <c r="BC353" i="3"/>
  <c r="CH353" i="3"/>
  <c r="I354" i="3"/>
  <c r="L354" i="3"/>
  <c r="M354" i="3"/>
  <c r="T354" i="3"/>
  <c r="AW354" i="3"/>
  <c r="AX354" i="3"/>
  <c r="BB354" i="3"/>
  <c r="BC354" i="3"/>
  <c r="CH354" i="3"/>
  <c r="I355" i="3"/>
  <c r="L355" i="3"/>
  <c r="M355" i="3"/>
  <c r="T355" i="3"/>
  <c r="AW355" i="3"/>
  <c r="AX355" i="3"/>
  <c r="BB355" i="3"/>
  <c r="BC355" i="3"/>
  <c r="CH355" i="3"/>
  <c r="I356" i="3"/>
  <c r="L356" i="3"/>
  <c r="M356" i="3"/>
  <c r="T356" i="3"/>
  <c r="AW356" i="3"/>
  <c r="AX356" i="3"/>
  <c r="BB356" i="3"/>
  <c r="BC356" i="3"/>
  <c r="CH356" i="3"/>
  <c r="I357" i="3"/>
  <c r="L357" i="3"/>
  <c r="M357" i="3"/>
  <c r="T357" i="3"/>
  <c r="AW357" i="3"/>
  <c r="AX357" i="3"/>
  <c r="BB357" i="3"/>
  <c r="BC357" i="3"/>
  <c r="CH357" i="3"/>
  <c r="I358" i="3"/>
  <c r="L358" i="3"/>
  <c r="M358" i="3"/>
  <c r="T358" i="3"/>
  <c r="AW358" i="3"/>
  <c r="AX358" i="3"/>
  <c r="BB358" i="3"/>
  <c r="BC358" i="3"/>
  <c r="CH358" i="3"/>
  <c r="I359" i="3"/>
  <c r="L359" i="3"/>
  <c r="M359" i="3"/>
  <c r="T359" i="3"/>
  <c r="AW359" i="3"/>
  <c r="AX359" i="3"/>
  <c r="BB359" i="3"/>
  <c r="BC359" i="3"/>
  <c r="CH359" i="3"/>
  <c r="I360" i="3"/>
  <c r="L360" i="3"/>
  <c r="M360" i="3"/>
  <c r="T360" i="3"/>
  <c r="AW360" i="3"/>
  <c r="AX360" i="3"/>
  <c r="BB360" i="3"/>
  <c r="BC360" i="3"/>
  <c r="CH360" i="3"/>
  <c r="I361" i="3"/>
  <c r="L361" i="3"/>
  <c r="M361" i="3"/>
  <c r="T361" i="3"/>
  <c r="AW361" i="3"/>
  <c r="AX361" i="3"/>
  <c r="BB361" i="3"/>
  <c r="BC361" i="3"/>
  <c r="CH361" i="3"/>
  <c r="I362" i="3"/>
  <c r="L362" i="3"/>
  <c r="M362" i="3"/>
  <c r="T362" i="3"/>
  <c r="AW362" i="3"/>
  <c r="AX362" i="3"/>
  <c r="BB362" i="3"/>
  <c r="BC362" i="3"/>
  <c r="CH362" i="3"/>
  <c r="I363" i="3"/>
  <c r="L363" i="3"/>
  <c r="M363" i="3"/>
  <c r="T363" i="3"/>
  <c r="AW363" i="3"/>
  <c r="AX363" i="3"/>
  <c r="BB363" i="3"/>
  <c r="BC363" i="3"/>
  <c r="CH363" i="3"/>
  <c r="I364" i="3"/>
  <c r="L364" i="3"/>
  <c r="M364" i="3"/>
  <c r="T364" i="3"/>
  <c r="AW364" i="3"/>
  <c r="AX364" i="3"/>
  <c r="BB364" i="3"/>
  <c r="BC364" i="3"/>
  <c r="CH364" i="3"/>
  <c r="I365" i="3"/>
  <c r="L365" i="3"/>
  <c r="M365" i="3"/>
  <c r="T365" i="3"/>
  <c r="AW365" i="3"/>
  <c r="AX365" i="3"/>
  <c r="BB365" i="3"/>
  <c r="BC365" i="3"/>
  <c r="CH365" i="3"/>
  <c r="I366" i="3"/>
  <c r="L366" i="3"/>
  <c r="M366" i="3"/>
  <c r="T366" i="3"/>
  <c r="AW366" i="3"/>
  <c r="AX366" i="3"/>
  <c r="BB366" i="3"/>
  <c r="BC366" i="3"/>
  <c r="CH366" i="3"/>
  <c r="I367" i="3"/>
  <c r="L367" i="3"/>
  <c r="M367" i="3"/>
  <c r="T367" i="3"/>
  <c r="AW367" i="3"/>
  <c r="AX367" i="3"/>
  <c r="BB367" i="3"/>
  <c r="BC367" i="3"/>
  <c r="CH367" i="3"/>
  <c r="I368" i="3"/>
  <c r="L368" i="3"/>
  <c r="M368" i="3"/>
  <c r="T368" i="3"/>
  <c r="AW368" i="3"/>
  <c r="AX368" i="3"/>
  <c r="BB368" i="3"/>
  <c r="BC368" i="3"/>
  <c r="CH368" i="3"/>
  <c r="I369" i="3"/>
  <c r="L369" i="3"/>
  <c r="M369" i="3"/>
  <c r="T369" i="3"/>
  <c r="AW369" i="3"/>
  <c r="AX369" i="3"/>
  <c r="BB369" i="3"/>
  <c r="BC369" i="3"/>
  <c r="CH369" i="3"/>
  <c r="I370" i="3"/>
  <c r="L370" i="3"/>
  <c r="M370" i="3"/>
  <c r="T370" i="3"/>
  <c r="AW370" i="3"/>
  <c r="AX370" i="3"/>
  <c r="BB370" i="3"/>
  <c r="BC370" i="3"/>
  <c r="CH370" i="3"/>
  <c r="I371" i="3"/>
  <c r="L371" i="3"/>
  <c r="M371" i="3"/>
  <c r="T371" i="3"/>
  <c r="AW371" i="3"/>
  <c r="AX371" i="3"/>
  <c r="BB371" i="3"/>
  <c r="BC371" i="3"/>
  <c r="CH371" i="3"/>
  <c r="I372" i="3"/>
  <c r="L372" i="3"/>
  <c r="M372" i="3"/>
  <c r="T372" i="3"/>
  <c r="AW372" i="3"/>
  <c r="AX372" i="3"/>
  <c r="BB372" i="3"/>
  <c r="BC372" i="3"/>
  <c r="CH372" i="3"/>
  <c r="I373" i="3"/>
  <c r="L373" i="3"/>
  <c r="M373" i="3"/>
  <c r="T373" i="3"/>
  <c r="AW373" i="3"/>
  <c r="AX373" i="3"/>
  <c r="BB373" i="3"/>
  <c r="BC373" i="3"/>
  <c r="CH373" i="3"/>
  <c r="AU373" i="3" s="1"/>
  <c r="I374" i="3"/>
  <c r="L374" i="3"/>
  <c r="M374" i="3"/>
  <c r="T374" i="3"/>
  <c r="AW374" i="3"/>
  <c r="AX374" i="3"/>
  <c r="BB374" i="3"/>
  <c r="BC374" i="3"/>
  <c r="CH374" i="3"/>
  <c r="I375" i="3"/>
  <c r="L375" i="3"/>
  <c r="M375" i="3"/>
  <c r="T375" i="3"/>
  <c r="AW375" i="3"/>
  <c r="AX375" i="3"/>
  <c r="BC375" i="3"/>
  <c r="CH375" i="3"/>
  <c r="I376" i="3"/>
  <c r="L376" i="3"/>
  <c r="M376" i="3"/>
  <c r="T376" i="3"/>
  <c r="AW376" i="3"/>
  <c r="AX376" i="3"/>
  <c r="BB376" i="3"/>
  <c r="BC376" i="3"/>
  <c r="CH376" i="3"/>
  <c r="I377" i="3"/>
  <c r="L377" i="3"/>
  <c r="M377" i="3"/>
  <c r="T377" i="3"/>
  <c r="AW377" i="3"/>
  <c r="AX377" i="3"/>
  <c r="BB377" i="3"/>
  <c r="BC377" i="3"/>
  <c r="CH377" i="3"/>
  <c r="I378" i="3"/>
  <c r="L378" i="3"/>
  <c r="M378" i="3"/>
  <c r="T378" i="3"/>
  <c r="AW378" i="3"/>
  <c r="AX378" i="3"/>
  <c r="BB378" i="3"/>
  <c r="BC378" i="3"/>
  <c r="CH378" i="3"/>
  <c r="I379" i="3"/>
  <c r="L379" i="3"/>
  <c r="M379" i="3"/>
  <c r="T379" i="3"/>
  <c r="AW379" i="3"/>
  <c r="AX379" i="3"/>
  <c r="BB379" i="3"/>
  <c r="BC379" i="3"/>
  <c r="AV379" i="3" s="1"/>
  <c r="CH379" i="3"/>
  <c r="I380" i="3"/>
  <c r="L380" i="3"/>
  <c r="M380" i="3"/>
  <c r="T380" i="3"/>
  <c r="AW380" i="3"/>
  <c r="AX380" i="3"/>
  <c r="BB380" i="3"/>
  <c r="BC380" i="3"/>
  <c r="CH380" i="3"/>
  <c r="I381" i="3"/>
  <c r="L381" i="3"/>
  <c r="M381" i="3"/>
  <c r="T381" i="3"/>
  <c r="AW381" i="3"/>
  <c r="AX381" i="3"/>
  <c r="BB381" i="3"/>
  <c r="BC381" i="3"/>
  <c r="CH381" i="3"/>
  <c r="I382" i="3"/>
  <c r="L382" i="3"/>
  <c r="M382" i="3"/>
  <c r="T382" i="3"/>
  <c r="AW382" i="3"/>
  <c r="AX382" i="3"/>
  <c r="BB382" i="3"/>
  <c r="BC382" i="3"/>
  <c r="AV382" i="3" s="1"/>
  <c r="CH382" i="3"/>
  <c r="I383" i="3"/>
  <c r="L383" i="3"/>
  <c r="M383" i="3"/>
  <c r="T383" i="3"/>
  <c r="AW383" i="3"/>
  <c r="AX383" i="3"/>
  <c r="BB383" i="3"/>
  <c r="BC383" i="3"/>
  <c r="AV383" i="3" s="1"/>
  <c r="CH383" i="3"/>
  <c r="I384" i="3"/>
  <c r="L384" i="3"/>
  <c r="M384" i="3"/>
  <c r="T384" i="3"/>
  <c r="AW384" i="3"/>
  <c r="AX384" i="3"/>
  <c r="BB384" i="3"/>
  <c r="BC384" i="3"/>
  <c r="CH384" i="3"/>
  <c r="I385" i="3"/>
  <c r="L385" i="3"/>
  <c r="M385" i="3"/>
  <c r="T385" i="3"/>
  <c r="AW385" i="3"/>
  <c r="AX385" i="3"/>
  <c r="BB385" i="3"/>
  <c r="BC385" i="3"/>
  <c r="AV385" i="3" s="1"/>
  <c r="CH385" i="3"/>
  <c r="I386" i="3"/>
  <c r="L386" i="3"/>
  <c r="M386" i="3"/>
  <c r="T386" i="3"/>
  <c r="AW386" i="3"/>
  <c r="AX386" i="3"/>
  <c r="BB386" i="3"/>
  <c r="BC386" i="3"/>
  <c r="AV386" i="3" s="1"/>
  <c r="CH386" i="3"/>
  <c r="I387" i="3"/>
  <c r="L387" i="3"/>
  <c r="M387" i="3"/>
  <c r="T387" i="3"/>
  <c r="AW387" i="3"/>
  <c r="AX387" i="3"/>
  <c r="BB387" i="3"/>
  <c r="BC387" i="3"/>
  <c r="CH387" i="3"/>
  <c r="I388" i="3"/>
  <c r="L388" i="3"/>
  <c r="M388" i="3"/>
  <c r="T388" i="3"/>
  <c r="AW388" i="3"/>
  <c r="AX388" i="3"/>
  <c r="BB388" i="3"/>
  <c r="BC388" i="3"/>
  <c r="CH388" i="3"/>
  <c r="I389" i="3"/>
  <c r="L389" i="3"/>
  <c r="M389" i="3"/>
  <c r="T389" i="3"/>
  <c r="AW389" i="3"/>
  <c r="AX389" i="3"/>
  <c r="BB389" i="3"/>
  <c r="BC389" i="3"/>
  <c r="CH389" i="3"/>
  <c r="I390" i="3"/>
  <c r="L390" i="3"/>
  <c r="M390" i="3"/>
  <c r="T390" i="3"/>
  <c r="AW390" i="3"/>
  <c r="AX390" i="3"/>
  <c r="BB390" i="3"/>
  <c r="BC390" i="3"/>
  <c r="AT390" i="3" s="1"/>
  <c r="CH390" i="3"/>
  <c r="I391" i="3"/>
  <c r="L391" i="3"/>
  <c r="M391" i="3"/>
  <c r="T391" i="3"/>
  <c r="AW391" i="3"/>
  <c r="AX391" i="3"/>
  <c r="BB391" i="3"/>
  <c r="BC391" i="3"/>
  <c r="AV391" i="3" s="1"/>
  <c r="CH391" i="3"/>
  <c r="I392" i="3"/>
  <c r="L392" i="3"/>
  <c r="M392" i="3"/>
  <c r="T392" i="3"/>
  <c r="AW392" i="3"/>
  <c r="AX392" i="3"/>
  <c r="BB392" i="3"/>
  <c r="BC392" i="3"/>
  <c r="AV392" i="3" s="1"/>
  <c r="CH392" i="3"/>
  <c r="I393" i="3"/>
  <c r="L393" i="3"/>
  <c r="M393" i="3"/>
  <c r="T393" i="3"/>
  <c r="AW393" i="3"/>
  <c r="AX393" i="3"/>
  <c r="BB393" i="3"/>
  <c r="BC393" i="3"/>
  <c r="AV393" i="3" s="1"/>
  <c r="CH393" i="3"/>
  <c r="I394" i="3"/>
  <c r="L394" i="3"/>
  <c r="M394" i="3"/>
  <c r="T394" i="3"/>
  <c r="AW394" i="3"/>
  <c r="AX394" i="3"/>
  <c r="BB394" i="3"/>
  <c r="BC394" i="3"/>
  <c r="AV394" i="3" s="1"/>
  <c r="CH394" i="3"/>
  <c r="I395" i="3"/>
  <c r="L395" i="3"/>
  <c r="M395" i="3"/>
  <c r="T395" i="3"/>
  <c r="AW395" i="3"/>
  <c r="AX395" i="3"/>
  <c r="BB395" i="3"/>
  <c r="BC395" i="3"/>
  <c r="AV395" i="3" s="1"/>
  <c r="CH395" i="3"/>
  <c r="I396" i="3"/>
  <c r="L396" i="3"/>
  <c r="M396" i="3"/>
  <c r="T396" i="3"/>
  <c r="AW396" i="3"/>
  <c r="AX396" i="3"/>
  <c r="BB396" i="3"/>
  <c r="BC396" i="3"/>
  <c r="AV396" i="3" s="1"/>
  <c r="CH396" i="3"/>
  <c r="I397" i="3"/>
  <c r="L397" i="3"/>
  <c r="M397" i="3"/>
  <c r="T397" i="3"/>
  <c r="AW397" i="3"/>
  <c r="AX397" i="3"/>
  <c r="BB397" i="3"/>
  <c r="BC397" i="3"/>
  <c r="CH397" i="3"/>
  <c r="I398" i="3"/>
  <c r="L398" i="3"/>
  <c r="M398" i="3"/>
  <c r="T398" i="3"/>
  <c r="AW398" i="3"/>
  <c r="AX398" i="3"/>
  <c r="BB398" i="3"/>
  <c r="BC398" i="3"/>
  <c r="CH398" i="3"/>
  <c r="I399" i="3"/>
  <c r="L399" i="3"/>
  <c r="M399" i="3"/>
  <c r="T399" i="3"/>
  <c r="AW399" i="3"/>
  <c r="AX399" i="3"/>
  <c r="BB399" i="3"/>
  <c r="BC399" i="3"/>
  <c r="CH399" i="3"/>
  <c r="I400" i="3"/>
  <c r="L400" i="3"/>
  <c r="M400" i="3"/>
  <c r="T400" i="3"/>
  <c r="AW400" i="3"/>
  <c r="AX400" i="3"/>
  <c r="BB400" i="3"/>
  <c r="BC400" i="3"/>
  <c r="CH400" i="3"/>
  <c r="I401" i="3"/>
  <c r="L401" i="3"/>
  <c r="M401" i="3"/>
  <c r="T401" i="3"/>
  <c r="AW401" i="3"/>
  <c r="AX401" i="3"/>
  <c r="BB401" i="3"/>
  <c r="BC401" i="3"/>
  <c r="AV401" i="3" s="1"/>
  <c r="CH401" i="3"/>
  <c r="I402" i="3"/>
  <c r="L402" i="3"/>
  <c r="M402" i="3"/>
  <c r="T402" i="3"/>
  <c r="AW402" i="3"/>
  <c r="AX402" i="3"/>
  <c r="BB402" i="3"/>
  <c r="BC402" i="3"/>
  <c r="AV402" i="3" s="1"/>
  <c r="CH402" i="3"/>
  <c r="I403" i="3"/>
  <c r="L403" i="3"/>
  <c r="M403" i="3"/>
  <c r="T403" i="3"/>
  <c r="AW403" i="3"/>
  <c r="AX403" i="3"/>
  <c r="BB403" i="3"/>
  <c r="BC403" i="3"/>
  <c r="AV403" i="3" s="1"/>
  <c r="CH403" i="3"/>
  <c r="I404" i="3"/>
  <c r="L404" i="3"/>
  <c r="M404" i="3"/>
  <c r="T404" i="3"/>
  <c r="AW404" i="3"/>
  <c r="AX404" i="3"/>
  <c r="BB404" i="3"/>
  <c r="BC404" i="3"/>
  <c r="CH404" i="3"/>
  <c r="I405" i="3"/>
  <c r="L405" i="3"/>
  <c r="M405" i="3"/>
  <c r="T405" i="3"/>
  <c r="AW405" i="3"/>
  <c r="AX405" i="3"/>
  <c r="BB405" i="3"/>
  <c r="BC405" i="3"/>
  <c r="CH405" i="3"/>
  <c r="I406" i="3"/>
  <c r="L406" i="3"/>
  <c r="M406" i="3"/>
  <c r="T406" i="3"/>
  <c r="AW406" i="3"/>
  <c r="AX406" i="3"/>
  <c r="BC406" i="3"/>
  <c r="AV406" i="3" s="1"/>
  <c r="CH406" i="3"/>
  <c r="I407" i="3"/>
  <c r="L407" i="3"/>
  <c r="M407" i="3"/>
  <c r="T407" i="3"/>
  <c r="AW407" i="3"/>
  <c r="AX407" i="3"/>
  <c r="BB407" i="3"/>
  <c r="BC407" i="3"/>
  <c r="AV407" i="3" s="1"/>
  <c r="CH407" i="3"/>
  <c r="I408" i="3"/>
  <c r="L408" i="3"/>
  <c r="M408" i="3"/>
  <c r="T408" i="3"/>
  <c r="AW408" i="3"/>
  <c r="AX408" i="3"/>
  <c r="BB408" i="3"/>
  <c r="BC408" i="3"/>
  <c r="AV408" i="3" s="1"/>
  <c r="CH408" i="3"/>
  <c r="I409" i="3"/>
  <c r="L409" i="3"/>
  <c r="M409" i="3"/>
  <c r="T409" i="3"/>
  <c r="AW409" i="3"/>
  <c r="AX409" i="3"/>
  <c r="BB409" i="3"/>
  <c r="BC409" i="3"/>
  <c r="AV409" i="3" s="1"/>
  <c r="CH409" i="3"/>
  <c r="I410" i="3"/>
  <c r="L410" i="3"/>
  <c r="M410" i="3"/>
  <c r="T410" i="3"/>
  <c r="AW410" i="3"/>
  <c r="AX410" i="3"/>
  <c r="BB410" i="3"/>
  <c r="BC410" i="3"/>
  <c r="AV410" i="3" s="1"/>
  <c r="CH410" i="3"/>
  <c r="I411" i="3"/>
  <c r="L411" i="3"/>
  <c r="M411" i="3"/>
  <c r="T411" i="3"/>
  <c r="AW411" i="3"/>
  <c r="AX411" i="3"/>
  <c r="BB411" i="3"/>
  <c r="BC411" i="3"/>
  <c r="CH411" i="3"/>
  <c r="I412" i="3"/>
  <c r="L412" i="3"/>
  <c r="M412" i="3"/>
  <c r="T412" i="3"/>
  <c r="AW412" i="3"/>
  <c r="AX412" i="3"/>
  <c r="BB412" i="3"/>
  <c r="BC412" i="3"/>
  <c r="CH412" i="3"/>
  <c r="I413" i="3"/>
  <c r="L413" i="3"/>
  <c r="M413" i="3"/>
  <c r="T413" i="3"/>
  <c r="AW413" i="3"/>
  <c r="AX413" i="3"/>
  <c r="BB413" i="3"/>
  <c r="BC413" i="3"/>
  <c r="AT413" i="3" s="1"/>
  <c r="CH413" i="3"/>
  <c r="I414" i="3"/>
  <c r="L414" i="3"/>
  <c r="M414" i="3"/>
  <c r="T414" i="3"/>
  <c r="AW414" i="3"/>
  <c r="AX414" i="3"/>
  <c r="BB414" i="3"/>
  <c r="BC414" i="3"/>
  <c r="CH414" i="3"/>
  <c r="I415" i="3"/>
  <c r="L415" i="3"/>
  <c r="M415" i="3"/>
  <c r="T415" i="3"/>
  <c r="AW415" i="3"/>
  <c r="AX415" i="3"/>
  <c r="BB415" i="3"/>
  <c r="BC415" i="3"/>
  <c r="CH415" i="3"/>
  <c r="I416" i="3"/>
  <c r="L416" i="3"/>
  <c r="M416" i="3"/>
  <c r="T416" i="3"/>
  <c r="AW416" i="3"/>
  <c r="AX416" i="3"/>
  <c r="BB416" i="3"/>
  <c r="BC416" i="3"/>
  <c r="CH416" i="3"/>
  <c r="I417" i="3"/>
  <c r="L417" i="3"/>
  <c r="M417" i="3"/>
  <c r="T417" i="3"/>
  <c r="AW417" i="3"/>
  <c r="AX417" i="3"/>
  <c r="BB417" i="3"/>
  <c r="BC417" i="3"/>
  <c r="CH417" i="3"/>
  <c r="I418" i="3"/>
  <c r="L418" i="3"/>
  <c r="M418" i="3"/>
  <c r="T418" i="3"/>
  <c r="AW418" i="3"/>
  <c r="AX418" i="3"/>
  <c r="BB418" i="3"/>
  <c r="BC418" i="3"/>
  <c r="CH418" i="3"/>
  <c r="I419" i="3"/>
  <c r="L419" i="3"/>
  <c r="M419" i="3"/>
  <c r="T419" i="3"/>
  <c r="AW419" i="3"/>
  <c r="AX419" i="3"/>
  <c r="BB419" i="3"/>
  <c r="BC419" i="3"/>
  <c r="CH419" i="3"/>
  <c r="I420" i="3"/>
  <c r="L420" i="3"/>
  <c r="M420" i="3"/>
  <c r="T420" i="3"/>
  <c r="AW420" i="3"/>
  <c r="AX420" i="3"/>
  <c r="BB420" i="3"/>
  <c r="BC420" i="3"/>
  <c r="CH420" i="3"/>
  <c r="I421" i="3"/>
  <c r="L421" i="3"/>
  <c r="M421" i="3"/>
  <c r="T421" i="3"/>
  <c r="AW421" i="3"/>
  <c r="AX421" i="3"/>
  <c r="BB421" i="3"/>
  <c r="BC421" i="3"/>
  <c r="CH421" i="3"/>
  <c r="I422" i="3"/>
  <c r="L422" i="3"/>
  <c r="M422" i="3"/>
  <c r="T422" i="3"/>
  <c r="AW422" i="3"/>
  <c r="AX422" i="3"/>
  <c r="BB422" i="3"/>
  <c r="BC422" i="3"/>
  <c r="CH422" i="3"/>
  <c r="I423" i="3"/>
  <c r="L423" i="3"/>
  <c r="M423" i="3"/>
  <c r="T423" i="3"/>
  <c r="AW423" i="3"/>
  <c r="AX423" i="3"/>
  <c r="BB423" i="3"/>
  <c r="BC423" i="3"/>
  <c r="CH423" i="3"/>
  <c r="I424" i="3"/>
  <c r="L424" i="3"/>
  <c r="M424" i="3"/>
  <c r="T424" i="3"/>
  <c r="AW424" i="3"/>
  <c r="AX424" i="3"/>
  <c r="BB424" i="3"/>
  <c r="BC424" i="3"/>
  <c r="CH424" i="3"/>
  <c r="I425" i="3"/>
  <c r="L425" i="3"/>
  <c r="M425" i="3"/>
  <c r="T425" i="3"/>
  <c r="AW425" i="3"/>
  <c r="AX425" i="3"/>
  <c r="BB425" i="3"/>
  <c r="BC425" i="3"/>
  <c r="AV425" i="3" s="1"/>
  <c r="CH425" i="3"/>
  <c r="I426" i="3"/>
  <c r="L426" i="3"/>
  <c r="M426" i="3"/>
  <c r="T426" i="3"/>
  <c r="AW426" i="3"/>
  <c r="AX426" i="3"/>
  <c r="BB426" i="3"/>
  <c r="BC426" i="3"/>
  <c r="AV426" i="3" s="1"/>
  <c r="CH426" i="3"/>
  <c r="I427" i="3"/>
  <c r="L427" i="3"/>
  <c r="M427" i="3"/>
  <c r="T427" i="3"/>
  <c r="AW427" i="3"/>
  <c r="AX427" i="3"/>
  <c r="BB427" i="3"/>
  <c r="BC427" i="3"/>
  <c r="AT427" i="3" s="1"/>
  <c r="CH427" i="3"/>
  <c r="I428" i="3"/>
  <c r="L428" i="3"/>
  <c r="M428" i="3"/>
  <c r="T428" i="3"/>
  <c r="AW428" i="3"/>
  <c r="AX428" i="3"/>
  <c r="BB428" i="3"/>
  <c r="BC428" i="3"/>
  <c r="CH428" i="3"/>
  <c r="I429" i="3"/>
  <c r="L429" i="3"/>
  <c r="M429" i="3"/>
  <c r="T429" i="3"/>
  <c r="AW429" i="3"/>
  <c r="AX429" i="3"/>
  <c r="BB429" i="3"/>
  <c r="BC429" i="3"/>
  <c r="CH429" i="3"/>
  <c r="I430" i="3"/>
  <c r="L430" i="3"/>
  <c r="M430" i="3"/>
  <c r="T430" i="3"/>
  <c r="AW430" i="3"/>
  <c r="AX430" i="3"/>
  <c r="BB430" i="3"/>
  <c r="BC430" i="3"/>
  <c r="CH430" i="3"/>
  <c r="I431" i="3"/>
  <c r="L431" i="3"/>
  <c r="M431" i="3"/>
  <c r="T431" i="3"/>
  <c r="AW431" i="3"/>
  <c r="AX431" i="3"/>
  <c r="BB431" i="3"/>
  <c r="BC431" i="3"/>
  <c r="CH431" i="3"/>
  <c r="I432" i="3"/>
  <c r="L432" i="3"/>
  <c r="M432" i="3"/>
  <c r="T432" i="3"/>
  <c r="AW432" i="3"/>
  <c r="AX432" i="3"/>
  <c r="BB432" i="3"/>
  <c r="BC432" i="3"/>
  <c r="CH432" i="3"/>
  <c r="I433" i="3"/>
  <c r="L433" i="3"/>
  <c r="M433" i="3"/>
  <c r="T433" i="3"/>
  <c r="AW433" i="3"/>
  <c r="AX433" i="3"/>
  <c r="BB433" i="3"/>
  <c r="BC433" i="3"/>
  <c r="CH433" i="3"/>
  <c r="I434" i="3"/>
  <c r="L434" i="3"/>
  <c r="M434" i="3"/>
  <c r="T434" i="3"/>
  <c r="AW434" i="3"/>
  <c r="AX434" i="3"/>
  <c r="BB434" i="3"/>
  <c r="BC434" i="3"/>
  <c r="CH434" i="3"/>
  <c r="I435" i="3"/>
  <c r="L435" i="3"/>
  <c r="M435" i="3"/>
  <c r="T435" i="3"/>
  <c r="AW435" i="3"/>
  <c r="AX435" i="3"/>
  <c r="BB435" i="3"/>
  <c r="BC435" i="3"/>
  <c r="CH435" i="3"/>
  <c r="I436" i="3"/>
  <c r="L436" i="3"/>
  <c r="M436" i="3"/>
  <c r="T436" i="3"/>
  <c r="AW436" i="3"/>
  <c r="AX436" i="3"/>
  <c r="BB436" i="3"/>
  <c r="BC436" i="3"/>
  <c r="CH436" i="3"/>
  <c r="I437" i="3"/>
  <c r="L437" i="3"/>
  <c r="M437" i="3"/>
  <c r="T437" i="3"/>
  <c r="AW437" i="3"/>
  <c r="AX437" i="3"/>
  <c r="BB437" i="3"/>
  <c r="BC437" i="3"/>
  <c r="CH437" i="3"/>
  <c r="I438" i="3"/>
  <c r="L438" i="3"/>
  <c r="M438" i="3"/>
  <c r="T438" i="3"/>
  <c r="AW438" i="3"/>
  <c r="AX438" i="3"/>
  <c r="BB438" i="3"/>
  <c r="BC438" i="3"/>
  <c r="AV438" i="3" s="1"/>
  <c r="CH438" i="3"/>
  <c r="I439" i="3"/>
  <c r="L439" i="3"/>
  <c r="M439" i="3"/>
  <c r="T439" i="3"/>
  <c r="AW439" i="3"/>
  <c r="AX439" i="3"/>
  <c r="BB439" i="3"/>
  <c r="BC439" i="3"/>
  <c r="CH439" i="3"/>
  <c r="I440" i="3"/>
  <c r="L440" i="3"/>
  <c r="M440" i="3"/>
  <c r="T440" i="3"/>
  <c r="AW440" i="3"/>
  <c r="AX440" i="3"/>
  <c r="BB440" i="3"/>
  <c r="BC440" i="3"/>
  <c r="CH440" i="3"/>
  <c r="I441" i="3"/>
  <c r="L441" i="3"/>
  <c r="M441" i="3"/>
  <c r="T441" i="3"/>
  <c r="AW441" i="3"/>
  <c r="AX441" i="3"/>
  <c r="BB441" i="3"/>
  <c r="BC441" i="3"/>
  <c r="CH441" i="3"/>
  <c r="I442" i="3"/>
  <c r="L442" i="3"/>
  <c r="M442" i="3"/>
  <c r="T442" i="3"/>
  <c r="AW442" i="3"/>
  <c r="AX442" i="3"/>
  <c r="BB442" i="3"/>
  <c r="BC442" i="3"/>
  <c r="CH442" i="3"/>
  <c r="I443" i="3"/>
  <c r="L443" i="3"/>
  <c r="M443" i="3"/>
  <c r="T443" i="3"/>
  <c r="AW443" i="3"/>
  <c r="AX443" i="3"/>
  <c r="BB443" i="3"/>
  <c r="BC443" i="3"/>
  <c r="CH443" i="3"/>
  <c r="I444" i="3"/>
  <c r="L444" i="3"/>
  <c r="M444" i="3"/>
  <c r="T444" i="3"/>
  <c r="AW444" i="3"/>
  <c r="AX444" i="3"/>
  <c r="BB444" i="3"/>
  <c r="BC444" i="3"/>
  <c r="CH444" i="3"/>
  <c r="I445" i="3"/>
  <c r="L445" i="3"/>
  <c r="M445" i="3"/>
  <c r="T445" i="3"/>
  <c r="AW445" i="3"/>
  <c r="AX445" i="3"/>
  <c r="BB445" i="3"/>
  <c r="BC445" i="3"/>
  <c r="CH445" i="3"/>
  <c r="I446" i="3"/>
  <c r="L446" i="3"/>
  <c r="M446" i="3"/>
  <c r="T446" i="3"/>
  <c r="AW446" i="3"/>
  <c r="AX446" i="3"/>
  <c r="BB446" i="3"/>
  <c r="BC446" i="3"/>
  <c r="CH446" i="3"/>
  <c r="I447" i="3"/>
  <c r="L447" i="3"/>
  <c r="M447" i="3"/>
  <c r="T447" i="3"/>
  <c r="AW447" i="3"/>
  <c r="AX447" i="3"/>
  <c r="BB447" i="3"/>
  <c r="BC447" i="3"/>
  <c r="CH447" i="3"/>
  <c r="I448" i="3"/>
  <c r="L448" i="3"/>
  <c r="M448" i="3"/>
  <c r="T448" i="3"/>
  <c r="AW448" i="3"/>
  <c r="AX448" i="3"/>
  <c r="BB448" i="3"/>
  <c r="BC448" i="3"/>
  <c r="AV448" i="3" s="1"/>
  <c r="CH448" i="3"/>
  <c r="I449" i="3"/>
  <c r="L449" i="3"/>
  <c r="M449" i="3"/>
  <c r="T449" i="3"/>
  <c r="AW449" i="3"/>
  <c r="AX449" i="3"/>
  <c r="BB449" i="3"/>
  <c r="BC449" i="3"/>
  <c r="AT449" i="3" s="1"/>
  <c r="CH449" i="3"/>
  <c r="I450" i="3"/>
  <c r="L450" i="3"/>
  <c r="M450" i="3"/>
  <c r="T450" i="3"/>
  <c r="AW450" i="3"/>
  <c r="AX450" i="3"/>
  <c r="BB450" i="3"/>
  <c r="BC450" i="3"/>
  <c r="CH450" i="3"/>
  <c r="I451" i="3"/>
  <c r="L451" i="3"/>
  <c r="M451" i="3"/>
  <c r="T451" i="3"/>
  <c r="AV451" i="3"/>
  <c r="AW451" i="3"/>
  <c r="AX451" i="3"/>
  <c r="BB451" i="3"/>
  <c r="BC451" i="3"/>
  <c r="CH451" i="3"/>
  <c r="AT451" i="3" s="1"/>
  <c r="I452" i="3"/>
  <c r="L452" i="3"/>
  <c r="M452" i="3"/>
  <c r="T452" i="3"/>
  <c r="AW452" i="3"/>
  <c r="AX452" i="3"/>
  <c r="BB452" i="3"/>
  <c r="BC452" i="3"/>
  <c r="CH452" i="3"/>
  <c r="I453" i="3"/>
  <c r="L453" i="3"/>
  <c r="M453" i="3"/>
  <c r="T453" i="3"/>
  <c r="AW453" i="3"/>
  <c r="AX453" i="3"/>
  <c r="BB453" i="3"/>
  <c r="BC453" i="3"/>
  <c r="CH453" i="3"/>
  <c r="I454" i="3"/>
  <c r="L454" i="3"/>
  <c r="M454" i="3"/>
  <c r="T454" i="3"/>
  <c r="AW454" i="3"/>
  <c r="AX454" i="3"/>
  <c r="BB454" i="3"/>
  <c r="BC454" i="3"/>
  <c r="CH454" i="3"/>
  <c r="I455" i="3"/>
  <c r="L455" i="3"/>
  <c r="M455" i="3"/>
  <c r="T455" i="3"/>
  <c r="AW455" i="3"/>
  <c r="AX455" i="3"/>
  <c r="BB455" i="3"/>
  <c r="BC455" i="3"/>
  <c r="CH455" i="3"/>
  <c r="I456" i="3"/>
  <c r="L456" i="3"/>
  <c r="M456" i="3"/>
  <c r="T456" i="3"/>
  <c r="AW456" i="3"/>
  <c r="AX456" i="3"/>
  <c r="BB456" i="3"/>
  <c r="BC456" i="3"/>
  <c r="CH456" i="3"/>
  <c r="I457" i="3"/>
  <c r="L457" i="3"/>
  <c r="M457" i="3"/>
  <c r="T457" i="3"/>
  <c r="AW457" i="3"/>
  <c r="AX457" i="3"/>
  <c r="BB457" i="3"/>
  <c r="BC457" i="3"/>
  <c r="CH457" i="3"/>
  <c r="I458" i="3"/>
  <c r="L458" i="3"/>
  <c r="M458" i="3"/>
  <c r="T458" i="3"/>
  <c r="AW458" i="3"/>
  <c r="AX458" i="3"/>
  <c r="BB458" i="3"/>
  <c r="BC458" i="3"/>
  <c r="CH458" i="3"/>
  <c r="I459" i="3"/>
  <c r="L459" i="3"/>
  <c r="M459" i="3"/>
  <c r="T459" i="3"/>
  <c r="AW459" i="3"/>
  <c r="AX459" i="3"/>
  <c r="BB459" i="3"/>
  <c r="BC459" i="3"/>
  <c r="AV459" i="3" s="1"/>
  <c r="CH459" i="3"/>
  <c r="I460" i="3"/>
  <c r="L460" i="3"/>
  <c r="M460" i="3"/>
  <c r="T460" i="3"/>
  <c r="AW460" i="3"/>
  <c r="AX460" i="3"/>
  <c r="BB460" i="3"/>
  <c r="BC460" i="3"/>
  <c r="CH460" i="3"/>
  <c r="I461" i="3"/>
  <c r="L461" i="3"/>
  <c r="M461" i="3"/>
  <c r="T461" i="3"/>
  <c r="AW461" i="3"/>
  <c r="AX461" i="3"/>
  <c r="BB461" i="3"/>
  <c r="BC461" i="3"/>
  <c r="AV461" i="3" s="1"/>
  <c r="CH461" i="3"/>
  <c r="I462" i="3"/>
  <c r="L462" i="3"/>
  <c r="M462" i="3"/>
  <c r="T462" i="3"/>
  <c r="AW462" i="3"/>
  <c r="AX462" i="3"/>
  <c r="BB462" i="3"/>
  <c r="BC462" i="3"/>
  <c r="CH462" i="3"/>
  <c r="I463" i="3"/>
  <c r="L463" i="3"/>
  <c r="M463" i="3"/>
  <c r="T463" i="3"/>
  <c r="AW463" i="3"/>
  <c r="AX463" i="3"/>
  <c r="BB463" i="3"/>
  <c r="BC463" i="3"/>
  <c r="CH463" i="3"/>
  <c r="I464" i="3"/>
  <c r="L464" i="3"/>
  <c r="M464" i="3"/>
  <c r="T464" i="3"/>
  <c r="AW464" i="3"/>
  <c r="AX464" i="3"/>
  <c r="BB464" i="3"/>
  <c r="BC464" i="3"/>
  <c r="CH464" i="3"/>
  <c r="I465" i="3"/>
  <c r="L465" i="3"/>
  <c r="M465" i="3"/>
  <c r="T465" i="3"/>
  <c r="AW465" i="3"/>
  <c r="AX465" i="3"/>
  <c r="BB465" i="3"/>
  <c r="BC465" i="3"/>
  <c r="CH465" i="3"/>
  <c r="I466" i="3"/>
  <c r="L466" i="3"/>
  <c r="M466" i="3"/>
  <c r="T466" i="3"/>
  <c r="AW466" i="3"/>
  <c r="AX466" i="3"/>
  <c r="BB466" i="3"/>
  <c r="BC466" i="3"/>
  <c r="CH466" i="3"/>
  <c r="I467" i="3"/>
  <c r="L467" i="3"/>
  <c r="M467" i="3"/>
  <c r="T467" i="3"/>
  <c r="AW467" i="3"/>
  <c r="AX467" i="3"/>
  <c r="BB467" i="3"/>
  <c r="BC467" i="3"/>
  <c r="CH467" i="3"/>
  <c r="I468" i="3"/>
  <c r="L468" i="3"/>
  <c r="M468" i="3"/>
  <c r="T468" i="3"/>
  <c r="AW468" i="3"/>
  <c r="AX468" i="3"/>
  <c r="BB468" i="3"/>
  <c r="BC468" i="3"/>
  <c r="CH468" i="3"/>
  <c r="I469" i="3"/>
  <c r="L469" i="3"/>
  <c r="M469" i="3"/>
  <c r="T469" i="3"/>
  <c r="AW469" i="3"/>
  <c r="AX469" i="3"/>
  <c r="BB469" i="3"/>
  <c r="BC469" i="3"/>
  <c r="CH469" i="3"/>
  <c r="I470" i="3"/>
  <c r="L470" i="3"/>
  <c r="M470" i="3"/>
  <c r="T470" i="3"/>
  <c r="AW470" i="3"/>
  <c r="AX470" i="3"/>
  <c r="BB470" i="3"/>
  <c r="BC470" i="3"/>
  <c r="CH470" i="3"/>
  <c r="I471" i="3"/>
  <c r="L471" i="3"/>
  <c r="M471" i="3"/>
  <c r="T471" i="3"/>
  <c r="AW471" i="3"/>
  <c r="AX471" i="3"/>
  <c r="BB471" i="3"/>
  <c r="BC471" i="3"/>
  <c r="CH471" i="3"/>
  <c r="I472" i="3"/>
  <c r="L472" i="3"/>
  <c r="M472" i="3"/>
  <c r="T472" i="3"/>
  <c r="AW472" i="3"/>
  <c r="AX472" i="3"/>
  <c r="BB472" i="3"/>
  <c r="BC472" i="3"/>
  <c r="AV472" i="3" s="1"/>
  <c r="CH472" i="3"/>
  <c r="I473" i="3"/>
  <c r="L473" i="3"/>
  <c r="M473" i="3"/>
  <c r="T473" i="3"/>
  <c r="AX473" i="3"/>
  <c r="BB473" i="3"/>
  <c r="BC473" i="3"/>
  <c r="CH473" i="3"/>
  <c r="I474" i="3"/>
  <c r="L474" i="3"/>
  <c r="M474" i="3"/>
  <c r="T474" i="3"/>
  <c r="AW474" i="3"/>
  <c r="AX474" i="3"/>
  <c r="BB474" i="3"/>
  <c r="BC474" i="3"/>
  <c r="CH474" i="3"/>
  <c r="I475" i="3"/>
  <c r="L475" i="3"/>
  <c r="M475" i="3"/>
  <c r="T475" i="3"/>
  <c r="AW475" i="3"/>
  <c r="AX475" i="3"/>
  <c r="BB475" i="3"/>
  <c r="BC475" i="3"/>
  <c r="AT475" i="3" s="1"/>
  <c r="CH475" i="3"/>
  <c r="I476" i="3"/>
  <c r="L476" i="3"/>
  <c r="M476" i="3"/>
  <c r="T476" i="3"/>
  <c r="AW476" i="3"/>
  <c r="AX476" i="3"/>
  <c r="BB476" i="3"/>
  <c r="BC476" i="3"/>
  <c r="CH476" i="3"/>
  <c r="I477" i="3"/>
  <c r="L477" i="3"/>
  <c r="M477" i="3"/>
  <c r="T477" i="3"/>
  <c r="AW477" i="3"/>
  <c r="AX477" i="3"/>
  <c r="BB477" i="3"/>
  <c r="BC477" i="3"/>
  <c r="CH477" i="3"/>
  <c r="I478" i="3"/>
  <c r="L478" i="3"/>
  <c r="M478" i="3"/>
  <c r="T478" i="3"/>
  <c r="AW478" i="3"/>
  <c r="AX478" i="3"/>
  <c r="BB478" i="3"/>
  <c r="BC478" i="3"/>
  <c r="CH478" i="3"/>
  <c r="I479" i="3"/>
  <c r="L479" i="3"/>
  <c r="M479" i="3"/>
  <c r="T479" i="3"/>
  <c r="AW479" i="3"/>
  <c r="AX479" i="3"/>
  <c r="BB479" i="3"/>
  <c r="BC479" i="3"/>
  <c r="CH479" i="3"/>
  <c r="I480" i="3"/>
  <c r="L480" i="3"/>
  <c r="M480" i="3"/>
  <c r="T480" i="3"/>
  <c r="AW480" i="3"/>
  <c r="AX480" i="3"/>
  <c r="BB480" i="3"/>
  <c r="BC480" i="3"/>
  <c r="CH480" i="3"/>
  <c r="I481" i="3"/>
  <c r="L481" i="3"/>
  <c r="M481" i="3"/>
  <c r="T481" i="3"/>
  <c r="AW481" i="3"/>
  <c r="AX481" i="3"/>
  <c r="BB481" i="3"/>
  <c r="BC481" i="3"/>
  <c r="CH481" i="3"/>
  <c r="I482" i="3"/>
  <c r="L482" i="3"/>
  <c r="M482" i="3"/>
  <c r="T482" i="3"/>
  <c r="AW482" i="3"/>
  <c r="AX482" i="3"/>
  <c r="BB482" i="3"/>
  <c r="BC482" i="3"/>
  <c r="CH482" i="3"/>
  <c r="I483" i="3"/>
  <c r="L483" i="3"/>
  <c r="M483" i="3"/>
  <c r="T483" i="3"/>
  <c r="AW483" i="3"/>
  <c r="AX483" i="3"/>
  <c r="BB483" i="3"/>
  <c r="BC483" i="3"/>
  <c r="CH483" i="3"/>
  <c r="I484" i="3"/>
  <c r="L484" i="3"/>
  <c r="M484" i="3"/>
  <c r="T484" i="3"/>
  <c r="AW484" i="3"/>
  <c r="AX484" i="3"/>
  <c r="BB484" i="3"/>
  <c r="BC484" i="3"/>
  <c r="CH484" i="3"/>
  <c r="I485" i="3"/>
  <c r="L485" i="3"/>
  <c r="M485" i="3"/>
  <c r="T485" i="3"/>
  <c r="AW485" i="3"/>
  <c r="AX485" i="3"/>
  <c r="BB485" i="3"/>
  <c r="BC485" i="3"/>
  <c r="CH485" i="3"/>
  <c r="I486" i="3"/>
  <c r="L486" i="3"/>
  <c r="M486" i="3"/>
  <c r="T486" i="3"/>
  <c r="AW486" i="3"/>
  <c r="AX486" i="3"/>
  <c r="BB486" i="3"/>
  <c r="BC486" i="3"/>
  <c r="CH486" i="3"/>
  <c r="I487" i="3"/>
  <c r="L487" i="3"/>
  <c r="M487" i="3"/>
  <c r="T487" i="3"/>
  <c r="AW487" i="3"/>
  <c r="AX487" i="3"/>
  <c r="BB487" i="3"/>
  <c r="BC487" i="3"/>
  <c r="CH487" i="3"/>
  <c r="I488" i="3"/>
  <c r="L488" i="3"/>
  <c r="M488" i="3"/>
  <c r="T488" i="3"/>
  <c r="AW488" i="3"/>
  <c r="AX488" i="3"/>
  <c r="BB488" i="3"/>
  <c r="BC488" i="3"/>
  <c r="CH488" i="3"/>
  <c r="I489" i="3"/>
  <c r="L489" i="3"/>
  <c r="M489" i="3"/>
  <c r="T489" i="3"/>
  <c r="AW489" i="3"/>
  <c r="AX489" i="3"/>
  <c r="BB489" i="3"/>
  <c r="BC489" i="3"/>
  <c r="CH489" i="3"/>
  <c r="I490" i="3"/>
  <c r="L490" i="3"/>
  <c r="M490" i="3"/>
  <c r="T490" i="3"/>
  <c r="AW490" i="3"/>
  <c r="AX490" i="3"/>
  <c r="BB490" i="3"/>
  <c r="BC490" i="3"/>
  <c r="CH490" i="3"/>
  <c r="I491" i="3"/>
  <c r="L491" i="3"/>
  <c r="M491" i="3"/>
  <c r="T491" i="3"/>
  <c r="AW491" i="3"/>
  <c r="AX491" i="3"/>
  <c r="BB491" i="3"/>
  <c r="BC491" i="3"/>
  <c r="AT491" i="3" s="1"/>
  <c r="CH491" i="3"/>
  <c r="I492" i="3"/>
  <c r="L492" i="3"/>
  <c r="M492" i="3"/>
  <c r="T492" i="3"/>
  <c r="AW492" i="3"/>
  <c r="AX492" i="3"/>
  <c r="BB492" i="3"/>
  <c r="BC492" i="3"/>
  <c r="CH492" i="3"/>
  <c r="I493" i="3"/>
  <c r="L493" i="3"/>
  <c r="M493" i="3"/>
  <c r="T493" i="3"/>
  <c r="AW493" i="3"/>
  <c r="AX493" i="3"/>
  <c r="BB493" i="3"/>
  <c r="BC493" i="3"/>
  <c r="CH493" i="3"/>
  <c r="I494" i="3"/>
  <c r="L494" i="3"/>
  <c r="M494" i="3"/>
  <c r="T494" i="3"/>
  <c r="AW494" i="3"/>
  <c r="AX494" i="3"/>
  <c r="BB494" i="3"/>
  <c r="BC494" i="3"/>
  <c r="CH494" i="3"/>
  <c r="I495" i="3"/>
  <c r="L495" i="3"/>
  <c r="M495" i="3"/>
  <c r="T495" i="3"/>
  <c r="AW495" i="3"/>
  <c r="AX495" i="3"/>
  <c r="BB495" i="3"/>
  <c r="BC495" i="3"/>
  <c r="CH495" i="3"/>
  <c r="I496" i="3"/>
  <c r="L496" i="3"/>
  <c r="M496" i="3"/>
  <c r="T496" i="3"/>
  <c r="AW496" i="3"/>
  <c r="AX496" i="3"/>
  <c r="BB496" i="3"/>
  <c r="BC496" i="3"/>
  <c r="CH496" i="3"/>
  <c r="I497" i="3"/>
  <c r="L497" i="3"/>
  <c r="M497" i="3"/>
  <c r="T497" i="3"/>
  <c r="AW497" i="3"/>
  <c r="AX497" i="3"/>
  <c r="BB497" i="3"/>
  <c r="BC497" i="3"/>
  <c r="CH497" i="3"/>
  <c r="I498" i="3"/>
  <c r="L498" i="3"/>
  <c r="M498" i="3"/>
  <c r="T498" i="3"/>
  <c r="AW498" i="3"/>
  <c r="AX498" i="3"/>
  <c r="BB498" i="3"/>
  <c r="BC498" i="3"/>
  <c r="CH498" i="3"/>
  <c r="I499" i="3"/>
  <c r="L499" i="3"/>
  <c r="M499" i="3"/>
  <c r="T499" i="3"/>
  <c r="AW499" i="3"/>
  <c r="AX499" i="3"/>
  <c r="BB499" i="3"/>
  <c r="BC499" i="3"/>
  <c r="AT499" i="3" s="1"/>
  <c r="CH499" i="3"/>
  <c r="I500" i="3"/>
  <c r="L500" i="3"/>
  <c r="M500" i="3"/>
  <c r="T500" i="3"/>
  <c r="AT500" i="3"/>
  <c r="AW500" i="3"/>
  <c r="AX500" i="3"/>
  <c r="BB500" i="3"/>
  <c r="BC500" i="3"/>
  <c r="CH500" i="3"/>
  <c r="I501" i="3"/>
  <c r="L501" i="3"/>
  <c r="M501" i="3"/>
  <c r="T501" i="3"/>
  <c r="AW501" i="3"/>
  <c r="AX501" i="3"/>
  <c r="BB501" i="3"/>
  <c r="BC501" i="3"/>
  <c r="AT501" i="3" s="1"/>
  <c r="CH501" i="3"/>
  <c r="AU280" i="3" l="1"/>
  <c r="AT252" i="3"/>
  <c r="AU205" i="3"/>
  <c r="AT9" i="3"/>
  <c r="AT424" i="3"/>
  <c r="AU110" i="3"/>
  <c r="AU70" i="3"/>
  <c r="AU175" i="3"/>
  <c r="AT450" i="3"/>
  <c r="AT11" i="3"/>
  <c r="AU234" i="3"/>
  <c r="AU343" i="3"/>
  <c r="AT171" i="3"/>
  <c r="AV274" i="3"/>
  <c r="AT20" i="3"/>
  <c r="AV142" i="3"/>
  <c r="AU141" i="3"/>
  <c r="AU136" i="3"/>
  <c r="AU361" i="3"/>
  <c r="AU277" i="3"/>
  <c r="AU109" i="3"/>
  <c r="AT176" i="3"/>
  <c r="AT45" i="3"/>
  <c r="AT333" i="3"/>
  <c r="AU240" i="3"/>
  <c r="AU366" i="3"/>
  <c r="AU428" i="3"/>
  <c r="AT46" i="3"/>
  <c r="AT425" i="3"/>
  <c r="AU266" i="3"/>
  <c r="AT249" i="3"/>
  <c r="AT497" i="3"/>
  <c r="AV449" i="3"/>
  <c r="AT448" i="3"/>
  <c r="AV427" i="3"/>
  <c r="AT426" i="3"/>
  <c r="AU407" i="3"/>
  <c r="AU279" i="3"/>
  <c r="AV253" i="3"/>
  <c r="AT170" i="3"/>
  <c r="AU95" i="3"/>
  <c r="AT485" i="3"/>
  <c r="AU397" i="3"/>
  <c r="AV450" i="3"/>
  <c r="AV428" i="3"/>
  <c r="AT493" i="3"/>
  <c r="AT481" i="3"/>
  <c r="AT488" i="3"/>
  <c r="AT476" i="3"/>
  <c r="AT438" i="3"/>
  <c r="AT428" i="3"/>
  <c r="AU288" i="3"/>
  <c r="AU274" i="3"/>
  <c r="AU132" i="3"/>
  <c r="AU112" i="3"/>
  <c r="AU92" i="3"/>
  <c r="AU88" i="3"/>
  <c r="AU68" i="3"/>
  <c r="AU64" i="3"/>
  <c r="AT10" i="3"/>
  <c r="AT461" i="3"/>
  <c r="AM33" i="4"/>
  <c r="AV29" i="5"/>
  <c r="BH22" i="8"/>
  <c r="BH29" i="8"/>
  <c r="AT59" i="3"/>
  <c r="AT489" i="3"/>
  <c r="AV279" i="3"/>
  <c r="AT482" i="3"/>
  <c r="AT472" i="3"/>
  <c r="AT335" i="3"/>
  <c r="AU298" i="3"/>
  <c r="AV280" i="3"/>
  <c r="AT226" i="3"/>
  <c r="AT222" i="3"/>
  <c r="AT218" i="3"/>
  <c r="AT214" i="3"/>
  <c r="AT210" i="3"/>
  <c r="AU84" i="3"/>
  <c r="AV58" i="3"/>
  <c r="AT8" i="3"/>
  <c r="AT217" i="3"/>
  <c r="AT487" i="3"/>
  <c r="AU403" i="3"/>
  <c r="AU384" i="3"/>
  <c r="AU268" i="3"/>
  <c r="AV234" i="3"/>
  <c r="AU96" i="3"/>
  <c r="AT227" i="3"/>
  <c r="AT223" i="3"/>
  <c r="AT219" i="3"/>
  <c r="AT215" i="3"/>
  <c r="AU122" i="3"/>
  <c r="AV21" i="3"/>
  <c r="AU464" i="3"/>
  <c r="AT338" i="3"/>
  <c r="AU209" i="3"/>
  <c r="AT494" i="3"/>
  <c r="AT486" i="3"/>
  <c r="AT470" i="3"/>
  <c r="AU466" i="3"/>
  <c r="AU462" i="3"/>
  <c r="AT479" i="3"/>
  <c r="AU417" i="3"/>
  <c r="AU356" i="3"/>
  <c r="AU348" i="3"/>
  <c r="AU344" i="3"/>
  <c r="AU295" i="3"/>
  <c r="AT244" i="3"/>
  <c r="AT174" i="3"/>
  <c r="AV72" i="3"/>
  <c r="AT213" i="3"/>
  <c r="AU74" i="3"/>
  <c r="AT36" i="3"/>
  <c r="AT18" i="3"/>
  <c r="AU370" i="3"/>
  <c r="AT225" i="3"/>
  <c r="AT221" i="3"/>
  <c r="AU128" i="3"/>
  <c r="AU83" i="3"/>
  <c r="AU451" i="3"/>
  <c r="AU410" i="3"/>
  <c r="AU349" i="3"/>
  <c r="AU304" i="3"/>
  <c r="AU292" i="3"/>
  <c r="AT224" i="3"/>
  <c r="AT220" i="3"/>
  <c r="AT216" i="3"/>
  <c r="AT212" i="3"/>
  <c r="AU134" i="3"/>
  <c r="AT32" i="3"/>
  <c r="AU342" i="3"/>
  <c r="AU312" i="3"/>
  <c r="AT483" i="3"/>
  <c r="AV122" i="3"/>
  <c r="AT434" i="3"/>
  <c r="AU423" i="3"/>
  <c r="AT415" i="3"/>
  <c r="AT385" i="3"/>
  <c r="AT382" i="3"/>
  <c r="AT327" i="3"/>
  <c r="AU250" i="3"/>
  <c r="AV240" i="3"/>
  <c r="AV183" i="3"/>
  <c r="AT111" i="3"/>
  <c r="AT93" i="3"/>
  <c r="AT33" i="3"/>
  <c r="AV295" i="3"/>
  <c r="AU208" i="3"/>
  <c r="AU82" i="3"/>
  <c r="AU391" i="3"/>
  <c r="AU383" i="3"/>
  <c r="AU273" i="3"/>
  <c r="AU256" i="3"/>
  <c r="AU251" i="3"/>
  <c r="AT208" i="3"/>
  <c r="AU116" i="3"/>
  <c r="AU94" i="3"/>
  <c r="AV83" i="3"/>
  <c r="AT56" i="3"/>
  <c r="AU34" i="3"/>
  <c r="AT490" i="3"/>
  <c r="AT401" i="3"/>
  <c r="AT396" i="3"/>
  <c r="AT391" i="3"/>
  <c r="AT379" i="3"/>
  <c r="AT324" i="3"/>
  <c r="AV250" i="3"/>
  <c r="AU238" i="3"/>
  <c r="AV227" i="3"/>
  <c r="AV226" i="3"/>
  <c r="AV225" i="3"/>
  <c r="AV224" i="3"/>
  <c r="AV223" i="3"/>
  <c r="AV222" i="3"/>
  <c r="AV221" i="3"/>
  <c r="AV220" i="3"/>
  <c r="AV219" i="3"/>
  <c r="AV218" i="3"/>
  <c r="AV217" i="3"/>
  <c r="AV216" i="3"/>
  <c r="AV215" i="3"/>
  <c r="AV214" i="3"/>
  <c r="AV213" i="3"/>
  <c r="AV212" i="3"/>
  <c r="AV211" i="3"/>
  <c r="AV210" i="3"/>
  <c r="AV209" i="3"/>
  <c r="AV111" i="3"/>
  <c r="AV93" i="3"/>
  <c r="AV84" i="3"/>
  <c r="AU414" i="3"/>
  <c r="AU355" i="3"/>
  <c r="AU262" i="3"/>
  <c r="AT240" i="3"/>
  <c r="AU245" i="3"/>
  <c r="AU174" i="3"/>
  <c r="AT37" i="3"/>
  <c r="AV413" i="3"/>
  <c r="AU360" i="3"/>
  <c r="AV462" i="3"/>
  <c r="AU408" i="3"/>
  <c r="AU402" i="3"/>
  <c r="AU392" i="3"/>
  <c r="AU367" i="3"/>
  <c r="AU227" i="3"/>
  <c r="AU226" i="3"/>
  <c r="AU225" i="3"/>
  <c r="AU224" i="3"/>
  <c r="AU223" i="3"/>
  <c r="AU222" i="3"/>
  <c r="AU221" i="3"/>
  <c r="AU220" i="3"/>
  <c r="AU219" i="3"/>
  <c r="AU218" i="3"/>
  <c r="AU217" i="3"/>
  <c r="AU216" i="3"/>
  <c r="AU215" i="3"/>
  <c r="AU214" i="3"/>
  <c r="AU213" i="3"/>
  <c r="AU212" i="3"/>
  <c r="AU211" i="3"/>
  <c r="AU210" i="3"/>
  <c r="AV170" i="3"/>
  <c r="AU130" i="3"/>
  <c r="AU86" i="3"/>
  <c r="AV9" i="3"/>
  <c r="AT492" i="3"/>
  <c r="AU254" i="3"/>
  <c r="AU282" i="3"/>
  <c r="AU267" i="3"/>
  <c r="AT60" i="3"/>
  <c r="AV414" i="3"/>
  <c r="AV267" i="3"/>
  <c r="AU171" i="3"/>
  <c r="AU396" i="3"/>
  <c r="AU413" i="3"/>
  <c r="AT402" i="3"/>
  <c r="AU316" i="3"/>
  <c r="AU289" i="3"/>
  <c r="AU239" i="3"/>
  <c r="AU228" i="3"/>
  <c r="AV171" i="3"/>
  <c r="AT22" i="3"/>
  <c r="AU495" i="3"/>
  <c r="AV495" i="3"/>
  <c r="AU441" i="3"/>
  <c r="AU235" i="3"/>
  <c r="AV230" i="3"/>
  <c r="AT230" i="3"/>
  <c r="AU230" i="3"/>
  <c r="AT143" i="3"/>
  <c r="AU143" i="3"/>
  <c r="AV143" i="3"/>
  <c r="AU477" i="3"/>
  <c r="AV477" i="3"/>
  <c r="AU358" i="3"/>
  <c r="AU496" i="3"/>
  <c r="AV496" i="3"/>
  <c r="AU484" i="3"/>
  <c r="AV484" i="3"/>
  <c r="AU478" i="3"/>
  <c r="AV478" i="3"/>
  <c r="AU375" i="3"/>
  <c r="AT320" i="3"/>
  <c r="AU307" i="3"/>
  <c r="AV307" i="3"/>
  <c r="AT44" i="3"/>
  <c r="AV44" i="3"/>
  <c r="AT12" i="3"/>
  <c r="AV12" i="3"/>
  <c r="AU497" i="3"/>
  <c r="AV497" i="3"/>
  <c r="AT495" i="3"/>
  <c r="AU491" i="3"/>
  <c r="AV491" i="3"/>
  <c r="AU485" i="3"/>
  <c r="AV485" i="3"/>
  <c r="AU479" i="3"/>
  <c r="AV479" i="3"/>
  <c r="AT477" i="3"/>
  <c r="AV473" i="3"/>
  <c r="AT473" i="3"/>
  <c r="AU465" i="3"/>
  <c r="AU452" i="3"/>
  <c r="AT452" i="3"/>
  <c r="AV452" i="3"/>
  <c r="AU429" i="3"/>
  <c r="AT429" i="3"/>
  <c r="AV429" i="3"/>
  <c r="AV405" i="3"/>
  <c r="AT405" i="3"/>
  <c r="AU405" i="3"/>
  <c r="AU376" i="3"/>
  <c r="AT376" i="3"/>
  <c r="AV376" i="3"/>
  <c r="AU483" i="3"/>
  <c r="AV483" i="3"/>
  <c r="AU459" i="3"/>
  <c r="AT459" i="3"/>
  <c r="AU489" i="3"/>
  <c r="AV489" i="3"/>
  <c r="AU43" i="3"/>
  <c r="AT43" i="3"/>
  <c r="AV43" i="3"/>
  <c r="AU315" i="3"/>
  <c r="AU302" i="3"/>
  <c r="AV229" i="3"/>
  <c r="AT229" i="3"/>
  <c r="AU229" i="3"/>
  <c r="AU172" i="3"/>
  <c r="AT172" i="3"/>
  <c r="AV172" i="3"/>
  <c r="AU498" i="3"/>
  <c r="AV498" i="3"/>
  <c r="AT496" i="3"/>
  <c r="AU487" i="3"/>
  <c r="AV487" i="3"/>
  <c r="AU481" i="3"/>
  <c r="AV481" i="3"/>
  <c r="AU475" i="3"/>
  <c r="AV475" i="3"/>
  <c r="AU453" i="3"/>
  <c r="AT453" i="3"/>
  <c r="AV453" i="3"/>
  <c r="AU263" i="3"/>
  <c r="AT263" i="3"/>
  <c r="AV263" i="3"/>
  <c r="AU241" i="3"/>
  <c r="AT241" i="3"/>
  <c r="AV241" i="3"/>
  <c r="AU98" i="3"/>
  <c r="AV98" i="3"/>
  <c r="AU494" i="3"/>
  <c r="AV494" i="3"/>
  <c r="AT314" i="3"/>
  <c r="AV314" i="3"/>
  <c r="AU314" i="3"/>
  <c r="AT120" i="3"/>
  <c r="AU120" i="3"/>
  <c r="AV120" i="3"/>
  <c r="AT107" i="3"/>
  <c r="AU107" i="3"/>
  <c r="AV107" i="3"/>
  <c r="AU501" i="3"/>
  <c r="AV501" i="3"/>
  <c r="AT108" i="3"/>
  <c r="AU108" i="3"/>
  <c r="AV108" i="3"/>
  <c r="AU490" i="3"/>
  <c r="AV490" i="3"/>
  <c r="AU436" i="3"/>
  <c r="AV436" i="3"/>
  <c r="AT436" i="3"/>
  <c r="AV404" i="3"/>
  <c r="AT404" i="3"/>
  <c r="AU404" i="3"/>
  <c r="AU492" i="3"/>
  <c r="AV492" i="3"/>
  <c r="AU486" i="3"/>
  <c r="AV486" i="3"/>
  <c r="AT484" i="3"/>
  <c r="AU480" i="3"/>
  <c r="AV480" i="3"/>
  <c r="AT478" i="3"/>
  <c r="AU474" i="3"/>
  <c r="AV474" i="3"/>
  <c r="AU286" i="3"/>
  <c r="AV286" i="3"/>
  <c r="AT381" i="3"/>
  <c r="AT326" i="3"/>
  <c r="AU313" i="3"/>
  <c r="AV313" i="3"/>
  <c r="AT144" i="3"/>
  <c r="AU144" i="3"/>
  <c r="AV144" i="3"/>
  <c r="AT119" i="3"/>
  <c r="AU119" i="3"/>
  <c r="AV119" i="3"/>
  <c r="AU499" i="3"/>
  <c r="AV499" i="3"/>
  <c r="AU493" i="3"/>
  <c r="AV493" i="3"/>
  <c r="AU430" i="3"/>
  <c r="AT430" i="3"/>
  <c r="AV430" i="3"/>
  <c r="AU255" i="3"/>
  <c r="AT69" i="3"/>
  <c r="AT336" i="3"/>
  <c r="AV336" i="3"/>
  <c r="AT185" i="3"/>
  <c r="AV185" i="3"/>
  <c r="AT38" i="3"/>
  <c r="AV38" i="3"/>
  <c r="AU500" i="3"/>
  <c r="AV500" i="3"/>
  <c r="AT498" i="3"/>
  <c r="AU488" i="3"/>
  <c r="AV488" i="3"/>
  <c r="AU482" i="3"/>
  <c r="AV482" i="3"/>
  <c r="AT480" i="3"/>
  <c r="AU476" i="3"/>
  <c r="AV476" i="3"/>
  <c r="AT474" i="3"/>
  <c r="AU411" i="3"/>
  <c r="AV411" i="3"/>
  <c r="AT458" i="3"/>
  <c r="AU454" i="3"/>
  <c r="AV454" i="3"/>
  <c r="AT454" i="3"/>
  <c r="AU435" i="3"/>
  <c r="AT435" i="3"/>
  <c r="AV435" i="3"/>
  <c r="AU297" i="3"/>
  <c r="AV264" i="3"/>
  <c r="AU264" i="3"/>
  <c r="AU242" i="3"/>
  <c r="AT242" i="3"/>
  <c r="AU166" i="3"/>
  <c r="AU437" i="3"/>
  <c r="AT412" i="3"/>
  <c r="AU337" i="3"/>
  <c r="AU243" i="3"/>
  <c r="AU173" i="3"/>
  <c r="AU461" i="3"/>
  <c r="AU442" i="3"/>
  <c r="AU438" i="3"/>
  <c r="AT406" i="3"/>
  <c r="AT403" i="3"/>
  <c r="AT392" i="3"/>
  <c r="AT266" i="3"/>
  <c r="AU244" i="3"/>
  <c r="AU237" i="3"/>
  <c r="AT132" i="3"/>
  <c r="AT71" i="3"/>
  <c r="AU46" i="3"/>
  <c r="AU33" i="3"/>
  <c r="AT14" i="3"/>
  <c r="AT7" i="3"/>
  <c r="AU460" i="3"/>
  <c r="AU418" i="3"/>
  <c r="AT131" i="3"/>
  <c r="AT87" i="3"/>
  <c r="AU45" i="3"/>
  <c r="AU13" i="3"/>
  <c r="AT6" i="3"/>
  <c r="AU364" i="3"/>
  <c r="AV412" i="3"/>
  <c r="AV315" i="3"/>
  <c r="AV243" i="3"/>
  <c r="AV205" i="3"/>
  <c r="AT95" i="3"/>
  <c r="AU19" i="3"/>
  <c r="AU471" i="3"/>
  <c r="AU463" i="3"/>
  <c r="AU412" i="3"/>
  <c r="AT321" i="3"/>
  <c r="AU265" i="3"/>
  <c r="AT83" i="3"/>
  <c r="AU9" i="3"/>
  <c r="AU426" i="3"/>
  <c r="AU169" i="3"/>
  <c r="AT117" i="3"/>
  <c r="AV460" i="3"/>
  <c r="AU439" i="3"/>
  <c r="AV437" i="3"/>
  <c r="AU252" i="3"/>
  <c r="AU176" i="3"/>
  <c r="AU57" i="3"/>
  <c r="AT460" i="3"/>
  <c r="AT437" i="3"/>
  <c r="AT290" i="3"/>
  <c r="AU257" i="3"/>
  <c r="AU253" i="3"/>
  <c r="AT243" i="3"/>
  <c r="AT96" i="3"/>
  <c r="AU58" i="3"/>
  <c r="AU472" i="3"/>
  <c r="AT135" i="3"/>
  <c r="AT84" i="3"/>
  <c r="AU10" i="3"/>
  <c r="AT462" i="3"/>
  <c r="AU450" i="3"/>
  <c r="AU440" i="3"/>
  <c r="AU427" i="3"/>
  <c r="AV415" i="3"/>
  <c r="AU409" i="3"/>
  <c r="AV384" i="3"/>
  <c r="AT383" i="3"/>
  <c r="AU339" i="3"/>
  <c r="AU301" i="3"/>
  <c r="AV268" i="3"/>
  <c r="AV251" i="3"/>
  <c r="AT250" i="3"/>
  <c r="AT245" i="3"/>
  <c r="AV175" i="3"/>
  <c r="AU170" i="3"/>
  <c r="AU168" i="3"/>
  <c r="AT141" i="3"/>
  <c r="AU118" i="3"/>
  <c r="AU111" i="3"/>
  <c r="AU106" i="3"/>
  <c r="AV94" i="3"/>
  <c r="AU93" i="3"/>
  <c r="AU72" i="3"/>
  <c r="AV56" i="3"/>
  <c r="AT34" i="3"/>
  <c r="AU21" i="3"/>
  <c r="AU447" i="3"/>
  <c r="AU424" i="3"/>
  <c r="AU448" i="3"/>
  <c r="AU425" i="3"/>
  <c r="AT378" i="3"/>
  <c r="AT63" i="3"/>
  <c r="AU449" i="3"/>
  <c r="AU416" i="3"/>
  <c r="AV424" i="3"/>
  <c r="AU415" i="3"/>
  <c r="AT395" i="3"/>
  <c r="AT384" i="3"/>
  <c r="AV252" i="3"/>
  <c r="AT251" i="3"/>
  <c r="AU185" i="3"/>
  <c r="AV176" i="3"/>
  <c r="AT175" i="3"/>
  <c r="AT168" i="3"/>
  <c r="AU165" i="3"/>
  <c r="AV95" i="3"/>
  <c r="AV57" i="3"/>
  <c r="AT42" i="3"/>
  <c r="AU37" i="3"/>
  <c r="AU22" i="3"/>
  <c r="AU11" i="3"/>
  <c r="AU260" i="3"/>
  <c r="AT260" i="3"/>
  <c r="AV260" i="3"/>
  <c r="AU323" i="3"/>
  <c r="AV323" i="3"/>
  <c r="AU446" i="3"/>
  <c r="AV446" i="3"/>
  <c r="AT276" i="3"/>
  <c r="AV276" i="3"/>
  <c r="AU276" i="3"/>
  <c r="AT146" i="3"/>
  <c r="AU248" i="3"/>
  <c r="AT248" i="3"/>
  <c r="AV248" i="3"/>
  <c r="AT152" i="3"/>
  <c r="AU152" i="3"/>
  <c r="AU457" i="3"/>
  <c r="AT457" i="3"/>
  <c r="AV457" i="3"/>
  <c r="AT446" i="3"/>
  <c r="AT439" i="3"/>
  <c r="AU433" i="3"/>
  <c r="AT433" i="3"/>
  <c r="AV433" i="3"/>
  <c r="AU332" i="3"/>
  <c r="AV332" i="3"/>
  <c r="AT332" i="3"/>
  <c r="AT306" i="3"/>
  <c r="AV306" i="3"/>
  <c r="AT293" i="3"/>
  <c r="AU293" i="3"/>
  <c r="AV293" i="3"/>
  <c r="AT278" i="3"/>
  <c r="AV278" i="3"/>
  <c r="AV262" i="3"/>
  <c r="AV256" i="3"/>
  <c r="AU3" i="3"/>
  <c r="AT3" i="3"/>
  <c r="AV3" i="3"/>
  <c r="AV465" i="3"/>
  <c r="AV423" i="3"/>
  <c r="AT279" i="3"/>
  <c r="AV257" i="3"/>
  <c r="AV63" i="3"/>
  <c r="AU40" i="3"/>
  <c r="AT40" i="3"/>
  <c r="AV40" i="3"/>
  <c r="AU389" i="3"/>
  <c r="AT389" i="3"/>
  <c r="AV389" i="3"/>
  <c r="AU246" i="3"/>
  <c r="AT246" i="3"/>
  <c r="AT184" i="3"/>
  <c r="AU184" i="3"/>
  <c r="AT124" i="3"/>
  <c r="AV124" i="3"/>
  <c r="AT85" i="3"/>
  <c r="AV85" i="3"/>
  <c r="AU85" i="3"/>
  <c r="AT73" i="3"/>
  <c r="AV73" i="3"/>
  <c r="AU53" i="3"/>
  <c r="AT53" i="3"/>
  <c r="AV53" i="3"/>
  <c r="AU49" i="3"/>
  <c r="AT49" i="3"/>
  <c r="AV49" i="3"/>
  <c r="AU35" i="3"/>
  <c r="AV35" i="3"/>
  <c r="AT35" i="3"/>
  <c r="AU431" i="3"/>
  <c r="AT431" i="3"/>
  <c r="AV398" i="3"/>
  <c r="AT398" i="3"/>
  <c r="AU398" i="3"/>
  <c r="AT372" i="3"/>
  <c r="AV372" i="3"/>
  <c r="AT362" i="3"/>
  <c r="AV362" i="3"/>
  <c r="AU362" i="3"/>
  <c r="AT269" i="3"/>
  <c r="AU269" i="3"/>
  <c r="AV269" i="3"/>
  <c r="AT237" i="3"/>
  <c r="AT203" i="3"/>
  <c r="AU203" i="3"/>
  <c r="AT197" i="3"/>
  <c r="AU197" i="3"/>
  <c r="AT191" i="3"/>
  <c r="AU191" i="3"/>
  <c r="AT178" i="3"/>
  <c r="AU178" i="3"/>
  <c r="AT129" i="3"/>
  <c r="AU129" i="3"/>
  <c r="AU61" i="3"/>
  <c r="AT61" i="3"/>
  <c r="AT407" i="3"/>
  <c r="AU330" i="3"/>
  <c r="AU261" i="3"/>
  <c r="AV261" i="3"/>
  <c r="AT238" i="3"/>
  <c r="AT145" i="3"/>
  <c r="AV145" i="3"/>
  <c r="AT104" i="3"/>
  <c r="AV104" i="3"/>
  <c r="AU104" i="3"/>
  <c r="AT100" i="3"/>
  <c r="AV100" i="3"/>
  <c r="AU100" i="3"/>
  <c r="AT291" i="3"/>
  <c r="AU247" i="3"/>
  <c r="AT247" i="3"/>
  <c r="AV247" i="3"/>
  <c r="AT204" i="3"/>
  <c r="AU204" i="3"/>
  <c r="AT198" i="3"/>
  <c r="AU198" i="3"/>
  <c r="AT192" i="3"/>
  <c r="AU192" i="3"/>
  <c r="AT186" i="3"/>
  <c r="AU186" i="3"/>
  <c r="AT179" i="3"/>
  <c r="AU179" i="3"/>
  <c r="AT155" i="3"/>
  <c r="AU155" i="3"/>
  <c r="AV155" i="3"/>
  <c r="AT138" i="3"/>
  <c r="AU138" i="3"/>
  <c r="AV138" i="3"/>
  <c r="AT125" i="3"/>
  <c r="AU125" i="3"/>
  <c r="AV125" i="3"/>
  <c r="AT67" i="3"/>
  <c r="AU67" i="3"/>
  <c r="AV67" i="3"/>
  <c r="AU62" i="3"/>
  <c r="AT62" i="3"/>
  <c r="AU54" i="3"/>
  <c r="AV54" i="3"/>
  <c r="AT54" i="3"/>
  <c r="AU50" i="3"/>
  <c r="AV50" i="3"/>
  <c r="AT50" i="3"/>
  <c r="AU26" i="3"/>
  <c r="AV26" i="3"/>
  <c r="AU456" i="3"/>
  <c r="AT456" i="3"/>
  <c r="AV456" i="3"/>
  <c r="AU432" i="3"/>
  <c r="AT432" i="3"/>
  <c r="AV432" i="3"/>
  <c r="AV399" i="3"/>
  <c r="AT399" i="3"/>
  <c r="AU399" i="3"/>
  <c r="AT368" i="3"/>
  <c r="AV368" i="3"/>
  <c r="AU368" i="3"/>
  <c r="AT270" i="3"/>
  <c r="AV270" i="3"/>
  <c r="AU270" i="3"/>
  <c r="AV246" i="3"/>
  <c r="AU164" i="3"/>
  <c r="AV164" i="3"/>
  <c r="AT164" i="3"/>
  <c r="AT160" i="3"/>
  <c r="AU160" i="3"/>
  <c r="AV160" i="3"/>
  <c r="AU124" i="3"/>
  <c r="AT113" i="3"/>
  <c r="AU113" i="3"/>
  <c r="AV113" i="3"/>
  <c r="AT105" i="3"/>
  <c r="AU105" i="3"/>
  <c r="AT80" i="3"/>
  <c r="AV80" i="3"/>
  <c r="AU73" i="3"/>
  <c r="AU15" i="3"/>
  <c r="AT15" i="3"/>
  <c r="AU2" i="3"/>
  <c r="AV2" i="3"/>
  <c r="AV254" i="3"/>
  <c r="AT199" i="3"/>
  <c r="AU199" i="3"/>
  <c r="AT193" i="3"/>
  <c r="AU193" i="3"/>
  <c r="AT187" i="3"/>
  <c r="AU187" i="3"/>
  <c r="AT180" i="3"/>
  <c r="AU180" i="3"/>
  <c r="AV129" i="3"/>
  <c r="AV117" i="3"/>
  <c r="AT89" i="3"/>
  <c r="AU89" i="3"/>
  <c r="AT76" i="3"/>
  <c r="AV76" i="3"/>
  <c r="AV61" i="3"/>
  <c r="AU39" i="3"/>
  <c r="AT39" i="3"/>
  <c r="AU31" i="3"/>
  <c r="AT31" i="3"/>
  <c r="AV31" i="3"/>
  <c r="AV19" i="3"/>
  <c r="AV13" i="3"/>
  <c r="AV439" i="3"/>
  <c r="AV400" i="3"/>
  <c r="AU400" i="3"/>
  <c r="AU387" i="3"/>
  <c r="AV387" i="3"/>
  <c r="AT354" i="3"/>
  <c r="AV354" i="3"/>
  <c r="AV337" i="3"/>
  <c r="AV330" i="3"/>
  <c r="AU325" i="3"/>
  <c r="AT325" i="3"/>
  <c r="AV325" i="3"/>
  <c r="AV303" i="3"/>
  <c r="AT299" i="3"/>
  <c r="AU299" i="3"/>
  <c r="AV283" i="3"/>
  <c r="AT261" i="3"/>
  <c r="AU258" i="3"/>
  <c r="AT258" i="3"/>
  <c r="AV255" i="3"/>
  <c r="AT254" i="3"/>
  <c r="AT206" i="3"/>
  <c r="AU206" i="3"/>
  <c r="AT147" i="3"/>
  <c r="AU147" i="3"/>
  <c r="AV147" i="3"/>
  <c r="AU145" i="3"/>
  <c r="AT139" i="3"/>
  <c r="AU139" i="3"/>
  <c r="AV139" i="3"/>
  <c r="AT126" i="3"/>
  <c r="AU126" i="3"/>
  <c r="AV126" i="3"/>
  <c r="AU117" i="3"/>
  <c r="AT81" i="3"/>
  <c r="AU81" i="3"/>
  <c r="AU27" i="3"/>
  <c r="AT27" i="3"/>
  <c r="AV27" i="3"/>
  <c r="AT19" i="3"/>
  <c r="AT13" i="3"/>
  <c r="AU467" i="3"/>
  <c r="AT467" i="3"/>
  <c r="AV464" i="3"/>
  <c r="AT463" i="3"/>
  <c r="AU419" i="3"/>
  <c r="AT419" i="3"/>
  <c r="AT374" i="3"/>
  <c r="AV374" i="3"/>
  <c r="AU374" i="3"/>
  <c r="AT350" i="3"/>
  <c r="AV350" i="3"/>
  <c r="AT345" i="3"/>
  <c r="AV345" i="3"/>
  <c r="AV338" i="3"/>
  <c r="AT337" i="3"/>
  <c r="AT330" i="3"/>
  <c r="AU303" i="3"/>
  <c r="AV291" i="3"/>
  <c r="AU290" i="3"/>
  <c r="AT285" i="3"/>
  <c r="AV285" i="3"/>
  <c r="AU285" i="3"/>
  <c r="AU283" i="3"/>
  <c r="AT255" i="3"/>
  <c r="AT200" i="3"/>
  <c r="AU200" i="3"/>
  <c r="AT194" i="3"/>
  <c r="AU194" i="3"/>
  <c r="AT188" i="3"/>
  <c r="AU188" i="3"/>
  <c r="AT181" i="3"/>
  <c r="AU181" i="3"/>
  <c r="AV146" i="3"/>
  <c r="AT133" i="3"/>
  <c r="AV133" i="3"/>
  <c r="AU133" i="3"/>
  <c r="AT121" i="3"/>
  <c r="AV121" i="3"/>
  <c r="AT97" i="3"/>
  <c r="AV97" i="3"/>
  <c r="AV62" i="3"/>
  <c r="AU47" i="3"/>
  <c r="AV47" i="3"/>
  <c r="AT26" i="3"/>
  <c r="AU23" i="3"/>
  <c r="AV23" i="3"/>
  <c r="AT23" i="3"/>
  <c r="AU16" i="3"/>
  <c r="AT16" i="3"/>
  <c r="AV16" i="3"/>
  <c r="AV471" i="3"/>
  <c r="AT464" i="3"/>
  <c r="AV447" i="3"/>
  <c r="AV441" i="3"/>
  <c r="AT440" i="3"/>
  <c r="AV417" i="3"/>
  <c r="AT410" i="3"/>
  <c r="AU380" i="3"/>
  <c r="AT380" i="3"/>
  <c r="AV380" i="3"/>
  <c r="AT360" i="3"/>
  <c r="AV360" i="3"/>
  <c r="AT340" i="3"/>
  <c r="AV340" i="3"/>
  <c r="AU340" i="3"/>
  <c r="AV339" i="3"/>
  <c r="AU326" i="3"/>
  <c r="AV326" i="3"/>
  <c r="AT307" i="3"/>
  <c r="AU291" i="3"/>
  <c r="AT262" i="3"/>
  <c r="AT256" i="3"/>
  <c r="AU249" i="3"/>
  <c r="AV249" i="3"/>
  <c r="AU231" i="3"/>
  <c r="AT207" i="3"/>
  <c r="AU207" i="3"/>
  <c r="AV166" i="3"/>
  <c r="AT166" i="3"/>
  <c r="AU146" i="3"/>
  <c r="AV105" i="3"/>
  <c r="AT102" i="3"/>
  <c r="AU102" i="3"/>
  <c r="AV102" i="3"/>
  <c r="AT98" i="3"/>
  <c r="AT90" i="3"/>
  <c r="AU90" i="3"/>
  <c r="AV90" i="3"/>
  <c r="AU80" i="3"/>
  <c r="AT77" i="3"/>
  <c r="AU77" i="3"/>
  <c r="AV77" i="3"/>
  <c r="AT471" i="3"/>
  <c r="AV466" i="3"/>
  <c r="AT465" i="3"/>
  <c r="AU458" i="3"/>
  <c r="AV458" i="3"/>
  <c r="AT447" i="3"/>
  <c r="AV442" i="3"/>
  <c r="AT441" i="3"/>
  <c r="AU434" i="3"/>
  <c r="AV434" i="3"/>
  <c r="AT423" i="3"/>
  <c r="AV418" i="3"/>
  <c r="AT417" i="3"/>
  <c r="AT411" i="3"/>
  <c r="AU393" i="3"/>
  <c r="AU388" i="3"/>
  <c r="AT388" i="3"/>
  <c r="AV388" i="3"/>
  <c r="AT365" i="3"/>
  <c r="AV365" i="3"/>
  <c r="AU365" i="3"/>
  <c r="AT339" i="3"/>
  <c r="AT315" i="3"/>
  <c r="AT300" i="3"/>
  <c r="AV300" i="3"/>
  <c r="AU300" i="3"/>
  <c r="AT273" i="3"/>
  <c r="AV273" i="3"/>
  <c r="AT267" i="3"/>
  <c r="AU259" i="3"/>
  <c r="AT259" i="3"/>
  <c r="AV259" i="3"/>
  <c r="AT257" i="3"/>
  <c r="AT235" i="3"/>
  <c r="AU232" i="3"/>
  <c r="AT231" i="3"/>
  <c r="AT201" i="3"/>
  <c r="AU201" i="3"/>
  <c r="AT195" i="3"/>
  <c r="AU195" i="3"/>
  <c r="AT189" i="3"/>
  <c r="AU189" i="3"/>
  <c r="AT182" i="3"/>
  <c r="AU182" i="3"/>
  <c r="AT153" i="3"/>
  <c r="AU153" i="3"/>
  <c r="AV153" i="3"/>
  <c r="AT148" i="3"/>
  <c r="AV148" i="3"/>
  <c r="AU148" i="3"/>
  <c r="AT109" i="3"/>
  <c r="AV109" i="3"/>
  <c r="AV89" i="3"/>
  <c r="AU76" i="3"/>
  <c r="AT65" i="3"/>
  <c r="AU65" i="3"/>
  <c r="AV65" i="3"/>
  <c r="AU63" i="3"/>
  <c r="AU52" i="3"/>
  <c r="AT52" i="3"/>
  <c r="AV52" i="3"/>
  <c r="AU48" i="3"/>
  <c r="AT48" i="3"/>
  <c r="AV39" i="3"/>
  <c r="AU28" i="3"/>
  <c r="AT28" i="3"/>
  <c r="AV28" i="3"/>
  <c r="AT275" i="3"/>
  <c r="AU275" i="3"/>
  <c r="AU455" i="3"/>
  <c r="AT455" i="3"/>
  <c r="AU377" i="3"/>
  <c r="AT377" i="3"/>
  <c r="AT357" i="3"/>
  <c r="AV357" i="3"/>
  <c r="AU357" i="3"/>
  <c r="AU329" i="3"/>
  <c r="AV329" i="3"/>
  <c r="AT317" i="3"/>
  <c r="AU317" i="3"/>
  <c r="AV317" i="3"/>
  <c r="AT302" i="3"/>
  <c r="AV302" i="3"/>
  <c r="AU5" i="3"/>
  <c r="AT5" i="3"/>
  <c r="AV5" i="3"/>
  <c r="AU470" i="3"/>
  <c r="AV470" i="3"/>
  <c r="AU422" i="3"/>
  <c r="AV422" i="3"/>
  <c r="AT358" i="3"/>
  <c r="AV358" i="3"/>
  <c r="AT297" i="3"/>
  <c r="AV297" i="3"/>
  <c r="AT239" i="3"/>
  <c r="AU406" i="3"/>
  <c r="AT363" i="3"/>
  <c r="AV363" i="3"/>
  <c r="AU363" i="3"/>
  <c r="AU331" i="3"/>
  <c r="AT331" i="3"/>
  <c r="AT318" i="3"/>
  <c r="AV318" i="3"/>
  <c r="AU318" i="3"/>
  <c r="AV173" i="3"/>
  <c r="AT167" i="3"/>
  <c r="AU167" i="3"/>
  <c r="AT162" i="3"/>
  <c r="AU162" i="3"/>
  <c r="AV162" i="3"/>
  <c r="AU158" i="3"/>
  <c r="AV158" i="3"/>
  <c r="AV152" i="3"/>
  <c r="AT115" i="3"/>
  <c r="AU115" i="3"/>
  <c r="AV115" i="3"/>
  <c r="AV81" i="3"/>
  <c r="AV69" i="3"/>
  <c r="AU59" i="3"/>
  <c r="AV59" i="3"/>
  <c r="AU24" i="3"/>
  <c r="AT24" i="3"/>
  <c r="AV24" i="3"/>
  <c r="AT137" i="3"/>
  <c r="AU137" i="3"/>
  <c r="AU469" i="3"/>
  <c r="AT469" i="3"/>
  <c r="AV469" i="3"/>
  <c r="AU445" i="3"/>
  <c r="AT445" i="3"/>
  <c r="AV445" i="3"/>
  <c r="AU421" i="3"/>
  <c r="AT421" i="3"/>
  <c r="AV421" i="3"/>
  <c r="AT352" i="3"/>
  <c r="AV352" i="3"/>
  <c r="AU352" i="3"/>
  <c r="AT309" i="3"/>
  <c r="AV309" i="3"/>
  <c r="AU309" i="3"/>
  <c r="AT282" i="3"/>
  <c r="AV282" i="3"/>
  <c r="AU378" i="3"/>
  <c r="AV378" i="3"/>
  <c r="AU338" i="3"/>
  <c r="AU6" i="3"/>
  <c r="AV6" i="3"/>
  <c r="AT408" i="3"/>
  <c r="AU386" i="3"/>
  <c r="AT386" i="3"/>
  <c r="AT284" i="3"/>
  <c r="AU284" i="3"/>
  <c r="AV137" i="3"/>
  <c r="AV455" i="3"/>
  <c r="AV431" i="3"/>
  <c r="AV377" i="3"/>
  <c r="AU372" i="3"/>
  <c r="AT344" i="3"/>
  <c r="AV344" i="3"/>
  <c r="AT329" i="3"/>
  <c r="AT323" i="3"/>
  <c r="AT271" i="3"/>
  <c r="AV463" i="3"/>
  <c r="AT409" i="3"/>
  <c r="AT369" i="3"/>
  <c r="AV369" i="3"/>
  <c r="AV290" i="3"/>
  <c r="AV169" i="3"/>
  <c r="AU443" i="3"/>
  <c r="AT443" i="3"/>
  <c r="AV440" i="3"/>
  <c r="AT422" i="3"/>
  <c r="AV416" i="3"/>
  <c r="AU468" i="3"/>
  <c r="AT468" i="3"/>
  <c r="AV468" i="3"/>
  <c r="AT466" i="3"/>
  <c r="AU444" i="3"/>
  <c r="AT444" i="3"/>
  <c r="AV444" i="3"/>
  <c r="AT442" i="3"/>
  <c r="AU420" i="3"/>
  <c r="AT420" i="3"/>
  <c r="AV420" i="3"/>
  <c r="AT418" i="3"/>
  <c r="AT400" i="3"/>
  <c r="AV397" i="3"/>
  <c r="AT397" i="3"/>
  <c r="AU394" i="3"/>
  <c r="AT393" i="3"/>
  <c r="AT387" i="3"/>
  <c r="AU381" i="3"/>
  <c r="AV381" i="3"/>
  <c r="AU369" i="3"/>
  <c r="AT356" i="3"/>
  <c r="AV356" i="3"/>
  <c r="AU354" i="3"/>
  <c r="AT351" i="3"/>
  <c r="AV351" i="3"/>
  <c r="AU351" i="3"/>
  <c r="AT346" i="3"/>
  <c r="AV346" i="3"/>
  <c r="AU346" i="3"/>
  <c r="AU334" i="3"/>
  <c r="AT334" i="3"/>
  <c r="AT308" i="3"/>
  <c r="AU308" i="3"/>
  <c r="AV299" i="3"/>
  <c r="AT294" i="3"/>
  <c r="AV294" i="3"/>
  <c r="AU294" i="3"/>
  <c r="AU271" i="3"/>
  <c r="AV258" i="3"/>
  <c r="AU233" i="3"/>
  <c r="AT232" i="3"/>
  <c r="AV467" i="3"/>
  <c r="AV443" i="3"/>
  <c r="AV419" i="3"/>
  <c r="AU401" i="3"/>
  <c r="AU395" i="3"/>
  <c r="AT394" i="3"/>
  <c r="AT371" i="3"/>
  <c r="AV371" i="3"/>
  <c r="AU371" i="3"/>
  <c r="AT366" i="3"/>
  <c r="AV366" i="3"/>
  <c r="AU350" i="3"/>
  <c r="AU345" i="3"/>
  <c r="AT341" i="3"/>
  <c r="AV341" i="3"/>
  <c r="AU341" i="3"/>
  <c r="AU322" i="3"/>
  <c r="AT322" i="3"/>
  <c r="AU306" i="3"/>
  <c r="AT295" i="3"/>
  <c r="AU278" i="3"/>
  <c r="AV242" i="3"/>
  <c r="AT236" i="3"/>
  <c r="AT233" i="3"/>
  <c r="AT202" i="3"/>
  <c r="AU202" i="3"/>
  <c r="AT196" i="3"/>
  <c r="AU196" i="3"/>
  <c r="AT190" i="3"/>
  <c r="AU190" i="3"/>
  <c r="AU177" i="3"/>
  <c r="AT177" i="3"/>
  <c r="AV174" i="3"/>
  <c r="AT173" i="3"/>
  <c r="AT128" i="3"/>
  <c r="AV128" i="3"/>
  <c r="AU121" i="3"/>
  <c r="AT103" i="3"/>
  <c r="AU103" i="3"/>
  <c r="AV103" i="3"/>
  <c r="AT99" i="3"/>
  <c r="AU99" i="3"/>
  <c r="AV99" i="3"/>
  <c r="AU97" i="3"/>
  <c r="AT91" i="3"/>
  <c r="AU91" i="3"/>
  <c r="AV91" i="3"/>
  <c r="AT78" i="3"/>
  <c r="AU78" i="3"/>
  <c r="AV78" i="3"/>
  <c r="AU69" i="3"/>
  <c r="AT47" i="3"/>
  <c r="AU41" i="3"/>
  <c r="AT41" i="3"/>
  <c r="AV41" i="3"/>
  <c r="AU390" i="3"/>
  <c r="AV390" i="3"/>
  <c r="AT364" i="3"/>
  <c r="AV364" i="3"/>
  <c r="AT347" i="3"/>
  <c r="AV347" i="3"/>
  <c r="AU347" i="3"/>
  <c r="AU319" i="3"/>
  <c r="AT287" i="3"/>
  <c r="AU287" i="3"/>
  <c r="AT154" i="3"/>
  <c r="AU154" i="3"/>
  <c r="AV154" i="3"/>
  <c r="AT122" i="3"/>
  <c r="AT114" i="3"/>
  <c r="AU114" i="3"/>
  <c r="AV114" i="3"/>
  <c r="AT74" i="3"/>
  <c r="AT66" i="3"/>
  <c r="AU66" i="3"/>
  <c r="AV66" i="3"/>
  <c r="AU29" i="3"/>
  <c r="AT29" i="3"/>
  <c r="AV29" i="3"/>
  <c r="AU17" i="3"/>
  <c r="AT17" i="3"/>
  <c r="AV17" i="3"/>
  <c r="AU55" i="3"/>
  <c r="AT55" i="3"/>
  <c r="AT311" i="3"/>
  <c r="AU311" i="3"/>
  <c r="AT414" i="3"/>
  <c r="AT375" i="3"/>
  <c r="AV375" i="3"/>
  <c r="AT370" i="3"/>
  <c r="AV370" i="3"/>
  <c r="AT353" i="3"/>
  <c r="AV353" i="3"/>
  <c r="AU353" i="3"/>
  <c r="AT342" i="3"/>
  <c r="AV342" i="3"/>
  <c r="AU335" i="3"/>
  <c r="AV335" i="3"/>
  <c r="AU328" i="3"/>
  <c r="AT328" i="3"/>
  <c r="AT296" i="3"/>
  <c r="AU296" i="3"/>
  <c r="AT272" i="3"/>
  <c r="AU272" i="3"/>
  <c r="AU163" i="3"/>
  <c r="AV163" i="3"/>
  <c r="AT159" i="3"/>
  <c r="AU159" i="3"/>
  <c r="AV159" i="3"/>
  <c r="AT149" i="3"/>
  <c r="AU149" i="3"/>
  <c r="AV149" i="3"/>
  <c r="AT127" i="3"/>
  <c r="AU127" i="3"/>
  <c r="AV127" i="3"/>
  <c r="AT101" i="3"/>
  <c r="AU101" i="3"/>
  <c r="AV101" i="3"/>
  <c r="AT79" i="3"/>
  <c r="AU79" i="3"/>
  <c r="AV79" i="3"/>
  <c r="AU51" i="3"/>
  <c r="AT51" i="3"/>
  <c r="AV51" i="3"/>
  <c r="AU25" i="3"/>
  <c r="AT25" i="3"/>
  <c r="AV25" i="3"/>
  <c r="AU4" i="3"/>
  <c r="AT4" i="3"/>
  <c r="AV4" i="3"/>
  <c r="AT359" i="3"/>
  <c r="AV359" i="3"/>
  <c r="AU359" i="3"/>
  <c r="AT348" i="3"/>
  <c r="AV348" i="3"/>
  <c r="AU320" i="3"/>
  <c r="AV320" i="3"/>
  <c r="AT312" i="3"/>
  <c r="AV312" i="3"/>
  <c r="AT305" i="3"/>
  <c r="AU305" i="3"/>
  <c r="AT288" i="3"/>
  <c r="AV288" i="3"/>
  <c r="AT281" i="3"/>
  <c r="AU281" i="3"/>
  <c r="AT123" i="3"/>
  <c r="AU123" i="3"/>
  <c r="AT75" i="3"/>
  <c r="AU75" i="3"/>
  <c r="AU30" i="3"/>
  <c r="AV30" i="3"/>
  <c r="AU379" i="3"/>
  <c r="AU333" i="3"/>
  <c r="AU321" i="3"/>
  <c r="AT310" i="3"/>
  <c r="AT298" i="3"/>
  <c r="AT286" i="3"/>
  <c r="AU382" i="3"/>
  <c r="AT373" i="3"/>
  <c r="AV373" i="3"/>
  <c r="AT367" i="3"/>
  <c r="AV367" i="3"/>
  <c r="AT361" i="3"/>
  <c r="AV361" i="3"/>
  <c r="AT355" i="3"/>
  <c r="AV355" i="3"/>
  <c r="AT349" i="3"/>
  <c r="AV349" i="3"/>
  <c r="AT343" i="3"/>
  <c r="AV343" i="3"/>
  <c r="AU336" i="3"/>
  <c r="AU324" i="3"/>
  <c r="AT313" i="3"/>
  <c r="AT301" i="3"/>
  <c r="AT289" i="3"/>
  <c r="AT277" i="3"/>
  <c r="AT265" i="3"/>
  <c r="AT156" i="3"/>
  <c r="AU156" i="3"/>
  <c r="AT150" i="3"/>
  <c r="AU150" i="3"/>
  <c r="AT140" i="3"/>
  <c r="AV140" i="3"/>
  <c r="AT134" i="3"/>
  <c r="AT116" i="3"/>
  <c r="AV116" i="3"/>
  <c r="AT110" i="3"/>
  <c r="AT92" i="3"/>
  <c r="AV92" i="3"/>
  <c r="AT86" i="3"/>
  <c r="AT68" i="3"/>
  <c r="AV68" i="3"/>
  <c r="AU60" i="3"/>
  <c r="AU42" i="3"/>
  <c r="AV42" i="3"/>
  <c r="AU36" i="3"/>
  <c r="AU18" i="3"/>
  <c r="AV18" i="3"/>
  <c r="AU12" i="3"/>
  <c r="AT161" i="3"/>
  <c r="AU161" i="3"/>
  <c r="AV161" i="3"/>
  <c r="AT157" i="3"/>
  <c r="AU157" i="3"/>
  <c r="AT151" i="3"/>
  <c r="AU151" i="3"/>
  <c r="AT136" i="3"/>
  <c r="AT112" i="3"/>
  <c r="AT88" i="3"/>
  <c r="AU38" i="3"/>
  <c r="AU14" i="3"/>
  <c r="AU385" i="3"/>
  <c r="AU327" i="3"/>
  <c r="AT316" i="3"/>
  <c r="AT304" i="3"/>
  <c r="AT292" i="3"/>
  <c r="AT280" i="3"/>
  <c r="AT268" i="3"/>
  <c r="AV11" i="3"/>
  <c r="AU7" i="3"/>
  <c r="AT142" i="3"/>
  <c r="AT130" i="3"/>
  <c r="AT118" i="3"/>
  <c r="AT106" i="3"/>
  <c r="AT94" i="3"/>
  <c r="AT82" i="3"/>
  <c r="AT70" i="3"/>
  <c r="AU56" i="3"/>
  <c r="AU44" i="3"/>
  <c r="AU32" i="3"/>
  <c r="AU20" i="3"/>
  <c r="AU8" i="3"/>
  <c r="G2" i="2" l="1"/>
  <c r="D2" i="2" s="1"/>
  <c r="H2" i="2"/>
  <c r="G3" i="2"/>
  <c r="D3" i="2" s="1"/>
  <c r="H3" i="2"/>
  <c r="G4" i="2"/>
  <c r="D4" i="2" s="1"/>
  <c r="H4" i="2"/>
  <c r="G5" i="2"/>
  <c r="D5" i="2" s="1"/>
  <c r="H5" i="2"/>
  <c r="G6" i="2"/>
  <c r="D6" i="2" s="1"/>
  <c r="H6" i="2"/>
  <c r="G7" i="2"/>
  <c r="D7" i="2" s="1"/>
  <c r="H7" i="2"/>
  <c r="G8" i="2"/>
  <c r="D8" i="2" s="1"/>
  <c r="H8" i="2"/>
  <c r="G9" i="2"/>
  <c r="D9" i="2" s="1"/>
  <c r="H9" i="2"/>
  <c r="G10" i="2"/>
  <c r="H10" i="2"/>
  <c r="G11" i="2"/>
  <c r="D11" i="2" s="1"/>
  <c r="H11" i="2"/>
  <c r="G12" i="2"/>
  <c r="D12" i="2" s="1"/>
  <c r="H12" i="2"/>
  <c r="F13" i="2"/>
  <c r="G13" i="2"/>
  <c r="D13" i="2" s="1"/>
  <c r="H13" i="2"/>
  <c r="G14" i="2"/>
  <c r="D14" i="2" s="1"/>
  <c r="H14" i="2"/>
  <c r="D15" i="2"/>
  <c r="H15" i="2"/>
  <c r="G16" i="2"/>
  <c r="H16" i="2"/>
  <c r="G17" i="2"/>
  <c r="F17" i="2" s="1"/>
  <c r="H17" i="2"/>
  <c r="G18" i="2"/>
  <c r="D18" i="2" s="1"/>
  <c r="H18" i="2"/>
  <c r="F19" i="2"/>
  <c r="G19" i="2"/>
  <c r="D19" i="2" s="1"/>
  <c r="H19" i="2"/>
  <c r="G20" i="2"/>
  <c r="D20" i="2" s="1"/>
  <c r="H20" i="2"/>
  <c r="D21" i="2"/>
  <c r="G21" i="2"/>
  <c r="F21" i="2" s="1"/>
  <c r="H21" i="2"/>
  <c r="G22" i="2"/>
  <c r="D22" i="2" s="1"/>
  <c r="H22" i="2"/>
  <c r="D23" i="2"/>
  <c r="G23" i="2"/>
  <c r="F23" i="2" s="1"/>
  <c r="H23" i="2"/>
  <c r="G24" i="2"/>
  <c r="D24" i="2" s="1"/>
  <c r="H24" i="2"/>
  <c r="G25" i="2"/>
  <c r="D25" i="2" s="1"/>
  <c r="H25" i="2"/>
  <c r="G26" i="2"/>
  <c r="D26" i="2" s="1"/>
  <c r="H26" i="2"/>
  <c r="G27" i="2"/>
  <c r="D27" i="2" s="1"/>
  <c r="H27" i="2"/>
  <c r="G28" i="2"/>
  <c r="D28" i="2" s="1"/>
  <c r="H28" i="2"/>
  <c r="G29" i="2"/>
  <c r="H29" i="2"/>
  <c r="F30" i="2"/>
  <c r="G30" i="2"/>
  <c r="D30" i="2" s="1"/>
  <c r="H30" i="2"/>
  <c r="G31" i="2"/>
  <c r="D31" i="2" s="1"/>
  <c r="H31" i="2"/>
  <c r="G32" i="2"/>
  <c r="F32" i="2" s="1"/>
  <c r="H32" i="2"/>
  <c r="F33" i="2"/>
  <c r="G33" i="2"/>
  <c r="D33" i="2" s="1"/>
  <c r="H33" i="2"/>
  <c r="G34" i="2"/>
  <c r="D34" i="2" s="1"/>
  <c r="H34" i="2"/>
  <c r="G35" i="2"/>
  <c r="F35" i="2" s="1"/>
  <c r="H35" i="2"/>
  <c r="G36" i="2"/>
  <c r="D36" i="2" s="1"/>
  <c r="H36" i="2"/>
  <c r="G37" i="2"/>
  <c r="H37" i="2"/>
  <c r="G38" i="2"/>
  <c r="D38" i="2" s="1"/>
  <c r="H38" i="2"/>
  <c r="F39" i="2"/>
  <c r="G39" i="2"/>
  <c r="D39" i="2" s="1"/>
  <c r="H39" i="2"/>
  <c r="G40" i="2"/>
  <c r="D40" i="2" s="1"/>
  <c r="H40" i="2"/>
  <c r="G41" i="2"/>
  <c r="F41" i="2" s="1"/>
  <c r="H41" i="2"/>
  <c r="G42" i="2"/>
  <c r="D42" i="2" s="1"/>
  <c r="H42" i="2"/>
  <c r="F43" i="2"/>
  <c r="G43" i="2"/>
  <c r="D43" i="2" s="1"/>
  <c r="H43" i="2"/>
  <c r="G44" i="2"/>
  <c r="D44" i="2" s="1"/>
  <c r="H44" i="2"/>
  <c r="G45" i="2"/>
  <c r="D45" i="2" s="1"/>
  <c r="H45" i="2"/>
  <c r="G46" i="2"/>
  <c r="H46" i="2"/>
  <c r="G47" i="2"/>
  <c r="D47" i="2" s="1"/>
  <c r="H47" i="2"/>
  <c r="G48" i="2"/>
  <c r="D48" i="2" s="1"/>
  <c r="H48" i="2"/>
  <c r="G49" i="2"/>
  <c r="D49" i="2" s="1"/>
  <c r="H49" i="2"/>
  <c r="G50" i="2"/>
  <c r="H50" i="2"/>
  <c r="D51" i="2"/>
  <c r="F51" i="2"/>
  <c r="G51" i="2"/>
  <c r="H51" i="2"/>
  <c r="G52" i="2"/>
  <c r="H52" i="2"/>
  <c r="G53" i="2"/>
  <c r="F53" i="2" s="1"/>
  <c r="H53" i="2"/>
  <c r="G54" i="2"/>
  <c r="D54" i="2" s="1"/>
  <c r="H54" i="2"/>
  <c r="G55" i="2"/>
  <c r="D55" i="2" s="1"/>
  <c r="H55" i="2"/>
  <c r="G56" i="2"/>
  <c r="D56" i="2" s="1"/>
  <c r="H56" i="2"/>
  <c r="G57" i="2"/>
  <c r="D57" i="2" s="1"/>
  <c r="H57" i="2"/>
  <c r="G58" i="2"/>
  <c r="H58" i="2"/>
  <c r="G59" i="2"/>
  <c r="F59" i="2" s="1"/>
  <c r="H59" i="2"/>
  <c r="G60" i="2"/>
  <c r="D60" i="2" s="1"/>
  <c r="H60" i="2"/>
  <c r="G61" i="2"/>
  <c r="D61" i="2" s="1"/>
  <c r="H61" i="2"/>
  <c r="D62" i="2"/>
  <c r="F62" i="2"/>
  <c r="G62" i="2"/>
  <c r="H62" i="2"/>
  <c r="G63" i="2"/>
  <c r="D63" i="2" s="1"/>
  <c r="H63" i="2"/>
  <c r="G64" i="2"/>
  <c r="H64" i="2"/>
  <c r="G65" i="2"/>
  <c r="F65" i="2" s="1"/>
  <c r="H65" i="2"/>
  <c r="G66" i="2"/>
  <c r="D66" i="2" s="1"/>
  <c r="H66" i="2"/>
  <c r="G67" i="2"/>
  <c r="D67" i="2" s="1"/>
  <c r="H67" i="2"/>
  <c r="G68" i="2"/>
  <c r="D68" i="2" s="1"/>
  <c r="H68" i="2"/>
  <c r="G69" i="2"/>
  <c r="F69" i="2" s="1"/>
  <c r="H69" i="2"/>
  <c r="G70" i="2"/>
  <c r="D70" i="2" s="1"/>
  <c r="H70" i="2"/>
  <c r="G71" i="2"/>
  <c r="F71" i="2" s="1"/>
  <c r="H71" i="2"/>
  <c r="G72" i="2"/>
  <c r="D72" i="2" s="1"/>
  <c r="H72" i="2"/>
  <c r="G73" i="2"/>
  <c r="H73" i="2"/>
  <c r="G74" i="2"/>
  <c r="D74" i="2" s="1"/>
  <c r="H74" i="2"/>
  <c r="G75" i="2"/>
  <c r="D75" i="2" s="1"/>
  <c r="H75" i="2"/>
  <c r="G76" i="2"/>
  <c r="D76" i="2" s="1"/>
  <c r="H76" i="2"/>
  <c r="G77" i="2"/>
  <c r="D77" i="2" s="1"/>
  <c r="H77" i="2"/>
  <c r="G78" i="2"/>
  <c r="D78" i="2" s="1"/>
  <c r="H78" i="2"/>
  <c r="G79" i="2"/>
  <c r="D79" i="2" s="1"/>
  <c r="H79" i="2"/>
  <c r="G80" i="2"/>
  <c r="D80" i="2" s="1"/>
  <c r="H80" i="2"/>
  <c r="D81" i="2"/>
  <c r="G81" i="2"/>
  <c r="F81" i="2" s="1"/>
  <c r="H81" i="2"/>
  <c r="G82" i="2"/>
  <c r="H82" i="2"/>
  <c r="G83" i="2"/>
  <c r="D83" i="2" s="1"/>
  <c r="H83" i="2"/>
  <c r="G84" i="2"/>
  <c r="D84" i="2" s="1"/>
  <c r="H84" i="2"/>
  <c r="F85" i="2"/>
  <c r="G85" i="2"/>
  <c r="D85" i="2" s="1"/>
  <c r="H85" i="2"/>
  <c r="G86" i="2"/>
  <c r="H86" i="2"/>
  <c r="D87" i="2"/>
  <c r="F87" i="2"/>
  <c r="G87" i="2"/>
  <c r="H87" i="2"/>
  <c r="G88" i="2"/>
  <c r="H88" i="2"/>
  <c r="G89" i="2"/>
  <c r="F89" i="2" s="1"/>
  <c r="H89" i="2"/>
  <c r="F90" i="2"/>
  <c r="G90" i="2"/>
  <c r="D90" i="2" s="1"/>
  <c r="H90" i="2"/>
  <c r="F91" i="2"/>
  <c r="G91" i="2"/>
  <c r="D91" i="2" s="1"/>
  <c r="H91" i="2"/>
  <c r="G92" i="2"/>
  <c r="D92" i="2" s="1"/>
  <c r="H92" i="2"/>
  <c r="G93" i="2"/>
  <c r="F93" i="2" s="1"/>
  <c r="H93" i="2"/>
  <c r="G94" i="2"/>
  <c r="H94" i="2"/>
  <c r="G95" i="2"/>
  <c r="F95" i="2" s="1"/>
  <c r="H95" i="2"/>
  <c r="G96" i="2"/>
  <c r="D96" i="2" s="1"/>
  <c r="H96" i="2"/>
  <c r="G97" i="2"/>
  <c r="D97" i="2" s="1"/>
  <c r="H97" i="2"/>
  <c r="F98" i="2"/>
  <c r="G98" i="2"/>
  <c r="D98" i="2" s="1"/>
  <c r="H98" i="2"/>
  <c r="G99" i="2"/>
  <c r="D99" i="2" s="1"/>
  <c r="H99" i="2"/>
  <c r="G100" i="2"/>
  <c r="D100" i="2" s="1"/>
  <c r="H100" i="2"/>
  <c r="G101" i="2"/>
  <c r="F101" i="2" s="1"/>
  <c r="H101" i="2"/>
  <c r="D102" i="2"/>
  <c r="F102" i="2"/>
  <c r="G102" i="2"/>
  <c r="H102" i="2"/>
  <c r="G103" i="2"/>
  <c r="D103" i="2" s="1"/>
  <c r="H103" i="2"/>
  <c r="G104" i="2"/>
  <c r="F104" i="2" s="1"/>
  <c r="H104" i="2"/>
  <c r="G105" i="2"/>
  <c r="D105" i="2" s="1"/>
  <c r="H105" i="2"/>
  <c r="G106" i="2"/>
  <c r="D106" i="2" s="1"/>
  <c r="H106" i="2"/>
  <c r="G107" i="2"/>
  <c r="D107" i="2" s="1"/>
  <c r="H107" i="2"/>
  <c r="F108" i="2"/>
  <c r="G108" i="2"/>
  <c r="D108" i="2" s="1"/>
  <c r="H108" i="2"/>
  <c r="G109" i="2"/>
  <c r="D109" i="2" s="1"/>
  <c r="H109" i="2"/>
  <c r="G110" i="2"/>
  <c r="F110" i="2" s="1"/>
  <c r="H110" i="2"/>
  <c r="G111" i="2"/>
  <c r="D111" i="2" s="1"/>
  <c r="H111" i="2"/>
  <c r="G112" i="2"/>
  <c r="H112" i="2"/>
  <c r="G113" i="2"/>
  <c r="D113" i="2" s="1"/>
  <c r="H113" i="2"/>
  <c r="G114" i="2"/>
  <c r="D114" i="2" s="1"/>
  <c r="H114" i="2"/>
  <c r="G115" i="2"/>
  <c r="D115" i="2" s="1"/>
  <c r="H115" i="2"/>
  <c r="G116" i="2"/>
  <c r="F116" i="2" s="1"/>
  <c r="H116" i="2"/>
  <c r="F117" i="2"/>
  <c r="G117" i="2"/>
  <c r="D117" i="2" s="1"/>
  <c r="H117" i="2"/>
  <c r="G118" i="2"/>
  <c r="H118" i="2"/>
  <c r="G119" i="2"/>
  <c r="D119" i="2" s="1"/>
  <c r="H119" i="2"/>
  <c r="G120" i="2"/>
  <c r="D120" i="2" s="1"/>
  <c r="H120" i="2"/>
  <c r="G121" i="2"/>
  <c r="D121" i="2" s="1"/>
  <c r="H121" i="2"/>
  <c r="G122" i="2"/>
  <c r="D122" i="2" s="1"/>
  <c r="H122" i="2"/>
  <c r="G123" i="2"/>
  <c r="D123" i="2" s="1"/>
  <c r="H123" i="2"/>
  <c r="G124" i="2"/>
  <c r="D124" i="2" s="1"/>
  <c r="H124" i="2"/>
  <c r="G125" i="2"/>
  <c r="F125" i="2" s="1"/>
  <c r="H125" i="2"/>
  <c r="D126" i="2"/>
  <c r="F126" i="2"/>
  <c r="G126" i="2"/>
  <c r="H126" i="2"/>
  <c r="G127" i="2"/>
  <c r="D127" i="2" s="1"/>
  <c r="H127" i="2"/>
  <c r="G128" i="2"/>
  <c r="F128" i="2" s="1"/>
  <c r="H128" i="2"/>
  <c r="G129" i="2"/>
  <c r="D129" i="2" s="1"/>
  <c r="H129" i="2"/>
  <c r="G130" i="2"/>
  <c r="D130" i="2" s="1"/>
  <c r="H130" i="2"/>
  <c r="G131" i="2"/>
  <c r="F131" i="2" s="1"/>
  <c r="H131" i="2"/>
  <c r="G132" i="2"/>
  <c r="F132" i="2" s="1"/>
  <c r="H132" i="2"/>
  <c r="G133" i="2"/>
  <c r="D133" i="2" s="1"/>
  <c r="H133" i="2"/>
  <c r="G134" i="2"/>
  <c r="D134" i="2" s="1"/>
  <c r="H134" i="2"/>
  <c r="D135" i="2"/>
  <c r="F135" i="2"/>
  <c r="G135" i="2"/>
  <c r="H135" i="2"/>
  <c r="F136" i="2"/>
  <c r="G136" i="2"/>
  <c r="D136" i="2" s="1"/>
  <c r="H136" i="2"/>
  <c r="G137" i="2"/>
  <c r="D137" i="2" s="1"/>
  <c r="H137" i="2"/>
  <c r="G138" i="2"/>
  <c r="D138" i="2" s="1"/>
  <c r="H138" i="2"/>
  <c r="G139" i="2"/>
  <c r="D139" i="2" s="1"/>
  <c r="H139" i="2"/>
  <c r="G140" i="2"/>
  <c r="F140" i="2" s="1"/>
  <c r="H140" i="2"/>
  <c r="G141" i="2"/>
  <c r="F141" i="2" s="1"/>
  <c r="H141" i="2"/>
  <c r="G142" i="2"/>
  <c r="D142" i="2" s="1"/>
  <c r="H142" i="2"/>
  <c r="G143" i="2"/>
  <c r="D143" i="2" s="1"/>
  <c r="H143" i="2"/>
  <c r="G144" i="2"/>
  <c r="D144" i="2" s="1"/>
  <c r="H144" i="2"/>
  <c r="G145" i="2"/>
  <c r="D145" i="2" s="1"/>
  <c r="H145" i="2"/>
  <c r="G146" i="2"/>
  <c r="D146" i="2" s="1"/>
  <c r="H146" i="2"/>
  <c r="G147" i="2"/>
  <c r="D147" i="2" s="1"/>
  <c r="H147" i="2"/>
  <c r="G148" i="2"/>
  <c r="H148" i="2"/>
  <c r="G149" i="2"/>
  <c r="F149" i="2" s="1"/>
  <c r="H149" i="2"/>
  <c r="G150" i="2"/>
  <c r="D150" i="2" s="1"/>
  <c r="H150" i="2"/>
  <c r="G151" i="2"/>
  <c r="D151" i="2" s="1"/>
  <c r="H151" i="2"/>
  <c r="G152" i="2"/>
  <c r="D152" i="2" s="1"/>
  <c r="H152" i="2"/>
  <c r="G153" i="2"/>
  <c r="D153" i="2" s="1"/>
  <c r="H153" i="2"/>
  <c r="G154" i="2"/>
  <c r="H154" i="2"/>
  <c r="F155" i="2"/>
  <c r="G155" i="2"/>
  <c r="D155" i="2" s="1"/>
  <c r="H155" i="2"/>
  <c r="G156" i="2"/>
  <c r="D156" i="2" s="1"/>
  <c r="H156" i="2"/>
  <c r="G157" i="2"/>
  <c r="D157" i="2" s="1"/>
  <c r="H157" i="2"/>
  <c r="G158" i="2"/>
  <c r="D158" i="2" s="1"/>
  <c r="H158" i="2"/>
  <c r="D159" i="2"/>
  <c r="F159" i="2"/>
  <c r="G159" i="2"/>
  <c r="H159" i="2"/>
  <c r="G160" i="2"/>
  <c r="D160" i="2" s="1"/>
  <c r="H160" i="2"/>
  <c r="G161" i="2"/>
  <c r="F161" i="2" s="1"/>
  <c r="H161" i="2"/>
  <c r="G162" i="2"/>
  <c r="D162" i="2" s="1"/>
  <c r="H162" i="2"/>
  <c r="G163" i="2"/>
  <c r="D163" i="2" s="1"/>
  <c r="H163" i="2"/>
  <c r="G164" i="2"/>
  <c r="D164" i="2" s="1"/>
  <c r="H164" i="2"/>
  <c r="G165" i="2"/>
  <c r="D165" i="2" s="1"/>
  <c r="H165" i="2"/>
  <c r="G166" i="2"/>
  <c r="D166" i="2" s="1"/>
  <c r="H166" i="2"/>
  <c r="G167" i="2"/>
  <c r="D167" i="2" s="1"/>
  <c r="H167" i="2"/>
  <c r="G168" i="2"/>
  <c r="D168" i="2" s="1"/>
  <c r="H168" i="2"/>
  <c r="G169" i="2"/>
  <c r="D169" i="2" s="1"/>
  <c r="H169" i="2"/>
  <c r="G170" i="2"/>
  <c r="D170" i="2" s="1"/>
  <c r="H170" i="2"/>
  <c r="G171" i="2"/>
  <c r="D171" i="2" s="1"/>
  <c r="H171" i="2"/>
  <c r="G172" i="2"/>
  <c r="D172" i="2" s="1"/>
  <c r="H172" i="2"/>
  <c r="F173" i="2"/>
  <c r="G173" i="2"/>
  <c r="D173" i="2" s="1"/>
  <c r="H173" i="2"/>
  <c r="F174" i="2"/>
  <c r="G174" i="2"/>
  <c r="D174" i="2" s="1"/>
  <c r="H174" i="2"/>
  <c r="G175" i="2"/>
  <c r="D175" i="2" s="1"/>
  <c r="H175" i="2"/>
  <c r="G176" i="2"/>
  <c r="F176" i="2" s="1"/>
  <c r="H176" i="2"/>
  <c r="G177" i="2"/>
  <c r="D177" i="2" s="1"/>
  <c r="H177" i="2"/>
  <c r="G178" i="2"/>
  <c r="D178" i="2" s="1"/>
  <c r="H178" i="2"/>
  <c r="D179" i="2"/>
  <c r="F179" i="2"/>
  <c r="G179" i="2"/>
  <c r="H179" i="2"/>
  <c r="G180" i="2"/>
  <c r="D180" i="2" s="1"/>
  <c r="H180" i="2"/>
  <c r="G181" i="2"/>
  <c r="D181" i="2" s="1"/>
  <c r="H181" i="2"/>
  <c r="G182" i="2"/>
  <c r="D182" i="2" s="1"/>
  <c r="H182" i="2"/>
  <c r="D183" i="2"/>
  <c r="F183" i="2"/>
  <c r="G183" i="2"/>
  <c r="H183" i="2"/>
  <c r="G184" i="2"/>
  <c r="H184" i="2"/>
  <c r="G185" i="2"/>
  <c r="D185" i="2" s="1"/>
  <c r="H185" i="2"/>
  <c r="G186" i="2"/>
  <c r="D186" i="2" s="1"/>
  <c r="H186" i="2"/>
  <c r="G187" i="2"/>
  <c r="D187" i="2" s="1"/>
  <c r="H187" i="2"/>
  <c r="D188" i="2"/>
  <c r="G188" i="2"/>
  <c r="F188" i="2" s="1"/>
  <c r="H188" i="2"/>
  <c r="G189" i="2"/>
  <c r="D189" i="2" s="1"/>
  <c r="H189" i="2"/>
  <c r="G190" i="2"/>
  <c r="D190" i="2" s="1"/>
  <c r="H190" i="2"/>
  <c r="G191" i="2"/>
  <c r="F191" i="2" s="1"/>
  <c r="H191" i="2"/>
  <c r="D192" i="2"/>
  <c r="F192" i="2"/>
  <c r="G192" i="2"/>
  <c r="H192" i="2"/>
  <c r="G193" i="2"/>
  <c r="D193" i="2" s="1"/>
  <c r="H193" i="2"/>
  <c r="G194" i="2"/>
  <c r="D194" i="2" s="1"/>
  <c r="H194" i="2"/>
  <c r="G195" i="2"/>
  <c r="D195" i="2" s="1"/>
  <c r="H195" i="2"/>
  <c r="F196" i="2"/>
  <c r="G196" i="2"/>
  <c r="D196" i="2" s="1"/>
  <c r="H196" i="2"/>
  <c r="G197" i="2"/>
  <c r="F197" i="2" s="1"/>
  <c r="H197" i="2"/>
  <c r="G198" i="2"/>
  <c r="F198" i="2" s="1"/>
  <c r="H198" i="2"/>
  <c r="G199" i="2"/>
  <c r="D199" i="2" s="1"/>
  <c r="H199" i="2"/>
  <c r="G200" i="2"/>
  <c r="D200" i="2" s="1"/>
  <c r="H200" i="2"/>
  <c r="D201" i="2"/>
  <c r="F201" i="2"/>
  <c r="G201" i="2"/>
  <c r="H201" i="2"/>
  <c r="G202" i="2"/>
  <c r="D202" i="2" s="1"/>
  <c r="H202" i="2"/>
  <c r="G203" i="2"/>
  <c r="F203" i="2" s="1"/>
  <c r="H203" i="2"/>
  <c r="G204" i="2"/>
  <c r="D204" i="2" s="1"/>
  <c r="H204" i="2"/>
  <c r="G205" i="2"/>
  <c r="D205" i="2" s="1"/>
  <c r="H205" i="2"/>
  <c r="D206" i="2"/>
  <c r="F206" i="2"/>
  <c r="G206" i="2"/>
  <c r="H206" i="2"/>
  <c r="G207" i="2"/>
  <c r="D207" i="2" s="1"/>
  <c r="H207" i="2"/>
  <c r="G208" i="2"/>
  <c r="D208" i="2" s="1"/>
  <c r="H208" i="2"/>
  <c r="G209" i="2"/>
  <c r="D209" i="2" s="1"/>
  <c r="H209" i="2"/>
  <c r="G210" i="2"/>
  <c r="D210" i="2" s="1"/>
  <c r="H210" i="2"/>
  <c r="G211" i="2"/>
  <c r="D211" i="2" s="1"/>
  <c r="H211" i="2"/>
  <c r="G212" i="2"/>
  <c r="D212" i="2" s="1"/>
  <c r="H212" i="2"/>
  <c r="G213" i="2"/>
  <c r="F213" i="2" s="1"/>
  <c r="H213" i="2"/>
  <c r="G214" i="2"/>
  <c r="D214" i="2" s="1"/>
  <c r="H214" i="2"/>
  <c r="G215" i="2"/>
  <c r="D215" i="2" s="1"/>
  <c r="H215" i="2"/>
  <c r="G216" i="2"/>
  <c r="D216" i="2" s="1"/>
  <c r="H216" i="2"/>
  <c r="G217" i="2"/>
  <c r="D217" i="2" s="1"/>
  <c r="H217" i="2"/>
  <c r="G218" i="2"/>
  <c r="F218" i="2" s="1"/>
  <c r="H218" i="2"/>
  <c r="D219" i="2"/>
  <c r="F219" i="2"/>
  <c r="G219" i="2"/>
  <c r="H219" i="2"/>
  <c r="G220" i="2"/>
  <c r="H220" i="2"/>
  <c r="G221" i="2"/>
  <c r="F221" i="2" s="1"/>
  <c r="H221" i="2"/>
  <c r="G222" i="2"/>
  <c r="D222" i="2" s="1"/>
  <c r="H222" i="2"/>
  <c r="G223" i="2"/>
  <c r="D223" i="2" s="1"/>
  <c r="H223" i="2"/>
  <c r="G224" i="2"/>
  <c r="D224" i="2" s="1"/>
  <c r="H224" i="2"/>
  <c r="G225" i="2"/>
  <c r="F225" i="2" s="1"/>
  <c r="H225" i="2"/>
  <c r="G226" i="2"/>
  <c r="D226" i="2" s="1"/>
  <c r="H226" i="2"/>
  <c r="G227" i="2"/>
  <c r="F227" i="2" s="1"/>
  <c r="H227" i="2"/>
  <c r="F228" i="2"/>
  <c r="G228" i="2"/>
  <c r="D228" i="2" s="1"/>
  <c r="H228" i="2"/>
  <c r="G229" i="2"/>
  <c r="D229" i="2" s="1"/>
  <c r="H229" i="2"/>
  <c r="G230" i="2"/>
  <c r="D230" i="2" s="1"/>
  <c r="H230" i="2"/>
  <c r="G231" i="2"/>
  <c r="D231" i="2" s="1"/>
  <c r="H231" i="2"/>
  <c r="G232" i="2"/>
  <c r="D232" i="2" s="1"/>
  <c r="H232" i="2"/>
  <c r="G233" i="2"/>
  <c r="F233" i="2" s="1"/>
  <c r="H233" i="2"/>
  <c r="F234" i="2"/>
  <c r="G234" i="2"/>
  <c r="D234" i="2" s="1"/>
  <c r="H234" i="2"/>
  <c r="G235" i="2"/>
  <c r="D235" i="2" s="1"/>
  <c r="H235" i="2"/>
  <c r="G236" i="2"/>
  <c r="D236" i="2" s="1"/>
  <c r="H236" i="2"/>
  <c r="G237" i="2"/>
  <c r="D237" i="2" s="1"/>
  <c r="H237" i="2"/>
  <c r="F238" i="2"/>
  <c r="G238" i="2"/>
  <c r="D238" i="2" s="1"/>
  <c r="H238" i="2"/>
  <c r="G239" i="2"/>
  <c r="D239" i="2" s="1"/>
  <c r="H239" i="2"/>
  <c r="G240" i="2"/>
  <c r="D240" i="2" s="1"/>
  <c r="H240" i="2"/>
  <c r="G241" i="2"/>
  <c r="D241" i="2" s="1"/>
  <c r="H241" i="2"/>
  <c r="G242" i="2"/>
  <c r="D242" i="2" s="1"/>
  <c r="H242" i="2"/>
  <c r="G243" i="2"/>
  <c r="D243" i="2" s="1"/>
  <c r="H243" i="2"/>
  <c r="G244" i="2"/>
  <c r="D244" i="2" s="1"/>
  <c r="H244" i="2"/>
  <c r="G245" i="2"/>
  <c r="F245" i="2" s="1"/>
  <c r="H245" i="2"/>
  <c r="G246" i="2"/>
  <c r="D246" i="2" s="1"/>
  <c r="H246" i="2"/>
  <c r="G247" i="2"/>
  <c r="D247" i="2" s="1"/>
  <c r="H247" i="2"/>
  <c r="D248" i="2"/>
  <c r="G248" i="2"/>
  <c r="F248" i="2" s="1"/>
  <c r="H248" i="2"/>
  <c r="G249" i="2"/>
  <c r="D249" i="2" s="1"/>
  <c r="H249" i="2"/>
  <c r="G250" i="2"/>
  <c r="D250" i="2" s="1"/>
  <c r="H250" i="2"/>
  <c r="D251" i="2"/>
  <c r="F251" i="2"/>
  <c r="G251" i="2"/>
  <c r="H251" i="2"/>
  <c r="G252" i="2"/>
  <c r="D252" i="2" s="1"/>
  <c r="H252" i="2"/>
  <c r="G253" i="2"/>
  <c r="D253" i="2" s="1"/>
  <c r="H253" i="2"/>
  <c r="G254" i="2"/>
  <c r="D254" i="2" s="1"/>
  <c r="H254" i="2"/>
  <c r="G255" i="2"/>
  <c r="D255" i="2" s="1"/>
  <c r="H255" i="2"/>
  <c r="G256" i="2"/>
  <c r="H256" i="2"/>
  <c r="G257" i="2"/>
  <c r="D257" i="2" s="1"/>
  <c r="H257" i="2"/>
  <c r="G258" i="2"/>
  <c r="F258" i="2" s="1"/>
  <c r="H258" i="2"/>
  <c r="G259" i="2"/>
  <c r="F259" i="2" s="1"/>
  <c r="H259" i="2"/>
  <c r="G260" i="2"/>
  <c r="D260" i="2" s="1"/>
  <c r="H260" i="2"/>
  <c r="D261" i="2"/>
  <c r="G261" i="2"/>
  <c r="F261" i="2" s="1"/>
  <c r="H261" i="2"/>
  <c r="G262" i="2"/>
  <c r="F262" i="2" s="1"/>
  <c r="H262" i="2"/>
  <c r="G263" i="2"/>
  <c r="F263" i="2" s="1"/>
  <c r="H263" i="2"/>
  <c r="D264" i="2"/>
  <c r="F264" i="2"/>
  <c r="G264" i="2"/>
  <c r="H264" i="2"/>
  <c r="G265" i="2"/>
  <c r="F265" i="2" s="1"/>
  <c r="H265" i="2"/>
  <c r="G266" i="2"/>
  <c r="D266" i="2" s="1"/>
  <c r="H266" i="2"/>
  <c r="G267" i="2"/>
  <c r="D267" i="2" s="1"/>
  <c r="H267" i="2"/>
  <c r="G268" i="2"/>
  <c r="F268" i="2" s="1"/>
  <c r="H268" i="2"/>
  <c r="D269" i="2"/>
  <c r="G269" i="2"/>
  <c r="F269" i="2" s="1"/>
  <c r="H269" i="2"/>
  <c r="F270" i="2"/>
  <c r="G270" i="2"/>
  <c r="D270" i="2" s="1"/>
  <c r="H270" i="2"/>
  <c r="G271" i="2"/>
  <c r="F271" i="2" s="1"/>
  <c r="H271" i="2"/>
  <c r="G272" i="2"/>
  <c r="D272" i="2" s="1"/>
  <c r="H272" i="2"/>
  <c r="G273" i="2"/>
  <c r="D273" i="2" s="1"/>
  <c r="H273" i="2"/>
  <c r="G274" i="2"/>
  <c r="F274" i="2" s="1"/>
  <c r="H274" i="2"/>
  <c r="G275" i="2"/>
  <c r="D275" i="2" s="1"/>
  <c r="H275" i="2"/>
  <c r="G276" i="2"/>
  <c r="D276" i="2" s="1"/>
  <c r="H276" i="2"/>
  <c r="G277" i="2"/>
  <c r="F277" i="2" s="1"/>
  <c r="H277" i="2"/>
  <c r="G278" i="2"/>
  <c r="F278" i="2" s="1"/>
  <c r="H278" i="2"/>
  <c r="D279" i="2"/>
  <c r="G279" i="2"/>
  <c r="F279" i="2" s="1"/>
  <c r="H279" i="2"/>
  <c r="G280" i="2"/>
  <c r="F280" i="2" s="1"/>
  <c r="H280" i="2"/>
  <c r="G281" i="2"/>
  <c r="F281" i="2" s="1"/>
  <c r="H281" i="2"/>
  <c r="G282" i="2"/>
  <c r="F282" i="2" s="1"/>
  <c r="H282" i="2"/>
  <c r="D283" i="2"/>
  <c r="G283" i="2"/>
  <c r="F283" i="2" s="1"/>
  <c r="H283" i="2"/>
  <c r="G284" i="2"/>
  <c r="D284" i="2" s="1"/>
  <c r="H284" i="2"/>
  <c r="G285" i="2"/>
  <c r="D285" i="2" s="1"/>
  <c r="H285" i="2"/>
  <c r="G286" i="2"/>
  <c r="F286" i="2" s="1"/>
  <c r="H286" i="2"/>
  <c r="G287" i="2"/>
  <c r="D287" i="2" s="1"/>
  <c r="H287" i="2"/>
  <c r="G288" i="2"/>
  <c r="F288" i="2" s="1"/>
  <c r="H288" i="2"/>
  <c r="G289" i="2"/>
  <c r="F289" i="2" s="1"/>
  <c r="H289" i="2"/>
  <c r="G290" i="2"/>
  <c r="D290" i="2" s="1"/>
  <c r="H290" i="2"/>
  <c r="G291" i="2"/>
  <c r="D291" i="2" s="1"/>
  <c r="H291" i="2"/>
  <c r="G292" i="2"/>
  <c r="F292" i="2" s="1"/>
  <c r="H292" i="2"/>
  <c r="G293" i="2"/>
  <c r="D293" i="2" s="1"/>
  <c r="H293" i="2"/>
  <c r="G294" i="2"/>
  <c r="F294" i="2" s="1"/>
  <c r="H294" i="2"/>
  <c r="G295" i="2"/>
  <c r="F295" i="2" s="1"/>
  <c r="H295" i="2"/>
  <c r="F296" i="2"/>
  <c r="G296" i="2"/>
  <c r="D296" i="2" s="1"/>
  <c r="H296" i="2"/>
  <c r="G297" i="2"/>
  <c r="D297" i="2" s="1"/>
  <c r="H297" i="2"/>
  <c r="G298" i="2"/>
  <c r="F298" i="2" s="1"/>
  <c r="H298" i="2"/>
  <c r="G299" i="2"/>
  <c r="F299" i="2" s="1"/>
  <c r="H299" i="2"/>
  <c r="G300" i="2"/>
  <c r="D300" i="2" s="1"/>
  <c r="H300" i="2"/>
  <c r="G301" i="2"/>
  <c r="F301" i="2" s="1"/>
  <c r="H301" i="2"/>
  <c r="G302" i="2"/>
  <c r="F302" i="2" s="1"/>
  <c r="H302" i="2"/>
  <c r="G303" i="2"/>
  <c r="D303" i="2" s="1"/>
  <c r="H303" i="2"/>
  <c r="G304" i="2"/>
  <c r="F304" i="2" s="1"/>
  <c r="H304" i="2"/>
  <c r="G305" i="2"/>
  <c r="D305" i="2" s="1"/>
  <c r="H305" i="2"/>
  <c r="D306" i="2"/>
  <c r="F306" i="2"/>
  <c r="G306" i="2"/>
  <c r="H306" i="2"/>
  <c r="G307" i="2"/>
  <c r="F307" i="2" s="1"/>
  <c r="H307" i="2"/>
  <c r="G308" i="2"/>
  <c r="D308" i="2" s="1"/>
  <c r="H308" i="2"/>
  <c r="D309" i="2"/>
  <c r="G309" i="2"/>
  <c r="F309" i="2" s="1"/>
  <c r="H309" i="2"/>
  <c r="G310" i="2"/>
  <c r="F310" i="2" s="1"/>
  <c r="H310" i="2"/>
  <c r="G311" i="2"/>
  <c r="D311" i="2" s="1"/>
  <c r="H311" i="2"/>
  <c r="G312" i="2"/>
  <c r="D312" i="2" s="1"/>
  <c r="H312" i="2"/>
  <c r="G313" i="2"/>
  <c r="F313" i="2" s="1"/>
  <c r="H313" i="2"/>
  <c r="G314" i="2"/>
  <c r="F314" i="2" s="1"/>
  <c r="H314" i="2"/>
  <c r="F315" i="2"/>
  <c r="G315" i="2"/>
  <c r="D315" i="2" s="1"/>
  <c r="H315" i="2"/>
  <c r="G316" i="2"/>
  <c r="F316" i="2" s="1"/>
  <c r="H316" i="2"/>
  <c r="G317" i="2"/>
  <c r="D317" i="2" s="1"/>
  <c r="H317" i="2"/>
  <c r="G318" i="2"/>
  <c r="D318" i="2" s="1"/>
  <c r="H318" i="2"/>
  <c r="D319" i="2"/>
  <c r="G319" i="2"/>
  <c r="F319" i="2" s="1"/>
  <c r="H319" i="2"/>
  <c r="G320" i="2"/>
  <c r="D320" i="2" s="1"/>
  <c r="H320" i="2"/>
  <c r="G321" i="2"/>
  <c r="F321" i="2" s="1"/>
  <c r="H321" i="2"/>
  <c r="G322" i="2"/>
  <c r="F322" i="2" s="1"/>
  <c r="H322" i="2"/>
  <c r="G323" i="2"/>
  <c r="D323" i="2" s="1"/>
  <c r="H323" i="2"/>
  <c r="G324" i="2"/>
  <c r="D324" i="2" s="1"/>
  <c r="H324" i="2"/>
  <c r="D325" i="2"/>
  <c r="G325" i="2"/>
  <c r="F325" i="2" s="1"/>
  <c r="H325" i="2"/>
  <c r="G326" i="2"/>
  <c r="D326" i="2" s="1"/>
  <c r="H326" i="2"/>
  <c r="G327" i="2"/>
  <c r="D327" i="2" s="1"/>
  <c r="H327" i="2"/>
  <c r="G328" i="2"/>
  <c r="F328" i="2" s="1"/>
  <c r="H328" i="2"/>
  <c r="G329" i="2"/>
  <c r="D329" i="2" s="1"/>
  <c r="H329" i="2"/>
  <c r="G330" i="2"/>
  <c r="D330" i="2" s="1"/>
  <c r="H330" i="2"/>
  <c r="G331" i="2"/>
  <c r="F331" i="2" s="1"/>
  <c r="H331" i="2"/>
  <c r="G332" i="2"/>
  <c r="D332" i="2" s="1"/>
  <c r="H332" i="2"/>
  <c r="D333" i="2"/>
  <c r="G333" i="2"/>
  <c r="F333" i="2" s="1"/>
  <c r="H333" i="2"/>
  <c r="G334" i="2"/>
  <c r="F334" i="2" s="1"/>
  <c r="H334" i="2"/>
  <c r="G335" i="2"/>
  <c r="F335" i="2" s="1"/>
  <c r="H335" i="2"/>
  <c r="G336" i="2"/>
  <c r="D336" i="2" s="1"/>
  <c r="H336" i="2"/>
  <c r="G337" i="2"/>
  <c r="F337" i="2" s="1"/>
  <c r="H337" i="2"/>
  <c r="G338" i="2"/>
  <c r="D338" i="2" s="1"/>
  <c r="H338" i="2"/>
  <c r="G339" i="2"/>
  <c r="D339" i="2" s="1"/>
  <c r="H339" i="2"/>
  <c r="G340" i="2"/>
  <c r="F340" i="2" s="1"/>
  <c r="H340" i="2"/>
  <c r="G341" i="2"/>
  <c r="D341" i="2" s="1"/>
  <c r="H341" i="2"/>
  <c r="G342" i="2"/>
  <c r="D342" i="2" s="1"/>
  <c r="H342" i="2"/>
  <c r="D343" i="2"/>
  <c r="G343" i="2"/>
  <c r="F343" i="2" s="1"/>
  <c r="H343" i="2"/>
  <c r="G344" i="2"/>
  <c r="D344" i="2" s="1"/>
  <c r="H344" i="2"/>
  <c r="G345" i="2"/>
  <c r="D345" i="2" s="1"/>
  <c r="H345" i="2"/>
  <c r="G346" i="2"/>
  <c r="F346" i="2" s="1"/>
  <c r="H346" i="2"/>
  <c r="G347" i="2"/>
  <c r="D347" i="2" s="1"/>
  <c r="H347" i="2"/>
  <c r="D348" i="2"/>
  <c r="G348" i="2"/>
  <c r="F348" i="2" s="1"/>
  <c r="H348" i="2"/>
  <c r="G349" i="2"/>
  <c r="F349" i="2" s="1"/>
  <c r="H349" i="2"/>
  <c r="G350" i="2"/>
  <c r="F350" i="2" s="1"/>
  <c r="H350" i="2"/>
  <c r="G351" i="2"/>
  <c r="D351" i="2" s="1"/>
  <c r="H351" i="2"/>
  <c r="G352" i="2"/>
  <c r="F352" i="2" s="1"/>
  <c r="H352" i="2"/>
  <c r="G353" i="2"/>
  <c r="D353" i="2" s="1"/>
  <c r="H353" i="2"/>
  <c r="G354" i="2"/>
  <c r="D354" i="2" s="1"/>
  <c r="H354" i="2"/>
  <c r="D355" i="2"/>
  <c r="G355" i="2"/>
  <c r="F355" i="2" s="1"/>
  <c r="H355" i="2"/>
  <c r="G356" i="2"/>
  <c r="F356" i="2" s="1"/>
  <c r="H356" i="2"/>
  <c r="G357" i="2"/>
  <c r="D357" i="2" s="1"/>
  <c r="H357" i="2"/>
  <c r="G358" i="2"/>
  <c r="F358" i="2" s="1"/>
  <c r="H358" i="2"/>
  <c r="G359" i="2"/>
  <c r="D359" i="2" s="1"/>
  <c r="H359" i="2"/>
  <c r="G360" i="2"/>
  <c r="D360" i="2" s="1"/>
  <c r="H360" i="2"/>
  <c r="G361" i="2"/>
  <c r="F361" i="2" s="1"/>
  <c r="H361" i="2"/>
  <c r="G362" i="2"/>
  <c r="D362" i="2" s="1"/>
  <c r="H362" i="2"/>
  <c r="G363" i="2"/>
  <c r="F363" i="2" s="1"/>
  <c r="H363" i="2"/>
  <c r="G364" i="2"/>
  <c r="F364" i="2" s="1"/>
  <c r="H364" i="2"/>
  <c r="G365" i="2"/>
  <c r="D365" i="2" s="1"/>
  <c r="H365" i="2"/>
  <c r="G366" i="2"/>
  <c r="F366" i="2" s="1"/>
  <c r="H366" i="2"/>
  <c r="G367" i="2"/>
  <c r="F367" i="2" s="1"/>
  <c r="H367" i="2"/>
  <c r="G368" i="2"/>
  <c r="D368" i="2" s="1"/>
  <c r="H368" i="2"/>
  <c r="D369" i="2"/>
  <c r="G369" i="2"/>
  <c r="F369" i="2" s="1"/>
  <c r="H369" i="2"/>
  <c r="G370" i="2"/>
  <c r="F370" i="2" s="1"/>
  <c r="H370" i="2"/>
  <c r="G371" i="2"/>
  <c r="F371" i="2" s="1"/>
  <c r="H371" i="2"/>
  <c r="G372" i="2"/>
  <c r="F372" i="2" s="1"/>
  <c r="H372" i="2"/>
  <c r="G373" i="2"/>
  <c r="F373" i="2" s="1"/>
  <c r="H373" i="2"/>
  <c r="D374" i="2"/>
  <c r="F374" i="2"/>
  <c r="G374" i="2"/>
  <c r="H374" i="2"/>
  <c r="G375" i="2"/>
  <c r="D375" i="2" s="1"/>
  <c r="H375" i="2"/>
  <c r="G376" i="2"/>
  <c r="F376" i="2" s="1"/>
  <c r="H376" i="2"/>
  <c r="G377" i="2"/>
  <c r="D377" i="2" s="1"/>
  <c r="H377" i="2"/>
  <c r="G378" i="2"/>
  <c r="D378" i="2" s="1"/>
  <c r="H378" i="2"/>
  <c r="G379" i="2"/>
  <c r="F379" i="2" s="1"/>
  <c r="H379" i="2"/>
  <c r="G380" i="2"/>
  <c r="D380" i="2" s="1"/>
  <c r="H380" i="2"/>
  <c r="G381" i="2"/>
  <c r="D381" i="2" s="1"/>
  <c r="H381" i="2"/>
  <c r="G382" i="2"/>
  <c r="F382" i="2" s="1"/>
  <c r="H382" i="2"/>
  <c r="G383" i="2"/>
  <c r="D383" i="2" s="1"/>
  <c r="H383" i="2"/>
  <c r="G384" i="2"/>
  <c r="F384" i="2" s="1"/>
  <c r="H384" i="2"/>
  <c r="G385" i="2"/>
  <c r="F385" i="2" s="1"/>
  <c r="H385" i="2"/>
  <c r="G386" i="2"/>
  <c r="F386" i="2" s="1"/>
  <c r="H386" i="2"/>
  <c r="G387" i="2"/>
  <c r="D387" i="2" s="1"/>
  <c r="H387" i="2"/>
  <c r="G388" i="2"/>
  <c r="F388" i="2" s="1"/>
  <c r="H388" i="2"/>
  <c r="D389" i="2"/>
  <c r="G389" i="2"/>
  <c r="F389" i="2" s="1"/>
  <c r="H389" i="2"/>
  <c r="G390" i="2"/>
  <c r="D390" i="2" s="1"/>
  <c r="H390" i="2"/>
  <c r="G391" i="2"/>
  <c r="F391" i="2" s="1"/>
  <c r="H391" i="2"/>
  <c r="G392" i="2"/>
  <c r="D392" i="2" s="1"/>
  <c r="H392" i="2"/>
  <c r="G393" i="2"/>
  <c r="D393" i="2" s="1"/>
  <c r="H393" i="2"/>
  <c r="G394" i="2"/>
  <c r="F394" i="2" s="1"/>
  <c r="H394" i="2"/>
  <c r="G395" i="2"/>
  <c r="D395" i="2" s="1"/>
  <c r="H395" i="2"/>
  <c r="G396" i="2"/>
  <c r="D396" i="2" s="1"/>
  <c r="H396" i="2"/>
  <c r="G397" i="2"/>
  <c r="F397" i="2" s="1"/>
  <c r="H397" i="2"/>
  <c r="G398" i="2"/>
  <c r="F398" i="2" s="1"/>
  <c r="H398" i="2"/>
  <c r="D399" i="2"/>
  <c r="G399" i="2"/>
  <c r="F399" i="2" s="1"/>
  <c r="H399" i="2"/>
  <c r="G400" i="2"/>
  <c r="F400" i="2" s="1"/>
  <c r="H400" i="2"/>
  <c r="G401" i="2"/>
  <c r="D401" i="2" s="1"/>
  <c r="H401" i="2"/>
  <c r="G402" i="2"/>
  <c r="D402" i="2" s="1"/>
  <c r="H402" i="2"/>
  <c r="D403" i="2"/>
  <c r="G403" i="2"/>
  <c r="F403" i="2" s="1"/>
  <c r="H403" i="2"/>
  <c r="F404" i="2"/>
  <c r="G404" i="2"/>
  <c r="D404" i="2" s="1"/>
  <c r="H404" i="2"/>
  <c r="G405" i="2"/>
  <c r="D405" i="2" s="1"/>
  <c r="H405" i="2"/>
  <c r="G406" i="2"/>
  <c r="F406" i="2" s="1"/>
  <c r="H406" i="2"/>
  <c r="G407" i="2"/>
  <c r="F407" i="2" s="1"/>
  <c r="H407" i="2"/>
  <c r="G408" i="2"/>
  <c r="D408" i="2" s="1"/>
  <c r="H408" i="2"/>
  <c r="D409" i="2"/>
  <c r="G409" i="2"/>
  <c r="F409" i="2" s="1"/>
  <c r="H409" i="2"/>
  <c r="G410" i="2"/>
  <c r="D410" i="2" s="1"/>
  <c r="H410" i="2"/>
  <c r="G411" i="2"/>
  <c r="F411" i="2" s="1"/>
  <c r="H411" i="2"/>
  <c r="G412" i="2"/>
  <c r="F412" i="2" s="1"/>
  <c r="H412" i="2"/>
  <c r="G413" i="2"/>
  <c r="D413" i="2" s="1"/>
  <c r="H413" i="2"/>
  <c r="G414" i="2"/>
  <c r="D414" i="2" s="1"/>
  <c r="H414" i="2"/>
  <c r="G415" i="2"/>
  <c r="F415" i="2" s="1"/>
  <c r="H415" i="2"/>
  <c r="G416" i="2"/>
  <c r="D416" i="2" s="1"/>
  <c r="H416" i="2"/>
  <c r="F417" i="2"/>
  <c r="G417" i="2"/>
  <c r="D417" i="2" s="1"/>
  <c r="H417" i="2"/>
  <c r="G418" i="2"/>
  <c r="F418" i="2" s="1"/>
  <c r="H418" i="2"/>
  <c r="G419" i="2"/>
  <c r="D419" i="2" s="1"/>
  <c r="H419" i="2"/>
  <c r="G420" i="2"/>
  <c r="F420" i="2" s="1"/>
  <c r="H420" i="2"/>
  <c r="G421" i="2"/>
  <c r="F421" i="2" s="1"/>
  <c r="H421" i="2"/>
  <c r="D422" i="2"/>
  <c r="F422" i="2"/>
  <c r="G422" i="2"/>
  <c r="H422" i="2"/>
  <c r="G423" i="2"/>
  <c r="F423" i="2" s="1"/>
  <c r="H423" i="2"/>
  <c r="G424" i="2"/>
  <c r="F424" i="2" s="1"/>
  <c r="H424" i="2"/>
  <c r="G425" i="2"/>
  <c r="D425" i="2" s="1"/>
  <c r="H425" i="2"/>
  <c r="G426" i="2"/>
  <c r="D426" i="2" s="1"/>
  <c r="H426" i="2"/>
  <c r="G427" i="2"/>
  <c r="F427" i="2" s="1"/>
  <c r="H427" i="2"/>
  <c r="D428" i="2"/>
  <c r="G428" i="2"/>
  <c r="F428" i="2" s="1"/>
  <c r="H428" i="2"/>
  <c r="G429" i="2"/>
  <c r="D429" i="2" s="1"/>
  <c r="H429" i="2"/>
  <c r="G430" i="2"/>
  <c r="F430" i="2" s="1"/>
  <c r="H430" i="2"/>
  <c r="G431" i="2"/>
  <c r="F431" i="2" s="1"/>
  <c r="H431" i="2"/>
  <c r="G432" i="2"/>
  <c r="D432" i="2" s="1"/>
  <c r="H432" i="2"/>
  <c r="D433" i="2"/>
  <c r="G433" i="2"/>
  <c r="F433" i="2" s="1"/>
  <c r="H433" i="2"/>
  <c r="G434" i="2"/>
  <c r="D434" i="2" s="1"/>
  <c r="H434" i="2"/>
  <c r="G435" i="2"/>
  <c r="D435" i="2" s="1"/>
  <c r="H435" i="2"/>
  <c r="G436" i="2"/>
  <c r="F436" i="2" s="1"/>
  <c r="H436" i="2"/>
  <c r="G437" i="2"/>
  <c r="D437" i="2" s="1"/>
  <c r="H437" i="2"/>
  <c r="F438" i="2"/>
  <c r="G438" i="2"/>
  <c r="D438" i="2" s="1"/>
  <c r="H438" i="2"/>
  <c r="G439" i="2"/>
  <c r="F439" i="2" s="1"/>
  <c r="H439" i="2"/>
  <c r="G440" i="2"/>
  <c r="D440" i="2" s="1"/>
  <c r="H440" i="2"/>
  <c r="D441" i="2"/>
  <c r="F441" i="2"/>
  <c r="G441" i="2"/>
  <c r="H441" i="2"/>
  <c r="G442" i="2"/>
  <c r="F442" i="2" s="1"/>
  <c r="H442" i="2"/>
  <c r="G443" i="2"/>
  <c r="F443" i="2" s="1"/>
  <c r="H443" i="2"/>
  <c r="G444" i="2"/>
  <c r="F444" i="2" s="1"/>
  <c r="H444" i="2"/>
  <c r="G445" i="2"/>
  <c r="F445" i="2" s="1"/>
  <c r="H445" i="2"/>
  <c r="D446" i="2"/>
  <c r="G446" i="2"/>
  <c r="F446" i="2" s="1"/>
  <c r="H446" i="2"/>
  <c r="G447" i="2"/>
  <c r="D447" i="2" s="1"/>
  <c r="H447" i="2"/>
  <c r="G448" i="2"/>
  <c r="F448" i="2" s="1"/>
  <c r="H448" i="2"/>
  <c r="G449" i="2"/>
  <c r="D449" i="2" s="1"/>
  <c r="H449" i="2"/>
  <c r="G450" i="2"/>
  <c r="D450" i="2" s="1"/>
  <c r="H450" i="2"/>
  <c r="G451" i="2"/>
  <c r="D451" i="2" s="1"/>
  <c r="H451" i="2"/>
  <c r="G452" i="2"/>
  <c r="D452" i="2" s="1"/>
  <c r="H452" i="2"/>
  <c r="G453" i="2"/>
  <c r="D453" i="2" s="1"/>
  <c r="H453" i="2"/>
  <c r="G454" i="2"/>
  <c r="D454" i="2" s="1"/>
  <c r="H454" i="2"/>
  <c r="G455" i="2"/>
  <c r="D455" i="2" s="1"/>
  <c r="H455" i="2"/>
  <c r="G456" i="2"/>
  <c r="D456" i="2" s="1"/>
  <c r="H456" i="2"/>
  <c r="G457" i="2"/>
  <c r="D457" i="2" s="1"/>
  <c r="H457" i="2"/>
  <c r="G458" i="2"/>
  <c r="D458" i="2" s="1"/>
  <c r="H458" i="2"/>
  <c r="G459" i="2"/>
  <c r="D459" i="2" s="1"/>
  <c r="H459" i="2"/>
  <c r="G460" i="2"/>
  <c r="D460" i="2" s="1"/>
  <c r="H460" i="2"/>
  <c r="G461" i="2"/>
  <c r="D461" i="2" s="1"/>
  <c r="H461" i="2"/>
  <c r="G462" i="2"/>
  <c r="D462" i="2" s="1"/>
  <c r="H462" i="2"/>
  <c r="G463" i="2"/>
  <c r="D463" i="2" s="1"/>
  <c r="H463" i="2"/>
  <c r="G464" i="2"/>
  <c r="D464" i="2" s="1"/>
  <c r="H464" i="2"/>
  <c r="G465" i="2"/>
  <c r="D465" i="2" s="1"/>
  <c r="H465" i="2"/>
  <c r="G466" i="2"/>
  <c r="D466" i="2" s="1"/>
  <c r="H466" i="2"/>
  <c r="G467" i="2"/>
  <c r="D467" i="2" s="1"/>
  <c r="H467" i="2"/>
  <c r="G468" i="2"/>
  <c r="D468" i="2" s="1"/>
  <c r="H468" i="2"/>
  <c r="G469" i="2"/>
  <c r="D469" i="2" s="1"/>
  <c r="H469" i="2"/>
  <c r="G470" i="2"/>
  <c r="D470" i="2" s="1"/>
  <c r="H470" i="2"/>
  <c r="G471" i="2"/>
  <c r="D471" i="2" s="1"/>
  <c r="H471" i="2"/>
  <c r="G472" i="2"/>
  <c r="D472" i="2" s="1"/>
  <c r="H472" i="2"/>
  <c r="G473" i="2"/>
  <c r="D473" i="2" s="1"/>
  <c r="H473" i="2"/>
  <c r="G474" i="2"/>
  <c r="D474" i="2" s="1"/>
  <c r="H474" i="2"/>
  <c r="D475" i="2"/>
  <c r="G475" i="2"/>
  <c r="F475" i="2" s="1"/>
  <c r="H475" i="2"/>
  <c r="G476" i="2"/>
  <c r="D476" i="2" s="1"/>
  <c r="H476" i="2"/>
  <c r="G477" i="2"/>
  <c r="D477" i="2" s="1"/>
  <c r="H477" i="2"/>
  <c r="G478" i="2"/>
  <c r="D478" i="2" s="1"/>
  <c r="H478" i="2"/>
  <c r="G479" i="2"/>
  <c r="D479" i="2" s="1"/>
  <c r="H479" i="2"/>
  <c r="G480" i="2"/>
  <c r="D480" i="2" s="1"/>
  <c r="H480" i="2"/>
  <c r="D481" i="2"/>
  <c r="G481" i="2"/>
  <c r="F481" i="2" s="1"/>
  <c r="H481" i="2"/>
  <c r="G482" i="2"/>
  <c r="D482" i="2" s="1"/>
  <c r="H482" i="2"/>
  <c r="G483" i="2"/>
  <c r="D483" i="2" s="1"/>
  <c r="H483" i="2"/>
  <c r="G484" i="2"/>
  <c r="F484" i="2" s="1"/>
  <c r="H484" i="2"/>
  <c r="G485" i="2"/>
  <c r="D485" i="2" s="1"/>
  <c r="H485" i="2"/>
  <c r="G486" i="2"/>
  <c r="D486" i="2" s="1"/>
  <c r="H486" i="2"/>
  <c r="G487" i="2"/>
  <c r="D487" i="2" s="1"/>
  <c r="H487" i="2"/>
  <c r="G488" i="2"/>
  <c r="F488" i="2" s="1"/>
  <c r="H488" i="2"/>
  <c r="G489" i="2"/>
  <c r="D489" i="2" s="1"/>
  <c r="H489" i="2"/>
  <c r="D490" i="2"/>
  <c r="F490" i="2"/>
  <c r="G490" i="2"/>
  <c r="H490" i="2"/>
  <c r="G491" i="2"/>
  <c r="D491" i="2" s="1"/>
  <c r="H491" i="2"/>
  <c r="G492" i="2"/>
  <c r="D492" i="2" s="1"/>
  <c r="H492" i="2"/>
  <c r="G493" i="2"/>
  <c r="F493" i="2" s="1"/>
  <c r="H493" i="2"/>
  <c r="G494" i="2"/>
  <c r="D494" i="2" s="1"/>
  <c r="H494" i="2"/>
  <c r="G495" i="2"/>
  <c r="D495" i="2" s="1"/>
  <c r="H495" i="2"/>
  <c r="G496" i="2"/>
  <c r="D496" i="2" s="1"/>
  <c r="H496" i="2"/>
  <c r="G497" i="2"/>
  <c r="D497" i="2" s="1"/>
  <c r="H497" i="2"/>
  <c r="G498" i="2"/>
  <c r="D498" i="2" s="1"/>
  <c r="H498" i="2"/>
  <c r="G499" i="2"/>
  <c r="D499" i="2" s="1"/>
  <c r="H499" i="2"/>
  <c r="G500" i="2"/>
  <c r="F500" i="2" s="1"/>
  <c r="H500" i="2"/>
  <c r="G501" i="2"/>
  <c r="D501" i="2" s="1"/>
  <c r="H501" i="2"/>
  <c r="G502" i="2"/>
  <c r="F502" i="2" s="1"/>
  <c r="H502" i="2"/>
  <c r="G503" i="2"/>
  <c r="D503" i="2" s="1"/>
  <c r="H503" i="2"/>
  <c r="G504" i="2"/>
  <c r="D504" i="2" s="1"/>
  <c r="H504" i="2"/>
  <c r="G505" i="2"/>
  <c r="D505" i="2" s="1"/>
  <c r="H505" i="2"/>
  <c r="G506" i="2"/>
  <c r="D506" i="2" s="1"/>
  <c r="H506" i="2"/>
  <c r="G507" i="2"/>
  <c r="D507" i="2" s="1"/>
  <c r="H507" i="2"/>
  <c r="G508" i="2"/>
  <c r="D508" i="2" s="1"/>
  <c r="H508" i="2"/>
  <c r="G509" i="2"/>
  <c r="D509" i="2" s="1"/>
  <c r="H509" i="2"/>
  <c r="G510" i="2"/>
  <c r="D510" i="2" s="1"/>
  <c r="H510" i="2"/>
  <c r="D511" i="2"/>
  <c r="G511" i="2"/>
  <c r="F511" i="2" s="1"/>
  <c r="H511" i="2"/>
  <c r="G512" i="2"/>
  <c r="D512" i="2" s="1"/>
  <c r="H512" i="2"/>
  <c r="G513" i="2"/>
  <c r="D513" i="2" s="1"/>
  <c r="H513" i="2"/>
  <c r="G514" i="2"/>
  <c r="D514" i="2" s="1"/>
  <c r="H514" i="2"/>
  <c r="G515" i="2"/>
  <c r="F515" i="2" s="1"/>
  <c r="H515" i="2"/>
  <c r="G516" i="2"/>
  <c r="D516" i="2" s="1"/>
  <c r="H516" i="2"/>
  <c r="F519" i="2"/>
  <c r="F520" i="2"/>
  <c r="F521" i="2"/>
  <c r="F522" i="2"/>
  <c r="F523" i="2"/>
  <c r="F524" i="2"/>
  <c r="F525" i="2"/>
  <c r="F526" i="2"/>
  <c r="F527" i="2"/>
  <c r="F528" i="2"/>
  <c r="F529" i="2"/>
  <c r="F530" i="2"/>
  <c r="F531" i="2"/>
  <c r="F532" i="2"/>
  <c r="F533" i="2"/>
  <c r="F534" i="2"/>
  <c r="F535" i="2"/>
  <c r="F536" i="2"/>
  <c r="F537" i="2"/>
  <c r="F538" i="2"/>
  <c r="F539" i="2"/>
  <c r="F540" i="2"/>
  <c r="G553" i="2"/>
  <c r="D445" i="2" l="1"/>
  <c r="D407" i="2"/>
  <c r="F318" i="2"/>
  <c r="F300" i="2"/>
  <c r="D282" i="2"/>
  <c r="F272" i="2"/>
  <c r="F75" i="2"/>
  <c r="D71" i="2"/>
  <c r="F416" i="2"/>
  <c r="D391" i="2"/>
  <c r="F246" i="2"/>
  <c r="D191" i="2"/>
  <c r="F186" i="2"/>
  <c r="F138" i="2"/>
  <c r="F66" i="2"/>
  <c r="D32" i="2"/>
  <c r="F463" i="2"/>
  <c r="F435" i="2"/>
  <c r="F267" i="2"/>
  <c r="D263" i="2"/>
  <c r="F222" i="2"/>
  <c r="D420" i="2"/>
  <c r="F410" i="2"/>
  <c r="D386" i="2"/>
  <c r="D356" i="2"/>
  <c r="D281" i="2"/>
  <c r="F508" i="2"/>
  <c r="F472" i="2"/>
  <c r="D366" i="2"/>
  <c r="F330" i="2"/>
  <c r="F249" i="2"/>
  <c r="F226" i="2"/>
  <c r="D203" i="2"/>
  <c r="F180" i="2"/>
  <c r="F137" i="2"/>
  <c r="F74" i="2"/>
  <c r="D502" i="2"/>
  <c r="F466" i="2"/>
  <c r="D302" i="2"/>
  <c r="D288" i="2"/>
  <c r="D221" i="2"/>
  <c r="D198" i="2"/>
  <c r="D141" i="2"/>
  <c r="D128" i="2"/>
  <c r="D104" i="2"/>
  <c r="D69" i="2"/>
  <c r="F11" i="2"/>
  <c r="F7" i="2"/>
  <c r="F327" i="2"/>
  <c r="F255" i="2"/>
  <c r="D233" i="2"/>
  <c r="F168" i="2"/>
  <c r="F499" i="2"/>
  <c r="F285" i="2"/>
  <c r="D110" i="2"/>
  <c r="F381" i="2"/>
  <c r="D371" i="2"/>
  <c r="D439" i="2"/>
  <c r="D340" i="2"/>
  <c r="D321" i="2"/>
  <c r="F317" i="2"/>
  <c r="D299" i="2"/>
  <c r="F276" i="2"/>
  <c r="D271" i="2"/>
  <c r="F236" i="2"/>
  <c r="D218" i="2"/>
  <c r="F147" i="2"/>
  <c r="F457" i="2"/>
  <c r="D443" i="2"/>
  <c r="D294" i="2"/>
  <c r="F284" i="2"/>
  <c r="F240" i="2"/>
  <c r="F207" i="2"/>
  <c r="F171" i="2"/>
  <c r="D161" i="2"/>
  <c r="F78" i="2"/>
  <c r="D379" i="2"/>
  <c r="D225" i="2"/>
  <c r="F211" i="2"/>
  <c r="D132" i="2"/>
  <c r="F387" i="2"/>
  <c r="F454" i="2"/>
  <c r="F402" i="2"/>
  <c r="D367" i="2"/>
  <c r="F120" i="2"/>
  <c r="F79" i="2"/>
  <c r="D448" i="2"/>
  <c r="D335" i="2"/>
  <c r="F303" i="2"/>
  <c r="D213" i="2"/>
  <c r="D493" i="2"/>
  <c r="D361" i="2"/>
  <c r="D307" i="2"/>
  <c r="D314" i="2"/>
  <c r="D484" i="2"/>
  <c r="D149" i="2"/>
  <c r="D93" i="2"/>
  <c r="D89" i="2"/>
  <c r="D53" i="2"/>
  <c r="F24" i="2"/>
  <c r="F260" i="2"/>
  <c r="F5" i="2"/>
  <c r="F129" i="2"/>
  <c r="F115" i="2"/>
  <c r="F105" i="2"/>
  <c r="F96" i="2"/>
  <c r="F83" i="2"/>
  <c r="F56" i="2"/>
  <c r="F8" i="2"/>
  <c r="D331" i="2"/>
  <c r="D295" i="2"/>
  <c r="D259" i="2"/>
  <c r="D415" i="2"/>
  <c r="D35" i="2"/>
  <c r="F26" i="2"/>
  <c r="D17" i="2"/>
  <c r="D258" i="2"/>
  <c r="D245" i="2"/>
  <c r="F166" i="2"/>
  <c r="F156" i="2"/>
  <c r="F151" i="2"/>
  <c r="D95" i="2"/>
  <c r="F60" i="2"/>
  <c r="F55" i="2"/>
  <c r="F393" i="2"/>
  <c r="D376" i="2"/>
  <c r="D363" i="2"/>
  <c r="D350" i="2"/>
  <c r="F345" i="2"/>
  <c r="F380" i="2"/>
  <c r="F357" i="2"/>
  <c r="F353" i="2"/>
  <c r="F336" i="2"/>
  <c r="F324" i="2"/>
  <c r="F320" i="2"/>
  <c r="F297" i="2"/>
  <c r="D289" i="2"/>
  <c r="D278" i="2"/>
  <c r="F243" i="2"/>
  <c r="F239" i="2"/>
  <c r="F216" i="2"/>
  <c r="F212" i="2"/>
  <c r="F208" i="2"/>
  <c r="F193" i="2"/>
  <c r="F162" i="2"/>
  <c r="F142" i="2"/>
  <c r="D131" i="2"/>
  <c r="F123" i="2"/>
  <c r="F111" i="2"/>
  <c r="F92" i="2"/>
  <c r="F54" i="2"/>
  <c r="F27" i="2"/>
  <c r="F20" i="2"/>
  <c r="F440" i="2"/>
  <c r="D427" i="2"/>
  <c r="D423" i="2"/>
  <c r="F405" i="2"/>
  <c r="D397" i="2"/>
  <c r="F392" i="2"/>
  <c r="F344" i="2"/>
  <c r="F332" i="2"/>
  <c r="F273" i="2"/>
  <c r="F266" i="2"/>
  <c r="F204" i="2"/>
  <c r="F189" i="2"/>
  <c r="F181" i="2"/>
  <c r="F150" i="2"/>
  <c r="F127" i="2"/>
  <c r="F103" i="2"/>
  <c r="F99" i="2"/>
  <c r="F84" i="2"/>
  <c r="F72" i="2"/>
  <c r="D65" i="2"/>
  <c r="F57" i="2"/>
  <c r="F42" i="2"/>
  <c r="F38" i="2"/>
  <c r="F31" i="2"/>
  <c r="F4" i="2"/>
  <c r="D384" i="2"/>
  <c r="F339" i="2"/>
  <c r="F312" i="2"/>
  <c r="F308" i="2"/>
  <c r="D304" i="2"/>
  <c r="F250" i="2"/>
  <c r="F235" i="2"/>
  <c r="F231" i="2"/>
  <c r="F223" i="2"/>
  <c r="F200" i="2"/>
  <c r="F177" i="2"/>
  <c r="F165" i="2"/>
  <c r="F153" i="2"/>
  <c r="F134" i="2"/>
  <c r="F114" i="2"/>
  <c r="F68" i="2"/>
  <c r="F61" i="2"/>
  <c r="F45" i="2"/>
  <c r="F34" i="2"/>
  <c r="F49" i="2"/>
  <c r="F514" i="2"/>
  <c r="F505" i="2"/>
  <c r="F496" i="2"/>
  <c r="F487" i="2"/>
  <c r="F478" i="2"/>
  <c r="F469" i="2"/>
  <c r="F460" i="2"/>
  <c r="F451" i="2"/>
  <c r="F429" i="2"/>
  <c r="F425" i="2"/>
  <c r="D412" i="2"/>
  <c r="F351" i="2"/>
  <c r="F338" i="2"/>
  <c r="F291" i="2"/>
  <c r="D268" i="2"/>
  <c r="F252" i="2"/>
  <c r="F237" i="2"/>
  <c r="F230" i="2"/>
  <c r="F210" i="2"/>
  <c r="F199" i="2"/>
  <c r="F195" i="2"/>
  <c r="D176" i="2"/>
  <c r="F172" i="2"/>
  <c r="F164" i="2"/>
  <c r="F152" i="2"/>
  <c r="F144" i="2"/>
  <c r="F121" i="2"/>
  <c r="F113" i="2"/>
  <c r="F67" i="2"/>
  <c r="F63" i="2"/>
  <c r="F48" i="2"/>
  <c r="F44" i="2"/>
  <c r="F14" i="2"/>
  <c r="F36" i="2"/>
  <c r="F18" i="2"/>
  <c r="F2" i="2"/>
  <c r="F368" i="2"/>
  <c r="F187" i="2"/>
  <c r="D101" i="2"/>
  <c r="F25" i="2"/>
  <c r="D256" i="2"/>
  <c r="F256" i="2"/>
  <c r="D118" i="2"/>
  <c r="F118" i="2"/>
  <c r="D94" i="2"/>
  <c r="F94" i="2"/>
  <c r="F506" i="2"/>
  <c r="F491" i="2"/>
  <c r="F485" i="2"/>
  <c r="F479" i="2"/>
  <c r="F476" i="2"/>
  <c r="F473" i="2"/>
  <c r="F470" i="2"/>
  <c r="F467" i="2"/>
  <c r="F464" i="2"/>
  <c r="F461" i="2"/>
  <c r="F458" i="2"/>
  <c r="F455" i="2"/>
  <c r="F452" i="2"/>
  <c r="F449" i="2"/>
  <c r="D436" i="2"/>
  <c r="F426" i="2"/>
  <c r="F413" i="2"/>
  <c r="D400" i="2"/>
  <c r="F390" i="2"/>
  <c r="F377" i="2"/>
  <c r="D364" i="2"/>
  <c r="F354" i="2"/>
  <c r="F341" i="2"/>
  <c r="D328" i="2"/>
  <c r="F305" i="2"/>
  <c r="D292" i="2"/>
  <c r="F229" i="2"/>
  <c r="F209" i="2"/>
  <c r="F182" i="2"/>
  <c r="F169" i="2"/>
  <c r="F145" i="2"/>
  <c r="D125" i="2"/>
  <c r="D50" i="2"/>
  <c r="F50" i="2"/>
  <c r="D46" i="2"/>
  <c r="F46" i="2"/>
  <c r="D488" i="2"/>
  <c r="D148" i="2"/>
  <c r="F148" i="2"/>
  <c r="D86" i="2"/>
  <c r="F86" i="2"/>
  <c r="D82" i="2"/>
  <c r="F82" i="2"/>
  <c r="F512" i="2"/>
  <c r="F503" i="2"/>
  <c r="F494" i="2"/>
  <c r="F482" i="2"/>
  <c r="D515" i="2"/>
  <c r="D500" i="2"/>
  <c r="D442" i="2"/>
  <c r="F432" i="2"/>
  <c r="F419" i="2"/>
  <c r="D406" i="2"/>
  <c r="F396" i="2"/>
  <c r="F383" i="2"/>
  <c r="D370" i="2"/>
  <c r="F360" i="2"/>
  <c r="F347" i="2"/>
  <c r="D334" i="2"/>
  <c r="F311" i="2"/>
  <c r="D298" i="2"/>
  <c r="F275" i="2"/>
  <c r="D262" i="2"/>
  <c r="F242" i="2"/>
  <c r="F232" i="2"/>
  <c r="F215" i="2"/>
  <c r="F202" i="2"/>
  <c r="F185" i="2"/>
  <c r="F175" i="2"/>
  <c r="F107" i="2"/>
  <c r="F97" i="2"/>
  <c r="D64" i="2"/>
  <c r="F64" i="2"/>
  <c r="D184" i="2"/>
  <c r="F184" i="2"/>
  <c r="F509" i="2"/>
  <c r="F497" i="2"/>
  <c r="D373" i="2"/>
  <c r="D337" i="2"/>
  <c r="D301" i="2"/>
  <c r="D265" i="2"/>
  <c r="F205" i="2"/>
  <c r="F178" i="2"/>
  <c r="F158" i="2"/>
  <c r="F124" i="2"/>
  <c r="F100" i="2"/>
  <c r="D16" i="2"/>
  <c r="F16" i="2"/>
  <c r="D154" i="2"/>
  <c r="F154" i="2"/>
  <c r="F395" i="2"/>
  <c r="F359" i="2"/>
  <c r="D346" i="2"/>
  <c r="F323" i="2"/>
  <c r="F287" i="2"/>
  <c r="F254" i="2"/>
  <c r="F241" i="2"/>
  <c r="F194" i="2"/>
  <c r="F447" i="2"/>
  <c r="D444" i="2"/>
  <c r="F434" i="2"/>
  <c r="D421" i="2"/>
  <c r="F375" i="2"/>
  <c r="D372" i="2"/>
  <c r="F362" i="2"/>
  <c r="F326" i="2"/>
  <c r="F290" i="2"/>
  <c r="D277" i="2"/>
  <c r="F167" i="2"/>
  <c r="F143" i="2"/>
  <c r="D140" i="2"/>
  <c r="D116" i="2"/>
  <c r="F109" i="2"/>
  <c r="D88" i="2"/>
  <c r="F88" i="2"/>
  <c r="F77" i="2"/>
  <c r="F516" i="2"/>
  <c r="F513" i="2"/>
  <c r="F510" i="2"/>
  <c r="F507" i="2"/>
  <c r="F504" i="2"/>
  <c r="F501" i="2"/>
  <c r="F498" i="2"/>
  <c r="F495" i="2"/>
  <c r="F492" i="2"/>
  <c r="F489" i="2"/>
  <c r="F486" i="2"/>
  <c r="F483" i="2"/>
  <c r="F480" i="2"/>
  <c r="F477" i="2"/>
  <c r="F474" i="2"/>
  <c r="F471" i="2"/>
  <c r="F468" i="2"/>
  <c r="F465" i="2"/>
  <c r="F462" i="2"/>
  <c r="F459" i="2"/>
  <c r="F456" i="2"/>
  <c r="F453" i="2"/>
  <c r="F450" i="2"/>
  <c r="F437" i="2"/>
  <c r="D424" i="2"/>
  <c r="F414" i="2"/>
  <c r="D411" i="2"/>
  <c r="F401" i="2"/>
  <c r="D398" i="2"/>
  <c r="D388" i="2"/>
  <c r="F378" i="2"/>
  <c r="F365" i="2"/>
  <c r="D352" i="2"/>
  <c r="F342" i="2"/>
  <c r="F329" i="2"/>
  <c r="D316" i="2"/>
  <c r="F293" i="2"/>
  <c r="D280" i="2"/>
  <c r="F257" i="2"/>
  <c r="F247" i="2"/>
  <c r="D227" i="2"/>
  <c r="D220" i="2"/>
  <c r="F220" i="2"/>
  <c r="D197" i="2"/>
  <c r="F190" i="2"/>
  <c r="F170" i="2"/>
  <c r="F160" i="2"/>
  <c r="F146" i="2"/>
  <c r="F133" i="2"/>
  <c r="F119" i="2"/>
  <c r="D112" i="2"/>
  <c r="F112" i="2"/>
  <c r="F80" i="2"/>
  <c r="D73" i="2"/>
  <c r="F73" i="2"/>
  <c r="D59" i="2"/>
  <c r="F408" i="2"/>
  <c r="F224" i="2"/>
  <c r="D431" i="2"/>
  <c r="D29" i="2"/>
  <c r="F29" i="2"/>
  <c r="D10" i="2"/>
  <c r="F10" i="2"/>
  <c r="D418" i="2"/>
  <c r="D382" i="2"/>
  <c r="D310" i="2"/>
  <c r="D274" i="2"/>
  <c r="F214" i="2"/>
  <c r="F157" i="2"/>
  <c r="F130" i="2"/>
  <c r="F106" i="2"/>
  <c r="F70" i="2"/>
  <c r="D52" i="2"/>
  <c r="F52" i="2"/>
  <c r="D41" i="2"/>
  <c r="D37" i="2"/>
  <c r="F37" i="2"/>
  <c r="D385" i="2"/>
  <c r="D349" i="2"/>
  <c r="D313" i="2"/>
  <c r="F244" i="2"/>
  <c r="F217" i="2"/>
  <c r="D430" i="2"/>
  <c r="D394" i="2"/>
  <c r="D358" i="2"/>
  <c r="D322" i="2"/>
  <c r="D286" i="2"/>
  <c r="F253" i="2"/>
  <c r="F163" i="2"/>
  <c r="F139" i="2"/>
  <c r="F122" i="2"/>
  <c r="D58" i="2"/>
  <c r="F58" i="2"/>
  <c r="F47" i="2"/>
  <c r="F22" i="2"/>
  <c r="F28" i="2"/>
  <c r="F76" i="2"/>
  <c r="F40" i="2"/>
  <c r="F12" i="2"/>
  <c r="F9" i="2"/>
  <c r="F6" i="2"/>
  <c r="F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<sst xmlns="http://schemas.openxmlformats.org/spreadsheetml/2006/main" count="36877" uniqueCount="8369">
  <si>
    <t>Filtered total =</t>
  </si>
  <si>
    <t>No</t>
  </si>
  <si>
    <t>Wanda Group</t>
  </si>
  <si>
    <t>private list</t>
  </si>
  <si>
    <t>Vitol Holding B.V.</t>
  </si>
  <si>
    <t>The Long &amp; Foster Companies</t>
  </si>
  <si>
    <t>Schwarz Group</t>
  </si>
  <si>
    <t>Reyes Holding</t>
  </si>
  <si>
    <t>https://www.rewe-group.com/en/nachhaltigkeit/energie-klima-und-umwelt</t>
  </si>
  <si>
    <t>-</t>
  </si>
  <si>
    <t>Reduce CO2 emissions 50%</t>
  </si>
  <si>
    <t>REWE Group</t>
  </si>
  <si>
    <t>-      Contract with suppliers
-      Unbundled renewable energy attribute certificates
-      Self-generation</t>
  </si>
  <si>
    <t>n/a</t>
  </si>
  <si>
    <t>70% by 2022</t>
  </si>
  <si>
    <t>https://www.pwc.co.uk/who-we-are/corporate-sustainability/environment/carbon-emissions.html</t>
  </si>
  <si>
    <t>Reduce carbon emissions 40%</t>
  </si>
  <si>
    <t>PwC</t>
  </si>
  <si>
    <t>-      Direct procurement from offsite grid-connected generators (PPA)
-      Purchase from onsite installations owned by a supplier
-      Contract with suppliers</t>
  </si>
  <si>
    <t>Global food and beverage manufacturer Mars commits to reduce absolute Scope 1, 2 and 3 GHG emissions 27% by 2025 and 67% by 2050 from a 2015 base-year. Within that goal the company commits to reduce scope 1&amp;amp;2 emissions 40% by 2025 and 100% by 2040.”</t>
  </si>
  <si>
    <t>yes</t>
  </si>
  <si>
    <t>Sep 2017</t>
  </si>
  <si>
    <t>Targets Set</t>
  </si>
  <si>
    <t>Food and Beverage Processing</t>
  </si>
  <si>
    <t>https://www.mars.com/sustainability-plan/healthy-planet</t>
  </si>
  <si>
    <t>Value chain</t>
  </si>
  <si>
    <t>27% reduction in GHG emissions</t>
  </si>
  <si>
    <t>Mars</t>
  </si>
  <si>
    <t>110,000 </t>
  </si>
  <si>
    <t>Koch Industries</t>
  </si>
  <si>
    <t>https://about.kaiserpermanente.org/community-health/news/kaiser-permanente-finalizes-agreement-to-enable-carbon-neutralit</t>
  </si>
  <si>
    <t>Company</t>
  </si>
  <si>
    <t>Carbon Neutral</t>
  </si>
  <si>
    <t>Kaiser Permanente</t>
  </si>
  <si>
    <t xml:space="preserve">Ineos </t>
  </si>
  <si>
    <t>-      Self-generation target – by own renewable electricity installations. IKEA Group has a target to produce as much renewable energy as the energy it consumes by 2020 and this is what it measures its progress against.</t>
  </si>
  <si>
    <t>73%*</t>
  </si>
  <si>
    <t>Swedish-founded furniture group IKEA Group (INGKA Holding B.V.) commits to reduce absolute scope 1 and 2 GHG emissions 80% by financial year 2030, from financial year 2016. For scope 3, IKEA Group also commits to reduce GHG emissions from customer and co-worker travel and customer deliveries by 50% in relative terms. Inter IKEA Group, which is responsible for developing the IKEA range and supply chain, commits to reduce emissions relating to home furnishing products and food by at least 15% in absolute terms for the same period.</t>
  </si>
  <si>
    <t>Jun 2018</t>
  </si>
  <si>
    <t>Consumer Products and Durables</t>
  </si>
  <si>
    <t>https://newsroom.inter.ikea.com/news/ikea-accelerates-movement-to-become-climate-positive--committing-to-reduce-absolute-greenhouse-gas-e/s/45bfcf5a-742b-4bde-8744-5ca9de43c0b8</t>
  </si>
  <si>
    <t>Aims to be climate positive</t>
  </si>
  <si>
    <t>Value Chain</t>
  </si>
  <si>
    <t>Reduce absolute carbon emissions 80%</t>
  </si>
  <si>
    <t>IKEA</t>
  </si>
  <si>
    <t>H-E-B</t>
  </si>
  <si>
    <t>Gome Holdings</t>
  </si>
  <si>
    <t>Ernst &amp; Young</t>
  </si>
  <si>
    <t>Enterprise Holdings</t>
  </si>
  <si>
    <t>Deloitte</t>
  </si>
  <si>
    <t>Dashang Group</t>
  </si>
  <si>
    <t>https://www.cargill.com/story/cargill-sets-new-goal-to-address-climate-change</t>
  </si>
  <si>
    <t>Operations</t>
  </si>
  <si>
    <t>10% reduction in absolute GHG emissions</t>
  </si>
  <si>
    <t>Cargill</t>
  </si>
  <si>
    <t>$27,000</t>
  </si>
  <si>
    <t>C&amp;S Wholesale Grocers</t>
  </si>
  <si>
    <t>Bechtel</t>
  </si>
  <si>
    <t>https://www.businessgreen.com/bg/news/3069826/supermarket-sweep-aldi-uk-becomes-carbon-neutral-business</t>
  </si>
  <si>
    <t>UK and Ireland Stores and distribution centres</t>
  </si>
  <si>
    <t>ALDI Einkauf GmbH &amp; Co. oHG </t>
  </si>
  <si>
    <t>PRIVATE COMPANY LIST</t>
  </si>
  <si>
    <t>Air Liquide</t>
  </si>
  <si>
    <t>France</t>
  </si>
  <si>
    <t>new</t>
  </si>
  <si>
    <t>$47,983.80</t>
  </si>
  <si>
    <t>Chemicals</t>
  </si>
  <si>
    <t>Ultrapar Holdings</t>
  </si>
  <si>
    <t>Brazil</t>
  </si>
  <si>
    <t>$7,870.20</t>
  </si>
  <si>
    <t>Pipelines</t>
  </si>
  <si>
    <t>Energy</t>
  </si>
  <si>
    <t>Taikang Insurance Group</t>
  </si>
  <si>
    <t>China</t>
  </si>
  <si>
    <t>$117,398.30</t>
  </si>
  <si>
    <t>Insurance: Life, Health (Mutual)</t>
  </si>
  <si>
    <t>Financials</t>
  </si>
  <si>
    <t>Bank of Montreal</t>
  </si>
  <si>
    <t>Canada</t>
  </si>
  <si>
    <t>$589,481.40</t>
  </si>
  <si>
    <t>Banks: Commerical and Savings</t>
  </si>
  <si>
    <t>Nucor</t>
  </si>
  <si>
    <t>United States</t>
  </si>
  <si>
    <t>$17,920.60</t>
  </si>
  <si>
    <t>Metals</t>
  </si>
  <si>
    <t>Materials</t>
  </si>
  <si>
    <t>Rajesh Exports</t>
  </si>
  <si>
    <t>India</t>
  </si>
  <si>
    <t>Public</t>
  </si>
  <si>
    <t>$4,163.80</t>
  </si>
  <si>
    <t>Trading</t>
  </si>
  <si>
    <t>Wholesalers</t>
  </si>
  <si>
    <t>Achmea</t>
  </si>
  <si>
    <t>Banks, Diverse Financials and Insurance</t>
  </si>
  <si>
    <t>https://www.achmea.nl/en/sustainability/co2</t>
  </si>
  <si>
    <t>Achmea’s operations have been climate-neutral since 2011 as we compensate for our CO₂ emissions by purchasing Voluntary Carbon Standard (VCS) certificates.</t>
  </si>
  <si>
    <t>Netherlands</t>
  </si>
  <si>
    <t>$93,515.70</t>
  </si>
  <si>
    <t xml:space="preserve">Insurance: Life, Health (Mutual) </t>
  </si>
  <si>
    <t>Safran</t>
  </si>
  <si>
    <t>$46,428.70</t>
  </si>
  <si>
    <t>Aerospace &amp; Defence</t>
  </si>
  <si>
    <t>Formosa Petrochemical</t>
  </si>
  <si>
    <t>Taiwan</t>
  </si>
  <si>
    <t>$13,201.80</t>
  </si>
  <si>
    <t>Petroleum Refining</t>
  </si>
  <si>
    <t>Onex</t>
  </si>
  <si>
    <t>https://ir.onex.com/esg-action</t>
  </si>
  <si>
    <t>By 2030, SIG aims to halve its environmental impact and double its benefit to society by procuring all raw materials from certified responsible sources and offering the most sustainable packaging solutions available in the market.</t>
  </si>
  <si>
    <t>Scope 1 and 2</t>
  </si>
  <si>
    <t>Reduce GHG emissions 50%</t>
  </si>
  <si>
    <t>$45,417.00</t>
  </si>
  <si>
    <t>Diversified Financials</t>
  </si>
  <si>
    <t>LG Chem</t>
  </si>
  <si>
    <t>South Korea</t>
  </si>
  <si>
    <t>$25,942.60</t>
  </si>
  <si>
    <t>Dollar General</t>
  </si>
  <si>
    <t>$13,204.00</t>
  </si>
  <si>
    <t>Specialty Retailers</t>
  </si>
  <si>
    <t xml:space="preserve">Retailing </t>
  </si>
  <si>
    <t>Fomento Economico Mexicano</t>
  </si>
  <si>
    <t>Mexico</t>
  </si>
  <si>
    <t>$29,270.30</t>
  </si>
  <si>
    <t>Beverages</t>
  </si>
  <si>
    <t xml:space="preserve">Food, Beverages &amp; Tobacco </t>
  </si>
  <si>
    <t>Fomento Económico Mexicano</t>
  </si>
  <si>
    <t>Macy’s</t>
  </si>
  <si>
    <t>USA</t>
  </si>
  <si>
    <t>$19,194.00</t>
  </si>
  <si>
    <t>General Merchandisers</t>
  </si>
  <si>
    <t>Macy's</t>
  </si>
  <si>
    <t>U.S. Bancorp</t>
  </si>
  <si>
    <t>$467,374.00</t>
  </si>
  <si>
    <t>China General Technology</t>
  </si>
  <si>
    <t>$25,230.80</t>
  </si>
  <si>
    <t>Engineering &amp; Construction</t>
  </si>
  <si>
    <t>Henan Energy &amp; Chemical</t>
  </si>
  <si>
    <t>$39,328.40</t>
  </si>
  <si>
    <t>Mining, Crude-Oil Production</t>
  </si>
  <si>
    <t>Rabobank Group</t>
  </si>
  <si>
    <t>$674,869.50</t>
  </si>
  <si>
    <t>Shanxi Jincheng Anthracite Coal Mining Group</t>
  </si>
  <si>
    <t>$40,137.80</t>
  </si>
  <si>
    <t>Adidas</t>
  </si>
  <si>
    <t>https://www.adidas-group.com/en/media/news-archive/press-releases/2015/adidas-group-joins-un-climate-neutral-now-initiative/</t>
  </si>
  <si>
    <t>ADIDAS GROUP JOINS UN CLIMATE NEUTRAL NOW INITIATIVE - no other record of carbon neutral</t>
  </si>
  <si>
    <t>Germany</t>
  </si>
  <si>
    <t>$17,844.50</t>
  </si>
  <si>
    <t xml:space="preserve">Apparel </t>
  </si>
  <si>
    <t>Apparel</t>
  </si>
  <si>
    <t>Mondelez International</t>
  </si>
  <si>
    <t>https://www.asiantrader.biz/mondelez-reduces-its-carbon-emissions-by-10-percent/</t>
  </si>
  <si>
    <t>reduced absolute CO2 emissions from manufacturing by 10 percent</t>
  </si>
  <si>
    <t>10% reduction in GHG emissions</t>
  </si>
  <si>
    <t>$62,729.00</t>
  </si>
  <si>
    <t>Food Consumer Products</t>
  </si>
  <si>
    <t>National Australia Bank</t>
  </si>
  <si>
    <t>https://www.nab.com.au/about-us/social-impact/environment/climate-change</t>
  </si>
  <si>
    <t>Our carbon inventory includes greenhouse gas emission sources from operations in Australia, Asia, New Zealand, the United Kingdom and the United States. We currently exclude an immaterial source of emissions from a small subsidiary in Canada.
Work on our carbon inventory is ongoing. For some emissions sources, it’s difficult to get access to the activity data needed for accurate greenhouse gas calculations. However, we can provide a picture of the items in our inventory that have been calculated for each of our businesses.
Scope 1 and 2 emissions
The boundaries for Scope 1 and 2 emissions have been determined using an operational control approach. More specifically, in Australia and the UK, the boundary requirements for most Scope 1 and 2 emissions are covered by the regulatory requirements of the National Greenhouse and Energy Reporting Act 2007 (Cth) (Australia) and the Carbon Reduction Commitment Energy Efficiency Scheme (UK).
Using these regulatory reporting requirements to define our Scope 1 and 2 emissions and boundaries for reporting helps support us to meet our compliance obligations and ensures we are aligned with our regulatory reporting requirements.
Scope 3 emissions
For Scope 3 emissions, we’ve used an operational control approach and developed principles and criteria - outlined in our Group Environmental Reporting and Offset Management Policy (PDF, 158KB) – to define the emissions sources included in our carbon inventory.
The NAB Group’s global operations reached carbon neutrality in 2010 and NAB’s Australian operations have been certified under National Carbon Offset Standard (NCOS) since this time.
MENTIONED ON WEBSITE EXTENSIVELY</t>
  </si>
  <si>
    <t>NCOS Carbon Neutral Program</t>
  </si>
  <si>
    <t>global operations</t>
  </si>
  <si>
    <t>Australia</t>
  </si>
  <si>
    <t>$583,429.30</t>
  </si>
  <si>
    <t>Michelin</t>
  </si>
  <si>
    <t>May 2018</t>
  </si>
  <si>
    <t>Committed</t>
  </si>
  <si>
    <t>Automobiles and Components</t>
  </si>
  <si>
    <t>https://www.michelin.com/en/sustainable-development-mobility/environment/impact/</t>
  </si>
  <si>
    <t>All sites</t>
  </si>
  <si>
    <t>Reduce the environmental footprint by 50%</t>
  </si>
  <si>
    <t>$33,659.10</t>
  </si>
  <si>
    <t>Motor Vehicles &amp; Parts</t>
  </si>
  <si>
    <t>Ceconomy</t>
  </si>
  <si>
    <t>$9,842.90</t>
  </si>
  <si>
    <t>Emirates Group</t>
  </si>
  <si>
    <t>U.A.E</t>
  </si>
  <si>
    <t>$34,687.80</t>
  </si>
  <si>
    <t>Airlines</t>
  </si>
  <si>
    <t>Transportation</t>
  </si>
  <si>
    <t>Xinxing Cathay International Group</t>
  </si>
  <si>
    <t>State Owned</t>
  </si>
  <si>
    <t>$20,671.30</t>
  </si>
  <si>
    <t>Flex</t>
  </si>
  <si>
    <t>Singapore</t>
  </si>
  <si>
    <t>$13,499.40</t>
  </si>
  <si>
    <t>Semiconductors and Other Electronic Components</t>
  </si>
  <si>
    <t>Technology</t>
  </si>
  <si>
    <t>Hailiang Group</t>
  </si>
  <si>
    <t>$8,036.40</t>
  </si>
  <si>
    <t>Kraft Heinz</t>
  </si>
  <si>
    <t>Jul 2018</t>
  </si>
  <si>
    <t>https://www.foodnavigator-usa.com/Article/2018/07/31/Kraft-Heinz-expands-environmental-goals-to-reduce-carbon-emissions-packaging-waste
http://www.kraftheinzcompany.com/corporate-social-responsibility.html</t>
  </si>
  <si>
    <t>All packaging recyclable, reusable or compostable by 2025</t>
  </si>
  <si>
    <t>Manufacturing facilities</t>
  </si>
  <si>
    <t>Reduce GHG emissions by 15%</t>
  </si>
  <si>
    <t>$103,461.00</t>
  </si>
  <si>
    <t>Fubon Financial Holding</t>
  </si>
  <si>
    <t>Dec 2016</t>
  </si>
  <si>
    <t>$251,010.50</t>
  </si>
  <si>
    <t xml:space="preserve">Insurance: Life, Health (stock) </t>
  </si>
  <si>
    <t>NEC</t>
  </si>
  <si>
    <t>Japanese multinational information technology services &amp;amp; products provider NEC Corporation commits to reduce absolute scope 1 and 2 GHG emissions 33 % by 2030 from a 2017 base-year. NEC Corporation also commits to reduce absolute scope 3 GHG emissions from use of sold products 34% within the same timeframe</t>
  </si>
  <si>
    <t>yes - downstream and some of upstream only</t>
  </si>
  <si>
    <t>Nov 2018</t>
  </si>
  <si>
    <t>Technology Hardware and Equipment</t>
  </si>
  <si>
    <t>https://www.nec.com/en/global/eco/announce/goal/index.html</t>
  </si>
  <si>
    <t>NEC aims to contribute to reducing CO₂ emissions through its Solutions for Society business by attaining a level of CO₂ reduction that is five times the total volume of CO₂ emissions from its entire supply chain in fiscal 2021/3.</t>
  </si>
  <si>
    <t>Japan</t>
  </si>
  <si>
    <t>$26,661.60</t>
  </si>
  <si>
    <t>Information Technology Services</t>
  </si>
  <si>
    <t>Yangquan Coal Industry Group</t>
  </si>
  <si>
    <t>$34,909.50</t>
  </si>
  <si>
    <t>Mining , Crude-Oil Production</t>
  </si>
  <si>
    <t>Xiaomi</t>
  </si>
  <si>
    <t>$21,152.70</t>
  </si>
  <si>
    <t xml:space="preserve">Internet Services and Retailing </t>
  </si>
  <si>
    <t>Heineken Holding</t>
  </si>
  <si>
    <t>https://www.theheinekencompany.com/Sustainability/Focus-Areas/Reducing-CO2-Emissions</t>
  </si>
  <si>
    <t>At our Göss Brewery in Austria, a 12-year-long vision for carbon-neutral beer production has finally been achieved. With 100% of energy supply coming from renewable sources, Göss is the world’s first large-scale green brewery.</t>
  </si>
  <si>
    <t>Production</t>
  </si>
  <si>
    <t>80% reduction in CO2 emissions</t>
  </si>
  <si>
    <t>$47,955.70</t>
  </si>
  <si>
    <t>Nokia</t>
  </si>
  <si>
    <t>Finnish multinational communications, information technology and consumer electronics company Nokia commits to reduce absolute scope 1 and 2 GHG emissions by 41 % below 2014 levels by 2030. Nokia also commits to reduce absolute scope 3 GHG emissions by 75% between 2014 and 2030.</t>
  </si>
  <si>
    <t>Jun 2017</t>
  </si>
  <si>
    <t>https://www.nokia.com/sites/default/files/2019-05/Nokia_People_and_Planet_Report_2018_Targets_environment.pdf</t>
  </si>
  <si>
    <t>Products, scope 3</t>
  </si>
  <si>
    <t>reduce GHG 75%</t>
  </si>
  <si>
    <t>Finland</t>
  </si>
  <si>
    <t>$45,167.90</t>
  </si>
  <si>
    <t>Network and Other Communication Equipment</t>
  </si>
  <si>
    <t>Shanxi Coking Coal Group</t>
  </si>
  <si>
    <t>$49,288.00</t>
  </si>
  <si>
    <t>Datong Coal Mine Group</t>
  </si>
  <si>
    <t>$49,898.20</t>
  </si>
  <si>
    <t>CJ Corp.</t>
  </si>
  <si>
    <t>$28,439.10</t>
  </si>
  <si>
    <t>Shanxi LuAn Mining Group</t>
  </si>
  <si>
    <t>$35,084.40</t>
  </si>
  <si>
    <t>TongLing Nonferrous Metals Group</t>
  </si>
  <si>
    <t>$12,668.50</t>
  </si>
  <si>
    <t>Raytheon</t>
  </si>
  <si>
    <t>https://www.raytheon.com/responsibility/sustainability/greenhouse-gas</t>
  </si>
  <si>
    <t>12% reduction in GHG emissions</t>
  </si>
  <si>
    <t>$31,864.00</t>
  </si>
  <si>
    <t>OMV Group</t>
  </si>
  <si>
    <t>Austria</t>
  </si>
  <si>
    <t>$42,246.40</t>
  </si>
  <si>
    <t>East Japan Railway</t>
  </si>
  <si>
    <t>$75,537.00</t>
  </si>
  <si>
    <t>Railroads</t>
  </si>
  <si>
    <t>Australia &amp; New Zealand Banking Group</t>
  </si>
  <si>
    <t>https://www.anz.com.au/about-us/sustainability-framework/environmental-sustainability/environmental-footprint/
https://www.anz.com.au/content/dam/anzcomau/documents/pdf/aboutus/net-zero-carbon.pdf?MOD=AJPERES</t>
  </si>
  <si>
    <t>(second link) Since 2010, our business operations have been carbon neutral. 
Unavoidable emissions are offset in accordance with our certification under the Australian Government's National Offset Standard Carbon Neutral Program. The carbon neutral commitment is below managing footprint and emissions but has its own document</t>
  </si>
  <si>
    <t>$681,894.20</t>
  </si>
  <si>
    <t>Financière de l'Odet</t>
  </si>
  <si>
    <t>$61,194.70</t>
  </si>
  <si>
    <t>Entertainment</t>
  </si>
  <si>
    <t>Media</t>
  </si>
  <si>
    <t>Cathay Life Insurance</t>
  </si>
  <si>
    <t>$207,944.90</t>
  </si>
  <si>
    <t>PBF Energy</t>
  </si>
  <si>
    <t>$8,005.40</t>
  </si>
  <si>
    <t>Chubu Electric Power</t>
  </si>
  <si>
    <t>$54,102.50</t>
  </si>
  <si>
    <t>Utilities</t>
  </si>
  <si>
    <t>Mapfre Group</t>
  </si>
  <si>
    <t>Spain</t>
  </si>
  <si>
    <t>$76,913.40</t>
  </si>
  <si>
    <t xml:space="preserve">Insurance: Property and Casualty (Stock) </t>
  </si>
  <si>
    <t>China Taiping Insurance Group</t>
  </si>
  <si>
    <t>$96,189.10</t>
  </si>
  <si>
    <t>Anglo American</t>
  </si>
  <si>
    <t>https://www.angloamerican.com/~/media/Files/A/Anglo-American-PLC-V2/documents/climate-change-supplement.pdf</t>
  </si>
  <si>
    <t xml:space="preserve">22% reduction in GHG </t>
  </si>
  <si>
    <t>Britain</t>
  </si>
  <si>
    <t>$52,196.00</t>
  </si>
  <si>
    <t>3.50-8.74</t>
  </si>
  <si>
    <t>INTL FCStone</t>
  </si>
  <si>
    <t>$7,824.70</t>
  </si>
  <si>
    <t>Qingdao Haier</t>
  </si>
  <si>
    <t>$24,280.10</t>
  </si>
  <si>
    <t>Electronics, Electrical Equip.</t>
  </si>
  <si>
    <t>Industrials</t>
  </si>
  <si>
    <t>Haier Smart Home</t>
  </si>
  <si>
    <t>LafargeHolcim</t>
  </si>
  <si>
    <t>We are one of the most ambitious companies in our industry, with an interim 2022 target of 560 kg CO2 / tonne and a 2030 target of 520 kg CO2 / tonne.</t>
  </si>
  <si>
    <t>Switzerland</t>
  </si>
  <si>
    <t>$60,579.50</t>
  </si>
  <si>
    <t>Building Materials, Glass</t>
  </si>
  <si>
    <t>Randstad Holding</t>
  </si>
  <si>
    <t>$11,359.10</t>
  </si>
  <si>
    <t>Diversified Outsourcing Services</t>
  </si>
  <si>
    <t>Business Services</t>
  </si>
  <si>
    <t>Randstad</t>
  </si>
  <si>
    <t>Adecco Group</t>
  </si>
  <si>
    <t>https://www.adeccogroup.com/sustainability/environmental-responsibility/</t>
  </si>
  <si>
    <t>Average CO2 emissions</t>
  </si>
  <si>
    <t>12% emissions reduction</t>
  </si>
  <si>
    <t>$11,107.70</t>
  </si>
  <si>
    <t>Samsung C&amp;T</t>
  </si>
  <si>
    <t>$38,009.00</t>
  </si>
  <si>
    <t>CFE</t>
  </si>
  <si>
    <t>$84,234.70</t>
  </si>
  <si>
    <t>Huaxia Life Insurance</t>
  </si>
  <si>
    <t>$74,401.50</t>
  </si>
  <si>
    <t>Anhui Conch Group</t>
  </si>
  <si>
    <t>$27,967.90</t>
  </si>
  <si>
    <t>Subaru</t>
  </si>
  <si>
    <t>$26,951.50</t>
  </si>
  <si>
    <t>Xinjiang Guanghui Industry Investment</t>
  </si>
  <si>
    <t>$38,415.20</t>
  </si>
  <si>
    <t>China Datang</t>
  </si>
  <si>
    <t>$108,633.20</t>
  </si>
  <si>
    <t>Sumitomo Electric Industries</t>
  </si>
  <si>
    <t>$27,588.90</t>
  </si>
  <si>
    <t>Medipal Holdings</t>
  </si>
  <si>
    <t>$14,619.20</t>
  </si>
  <si>
    <t>Wholesalers: Health Care</t>
  </si>
  <si>
    <t>Health Care</t>
  </si>
  <si>
    <t>International Airlines Group</t>
  </si>
  <si>
    <t>$32,042.90</t>
  </si>
  <si>
    <t>KB Financial Group</t>
  </si>
  <si>
    <t>$429,854.20</t>
  </si>
  <si>
    <t>Westpac Banking</t>
  </si>
  <si>
    <t>Westpac commits to 100 percent renewables by 2025</t>
  </si>
  <si>
    <t>$636,296.90</t>
  </si>
  <si>
    <t xml:space="preserve">Banks: Commerical and Savings </t>
  </si>
  <si>
    <t>-      Direct procurement from offsite grid-connected generators (PPA)
-      Contract with suppliers
-      Unbundled energy attribute certificates</t>
  </si>
  <si>
    <t>50% by 2020</t>
  </si>
  <si>
    <t>Danone</t>
  </si>
  <si>
    <t>Multi-national food company, Danone commits to reduce scope 1 and 2 GHG emissions 30 percent by 2030, from a 2015 base year. Danone also commits to reduce scope 1, 2 and 3 emissions per ton of sold product 50% by 2030, from a 2015 base year. Danone will adjust its science-based targets a full calendar year after the recently-acquired White Wave company has been fully integrated into Danone’s inventory boundaries.</t>
  </si>
  <si>
    <t>yes per sold product</t>
  </si>
  <si>
    <t>Nov 2017</t>
  </si>
  <si>
    <t>https://www.danone.com/content/dam/danone-corp/about-us-impact/policies-and-commitments/en/2016/2016_05_18_ClimatePolicy.pdf</t>
  </si>
  <si>
    <t>Emphasis is on "net positive" as well to combat climate change.
Zero net… full scope carbon emissions
Advertised on website and documents</t>
  </si>
  <si>
    <t>Full scope</t>
  </si>
  <si>
    <t>No - but have a post-2030 commitment</t>
  </si>
  <si>
    <t>$50,494.30</t>
  </si>
  <si>
    <t>$41.59</t>
  </si>
  <si>
    <t>Migros Group</t>
  </si>
  <si>
    <t>$67,587.80</t>
  </si>
  <si>
    <t>Food &amp; Drug Stores</t>
  </si>
  <si>
    <t>Gas Natural Fenosa</t>
  </si>
  <si>
    <t>https://prensa.naturgy.com/en/gas-natural-fenosa-recognised-world-leader-fighting-climate-change/</t>
  </si>
  <si>
    <t>2.1% reduction in carbon emissions</t>
  </si>
  <si>
    <t>$46,441.20</t>
  </si>
  <si>
    <t>Utilites</t>
  </si>
  <si>
    <t>Naturgy Energy Group</t>
  </si>
  <si>
    <t>Northwestern Mutual</t>
  </si>
  <si>
    <t>Private</t>
  </si>
  <si>
    <t>$272,167.00</t>
  </si>
  <si>
    <t>-      Unbundled renewable energy attribute certificates
-      Self-generation</t>
  </si>
  <si>
    <t>La Poste</t>
  </si>
  <si>
    <t>Oct 2017</t>
  </si>
  <si>
    <t>Air Freight Transportation and Logistics</t>
  </si>
  <si>
    <t>https://le-groupe-laposte.cdn.prismic.io/le-groupe-laposte%2Fa21d532c-e4ba-415d-8e93-1d880a353ac3_csr-essential-2018.pdf
https://postandparcel.info/45592/news/la-poste-to-be-first-major-postal-operator-to-go-carbon-neutral/
https://www.groupelaposte.com/en/our-social-commitment</t>
  </si>
  <si>
    <t>(first link) Our mail, express, parcel and digital services are 100% carbon-neutral since 2012. La Banque Postale extended the model to all operating activities in 2018.
(second link) full carbon neutrality for all its services
With CDC Climat providing carbon offsets, the Group said the scope of its offsetting arrangements is being verified by Norway’s Det Norske Veritas, with the programme expected to meet the highest standards of the market, the Gold Standard or the Verified Carbon Standard.</t>
  </si>
  <si>
    <t>All services</t>
  </si>
  <si>
    <t>$298,904.80</t>
  </si>
  <si>
    <t>Mail, Package, and Freight Delivery</t>
  </si>
  <si>
    <t>Yes</t>
  </si>
  <si>
    <t>SAP</t>
  </si>
  <si>
    <t>German multinational software corporation SAP commits to reduce total scope 1, 2 and 3 GHG emissions 40% by 2025, using a 2016 base year. This target is an important milestone in reducing emissions 85% by 2050, using a 2016 base year.</t>
  </si>
  <si>
    <t>Software and Services</t>
  </si>
  <si>
    <t>https://news.sap.com/2017/05/sap-to-go-carbon-neutral-by-2025/</t>
  </si>
  <si>
    <t>in SAP’s operations
This means:
Avoid: Whenever possible, SAP aims first to avoid the creation of GHG, e.g. usage of virtual telecommunication.
Reduce: If emissions cannot be avoided, SAP seeks to drive efficiency and reduce GHG emissions, e.g. building efficiency, data center operations, carpooling and car sharing, e-mobility.
Compensate: SAP will extend existing compensation models which have proven effective, such as embedded internal carbon pricing model for CO₂-free train and air travel. Another example is the implementation of carbon neutral fuel cards for company cars.</t>
  </si>
  <si>
    <t>$58,854.20</t>
  </si>
  <si>
    <t>Computer Software</t>
  </si>
  <si>
    <t>Pre</t>
  </si>
  <si>
    <t>Samsung Life Insurance</t>
  </si>
  <si>
    <t>100 million CO2 equivalent tons of emissions reduced over the period 2015- 2020</t>
  </si>
  <si>
    <t>$259,413.50</t>
  </si>
  <si>
    <t>UniCredit Group</t>
  </si>
  <si>
    <t>https://www.unicreditgroup.eu/en/a-sustainable-bank/our-capitals/natural-capital/climate-change.html</t>
  </si>
  <si>
    <t>60% reduction in GHG emissions</t>
  </si>
  <si>
    <t>Italy</t>
  </si>
  <si>
    <t>$950,368.80</t>
  </si>
  <si>
    <t>Wistron</t>
  </si>
  <si>
    <t>$11,032.70</t>
  </si>
  <si>
    <t>Computers, Office Equipment</t>
  </si>
  <si>
    <t>Koc Holding</t>
  </si>
  <si>
    <t>Turkey</t>
  </si>
  <si>
    <t>$23,570.70</t>
  </si>
  <si>
    <t xml:space="preserve">Energy </t>
  </si>
  <si>
    <t>Koç Holding</t>
  </si>
  <si>
    <t>Philip Morris International</t>
  </si>
  <si>
    <t>American global cigarette and tobacco company Philip Morris International commits to reduce absolute scope 1 and 2 GHG emissions 40% from 2010 to 2030 and 60% by 2040. The company also commits to reduce absolute value chain GHG emissions (scopes 1, 2 and 3) 40% from 2010 to 2030.</t>
  </si>
  <si>
    <t>Tobacco</t>
  </si>
  <si>
    <t>https://www.pmi.com/sustainability/pmi-and-the-environment/energy-efficiency-and-carbon-performance</t>
  </si>
  <si>
    <t>Operations, scope 1 and 2</t>
  </si>
  <si>
    <t>30% reduction in CO2 emissions</t>
  </si>
  <si>
    <t>$39,801.00</t>
  </si>
  <si>
    <t>Arrow Electronics</t>
  </si>
  <si>
    <t>$17,784.40</t>
  </si>
  <si>
    <t>Wholesalers: Electronice and Office Equipment</t>
  </si>
  <si>
    <t>Kansai Electric Power</t>
  </si>
  <si>
    <t>Capture more than 60% of methane[2] in the waste disposal facilities we manage.</t>
  </si>
  <si>
    <t>$65,576.60</t>
  </si>
  <si>
    <t>Medtronic</t>
  </si>
  <si>
    <t>Ireland</t>
  </si>
  <si>
    <t>$91,393.00</t>
  </si>
  <si>
    <t>Medical Products and Equipment</t>
  </si>
  <si>
    <t>Manulife Financial</t>
  </si>
  <si>
    <t>$549,407.60</t>
  </si>
  <si>
    <t>Suncor Energy</t>
  </si>
  <si>
    <t>https://sustainability.suncor.com/en/climate-change/ghg-goal</t>
  </si>
  <si>
    <t>Production of oil products</t>
  </si>
  <si>
    <t xml:space="preserve">30% reduction in GHG emissions </t>
  </si>
  <si>
    <t>$65,596.80</t>
  </si>
  <si>
    <t>24.11-52.25</t>
  </si>
  <si>
    <t>Northrop Grumman</t>
  </si>
  <si>
    <t>https://news.northropgrumman.com/news/releases/northrop-grumman-sets-new-greenhouse-gas-emission-reduction-goal-of-30-percent-by-2020</t>
  </si>
  <si>
    <t xml:space="preserve">Reduce GHG emissions 30% </t>
  </si>
  <si>
    <t>$37,653.00</t>
  </si>
  <si>
    <t>Coop Group</t>
  </si>
  <si>
    <t>https://www.actions-not-words.ch/en/sustainability-topics/conservation/energy-and-climate.html</t>
  </si>
  <si>
    <t>CO2-neutral by 2023… our annual CO2 emissions... Our intention is to reduce our annual CO2 emissions by around 50 percent in absolute terms between 2008 and 2023. Remaining CO2 emissions will be offset from 2023 onwards. We have reduced our emissions by 21.6 percent since 2008.</t>
  </si>
  <si>
    <t>company</t>
  </si>
  <si>
    <t>$20,665.70</t>
  </si>
  <si>
    <t>Gree Electrical Appliances</t>
  </si>
  <si>
    <t>$36,592.70</t>
  </si>
  <si>
    <t>Travelers Cos.</t>
  </si>
  <si>
    <t>$104,233.00</t>
  </si>
  <si>
    <t xml:space="preserve">Insurance: Propert and Casualty (Stock) </t>
  </si>
  <si>
    <t>Phoenix Pharma</t>
  </si>
  <si>
    <t>$9,599.50</t>
  </si>
  <si>
    <t>-      Direct procurement from offsite grid-connected generators (PPA)
-      Contract with suppliers
-      Self-generation</t>
  </si>
  <si>
    <t>80% by 2020</t>
  </si>
  <si>
    <t>Schneider Electric</t>
  </si>
  <si>
    <t>Nov 2016</t>
  </si>
  <si>
    <t>Electrical Equipment and Machinery</t>
  </si>
  <si>
    <t>https://www.schneider-electric.co.uk/en/about-us/press/news/2018/schneider-electric-strengthens-its-commitment-to-become-carbon-neutral.jsp</t>
  </si>
  <si>
    <t>Reduce carbon emissions 50%</t>
  </si>
  <si>
    <t>$48,302.00</t>
  </si>
  <si>
    <t xml:space="preserve">at its plants and sites
2.    Achieve carbon neutrality by 2030 at its plants and sites, in a cohesive industry ecosystem encompassing both suppliers and clients. To that aim, the Group will 
•    quantify carbon emissions saved by its customers thanks to its EcoStruxure offers 
•    switch to 100% renewable electricity, use 100% recyclable or reusable packaging, and recover 100% of its industrial waste 
•    and double its energy productivity against a 2005 baseline. </t>
  </si>
  <si>
    <t>plants and sites</t>
  </si>
  <si>
    <t>$35.65</t>
  </si>
  <si>
    <t>PKN ORLEN Group</t>
  </si>
  <si>
    <t>Poland</t>
  </si>
  <si>
    <t>$17,079.20</t>
  </si>
  <si>
    <t>Micron Technology</t>
  </si>
  <si>
    <t>$43,376.00</t>
  </si>
  <si>
    <t>Abbott Laboratories</t>
  </si>
  <si>
    <t>http://dam.abbott.com/en-us/documents/pdfs/abbott-citizenship/2017-Global-Sustainability-Report.pdf</t>
  </si>
  <si>
    <t xml:space="preserve">40% CO2 emissions </t>
  </si>
  <si>
    <t>$67,173.00</t>
  </si>
  <si>
    <t>Veolia Environnement</t>
  </si>
  <si>
    <t>Water Utilities</t>
  </si>
  <si>
    <t>https://www.veolia.com/en/csr-performance/climate-change</t>
  </si>
  <si>
    <t xml:space="preserve">2020 OBJECTIVES
Capture more than 60% of methane[2] in the waste disposal facilities we manage.
100 million CO2 equivalent tons of emissions reduced over the period 2015- 2020
50 million CO2 equivalent tons of emissions avoided over the period 2015- 2020 </t>
  </si>
  <si>
    <t>$42,968.60</t>
  </si>
  <si>
    <t>Inditex</t>
  </si>
  <si>
    <t>Jul 2016</t>
  </si>
  <si>
    <t>Retailing</t>
  </si>
  <si>
    <t>$24,878.10</t>
  </si>
  <si>
    <t>$30</t>
  </si>
  <si>
    <t>-      Contract with suppliers
-      Self-generation</t>
  </si>
  <si>
    <t>BT Group</t>
  </si>
  <si>
    <t>Multinational communications company BT commits to reduce GHG emissions* by 87% in tons of CO2e per unit of gross value added by 2030 from a 2016/2017 base-year.  This is in line with current international policy and climate science, being BT’s share of the global emissions reductions needed to limit global warming to 1.5°C. The company also commits to reduce supply chain GHG emissions** by 29% over the same time-period.
*Here GHG emissions refer to Scope 1 and 2 emissions, as defined in the Greenhouse Gas Protocol, expressed as tonnes carbon dioxide equivalent (t CO2e) per unit of gross value added (GVA). 
**Supply chain emissions refer to all upstream Scope 3 emissions (categories 1-8), as defined in the Greenhouse Gas Protocol Scope 3 Standard.</t>
  </si>
  <si>
    <t>Yes - supply chain only</t>
  </si>
  <si>
    <t>Telecommunications</t>
  </si>
  <si>
    <t>https://www.btplc.com/Thegroup/BTUKandWorldwide/BTRegions/England/InTouch/National/Autumn2017/2030carbonemissionstarget/index.htm</t>
  </si>
  <si>
    <t>reduce emissions 87%</t>
  </si>
  <si>
    <t>$60,302.70</t>
  </si>
  <si>
    <t>https://www.btplc.com/Digitalimpactandsustainability/Ourreport/2019summary/assets/documents/Tackling-climate-change-and-environmental-challenges.pdf</t>
  </si>
  <si>
    <t>We’re aiming to be a net zero carbon emissions business… Greenhouse gas emissions scopes 1 &amp; 2</t>
  </si>
  <si>
    <t>Small World Consulting and Carbon Trust</t>
  </si>
  <si>
    <t>4.09; 9.94</t>
  </si>
  <si>
    <t>Hewlett Packard Enterprise</t>
  </si>
  <si>
    <t>Multinational enterprise information technology company Hewlett Packard Enterprise commits to reduce scope 1 and 2 greenhouse gas emissions 25% by 2025 from a 2015 base year. In addition, the company commits to increasing the energy performance of its product portfolio 30x within the same time-frame, which equates to reducing the greenhouse gas emissions per operation by over 95 percent. Also, HPE commits to reduce emissions from purchased goods and services 15% within the same time-frame. HPE commits that its manufacturing suppliers covering 80% of spend will set science-based targets by 2025.</t>
  </si>
  <si>
    <t>yes - downstream only</t>
  </si>
  <si>
    <t>https://www.hpe.com/us/en/newsroom/press-release/2017/03/hp-announces-goal-to-reduce-greenhouse-gas-emissions-of-product-portfolio.html
https://www8.hp.com/us/en/hp-information/environment/footprint.html</t>
  </si>
  <si>
    <t xml:space="preserve">
Reduce supply chain GHG emission 10%
reduce product GHG emissions by 25%
Reduce scope 1 and 2 GHG emissions 25%</t>
  </si>
  <si>
    <t>Entire Value Chain</t>
  </si>
  <si>
    <t xml:space="preserve">reduce the emissions intensity of its product portfolio by 40 %  </t>
  </si>
  <si>
    <t>$55,493.00</t>
  </si>
  <si>
    <t>Compass Group</t>
  </si>
  <si>
    <t>$16,443.50</t>
  </si>
  <si>
    <t>Food Services</t>
  </si>
  <si>
    <t>Shougang Group</t>
  </si>
  <si>
    <t>$73,067.10</t>
  </si>
  <si>
    <t>Air France-KLM Group</t>
  </si>
  <si>
    <t>https://www.airfranceklm.com/en/climate-change</t>
  </si>
  <si>
    <t>Carbon neutral growth</t>
  </si>
  <si>
    <t>$33,212.20</t>
  </si>
  <si>
    <t>United Services Auto. Assn.</t>
  </si>
  <si>
    <t>$158,506.80</t>
  </si>
  <si>
    <t>Insurance: Property and Casualty (Stock)</t>
  </si>
  <si>
    <t>USAA</t>
  </si>
  <si>
    <t>Johnson Controls International</t>
  </si>
  <si>
    <t>https://www.johnsoncontrols.com/-/media/jci/insights/2018/corporate/jci-2025-sustainability-strategy.pdf?la=en&amp;hash=63893FB6BB818B1E363F607EED8D1A847E5A70C5</t>
  </si>
  <si>
    <t>Products and services</t>
  </si>
  <si>
    <t>reduce GHG intensity 25%</t>
  </si>
  <si>
    <t>$48,797.00</t>
  </si>
  <si>
    <t>Industrial Machinery</t>
  </si>
  <si>
    <t>Bank of Nova Scotia</t>
  </si>
  <si>
    <t>$760,409.00</t>
  </si>
  <si>
    <t>CRH</t>
  </si>
  <si>
    <t>Apr 2018</t>
  </si>
  <si>
    <t>Construction Materials</t>
  </si>
  <si>
    <t>https://www.crh.com/sustainability/sustainability-in-crh/environment-climate-change</t>
  </si>
  <si>
    <t>specific net CO2 cement plant emissions</t>
  </si>
  <si>
    <t>25% reduction in net CO2</t>
  </si>
  <si>
    <t>$40,202.70</t>
  </si>
  <si>
    <t>L’Oreal</t>
  </si>
  <si>
    <t>https://www.loreal.com/sharing-beauty-with-all-producing/reducing-co2-emissions/low-carbon-growth--a-major-step-forward</t>
  </si>
  <si>
    <t>Renewable Energy</t>
  </si>
  <si>
    <t>38 of sites are already carbon neutral. L’Oréal has committed to balance the residual emissions linked to its industrial and logistics activities by 2020 through carbon savings generated within its sustainable sourcing activities… And all its industrial, administrative and research sites have committed to a journey to achieve carbon neutrality by 2025</t>
  </si>
  <si>
    <t>$43,956.90</t>
  </si>
  <si>
    <t>Household and Personal Products</t>
  </si>
  <si>
    <t>Household Products</t>
  </si>
  <si>
    <t>L'Oréal</t>
  </si>
  <si>
    <t>https://www.ccep.com/pages/09-action-on-climate</t>
  </si>
  <si>
    <t>Entire value chain</t>
  </si>
  <si>
    <t>Reduce GHG emissions 35%</t>
  </si>
  <si>
    <t>$83,216.00</t>
  </si>
  <si>
    <t>Coca-Cola</t>
  </si>
  <si>
    <t>CPC</t>
  </si>
  <si>
    <t>$25,035.70</t>
  </si>
  <si>
    <t>Hyundai Mobis</t>
  </si>
  <si>
    <t>$38,604.60</t>
  </si>
  <si>
    <t>DZ Bank</t>
  </si>
  <si>
    <t>https://www.wertewelt.dzbank.de/content/wertewelt/en/home/environmental_values/greening_our_business.html</t>
  </si>
  <si>
    <t>15% reduction in GHG emissions</t>
  </si>
  <si>
    <t>$592,911.80</t>
  </si>
  <si>
    <t>Progressive</t>
  </si>
  <si>
    <t>$46,575.00</t>
  </si>
  <si>
    <t xml:space="preserve">Insurance: Property and Casualty (stock) </t>
  </si>
  <si>
    <t>Compal Electronics</t>
  </si>
  <si>
    <t>https://www.compal.com/csr/en/page.aspx?Id=21</t>
  </si>
  <si>
    <t>10% GHG emissions</t>
  </si>
  <si>
    <t>$13,007.40</t>
  </si>
  <si>
    <t>https://www.mazda.com/en/notification/20190322/</t>
  </si>
  <si>
    <t>Mazda’s corporate average well-to-wheel </t>
  </si>
  <si>
    <t>Reduce CO2 emissions 90%</t>
  </si>
  <si>
    <t>$25,942.20</t>
  </si>
  <si>
    <t>Mazda Motor</t>
  </si>
  <si>
    <t>Reduce co2 emissions 50%</t>
  </si>
  <si>
    <t>AIA Group</t>
  </si>
  <si>
    <t>$229,806.00</t>
  </si>
  <si>
    <t>-      Unbundled renewable energy attribute certificates
-      Contract with suppliers</t>
  </si>
  <si>
    <t>Capital One Financial</t>
  </si>
  <si>
    <t>https://environment.capitalone.com/#</t>
  </si>
  <si>
    <t>Zero Emissions: Carbon Neutral for Scope 1, 2 and business travel greenhouse gas emissions
100% of our electricity comes from renewable resources
Carbon neutrality is advertised prominently</t>
  </si>
  <si>
    <t>Scope 1 and 2 and business travel</t>
  </si>
  <si>
    <t>$372,538.00</t>
  </si>
  <si>
    <t>China Huadian</t>
  </si>
  <si>
    <t>$118,796.50</t>
  </si>
  <si>
    <t>Ansteel Group</t>
  </si>
  <si>
    <t>$49,469.60</t>
  </si>
  <si>
    <t>British American Tobacco</t>
  </si>
  <si>
    <t>British multinational cigarette and tobacco manufacturing company British American Tobacco commits to reduce absolute scope 1 and 2 GHG emissions 30% and scope 3 GHG emissions from purchased goods and services 16% by 2030 from a 2017 base year. British American Tobacco also commits that 70% of its direct materials suppliers by spend will set science-based scope 1 and 2 targets by 2023.
* The target boundary includes biogenic emissions and removals associated with the use of bioenergy.</t>
  </si>
  <si>
    <t>Yes and target for suppliers to set SBTs</t>
  </si>
  <si>
    <t>Apr 2019</t>
  </si>
  <si>
    <t>https://www.bat.com/environment</t>
  </si>
  <si>
    <t>30% absolute reduction in CO2 emissions</t>
  </si>
  <si>
    <t>$186,351.90</t>
  </si>
  <si>
    <t>CHS</t>
  </si>
  <si>
    <t>$16,381.20</t>
  </si>
  <si>
    <t>Food Production</t>
  </si>
  <si>
    <t>Chubb</t>
  </si>
  <si>
    <t>https://www.chubb.com/us-en/about-chubb/environment.aspx</t>
  </si>
  <si>
    <t>Companywide</t>
  </si>
  <si>
    <t>Reduce GHG emissions 20%</t>
  </si>
  <si>
    <t>$167,771.00</t>
  </si>
  <si>
    <t>AbbVie</t>
  </si>
  <si>
    <t>https://www.abbvie.co.uk/responsibility/operate-responsibly/healthy-environment.html</t>
  </si>
  <si>
    <t xml:space="preserve">Scope 1 and 2 </t>
  </si>
  <si>
    <t>Reduce CO2 emissions by 50%</t>
  </si>
  <si>
    <t>$59,352.00</t>
  </si>
  <si>
    <t>50 million CO2 equivalent tons of emissions avoided over the period 2015- 2020 </t>
  </si>
  <si>
    <t>Reduce CO2 emissions by 25%</t>
  </si>
  <si>
    <t>Pharmaceuticals</t>
  </si>
  <si>
    <t>3M</t>
  </si>
  <si>
    <t>https://www.theclimategroup.org/news/manufacturing-giant-3m-commits-100-renewable-power-global-operations</t>
  </si>
  <si>
    <t>MANUFACTURING GIANT 3M COMMITS TO 100% RENEWABLE POWER FOR GLOBAL OPERATIONS</t>
  </si>
  <si>
    <t>$36,500.00</t>
  </si>
  <si>
    <t>Miscellaneous</t>
  </si>
  <si>
    <t>Schlumberger</t>
  </si>
  <si>
    <t>$70,507.00</t>
  </si>
  <si>
    <t>Oil and Gas Equipment, Services</t>
  </si>
  <si>
    <t>Sumitomo Life Insurance</t>
  </si>
  <si>
    <t>$341,659.60</t>
  </si>
  <si>
    <t>Sompo Holdings</t>
  </si>
  <si>
    <t>Jan 2018</t>
  </si>
  <si>
    <t>$108,595.40</t>
  </si>
  <si>
    <t>GS Caltex</t>
  </si>
  <si>
    <t>$17,531.20</t>
  </si>
  <si>
    <t>China Electronics</t>
  </si>
  <si>
    <t>$40,323.20</t>
  </si>
  <si>
    <t>Bridgestone</t>
  </si>
  <si>
    <t>Apr 2017</t>
  </si>
  <si>
    <t>Tires</t>
  </si>
  <si>
    <t>https://www.bridgestone.com/responsibilities/environment/reduce_co2/operations/index.html</t>
  </si>
  <si>
    <t>per net sales from operations and products’</t>
  </si>
  <si>
    <t xml:space="preserve">35 percent reduction in CO2 emissions tonnes </t>
  </si>
  <si>
    <t>$35,220.60</t>
  </si>
  <si>
    <t>-      No data available</t>
  </si>
  <si>
    <t>25% by 2020</t>
  </si>
  <si>
    <t>Commonwealth Bank of Australia</t>
  </si>
  <si>
    <t>$720,354.40</t>
  </si>
  <si>
    <t>-      Contract with suppliers</t>
  </si>
  <si>
    <t>Prudential plc</t>
  </si>
  <si>
    <t>$647,708.50</t>
  </si>
  <si>
    <t>Prudential</t>
  </si>
  <si>
    <t>Toshiba</t>
  </si>
  <si>
    <t>https://www.toshiba-business.com.au/News/2017/May/Carbon-Zero but nothing in Global Environmental report https://www.toshiba.co.jp/env/en/communication/report/pdf/env_report18_all_e.pdf</t>
  </si>
  <si>
    <t xml:space="preserve">Toshiba Carbon Zero Scheme
At Toshiba we are committed to the environment. With the help of carbon offsetting experts CO2balance we have created a scheme which enables us to help combat CO2 emissions through the offsetting of all our products. </t>
  </si>
  <si>
    <t>Products</t>
  </si>
  <si>
    <t>$38,830.30</t>
  </si>
  <si>
    <t>China Electronics Technology Group</t>
  </si>
  <si>
    <t>$51,672.90</t>
  </si>
  <si>
    <t>Jinchuan Group</t>
  </si>
  <si>
    <t>$16,925.30</t>
  </si>
  <si>
    <t>Yango Longking Group</t>
  </si>
  <si>
    <t>$51,585.30</t>
  </si>
  <si>
    <t>China South Industries Group</t>
  </si>
  <si>
    <t>$48,455.20</t>
  </si>
  <si>
    <t>Plains GP Holdings</t>
  </si>
  <si>
    <t>$26,830.00</t>
  </si>
  <si>
    <t>Quanta Computer</t>
  </si>
  <si>
    <t>no</t>
  </si>
  <si>
    <t>$21,455.90</t>
  </si>
  <si>
    <t>China Energy Engineering Group</t>
  </si>
  <si>
    <t>$57,758.70</t>
  </si>
  <si>
    <t>Taiwan Semiconductor Manufacturing</t>
  </si>
  <si>
    <t>Jul 2017</t>
  </si>
  <si>
    <t>Semiconductors and Semiconductors Equipment</t>
  </si>
  <si>
    <t>$67,999.50</t>
  </si>
  <si>
    <t>State Power Investment</t>
  </si>
  <si>
    <t>$157,347.60</t>
  </si>
  <si>
    <t>Tsingshan Holding Group</t>
  </si>
  <si>
    <t>$8,522.60</t>
  </si>
  <si>
    <t>Credit Suisse Group</t>
  </si>
  <si>
    <t>https://www.credit-suisse.com/corporate/en/responsibility/environment/climate-protection.html</t>
  </si>
  <si>
    <t xml:space="preserve">We are committed to minimizing our own operational climate impact. Credit Suisse has been greenhouse gas neutral globally since 2010. Our operations have been greenhouse gas neutral since 2010. </t>
  </si>
  <si>
    <t>$780,308.50</t>
  </si>
  <si>
    <t>CRRC Group</t>
  </si>
  <si>
    <t>$58,038.30</t>
  </si>
  <si>
    <t>Jiangxi Copper</t>
  </si>
  <si>
    <t>$18,618.30</t>
  </si>
  <si>
    <t>Suzuki Motor</t>
  </si>
  <si>
    <t>Suzuki will launch electric vehicles starting 2020</t>
  </si>
  <si>
    <t>$30,739.80</t>
  </si>
  <si>
    <t>JFE Holdings</t>
  </si>
  <si>
    <t>$42,551.70</t>
  </si>
  <si>
    <t>Poste Italiane</t>
  </si>
  <si>
    <t>$238,753.30</t>
  </si>
  <si>
    <t>Idemitsu Kosan</t>
  </si>
  <si>
    <t>$26,116.40</t>
  </si>
  <si>
    <t>Lloyds Banking Group</t>
  </si>
  <si>
    <t>https://www.lloydsbankinggroup.com/our-group/responsible-business/sustainability-in-lloyds-banking-group/reducing-our-own-environmental-footprint/</t>
  </si>
  <si>
    <t>Location based CO2</t>
  </si>
  <si>
    <t>60% GHG reduction</t>
  </si>
  <si>
    <t>$1,015,661.30</t>
  </si>
  <si>
    <t>CK Hutchison Holdings</t>
  </si>
  <si>
    <t>$157,392.80</t>
  </si>
  <si>
    <t>Mitsubishi Chemical Holdings</t>
  </si>
  <si>
    <t>$50,352.50</t>
  </si>
  <si>
    <t>Mizuho Financial Group</t>
  </si>
  <si>
    <t>https://www.mizuho-fg.com/csr/environment/activity/gas.html</t>
  </si>
  <si>
    <t>Domestic facilities</t>
  </si>
  <si>
    <t>19% CO2 reduction</t>
  </si>
  <si>
    <t>$1,814,332.90</t>
  </si>
  <si>
    <t>40% by 2030</t>
  </si>
  <si>
    <t>Fujitsu</t>
  </si>
  <si>
    <t>Japanese multinational information technology company Fujitsu commits to reduce absolute scope 1 and 2 GHG emissions 33% by 2030 and 80% by 2050, from a 2013 base-year. Fujitsu also commits to reduce scope 3 GHG emissions 30% by 2030 from a 2013 base year. The scope 3 reductions cover purchased goods and services and the use of sold products.</t>
  </si>
  <si>
    <t>Aug 2017</t>
  </si>
  <si>
    <t>https://www.fujitsu.com/global/microsite/fujitsu-climate-and-energy-vision/</t>
  </si>
  <si>
    <t xml:space="preserve">FUJITSU Climate and Energy Vision
Fujitsu’s vision is to “contribute to creation of a decarbonized society and adapt to climate change” and to “achieve zero CO2 emissions from Fujitsu by 2050” through technologies and services supporting digital transformation.
</t>
  </si>
  <si>
    <t>$28,055.00</t>
  </si>
  <si>
    <t>E.ON</t>
  </si>
  <si>
    <t>https://www.eon.com/en/about-us/sustainability/people-and-environment.html</t>
  </si>
  <si>
    <t>All of our plants and buildings
We want to continuously reduce our own CO2footprint. That's why in 2017 we developed a new climate strategy that sets out targets and measures. The focus is on the reduction of carbon emissions released in connection with the sale of power and natural gas to our customers. This is because these emissions (Scope 3) constitute the majority of our CO2footprint. We have defined concrete measures that will help us to achieve our targets. This also includes reducing our own energy consumption. All of our plants and buildings will be climate-neutral by 2030, meaning they will no longer cause any emissions.</t>
  </si>
  <si>
    <t>All plants and buildings</t>
  </si>
  <si>
    <t>$62,092.30</t>
  </si>
  <si>
    <t>23.76; 47.53</t>
  </si>
  <si>
    <t>Jizhong Energy Group</t>
  </si>
  <si>
    <t>$33,772.30</t>
  </si>
  <si>
    <t>Enbridge</t>
  </si>
  <si>
    <t>$122,221.00</t>
  </si>
  <si>
    <t>Canon</t>
  </si>
  <si>
    <t>$44,662.40</t>
  </si>
  <si>
    <t>Exelon</t>
  </si>
  <si>
    <t>https://www.exeloncorp.com/sustainability/strategy</t>
  </si>
  <si>
    <t>Reduce GHG emissions 15%</t>
  </si>
  <si>
    <t>$119,666.00</t>
  </si>
  <si>
    <t>General Dynamics</t>
  </si>
  <si>
    <t>$45,408.00</t>
  </si>
  <si>
    <t>Publix Super Markets</t>
  </si>
  <si>
    <t>$18,982.50</t>
  </si>
  <si>
    <t>-      Direct procurement from offsite grid-connected generators (PPA)
-      Unbundled renewable energy attribute certificates
-      Purchase from onsite installations owned by a supplier</t>
  </si>
  <si>
    <t>Nike</t>
  </si>
  <si>
    <t>Textiles, Apparel, Luxury Goods</t>
  </si>
  <si>
    <t>$22,536.00</t>
  </si>
  <si>
    <t>Jiangsu Shagang Group</t>
  </si>
  <si>
    <t>$33,173.70</t>
  </si>
  <si>
    <t>Aisin Seiki</t>
  </si>
  <si>
    <t>$33,901.50</t>
  </si>
  <si>
    <t>Xiamen Xiangyu Group</t>
  </si>
  <si>
    <t>$16,891.80</t>
  </si>
  <si>
    <t>XMXYG</t>
  </si>
  <si>
    <t>Enterprise Products Partners</t>
  </si>
  <si>
    <t>$56,969.80</t>
  </si>
  <si>
    <t>Vale</t>
  </si>
  <si>
    <t>http://www.vale.com/mozambique/EN/aboutvale/sustainability/climate-change/Pages/default.aspx</t>
  </si>
  <si>
    <t>Reduce emissions 5%</t>
  </si>
  <si>
    <t>$88,190.00</t>
  </si>
  <si>
    <t>SK Hynix</t>
  </si>
  <si>
    <t>$57,056.90</t>
  </si>
  <si>
    <t>Mitsubishi Heavy Industries</t>
  </si>
  <si>
    <t>$46,469.00</t>
  </si>
  <si>
    <t>Suning.com Group</t>
  </si>
  <si>
    <t>Suning.Com Reaches 2% of This Year's Electric Delivery Van Goal</t>
  </si>
  <si>
    <t>$29,052.70</t>
  </si>
  <si>
    <t>-      Solar PV installed at sites in Europe
-      Unbundled renewable energy attribute certificates
-      Contract with suppliers</t>
  </si>
  <si>
    <t>Swiss Re</t>
  </si>
  <si>
    <t>https://www.swissre.com/about-us/corporate-responsibility/footprint/greenhouse-neutral-programme-second-phase.html</t>
  </si>
  <si>
    <t xml:space="preserve">During the first phase of our Greenhouse Neutral Programme, we reported on our Scope 1 and Scope 2 emissions (heating and power consumption, respectively) as well as a major source of Scope 3 emissions (business travel). For the second phase of our Greenhouse Neutral Programme, we have extended the scope of our emissions accounting and reporting: in addition to business travel, this now includes use of copy paper, waste generation, water consumption, technical gases and employee commuting. With the exception of commuting, we have committed to compensating these emissions, as well.
Through our pioneering Greenhouse Neutral Programme, we substantially reduced our own CO2 emissions between 2003 and 2013. Offsetting all the remaining emissions has made Swiss Re carbon neutral for the whole ten years.
In 2013, we launched a new, seven-year phase of our Greenhouse Neutral Programme. It includes commitments to maintain the current level of our CO2 emissions and to compensate emissions from an extended set of sources.
</t>
  </si>
  <si>
    <t>Their own Greenhouse Neutral Programme</t>
  </si>
  <si>
    <t>Own CO2 emissions and scope 3</t>
  </si>
  <si>
    <t>$207,570.00</t>
  </si>
  <si>
    <t>Power Corp. of Canada</t>
  </si>
  <si>
    <t>$331,211.90</t>
  </si>
  <si>
    <t>Tech Data</t>
  </si>
  <si>
    <t>$12,986.60</t>
  </si>
  <si>
    <t>Deere</t>
  </si>
  <si>
    <t>$70,108.00</t>
  </si>
  <si>
    <t xml:space="preserve">Construction and Farm Machinery </t>
  </si>
  <si>
    <t>ABB</t>
  </si>
  <si>
    <t>Aug 2018</t>
  </si>
  <si>
    <t>https://www.smart-energy.com/renewable-energy/abb-opens-first-carbon-neutral-factory-in-the-world/</t>
  </si>
  <si>
    <t>ABB opens first carbon-neutral factory in the world</t>
  </si>
  <si>
    <t>$44,441.00</t>
  </si>
  <si>
    <t>-      Self-generation</t>
  </si>
  <si>
    <t>Daiwa House Industry</t>
  </si>
  <si>
    <t>Japanese construction and real estate services provider, Daiwa House Industry Co., Ltd. commits to reduce scopes 1 and 2 GHG emissions 45 percent per net sales by 2030 from a 2015 base-year, and commits to reduce absolute scopes 1 and 2 GHG emissions 22% over the same time-frame. The company also commits to reduce scope 3 emissions from use of sold products 30% per floor area by 2030 from a 2015 base-year, and commits to reduce absolute scope 3 emissions from use of sold products 23% over the same time-frame. Finally, Daiwa House commits that 90% of its suppliers by spend will set science‐based targets by 2025.</t>
  </si>
  <si>
    <t>yes - per floor area</t>
  </si>
  <si>
    <t>Real Estate</t>
  </si>
  <si>
    <t>$39,161.80</t>
  </si>
  <si>
    <t>SNCF Mobilites</t>
  </si>
  <si>
    <t>Ground Transportation - Railroads</t>
  </si>
  <si>
    <t>$48,482.60</t>
  </si>
  <si>
    <t>SNCF Mobilités</t>
  </si>
  <si>
    <t>George Weston</t>
  </si>
  <si>
    <t>$32,084.10</t>
  </si>
  <si>
    <t>Meiji Yasuda Life Insurance</t>
  </si>
  <si>
    <t>$380,597.40</t>
  </si>
  <si>
    <t>China Aerospace Science &amp; Technology</t>
  </si>
  <si>
    <t>$63,496.80</t>
  </si>
  <si>
    <t>China Aerospace Science &amp; Industry</t>
  </si>
  <si>
    <t>$47,048.10</t>
  </si>
  <si>
    <t>J. Sainsbury</t>
  </si>
  <si>
    <t>https://www.about.sainsburys.co.uk/~/media/Files/S/Sainsburys/documents/making-a-difference/sainsburys-sp-rfoe-kpi-slides.pdf</t>
  </si>
  <si>
    <t>Reduce carbon emissions by 30% absolute and 65% relative</t>
  </si>
  <si>
    <t>$30,669.20</t>
  </si>
  <si>
    <t>Barclays</t>
  </si>
  <si>
    <t>https://home.barclays/content/dam/home-barclays/documents/citizenship/our-reporting-and-policy-positions/policy-positions/BAR_9916358.pdf</t>
  </si>
  <si>
    <t>80% carbon reduction</t>
  </si>
  <si>
    <t>$1,443,122.60</t>
  </si>
  <si>
    <t>ConocoPhillips</t>
  </si>
  <si>
    <t>http://www.conocophillips.com/environment/climate-change/climate-change-strategy/greenhouse-gas-emissions-intensity-target/</t>
  </si>
  <si>
    <t>5-15% GHG reduction in intensity</t>
  </si>
  <si>
    <t>$69,980.00</t>
  </si>
  <si>
    <t>9.00-43.00</t>
  </si>
  <si>
    <t>Yankuang Group</t>
  </si>
  <si>
    <t>$44,774.80</t>
  </si>
  <si>
    <t>TJX</t>
  </si>
  <si>
    <t>Reduce GHG emissions 30% Per dollar of reve ue</t>
  </si>
  <si>
    <t>$14,326.00</t>
  </si>
  <si>
    <t>LyondellBasell Industries</t>
  </si>
  <si>
    <t>$28,278.00</t>
  </si>
  <si>
    <t>Intesa Sanpaolo</t>
  </si>
  <si>
    <t>$900,365.10</t>
  </si>
  <si>
    <t>Massachusetts Mutual Life Insurance</t>
  </si>
  <si>
    <t>$265,812.60</t>
  </si>
  <si>
    <t>Fresenius</t>
  </si>
  <si>
    <t>$64,811.50</t>
  </si>
  <si>
    <t>Health Care: Medical Facilities</t>
  </si>
  <si>
    <t>Midea Group</t>
  </si>
  <si>
    <t>$38,408.50</t>
  </si>
  <si>
    <t>Centrica</t>
  </si>
  <si>
    <t>https://www.centrica.com/sites/default/files/responsibility/centrica_-_policy_priorities_for_a_clean_energy_future_-_may_2019.pdf
https://www.centrica.com/responsibility/our-focus-areas/climate-change</t>
  </si>
  <si>
    <t>(first link) our own emissions
We are focused on driving efficiency within our business through technology, innovation and cultural change to reduce our internal carbon footprint… and develop a path to net zero by 2050.</t>
  </si>
  <si>
    <t>Internal carbon footprint</t>
  </si>
  <si>
    <t xml:space="preserve">Reduce internal carbon footprint by 35% </t>
  </si>
  <si>
    <t>$26,177.30</t>
  </si>
  <si>
    <t>Internal emissions</t>
  </si>
  <si>
    <t xml:space="preserve">Utilities </t>
  </si>
  <si>
    <t>ING Group</t>
  </si>
  <si>
    <t>Jun 2015</t>
  </si>
  <si>
    <t>https://www.ing.com/Sustainability/Our-direction/INGs-approach-to-climate-action.htm</t>
  </si>
  <si>
    <t>climate neutral… carbon neutral</t>
  </si>
  <si>
    <t>$1,011,101.20</t>
  </si>
  <si>
    <t>Banks: Commercial and Savings</t>
  </si>
  <si>
    <t>World Fuel Services</t>
  </si>
  <si>
    <t>$5,676.90</t>
  </si>
  <si>
    <t>Allstate</t>
  </si>
  <si>
    <t>https://www.allstatesustainability.com/more-that-matters/energy-emissions-and-waste/</t>
  </si>
  <si>
    <t>Thanks to efforts across the enterprise, we surpassed our 2020 goal to achieve a 20% energy-use reduction in 2014.</t>
  </si>
  <si>
    <t>$112,249.00</t>
  </si>
  <si>
    <t>Oracle</t>
  </si>
  <si>
    <t>20% reduction in total absolute emissions per dollar value</t>
  </si>
  <si>
    <t>$137,264.00</t>
  </si>
  <si>
    <t>Tyson Foods</t>
  </si>
  <si>
    <t>Tyson Foods, Inc. commits to reduce absolute Scope 1 and 2 GHG emissions 30% by 2030 from a 2016 base‐year. Tyson Foods, Inc. also commits to reduce Scope 3 GHG emissions from production of poultry, pork and beef (covering 80% of their scope 3 inventory) 30% per ton of finished meat by 2030 from a 2016 base‐year.</t>
  </si>
  <si>
    <t>yes - per tonne of product</t>
  </si>
  <si>
    <t>Sep 2018</t>
  </si>
  <si>
    <t>Direct and indirect sources</t>
  </si>
  <si>
    <t>Reduce GHG emissions by 30%</t>
  </si>
  <si>
    <t>$29,109.00</t>
  </si>
  <si>
    <t>Caixa Econômica Federal</t>
  </si>
  <si>
    <t>$326,182.50</t>
  </si>
  <si>
    <t>Edeka Zentrale</t>
  </si>
  <si>
    <t>https://circabc.europa.eu/webdav/CircaBC/FISMA/markt_consultations/Library/services/individuals/registered_organisations/EDEKA-en.pdf</t>
  </si>
  <si>
    <t>20% reduction in GHG emissions</t>
  </si>
  <si>
    <t>$8,322.90</t>
  </si>
  <si>
    <t>Wholesalers: Food and Grocery</t>
  </si>
  <si>
    <t>Rio Tinto Group</t>
  </si>
  <si>
    <t>$90,949.00</t>
  </si>
  <si>
    <t>Louis Dreyfus Commodities</t>
  </si>
  <si>
    <t>$18,440.00</t>
  </si>
  <si>
    <t>Louis Dreyfus</t>
  </si>
  <si>
    <t>Cedar Holdings Group</t>
  </si>
  <si>
    <t>$20,932.80</t>
  </si>
  <si>
    <t>Mitsubishi Electric</t>
  </si>
  <si>
    <t>$39,362.20</t>
  </si>
  <si>
    <t>Magna International</t>
  </si>
  <si>
    <t>$25,945.00</t>
  </si>
  <si>
    <t>Accenture</t>
  </si>
  <si>
    <t>Global management consulting and professional services firm Accenture commits to reduce absolute scope 1, 2 and 3 GHG emissions 11% by 2025 from a 2016 base-year. This target includes a 65% reduction in scope 1 and 2 emissions, and represents a 40% per unit of revenue intensity reduction for scope 1, 2 and 3 GHG emissions over the same time period.</t>
  </si>
  <si>
    <t>Dec 2018</t>
  </si>
  <si>
    <t>Professional Services</t>
  </si>
  <si>
    <t>https://www.accenture.com/gb-en/company-environment</t>
  </si>
  <si>
    <t>11% reduction GHG emissions</t>
  </si>
  <si>
    <t>$24,449.10</t>
  </si>
  <si>
    <t>Infomration Technology Services</t>
  </si>
  <si>
    <t>TIAA</t>
  </si>
  <si>
    <t>$568,190.20</t>
  </si>
  <si>
    <t>GlaxoSmithKline</t>
  </si>
  <si>
    <t>Dec 2015</t>
  </si>
  <si>
    <t>Pharmaceuticals and Biotech</t>
  </si>
  <si>
    <t>https://uk.gsk.com/en-gb/responsibility/our-planet/our-commitments/</t>
  </si>
  <si>
    <t>GlaxoSmithKline’s Carbon Neutral Laboratory for Sustainable Chemistry is now housed in a brand new carbon neutral laboratory, the first of its kind in the UK.</t>
  </si>
  <si>
    <t>25% reduction in carbon footprint</t>
  </si>
  <si>
    <t>$73,941.20</t>
  </si>
  <si>
    <t>Reduce our overall carbon footprint by 25% by 2020 (vs. 2010) and have a carbon neutral value chain by 2050.</t>
  </si>
  <si>
    <t>Post</t>
  </si>
  <si>
    <t>Toronto-Dominion Bank</t>
  </si>
  <si>
    <t>https://www.td.com/document/PDF/corporateresponsibility/2017-Final-CRR_EN.pdf
https://www.td.com/corporate-responsibility/environment/operational-footprint/energy-and-emissions.jsp</t>
  </si>
  <si>
    <t>(first link) our operational footprint
(second link) In 2010, we became the first North American bank to achieve carbon-neutral status. Since, then we have continued to meet our commitment to carbon neutrality
Generate renewable electricity from our facilities and purchase certified EcoLogo or Green-e renewable energy credits (RECs) to add the equivalent amount of electricity we use back into the grid.
TD is neutralizing its remaining emissions by generating local carbon offset credits through investments with social partners like Habitat for Humanity Canada, Greening Canada Fund, and Tree Canada. TD is also purchasing offsets from Zerofootprint and Carbon Zero in Canada, and Blue Source and NextEra Energy Resources in the US. 
Carbon neutral stated as part of energy and emissions reduction target.</t>
  </si>
  <si>
    <t>All operations</t>
  </si>
  <si>
    <t>$1,016,604.20</t>
  </si>
  <si>
    <t>Maersk Group</t>
  </si>
  <si>
    <t>Feb 2019</t>
  </si>
  <si>
    <t>https://www.maersk.com/news/articles/2019/06/26/towards-a-zero-carbon-future</t>
  </si>
  <si>
    <t>net-zero CO2 emissions from operations by 2050
Maersk must have carbon neutral vessels commercially viable by 2030 to realise the 2050 target</t>
  </si>
  <si>
    <t>Denmark</t>
  </si>
  <si>
    <t>$56,636.00</t>
  </si>
  <si>
    <t>Shipping</t>
  </si>
  <si>
    <t>United Continental Holdings</t>
  </si>
  <si>
    <t>https://uk.reuters.com/article/us-ual-emissions/united-airlines-targets-50-percent-cut-in-greenhouse-gas-emissions-idUKKCN1LT32A</t>
  </si>
  <si>
    <t xml:space="preserve">United Airlines said it has set a goal to cut its greenhouse gas emissions by 50 percent over the next few decades 
United is offsetting the remainder of the flight's emissions via the airline's new carbon offset provider, Conservation International. Conservation International now partners with United on the airline's consumer carbon offset program – Eco-Skies CarbonChoice – and together the two allies will focus on CI's mission to promote nature-based solutions to climate change. - RELATES TO JUST FLIGHT FOR PLANET PLANE
</t>
  </si>
  <si>
    <t>$44,792.00</t>
  </si>
  <si>
    <t>United Airlines Holdings</t>
  </si>
  <si>
    <t>Iberdrola</t>
  </si>
  <si>
    <t>Spanish public multinational electric utility company Iberdrola commits to reduce absolute scope 1, 2 and 3 GHG emissions 20% by 2030 from a 2017 base year.</t>
  </si>
  <si>
    <t>Mar 2019</t>
  </si>
  <si>
    <t>Electric Utilities and Energy Related</t>
  </si>
  <si>
    <t>https://www.iberdrola.com/press-room/news/detail/iberdrola-se-compromete-a-ser-neutra-en-carbono-en-el-ano-2050-1733946320170314</t>
  </si>
  <si>
    <t>In the coming decades, Iberdrola has firmly committed itself to a 50% reduction in its emissions intensity by 2030 as compared to its 2007 levels. The company has also committed to being carbon-neutral by the year 2050.</t>
  </si>
  <si>
    <t>$129,202.30</t>
  </si>
  <si>
    <t>Xiamen ITG Holding Group</t>
  </si>
  <si>
    <t>$15,123.30</t>
  </si>
  <si>
    <t>Honeywell International</t>
  </si>
  <si>
    <t>$57,773.00</t>
  </si>
  <si>
    <t>Electronice</t>
  </si>
  <si>
    <t>China Everbright Group</t>
  </si>
  <si>
    <t>$696,969.90</t>
  </si>
  <si>
    <t>Sanofi</t>
  </si>
  <si>
    <t>Mar 2018</t>
  </si>
  <si>
    <t>$127,339.30</t>
  </si>
  <si>
    <t>Bouygues</t>
  </si>
  <si>
    <t>$43,084.20</t>
  </si>
  <si>
    <t>China Huaneng Group</t>
  </si>
  <si>
    <t>$156,327.20</t>
  </si>
  <si>
    <t>Merck</t>
  </si>
  <si>
    <t>https://www.msdresponsibility.com/environmental-sustainability/climate-change-energy-use/</t>
  </si>
  <si>
    <t>Scope 1 and market based Scope 2</t>
  </si>
  <si>
    <t>Reduce GHG emissions by 40%</t>
  </si>
  <si>
    <t>$82,637.00</t>
  </si>
  <si>
    <t>Lufthansa Group</t>
  </si>
  <si>
    <t>https://www.lufthansagroup.com/en/responsibility/climate-environment/environmental-strategy-and-measures.html</t>
  </si>
  <si>
    <t xml:space="preserve">Company </t>
  </si>
  <si>
    <t>25% reduction in CO2 emissions</t>
  </si>
  <si>
    <t>$43,677.50</t>
  </si>
  <si>
    <t>China National Aviation Fuel Group</t>
  </si>
  <si>
    <t>$8,054.10</t>
  </si>
  <si>
    <t xml:space="preserve">Trading </t>
  </si>
  <si>
    <t>Talanx</t>
  </si>
  <si>
    <t>$186,170.70</t>
  </si>
  <si>
    <t>Shaanxi Coal &amp; Chemical Industry</t>
  </si>
  <si>
    <t>$72,966.00</t>
  </si>
  <si>
    <t>Jardine Matheson</t>
  </si>
  <si>
    <t>$86,258.00</t>
  </si>
  <si>
    <t>China COSCO Shipping</t>
  </si>
  <si>
    <t>$117,702.00</t>
  </si>
  <si>
    <t>Liberty Mutual Insurance Group</t>
  </si>
  <si>
    <t>$125,989.00</t>
  </si>
  <si>
    <t xml:space="preserve">Insurances: Propert and Casualty (Stock) </t>
  </si>
  <si>
    <t>Xiamen C&amp;D</t>
  </si>
  <si>
    <t>$36,868.00</t>
  </si>
  <si>
    <t>Best Buy</t>
  </si>
  <si>
    <t>https://corporate.bestbuy.com/best-buy-reduce-carbon-emissions-60-2020/</t>
  </si>
  <si>
    <t>Reduce emissions 60%</t>
  </si>
  <si>
    <t>$12,901.00</t>
  </si>
  <si>
    <t>Bharat Petroleum</t>
  </si>
  <si>
    <t>$19,768.30</t>
  </si>
  <si>
    <t>UBS Group</t>
  </si>
  <si>
    <t>https://www.ubs.com/global/en/ubs-society/our-stories/2018/preserving-world-and-value.html</t>
  </si>
  <si>
    <t>Reduce GHG footrpint 75%</t>
  </si>
  <si>
    <t>$958,489.00</t>
  </si>
  <si>
    <t>Shandong Weiqiao Pioneering</t>
  </si>
  <si>
    <t>$35,359.20</t>
  </si>
  <si>
    <t>Textiles</t>
  </si>
  <si>
    <t>Shandong Weiqiao Pioneering Group</t>
  </si>
  <si>
    <t>ACS</t>
  </si>
  <si>
    <t>$39,199.60</t>
  </si>
  <si>
    <t>Nationwide</t>
  </si>
  <si>
    <t>$214,141.90</t>
  </si>
  <si>
    <t>Insurance: Propert and Casualty (Mutual)</t>
  </si>
  <si>
    <t>American Express</t>
  </si>
  <si>
    <t>https://about.americanexpress.com/sustainability</t>
  </si>
  <si>
    <t>85% reduction of GHG</t>
  </si>
  <si>
    <t>$188,602.00</t>
  </si>
  <si>
    <t>Banco do Brasil</t>
  </si>
  <si>
    <t>$360,361.10</t>
  </si>
  <si>
    <t>New York Life Insurance</t>
  </si>
  <si>
    <t>$311,449.30</t>
  </si>
  <si>
    <t>Metro</t>
  </si>
  <si>
    <t>Apr 2016</t>
  </si>
  <si>
    <t>Food and Staples Retailing</t>
  </si>
  <si>
    <t>$17,702.10</t>
  </si>
  <si>
    <t>ZF Friedrichshafen</t>
  </si>
  <si>
    <t>$30,897.60</t>
  </si>
  <si>
    <t>-      Direct procurement from offsite grid-connected generators (PPA)
-      Purchase from onsite installations owned by a supplier
-      Self-generation</t>
  </si>
  <si>
    <t>50% by
2022</t>
  </si>
  <si>
    <t>Tata Motors</t>
  </si>
  <si>
    <t>$44,349.00</t>
  </si>
  <si>
    <t>Charter Communications</t>
  </si>
  <si>
    <t>$146,130.00</t>
  </si>
  <si>
    <t>Shaanxi Yanchang Petroleum (Group)</t>
  </si>
  <si>
    <t>$53,958.10</t>
  </si>
  <si>
    <t>China United Network Communications</t>
  </si>
  <si>
    <t>$78,908.50</t>
  </si>
  <si>
    <t>Hanwha</t>
  </si>
  <si>
    <t>$151,966.10</t>
  </si>
  <si>
    <t>Delta Air Lines</t>
  </si>
  <si>
    <t>$60,266.00</t>
  </si>
  <si>
    <t>Pegatron</t>
  </si>
  <si>
    <t>$19,011.90</t>
  </si>
  <si>
    <t>Wilmar International</t>
  </si>
  <si>
    <t>$45,679.90</t>
  </si>
  <si>
    <t>American Airlines Group</t>
  </si>
  <si>
    <t>http://airlines.org/a4as-climate-change-commitment/</t>
  </si>
  <si>
    <t>Our emissions targets include an annual average fuel-efficiency improvement of 1.5 percent through 2020 and carbon-neutral growth from 2020, subject to critical government infrastructure and technology investments such as air traffic control modernization</t>
  </si>
  <si>
    <t>50% reduction in carbon emissions</t>
  </si>
  <si>
    <t>$60,580.00</t>
  </si>
  <si>
    <t>Royal Bank of Canada</t>
  </si>
  <si>
    <t>$1,016,475.50</t>
  </si>
  <si>
    <t>Sberbank</t>
  </si>
  <si>
    <t>Russia</t>
  </si>
  <si>
    <t>$450,270.00</t>
  </si>
  <si>
    <t>China Vanke</t>
  </si>
  <si>
    <t>$222,652.20</t>
  </si>
  <si>
    <t>Real estate</t>
  </si>
  <si>
    <t>Volvo</t>
  </si>
  <si>
    <t>https://www.businessgreen.com/bg/news/3024644/swedish-factory-becomes-volvos-first-climate-neutral-plant</t>
  </si>
  <si>
    <t>Swedish factory becomes Volvo's first 'climate-neutral' plant</t>
  </si>
  <si>
    <t>Sweden</t>
  </si>
  <si>
    <t>$53,558.60</t>
  </si>
  <si>
    <t>SABIC</t>
  </si>
  <si>
    <t>https://www.sabic.com/en/news/18655-sabic-achieves-carbon-neutral-status-at-global-headquarters</t>
  </si>
  <si>
    <t>SABIC ACHIEVES CARBON NEUTRAL STATUS AT GLOBAL HEADQUARTERS</t>
  </si>
  <si>
    <t>Saudi Arabia</t>
  </si>
  <si>
    <t>$85,231.20</t>
  </si>
  <si>
    <t>Aluminum Corp. of China</t>
  </si>
  <si>
    <t>$93,408.30</t>
  </si>
  <si>
    <t>Sinomach</t>
  </si>
  <si>
    <t>$57,450.70</t>
  </si>
  <si>
    <t>Wuchan Zhongda Group</t>
  </si>
  <si>
    <t>$12,533.70</t>
  </si>
  <si>
    <t>CNP Assurances</t>
  </si>
  <si>
    <t>$474,944.30</t>
  </si>
  <si>
    <t>Bunge</t>
  </si>
  <si>
    <t>https://www.bunge.com/sustainability/climate</t>
  </si>
  <si>
    <t>Reduce GHG emissions by 10%</t>
  </si>
  <si>
    <t>$19,425.00</t>
  </si>
  <si>
    <t>BHP Billiton</t>
  </si>
  <si>
    <t>https://www.bhp.com/environment/climate-change</t>
  </si>
  <si>
    <t>Our new target, which took effect from 1 July 2017, is to maintain our total operational emissions in FY2022 at or below FY2017 levels while we continue to grow our business. Our new target builds on our success in achieving our previous five-year target.</t>
  </si>
  <si>
    <t>$111,993.00</t>
  </si>
  <si>
    <t xml:space="preserve">BHP Billiton </t>
  </si>
  <si>
    <t xml:space="preserve">24; 50; 80 </t>
  </si>
  <si>
    <t>BHP Group</t>
  </si>
  <si>
    <t>KDDI</t>
  </si>
  <si>
    <t>https://www.kddi.com/english/corporate/ir/ir-library/annual-report/2017-selected/esg/environment/</t>
  </si>
  <si>
    <t>7% reduction in CO2 emissions</t>
  </si>
  <si>
    <t>$66,236.70</t>
  </si>
  <si>
    <t>China Merchants Group</t>
  </si>
  <si>
    <t>$203,620.60</t>
  </si>
  <si>
    <t>China Shipbuilding Industry</t>
  </si>
  <si>
    <t>$73,372.60</t>
  </si>
  <si>
    <t>China Poly Group</t>
  </si>
  <si>
    <t>$158,364.30</t>
  </si>
  <si>
    <t>HCA Holdings</t>
  </si>
  <si>
    <t>$39,207.00</t>
  </si>
  <si>
    <t>HCA Healthcare</t>
  </si>
  <si>
    <t>Bayer</t>
  </si>
  <si>
    <t>https://www.bayer.com/en/response-to-climate-change-straightforward.aspx</t>
  </si>
  <si>
    <t>20% GHG reduction</t>
  </si>
  <si>
    <t>$144,343.80</t>
  </si>
  <si>
    <t>Deutsche Bank</t>
  </si>
  <si>
    <t>https://www.db.com/cr/en/concrete-energy-and-climate-strategy.htm</t>
  </si>
  <si>
    <t>the business operations
Only a small mention of carbon neutrality on energy and climate strategy. It is put at the bottom of the page.</t>
  </si>
  <si>
    <t>$1,540,920.60</t>
  </si>
  <si>
    <t>Zurich Insurance Group</t>
  </si>
  <si>
    <t>https://www.zurich.com/en/sustainability/climate-change/carbon-neutral</t>
  </si>
  <si>
    <t>emissions from facilities and business travel
Verified Carbon Standard (VCS) Program Offsetting remaining carbon emissions by purchasing gold-level certified carbon credits from the Rimba Raya Biodiversity Reserve project.</t>
  </si>
  <si>
    <t>$395,342.00</t>
  </si>
  <si>
    <t>Tencent Holdings</t>
  </si>
  <si>
    <t>$105,382.00</t>
  </si>
  <si>
    <t>State Bank of India</t>
  </si>
  <si>
    <t>https://www.sbi.co.in/portal/documents/41076/108302076/060619-SBI_SR_2018-19_30May_Web+version.pdf/17ae9428-ca8a-4647-ae62-19821164b05c
https://www.sbi.co.in/webfiles/uploads/files/SR_2017_2018.pdf
https://economictimes.indiatimes.com/industry/banking/finance/banking/sbi-announces-steps-to-go-carbon-neutral-by-2030/articleshow/65855255.cms</t>
  </si>
  <si>
    <t>(first link) carbon neutral bank by 2030
(second link) domestic operations 
(third link) Speaking at a press conference, SBI’s newly appointed CFO and DMD Prashant Kumar announced a slew of initiatives such as migrating to electric vehicles, installing solar panels on buildings and ATMs, and banning plastic in SBI office to cut down on the bank’s carbon emissions and go green. </t>
  </si>
  <si>
    <t>$561,369.60</t>
  </si>
  <si>
    <t>AIG</t>
  </si>
  <si>
    <t>http://www.aig.com/content/dam/aig/america-canada/us/documents/citizen-ship/aig-ccr-english-brochure.pdf</t>
  </si>
  <si>
    <t>30% GHG reduction</t>
  </si>
  <si>
    <t>$491,984.00</t>
  </si>
  <si>
    <t>American International Group</t>
  </si>
  <si>
    <t>n/a                -      Direct procurement from offsite grid-connected generators (PPA)
-      Contract with suppliers
-      Self-generation</t>
  </si>
  <si>
    <t>48% by 2020
70% by 2025</t>
  </si>
  <si>
    <t>Banco Bilbao Vizcaya Argentaria</t>
  </si>
  <si>
    <t>file:///C:/Users/intern/Downloads/SK%20Innovation%20SR%202018_eng.pdf</t>
  </si>
  <si>
    <t>7.8% reduction in GHG emissions</t>
  </si>
  <si>
    <t>$773,455.50</t>
  </si>
  <si>
    <t>Woolworths</t>
  </si>
  <si>
    <t>Oct 2015</t>
  </si>
  <si>
    <t>$17,402.30</t>
  </si>
  <si>
    <t>Woolworths Group</t>
  </si>
  <si>
    <t>China Minsheng Banking</t>
  </si>
  <si>
    <t>$873,155.30</t>
  </si>
  <si>
    <t>Sumitomo</t>
  </si>
  <si>
    <t>Japanese multinational chemical company Sumitomo Chemical commits to reduce absolute scope 1 and 2 GHG emissions 30 % by 2030 and 57% by 2050 from a 2013 base-year. Sumitomo Chemical also commits that 90% of its suppliers by product weight will institute science-based GHG reduction targets by 2024.</t>
  </si>
  <si>
    <t>target for suppliers to set SBTs</t>
  </si>
  <si>
    <t>Oct 2018</t>
  </si>
  <si>
    <t>https://www.sumitomo-chem.co.jp/english/news/detail/20181018.html</t>
  </si>
  <si>
    <t>$71,532.70</t>
  </si>
  <si>
    <t>Denso</t>
  </si>
  <si>
    <t>https://www.denso.com/global/en/csr/environment-report/ecovision/energy/energy02/</t>
  </si>
  <si>
    <t xml:space="preserve">Per unit </t>
  </si>
  <si>
    <t>50% GHG reduction</t>
  </si>
  <si>
    <t>$52,339.50</t>
  </si>
  <si>
    <t>Cigna</t>
  </si>
  <si>
    <t>https://www.cigna.com/newsroom/news-releases/2018/cigna-corporate-responsibility-report-highlights-key-environmental-social-governance-efforts</t>
  </si>
  <si>
    <t>$153,226.00</t>
  </si>
  <si>
    <t>Health Care: Insurance and Managed Care</t>
  </si>
  <si>
    <t>Orange</t>
  </si>
  <si>
    <t>https://www.orange.com/en/Human-Inside/Our-commitment-to-society/Our-commitment-to-energy-and-ecological-transition/Dossier/Climate-change/Folder/climate-change-file</t>
  </si>
  <si>
    <t>$110,404.70</t>
  </si>
  <si>
    <t>Kia Motors</t>
  </si>
  <si>
    <t>$46,416.20</t>
  </si>
  <si>
    <t>Saint-Gobain</t>
  </si>
  <si>
    <t>Building Products</t>
  </si>
  <si>
    <t>$50,340.00</t>
  </si>
  <si>
    <t>35.65; 118.82</t>
  </si>
  <si>
    <t>Cisco Systems</t>
  </si>
  <si>
    <t>Cisco commits to reduce absolute Scope 1 and 2 GHG emissions 60% by FY2022 from a FY2007 base-year.  Cisco also commits to Improve system power efficiency—as measured from the input from the facility to the board-mounted ASICs, memory and other chip devices—from 77 to 87% by FY2022 for large, rack-mounted equipment.  This efficiency target will result in 13% absolute reductions in GHG emissions from network and facilities equipment operations by FY2022 from a FY2016 base-year.</t>
  </si>
  <si>
    <t>https://www.cisco.com/c/dam/assets/csr/pdf/CSR-Report-Possible-2018.pdf</t>
  </si>
  <si>
    <t>o reduce our own greenhouse gas emissions, we’re aggressively increasing our use of renewable energy. In our last fiscal year, it accounted for 80% of our electricity use worldwide. </t>
  </si>
  <si>
    <t>45% reduction GHG emissions</t>
  </si>
  <si>
    <t>$108,784.00</t>
  </si>
  <si>
    <t xml:space="preserve">Network and Other Communications Equipment </t>
  </si>
  <si>
    <t>Tokio Marine Holdings</t>
  </si>
  <si>
    <t>https://www.tokiomarinehd.com/en/sustainability/library/pdf/csr2018_web.pdf
https://www.insurancebusinessmag.com/asia/news/regional-news/tokio-marine-group-achieves-carbonneutral-status-for-fourthconsecutive-year-75207.aspx</t>
  </si>
  <si>
    <t>(first link) emissions generated by its business… Scope 1 + Scope 2 + Scope 3 business travel only
(second link) Green Power Certificates
According to the insurer, its efforts to reduce its environmental footprint included the promotion of energy conservation and efficiency in its operations, planting of mangrove trees to absorb and stabilise carbon dioxide, use of renewable energy sources, and retirement of emission credits.</t>
  </si>
  <si>
    <t>Domestic and overseas business operations</t>
  </si>
  <si>
    <t>$203,590.90</t>
  </si>
  <si>
    <t>Insurance: Property and Casualty</t>
  </si>
  <si>
    <t>Groupe BPCE</t>
  </si>
  <si>
    <t>https://groupebpce.com/en/csr/our-csr-approach</t>
  </si>
  <si>
    <t>Own operations</t>
  </si>
  <si>
    <t>10% reduction in carbon emissions</t>
  </si>
  <si>
    <t>$1,456,097.40</t>
  </si>
  <si>
    <t>MS&amp;AD Insurance</t>
  </si>
  <si>
    <t>$209,022.70</t>
  </si>
  <si>
    <t>MS&amp;AD Insurance Group Holdings</t>
  </si>
  <si>
    <t>Banco Bradesco</t>
  </si>
  <si>
    <t>$336,888.40</t>
  </si>
  <si>
    <t>Banks:  Commerical and Savings</t>
  </si>
  <si>
    <t>Zhejiang Geely Holding Group</t>
  </si>
  <si>
    <t>$48,564.80</t>
  </si>
  <si>
    <t>JBS</t>
  </si>
  <si>
    <t>$29,454.70</t>
  </si>
  <si>
    <t>Morgan Stanley</t>
  </si>
  <si>
    <t>https://www.morganstanley.com/press-releases/morgan-stanley-announces-new-goal-of-carbon-neutrality-for-globa</t>
  </si>
  <si>
    <t>for Global Operations
Underpinning this goal is a long-standing commitment to reducing energy consumption, improving energy efficiency and procuring renewable energy. As part of this goal, Morgan Stanley will source 100 percent of its global energy needs from renewable energy. </t>
  </si>
  <si>
    <t>Global Operations
Scope 1,2 and 3 business travel</t>
  </si>
  <si>
    <t>$853,531.00</t>
  </si>
  <si>
    <t>Vodafone Group</t>
  </si>
  <si>
    <t>https://www.vodafone.com/content/index/about/sustainability/energy-innovation/energy-innovation/index.html</t>
  </si>
  <si>
    <t>$160,391.20</t>
  </si>
  <si>
    <t>Shanghai Pudong Devel. Bank</t>
  </si>
  <si>
    <t>$916,091.00</t>
  </si>
  <si>
    <t>Shanghai Pudong Development Bank</t>
  </si>
  <si>
    <t>ThyssenKrupp</t>
  </si>
  <si>
    <t>$39,334.30</t>
  </si>
  <si>
    <t>HBIS Group</t>
  </si>
  <si>
    <t>$63,725.20</t>
  </si>
  <si>
    <t>Industrial Bank</t>
  </si>
  <si>
    <t>$977,563.40</t>
  </si>
  <si>
    <t>Lenovo Group</t>
  </si>
  <si>
    <t>https://www.wemeanbusinesscoalition.org/blog/lenovo-is-forging-ahead-with-climate-action/</t>
  </si>
  <si>
    <t>2009/10</t>
  </si>
  <si>
    <t>40% reduction in GHG emissions</t>
  </si>
  <si>
    <t>$29,988.50</t>
  </si>
  <si>
    <t>Shandong Energy Group</t>
  </si>
  <si>
    <t>$43,756.60</t>
  </si>
  <si>
    <t>Alimentation Couche-Tard</t>
  </si>
  <si>
    <t>$23,140.60</t>
  </si>
  <si>
    <t>Sumitomo Mitsui Financial Group</t>
  </si>
  <si>
    <t>$1,840,238.10</t>
  </si>
  <si>
    <t>Deutsche Bahn</t>
  </si>
  <si>
    <t>Mar 2017</t>
  </si>
  <si>
    <t>http://ec.europa.eu/environment/europeangreencapital/carbon-neutral-station/</t>
  </si>
  <si>
    <t>German railway company Deutsche Bahn has opened Germanys first carbon-neutral train station in Kerpen-Horrem.</t>
  </si>
  <si>
    <t>$66,896.40</t>
  </si>
  <si>
    <t>Finatis</t>
  </si>
  <si>
    <t>$45,172.50</t>
  </si>
  <si>
    <t>Vinci</t>
  </si>
  <si>
    <t>$86,133.10</t>
  </si>
  <si>
    <t>Continental</t>
  </si>
  <si>
    <t>$46,229.10</t>
  </si>
  <si>
    <t>-      Unbundled renewable energy attribute certificates</t>
  </si>
  <si>
    <t>Goldman Sachs Group</t>
  </si>
  <si>
    <t>https://www.goldmansachs.com/citizenship/environmental-stewardship/our-operational-impact/carbon-energy/</t>
  </si>
  <si>
    <t>We have pledged to be carbon neutral from fiscal year 2015 onward. This commitment includes global direct Scope 1, indirect (market-based) Scope 2 and Scope 3 business travel emissions.
In 2018, we again achieved our carbon neutrality commitment through the implementation of our Carbon Reduction Framework, which prioritizes energy reduction initiatives across our facilities and enables the procurement of renewable electricity (Green-e certified RECs and Guarantees of Origin) and high-quality certified carbon offsets that support the growth of renewable energy markets where we operate. </t>
  </si>
  <si>
    <t>Scope 1, 2 and Scope 3 travel emissions</t>
  </si>
  <si>
    <t>$931,796.00</t>
  </si>
  <si>
    <t>China National Building Material Group</t>
  </si>
  <si>
    <t>$84,608.20</t>
  </si>
  <si>
    <t>Greenland Holding Group</t>
  </si>
  <si>
    <t>$150,974.50</t>
  </si>
  <si>
    <t>Novartis</t>
  </si>
  <si>
    <t>Nov 2015</t>
  </si>
  <si>
    <t>https://www.novartis.com/our-company/corporate-responsibility/environmental-sustainability/climate</t>
  </si>
  <si>
    <t>our own operations (Scope 1 and 2)
That’s also why we share knowledge based on research and why we commit to or are part of international initiatives including:
the Equator Principles
Renewable energy 100% (RE100)
UN Global Compact
World Economic Forum CEO Climate Action Leaders Statement
The Financial Stability Board’s Taskforce for Climate-related Financial Disclosures (TCFD) recommendations
Ellen MacArthur Foundation
The Circular Economy Finance guidelines, developed together with Rabobank and ABN AMRO
Dutch Government’s Valuing Water Initiative
OECD’s Roundtable for Water Finance
WWF’s Dragon Den for Water Deals</t>
  </si>
  <si>
    <t>$145,563.00</t>
  </si>
  <si>
    <t>$100.00</t>
  </si>
  <si>
    <t>Repsol</t>
  </si>
  <si>
    <t>https://www.repsol.com/en/sustainability/climate-change/our-commitment/index.cshtml</t>
  </si>
  <si>
    <t>Reducing carbon intensity by 40%</t>
  </si>
  <si>
    <t>$69,469.30</t>
  </si>
  <si>
    <t>$15.0</t>
  </si>
  <si>
    <t xml:space="preserve">Petroleum Refining </t>
  </si>
  <si>
    <t>China Pacific Insurance</t>
  </si>
  <si>
    <t>//economictimes.indiatimes.com/articleshow/65855255.cms?utm_source=contentofinterest&amp;utm_medium=text&amp;utm_campaign=cppst</t>
  </si>
  <si>
    <t>$194,584.50</t>
  </si>
  <si>
    <t>China Pacific Insurance (Group)</t>
  </si>
  <si>
    <t>Pfizer</t>
  </si>
  <si>
    <t>Research-based pharmaceutical company Pfizer commits to reduce GHG emissions from operations 20 percent by 2020 from a 2012 base-year. This 2020 goal will keep the company on track to achieve a 60 to 80% reduction by 2050 from a 2000 base-year. Pfizer also commits that 100% of key suppliers will manage their environmental impacts, including GHG emissions, through effective sustainability programs and that 90% of key suppliers will institute GHG reduction targets by the end of 2020.Read the Pfizer Case Study.</t>
  </si>
  <si>
    <t>https://www.pfizer.com/purpose/workplace-responsibility/green-journey/climate-change</t>
  </si>
  <si>
    <t>$159,422.00</t>
  </si>
  <si>
    <t>During</t>
  </si>
  <si>
    <t>Lockheed Martin</t>
  </si>
  <si>
    <t>$44,876.00</t>
  </si>
  <si>
    <t>America Movil</t>
  </si>
  <si>
    <t>$72,580.00</t>
  </si>
  <si>
    <t>América Móvil</t>
  </si>
  <si>
    <t>Wesfarmers</t>
  </si>
  <si>
    <t>$27,282.40</t>
  </si>
  <si>
    <t>Energy Transfer Equity</t>
  </si>
  <si>
    <t>$88,246.00</t>
  </si>
  <si>
    <t>Energy Transfer</t>
  </si>
  <si>
    <t>Korea Electric Power</t>
  </si>
  <si>
    <t>$166,038.40</t>
  </si>
  <si>
    <t>Anheuser-Busch InBev</t>
  </si>
  <si>
    <t>Global Brewer AB InBev commits to reduce emissions across the value chain (Scopes 1, 2 and 3) by 25% per beverage by 2025, from a 2017 base year. These commitments reinforce AB InBev’s commitment towards mitigating the impacts of climate change.</t>
  </si>
  <si>
    <t>https://www.ab-inbev.com/news-media/news-stories/the-future-of-transport--a-roadmap-to-scaling-sustainability-acr.html</t>
  </si>
  <si>
    <t>Across value chain</t>
  </si>
  <si>
    <t>Belgium</t>
  </si>
  <si>
    <t>$232,103.00</t>
  </si>
  <si>
    <t>Itaú Unibanco Holding</t>
  </si>
  <si>
    <t>$400,690.80</t>
  </si>
  <si>
    <t>Bank: Commerical and Savings</t>
  </si>
  <si>
    <t>Caterpillar</t>
  </si>
  <si>
    <t>$78,509.00</t>
  </si>
  <si>
    <t>Guangzhou Automobile Industry Group</t>
  </si>
  <si>
    <t>$42,549.70</t>
  </si>
  <si>
    <t>China Merchants Bank</t>
  </si>
  <si>
    <t>$982,526.00</t>
  </si>
  <si>
    <t>Christian Dior</t>
  </si>
  <si>
    <t>$88,320.80</t>
  </si>
  <si>
    <t>Nippon Steel &amp; Sumitomo Metal</t>
  </si>
  <si>
    <t>$72,734.50</t>
  </si>
  <si>
    <t>Nippon Steel Corporation</t>
  </si>
  <si>
    <t>LG Electronics</t>
  </si>
  <si>
    <t>https://www.lg.com/uk/press-release/lg-commits-to-carbon-neutrality-by-2030</t>
  </si>
  <si>
    <t>net-zero carbon emissions from its global operations
Additionally, through the expansion of its Clean Development Mechanism (CDM) projects, LG plans to secure Certified Emission Reduction (CER) credits. Such forward-thinking CDM initiatives promote clean development in emerging nations by allowing businesses with carbon reduction commitments to implement emissions reduction projects in developing countries using their own capital and technologies. Such projects are critical to earning CER credits, which are issued by the United Nations Framework Convention on Climate Change (UNFCC) after a thorough evaluation process.</t>
  </si>
  <si>
    <t>Global Operations</t>
  </si>
  <si>
    <t>$39,731.50</t>
  </si>
  <si>
    <t>50% by 2018
for data centers</t>
  </si>
  <si>
    <t>Facebook</t>
  </si>
  <si>
    <t>https://newsroom.fb.com/news/2018/08/renewable-energy/</t>
  </si>
  <si>
    <t>We are still in.</t>
  </si>
  <si>
    <t>75% reduction of GHG</t>
  </si>
  <si>
    <t>$97,334.00</t>
  </si>
  <si>
    <t>RWE</t>
  </si>
  <si>
    <t>$91,563.40</t>
  </si>
  <si>
    <t>Alibaba Group Holding</t>
  </si>
  <si>
    <t>$143,608.20</t>
  </si>
  <si>
    <t>Hengli Group</t>
  </si>
  <si>
    <t>$22,400.30</t>
  </si>
  <si>
    <t>Brookfield Asset Management</t>
  </si>
  <si>
    <t>$256,281.00</t>
  </si>
  <si>
    <t>Humana</t>
  </si>
  <si>
    <t>$25,413.00</t>
  </si>
  <si>
    <t>Tokyo Electric Power</t>
  </si>
  <si>
    <t>$115,274.20</t>
  </si>
  <si>
    <t xml:space="preserve"> Utilities</t>
  </si>
  <si>
    <t>Country Garden Holdings</t>
  </si>
  <si>
    <t>$237,367.50</t>
  </si>
  <si>
    <t>Telefonica</t>
  </si>
  <si>
    <t>Multinational telecommunications company, Telefónica, commits to reducing its GHG emissions (scope 1+2) in absolute terms (tCO2e) 30% by 2020 and 50% by 2030 from a 2015 base year.</t>
  </si>
  <si>
    <t>https://www.telefonica.com/en/web/responsible-business/environment/energy-and-climate-change-2</t>
  </si>
  <si>
    <t>Supply chain</t>
  </si>
  <si>
    <t>Reduce CO2 emissions 30%</t>
  </si>
  <si>
    <t>$130,355.70</t>
  </si>
  <si>
    <t>Telefónica</t>
  </si>
  <si>
    <t>Pertamina</t>
  </si>
  <si>
    <t>Indonesia</t>
  </si>
  <si>
    <t>$64,718.50</t>
  </si>
  <si>
    <t>Societe Generale</t>
  </si>
  <si>
    <t>https://www.societegenerale.com/en/measuring-our-performance/csr/environment</t>
  </si>
  <si>
    <t>per employee</t>
  </si>
  <si>
    <t>25% GHG emission reduction</t>
  </si>
  <si>
    <t>$1,496,676.20</t>
  </si>
  <si>
    <t>Société Générale</t>
  </si>
  <si>
    <t>40% by 2020</t>
  </si>
  <si>
    <t>No target date</t>
  </si>
  <si>
    <t>HP</t>
  </si>
  <si>
    <t>American multinational information technology company HP Inc commits to reduce scope 1 and 2 GHG emissions 25% by 2025, using a 2015 base year. HP also commits to reduce the scope 3 emissions intensity from the use of its products (emissions per unit for personal systems and per printed page for printers) 25% by 2020, using a 2010 base year. HP further commits to reduce the scope 3 emissions intensity from first-tier production and product transportation suppliers (emissions per million US$ revenue) 10% by 2025, using a 2015 base year.
Read more</t>
  </si>
  <si>
    <t>http://www8.hp.com/h20195/v2/GetPDF.aspx/c06293935.pdf
https://press.ext.hp.com/us/en/press-releases/2019/hp-pledges-to-making-every-page-printed-forest-positive.html</t>
  </si>
  <si>
    <t xml:space="preserve">carbon neutral printing
[printing constitutes over half of emissions from product use]
HP Pledges to Make Every Page Printed Forest Positive, Carbon Neutral and Part of a Circular Economy
The company reached its goal of 100% zero deforestation with its HP-branded paper two years ahead of schedule1, and is on track to achieve zero deforestation of its paper-based packaging by 2020 – marking a major milestone in the company’s journey toward a forest positive2 future.
</t>
  </si>
  <si>
    <t xml:space="preserve">Every Page Printed </t>
  </si>
  <si>
    <t>$34,622.00</t>
  </si>
  <si>
    <t>Computer, Office Equipment</t>
  </si>
  <si>
    <t>Sysco</t>
  </si>
  <si>
    <t>$18,070.40</t>
  </si>
  <si>
    <t>POSCO</t>
  </si>
  <si>
    <t>$70,607.70</t>
  </si>
  <si>
    <t>Walt Disney</t>
  </si>
  <si>
    <t>https://www.energytrend.com/news/20181101-12531.html</t>
  </si>
  <si>
    <t>Globally</t>
  </si>
  <si>
    <t>$98,598.00</t>
  </si>
  <si>
    <t>Sinopharm</t>
  </si>
  <si>
    <t>$49,823.40</t>
  </si>
  <si>
    <t>Centene</t>
  </si>
  <si>
    <t>nO</t>
  </si>
  <si>
    <t>$30,901.00</t>
  </si>
  <si>
    <t>-      Direct procurement from offsite grid-connected generators (PPA)
-      Unbundled renewable energy attribute certificates</t>
  </si>
  <si>
    <t>Unilever</t>
  </si>
  <si>
    <t>Dutch-British transnational consumer goods company, Unilever commits to reduce scope 1 and 2 GHG emissions 100% by 2030 from a 2015 base year. The company also commits to reduce GHG emissions from the life-cycle of their products 50%  per consumer use by 2030 from a  2010 base-year.</t>
  </si>
  <si>
    <t>https://www.unilever.com/sustainable-living/reducing-environmental-impact/greenhouse-gases/how-were-becoming-carbon-positive-in-our-operations/</t>
  </si>
  <si>
    <t>"carbon positive"
Becoming carbon positive means we will eliminate fossil fuels from our operations - and directly support the generation of more renewable energy than we consume.
By becoming carbon positive, we will:
Source all our electricity purchased from the grid from renewable sources by 2020
Source 100% of our energy across all our operations from renewable sources by 2030
Eliminate coal from our energy mix by 2020
Directly support the generation of more renewable energy than we consume, making the surplus available to the markets and communities where we operate by 2030.</t>
  </si>
  <si>
    <t>Britain/Netherlands</t>
  </si>
  <si>
    <t>$67,958.20</t>
  </si>
  <si>
    <t>Mitsubishi UFJ Financial Group</t>
  </si>
  <si>
    <t>$2,811,411.40</t>
  </si>
  <si>
    <t>Albertsons Cos.</t>
  </si>
  <si>
    <t>$20,776.60</t>
  </si>
  <si>
    <t>Auchan Holding</t>
  </si>
  <si>
    <t>$41,073.70</t>
  </si>
  <si>
    <t>Roche Group</t>
  </si>
  <si>
    <t>https://www.roche.com/sustainability/environment/emissions_to_air_and_to_water.htm</t>
  </si>
  <si>
    <t>Tonnes per employee</t>
  </si>
  <si>
    <t>$79,680.30</t>
  </si>
  <si>
    <t>Toyota Tsusho</t>
  </si>
  <si>
    <t>https://www.toyota-tsusho.com/english/csr/activities/environment/env-activity.html</t>
  </si>
  <si>
    <t>10% reduction in CO2 emissions</t>
  </si>
  <si>
    <t>$40,132.50</t>
  </si>
  <si>
    <t>Power China</t>
  </si>
  <si>
    <t>$123,815.20</t>
  </si>
  <si>
    <t>PowerChina</t>
  </si>
  <si>
    <t>Oil &amp; Natural Gas</t>
  </si>
  <si>
    <t>$71,563.40</t>
  </si>
  <si>
    <t>Seven &amp; I Holdings</t>
  </si>
  <si>
    <t>$52,069.20</t>
  </si>
  <si>
    <t>Petronas</t>
  </si>
  <si>
    <t>Malaysia</t>
  </si>
  <si>
    <t>$154,071.20</t>
  </si>
  <si>
    <t>Mitsui</t>
  </si>
  <si>
    <t>$107,940.50</t>
  </si>
  <si>
    <t>Prudential Financial</t>
  </si>
  <si>
    <t>$815,078.00</t>
  </si>
  <si>
    <t>Archer Daniels Midland</t>
  </si>
  <si>
    <t>https://assets.adm.com/Sustainability/2017-CSR-Final-5-14-18.pdf</t>
  </si>
  <si>
    <t>Company wide</t>
  </si>
  <si>
    <t>16% reduction in GHG emissions</t>
  </si>
  <si>
    <t>$40,833.00</t>
  </si>
  <si>
    <t>PepsiCo</t>
  </si>
  <si>
    <t>Multinational food, snack, and beverage corporation PepsiCo commits to working to reduce absolute greenhouse gas emissions across our value chain (scopes 1, 2, and 3) by at least 20% by 2030 from a 2015 base year.</t>
  </si>
  <si>
    <t>https://www.pepsico.com/sustainability/climate-change</t>
  </si>
  <si>
    <t>$77,648.00</t>
  </si>
  <si>
    <t>Dai-ichi Life Insurance</t>
  </si>
  <si>
    <t>$505,478.10</t>
  </si>
  <si>
    <t>Dai-ichi Life Holdings</t>
  </si>
  <si>
    <t>FedEx</t>
  </si>
  <si>
    <t>http://www.fedex.com/cy/about/sustainability/environment.html</t>
  </si>
  <si>
    <t>Aircraft emissions</t>
  </si>
  <si>
    <t>Reduce emissions by 30%</t>
  </si>
  <si>
    <t>$52,330.00</t>
  </si>
  <si>
    <t xml:space="preserve">Mail, Package, and Freight Delivery </t>
  </si>
  <si>
    <t>Aviation Industry Corp. of China</t>
  </si>
  <si>
    <t>$138,082.70</t>
  </si>
  <si>
    <t>Bank of Communications</t>
  </si>
  <si>
    <t>$1,388,230.00</t>
  </si>
  <si>
    <t>China Baowu Steel Group</t>
  </si>
  <si>
    <t>$103,676.10</t>
  </si>
  <si>
    <t>United Technologies</t>
  </si>
  <si>
    <t>Jan 2017</t>
  </si>
  <si>
    <t>Aerospace and Defense</t>
  </si>
  <si>
    <t>$134,211.00</t>
  </si>
  <si>
    <t>Marubeni</t>
  </si>
  <si>
    <t>$61,526.00</t>
  </si>
  <si>
    <t>-      Direct procurement from offsite grid-connected generators (PPA)
-      Contract with suppliers
Progress recorded as % of renewable energy in total energy consumption.</t>
  </si>
  <si>
    <t>20% by 2020</t>
  </si>
  <si>
    <t>Procter &amp; Gamble</t>
  </si>
  <si>
    <t>American consumer goods corporation Procter &amp;amp; Gamble commits to reduce emissions from operations 50% by 2030 from a 2010 base-year. Within this timeframe, the company will also address the main source of emissions across its value chain by measures including: ensuring that 70% of all washing machine loads are washed in cold water, doubling the use of post-consumer resin in plastic packaging and ensuring zero deforestation in the palm oil supply chain. Read the Procter &amp;amp; Gamble Case Study.</t>
  </si>
  <si>
    <t>yes - only for some of downstream</t>
  </si>
  <si>
    <t>https://us.pg.com/environmental-sustainability/</t>
  </si>
  <si>
    <t>100% renewable electricity by 2030</t>
  </si>
  <si>
    <t>Company sites</t>
  </si>
  <si>
    <t>reduce GHG emissions by 50%</t>
  </si>
  <si>
    <t>$118,310.00</t>
  </si>
  <si>
    <t>Munich Re</t>
  </si>
  <si>
    <t>https://www.munichre.com/site/corporate/get/documents_E1169291126/mr/assetpool.shared/Documents/4_Corporate_Responsibility/Downloads/MunichRe-CR-Report-2018.pdf</t>
  </si>
  <si>
    <t>group-wide
this being achieved through more efficient energy use, less business travel, use of "green" power, investment in renewable energy and the off-setting of any remaining carbon emissions through the purchase of carbon credits. </t>
  </si>
  <si>
    <t>$308,802.00</t>
  </si>
  <si>
    <t>Munich Re Group</t>
  </si>
  <si>
    <t>ChemChina</t>
  </si>
  <si>
    <t>$116,353.60</t>
  </si>
  <si>
    <t>Renault</t>
  </si>
  <si>
    <t>https://group.renault.com/en/our-commitments/respect-for-the-environment/carbon-footprint/</t>
  </si>
  <si>
    <t>Reduce carbon footprint 25%</t>
  </si>
  <si>
    <t>$131,440.40</t>
  </si>
  <si>
    <t>MetLife</t>
  </si>
  <si>
    <t>https://www.metlife.com/corporate-responsibility/environment/carbon-neutrality/</t>
  </si>
  <si>
    <t>To offset the greenhouse gas emissions that we cannot reduce in the short term, we support a diverse portfolio of emissions-reduction and renewable energy generation projects in countries where we operate around the world. MetLife supports six third-party certified carbon-reduction projects that empower local economies and align with the United Nations’ Sustainable Development Goals, including:</t>
  </si>
  <si>
    <t>$687,538.00</t>
  </si>
  <si>
    <t>China Telecommunications</t>
  </si>
  <si>
    <t>$122,945.90</t>
  </si>
  <si>
    <t>China North Industries</t>
  </si>
  <si>
    <t>$57,675.40</t>
  </si>
  <si>
    <t>China North Industries Group</t>
  </si>
  <si>
    <t>JD.com</t>
  </si>
  <si>
    <t>$30,465.20</t>
  </si>
  <si>
    <t>Internet Services and Retailing</t>
  </si>
  <si>
    <t>Evergrande Real Estate Group</t>
  </si>
  <si>
    <t>$273,829.00</t>
  </si>
  <si>
    <t>China Evergrande Group</t>
  </si>
  <si>
    <t>CITIC Group</t>
  </si>
  <si>
    <t>$986,297.00</t>
  </si>
  <si>
    <t>U.S. Postal Service</t>
  </si>
  <si>
    <t>https://about.usps.com/what-we-are-doing/green/climatechange.htm</t>
  </si>
  <si>
    <t>Reduce emissions 20%</t>
  </si>
  <si>
    <t>$26,688.00</t>
  </si>
  <si>
    <t>UPS</t>
  </si>
  <si>
    <t>UPS offers customers the ability to counter balance the carbon dioxide emissions generated by the transport of their packages through carbon offsetting. This means that for every tonne of CO2 a package produces in transportation, an equivalent amount of CO2 is saved by a verified emission reduction project somewhere else in the world. </t>
  </si>
  <si>
    <t>Natural Capital Partners (CarbonNeutral)</t>
  </si>
  <si>
    <t>Shipments</t>
  </si>
  <si>
    <t>No - but offer a product</t>
  </si>
  <si>
    <t>$50,016.00</t>
  </si>
  <si>
    <t>Mail, Package and Freight Delivery</t>
  </si>
  <si>
    <t>United Parcel Service</t>
  </si>
  <si>
    <t>COFCO</t>
  </si>
  <si>
    <t>$81,657.40</t>
  </si>
  <si>
    <t>Lowe's</t>
  </si>
  <si>
    <t>https://newsroom.lowes.com/inside-lowes/lowes-continues-to-explore-new-ways-to-reduce-environmental-footprint/</t>
  </si>
  <si>
    <t>Reduce carbon emissions 20%</t>
  </si>
  <si>
    <t>$34,508.00</t>
  </si>
  <si>
    <t>Speciality Retailers</t>
  </si>
  <si>
    <t>Intel</t>
  </si>
  <si>
    <t>https://www.intel.com/content/dam/www/public/us/en/documents/corporate-information/environment-climate-change-policy.pdf for reduction https://thecostaricanews.com/intel-cr-certifies-as-neutral-carbon-by-reducing-energy-consumption-at-50/ for costa rica</t>
  </si>
  <si>
    <t>Recently, Intel Costa Rica managed to become certified as a Carbon Neutral company, after implementing a series of measures at its facilities in San Antonio de Belén. This is due to the technology used, which has achieved a more efficient use of electricity and water without affecting the employees of the company.</t>
  </si>
  <si>
    <t>Carbon footpring standard</t>
  </si>
  <si>
    <t>Intel Costa Rica carbon neutral</t>
  </si>
  <si>
    <t>$127,963.00</t>
  </si>
  <si>
    <t>Panasonic</t>
  </si>
  <si>
    <t>Japanese multinational electronics corporation Panasonic commits to reduce scope 1 and 2 GHG emissions 30% by 2030, from a 2013 base-year, and to zero by 2050. Panasonic also commits to reduce scope 3 GHG emissions from the use of sold products 30% by 2030, from a 2013 base-year.</t>
  </si>
  <si>
    <t>https://www.businessgreen.com/bg/news/3073122/panasonic-plugs-into-carbon-neutrality-at-two-factories
https://www.panasonic-batteries.com/en/news/panasonic-environment-vision-2050-our-commitments-become-carbon-neutral
https://www.panasonic.com/global/corporate/sustainability/eco/co2.html</t>
  </si>
  <si>
    <t>Electronics giant announces factories in Belgium and Japan are now 'CO2-neutral' production hubs
(third link) from our business activities... achieving zero emission by 2050</t>
  </si>
  <si>
    <t>$54,341.10</t>
  </si>
  <si>
    <t>PTT</t>
  </si>
  <si>
    <t>Aug 2016</t>
  </si>
  <si>
    <t>http://www.pttplc.com/en/Sustainability/Environment/Climate-Strategy/Pages/default.aspx</t>
  </si>
  <si>
    <t>Thailand</t>
  </si>
  <si>
    <t>$72,348.40</t>
  </si>
  <si>
    <t>Beijing Automotive Group</t>
  </si>
  <si>
    <t>$66,789.50</t>
  </si>
  <si>
    <t>Freddie Mac</t>
  </si>
  <si>
    <t>$2,063,060.00</t>
  </si>
  <si>
    <t>Royal Ahold Delhaize</t>
  </si>
  <si>
    <t>$38,097.30</t>
  </si>
  <si>
    <t>Engie</t>
  </si>
  <si>
    <t>https://www.engie.com/en/analysts/environment/reduction-of-ghg-emissions/</t>
  </si>
  <si>
    <t>Direct emissions</t>
  </si>
  <si>
    <t>Reduction of emissions by 85%</t>
  </si>
  <si>
    <t>$175,681.40</t>
  </si>
  <si>
    <t>Nippon Life Insurance</t>
  </si>
  <si>
    <t>$712,112.70</t>
  </si>
  <si>
    <t>Deutsche Post</t>
  </si>
  <si>
    <t>https://www.dpdhl.com/en/responsibility/environment-and-solutions.html</t>
  </si>
  <si>
    <t>all logistics-related emissions
Stated as zero emissions
Our GoGreen environmental protection program</t>
  </si>
  <si>
    <t>Group-wide</t>
  </si>
  <si>
    <t>$57,687.20</t>
  </si>
  <si>
    <t>Deutsche Post DHL Group</t>
  </si>
  <si>
    <t>Airbus Group</t>
  </si>
  <si>
    <t>$131,671.30</t>
  </si>
  <si>
    <t>Airbus</t>
  </si>
  <si>
    <t>Target</t>
  </si>
  <si>
    <t>US retailer Target commits to reduce absolute scope 1 and 2 emissions and scope 3 GHG emissions from retail purchased goods and services 30% by 2030 from a 2017 base-year. Target also commits that 80% of its suppliers by spend covering all purchased goods and services will set science-based scope 1 and scope 2 targets by 2023.</t>
  </si>
  <si>
    <t>https://corporate.target.com/article/2019/03/climate-goals</t>
  </si>
  <si>
    <t>Scope 1, 2 and 3</t>
  </si>
  <si>
    <t>$41,290.00</t>
  </si>
  <si>
    <t>People's Insurance Co. of China</t>
  </si>
  <si>
    <t>$150,259.30</t>
  </si>
  <si>
    <t>Archelor Mittal</t>
  </si>
  <si>
    <t>https://annualreview2016.arcelormittal.com/action-2020/sustainability-review/energy-and-carbon</t>
  </si>
  <si>
    <t>per tonne of steel</t>
  </si>
  <si>
    <t>Reduce carbon emissions by 8%</t>
  </si>
  <si>
    <t>Luxembourg</t>
  </si>
  <si>
    <t>$91,249.00</t>
  </si>
  <si>
    <t>ArcelorMittal</t>
  </si>
  <si>
    <t>BASF</t>
  </si>
  <si>
    <t>https://www.basf.com/global/en/who-we-are/sustainability/environment/energy-and-climate-protection/climate-protection-goals.html</t>
  </si>
  <si>
    <t>CO2 neutral growth</t>
  </si>
  <si>
    <t>CO2 neutral growth at Production sites and energy purchases</t>
  </si>
  <si>
    <t>$98,933.50</t>
  </si>
  <si>
    <t>Amer International Group</t>
  </si>
  <si>
    <t>$21,240.60</t>
  </si>
  <si>
    <t>AEON</t>
  </si>
  <si>
    <t>Japanese retail network AEON commits to reduce absolute scope 1 and 2 GHG emissions 35% by 2030 from a 2010 base-year. AEON also commits that 80% of its suppliers by emissions covering purchased goods and services will set science-based targets by 2021.</t>
  </si>
  <si>
    <t>Jan 2019</t>
  </si>
  <si>
    <t>$90,293.60</t>
  </si>
  <si>
    <t>Indian Oil</t>
  </si>
  <si>
    <t>$48,385.60</t>
  </si>
  <si>
    <t>30% by 2030</t>
  </si>
  <si>
    <t>Sony</t>
  </si>
  <si>
    <t>Japanese multinational conglomerate Sony commits to reduce GHG emissions from its operations by 42% below fiscal year 2000 levels by fiscal year 2020. Also, the company has a long-term vision of reducing its environmental footprint to zero by 2050, requiring a 90% reduction in GHG emissions over 2008 levels by 2050 (scopes 1, 2, and 3). Read the Sony Case Study.</t>
  </si>
  <si>
    <t>https://www.sony.net/SonyInfo/csr/eco/RoadToZero/gm_en.html</t>
  </si>
  <si>
    <t>throughout the life cycle of our products and business activities</t>
  </si>
  <si>
    <t>"zero-emission" throughout the life cycle of our products and business activities</t>
  </si>
  <si>
    <t>$189,586.90</t>
  </si>
  <si>
    <t>https://www.sony.net/SonyInfo/csr_report/environment/site/ghg.html
https://www.edie.net/news/6/Sony--Microsoft-and-Adidas-back-new-UN-emissions-offset-scheme/
https://www.sony.net/SonyInfo/csr/eco/RoadToZero/gm_en.html for cn</t>
  </si>
  <si>
    <t>Sony, Microsoft, Adidas back new UN emission offset initiative. The UN has launched a major new initiative designed to get businesses and consumers to voluntarily become 'climate neutral'. - no other mention of carbon neutrality</t>
  </si>
  <si>
    <t>Absolute reduction</t>
  </si>
  <si>
    <t>5% reduction in GHG emissions</t>
  </si>
  <si>
    <t>https://corporate.arcelormittal.com/news-and-media/press-releases/2019/may/29-05-2019</t>
  </si>
  <si>
    <t>carbon neutral in its European operations by 2050</t>
  </si>
  <si>
    <t xml:space="preserve">in Europe </t>
  </si>
  <si>
    <t>23.88-33.27</t>
  </si>
  <si>
    <t>IBM</t>
  </si>
  <si>
    <t> IBM does not use emissions offsets to become "carbon neutral" for our operations</t>
  </si>
  <si>
    <t>$123,382.00</t>
  </si>
  <si>
    <t>International Business Machines</t>
  </si>
  <si>
    <t>Equinor</t>
  </si>
  <si>
    <t>https://www.equinor.com/en/how-and-why/climate-change.html</t>
  </si>
  <si>
    <t>Aiming to achieve annual  CO2 emission reductions of  3 million tonnes by 2030 compared to 2017.</t>
  </si>
  <si>
    <t>Norway</t>
  </si>
  <si>
    <t>$112,508.00</t>
  </si>
  <si>
    <t>China Minmetals</t>
  </si>
  <si>
    <t>$130,626.80</t>
  </si>
  <si>
    <t>China Southern Power Grid</t>
  </si>
  <si>
    <t>$118,705.60</t>
  </si>
  <si>
    <t>Électricité de France</t>
  </si>
  <si>
    <t>https://www.edf.fr/en/the-edf-group/our-commitments/corporate-social-responsibility/doing-even-more-to-reduce-co2-emissions</t>
  </si>
  <si>
    <t>the CO2 discharged into the atmosphere
In early 2018, EDF Group made the commitment to reduce the CO2 discharged into the atmosphere from 51 million tons in 2017 to 30 million tons by 2030 (direct CO2 emissions), which is in keeping with its work towards carbon neutrality by 2050. </t>
  </si>
  <si>
    <t>$323,662.20</t>
  </si>
  <si>
    <t>Electricité de France</t>
  </si>
  <si>
    <t>-      Direct procurement from offsite grid-connected generators (PPA)
-      Contract with suppliers
-      Unbundled renewable energy attribute certificates
-      Self-generation</t>
  </si>
  <si>
    <t>35% by
2020</t>
  </si>
  <si>
    <t>Johnson &amp; Johnson</t>
  </si>
  <si>
    <t>https://www.jnj.com/global-environmental-health/climate-and-energy</t>
  </si>
  <si>
    <t>reduce absolute carbon emissions 20%</t>
  </si>
  <si>
    <t>$152,954.00</t>
  </si>
  <si>
    <t>and to produce or procure 35% of electricity use from renewable sources by 2020, and 100% by 2050. </t>
  </si>
  <si>
    <t>reduce absolute carbon emissions 80%</t>
  </si>
  <si>
    <t>State Farm Insurance Cos.</t>
  </si>
  <si>
    <t>$272,518.40</t>
  </si>
  <si>
    <t>Insurance: Property and Casualty (Mutual)</t>
  </si>
  <si>
    <t>China Energy Investment</t>
  </si>
  <si>
    <t>$259,644.40</t>
  </si>
  <si>
    <t>Reliance Industries</t>
  </si>
  <si>
    <t>$144,715.20</t>
  </si>
  <si>
    <t>JX Holdings</t>
  </si>
  <si>
    <t>$76,604.40</t>
  </si>
  <si>
    <t>JXTG Holdings</t>
  </si>
  <si>
    <t>BNP Paribas</t>
  </si>
  <si>
    <t>https://group.bnpparibas/en/news/carbon-neutrality-bnp-paribas-goodplanet-foundation-launch-carbon-offsetting-programme
https://group.bnpparibas/en/news/bnp-paribas-wishes-carbon-neutral-end-2017</t>
  </si>
  <si>
    <t>Advertised extensively on website
At the end of 2017, BNP Paribas was proud to announce that it had become carbon neutral thanks to a combination of three actions: 
Reducing direct CO² emissions to reach the objective of a 25% reduction by 2020, via an active policy of promoting energy efficiency at the Bank’s buildings and data centres and by optimising its employees’ business travel.
 Neutralising emissions arising from energy consumption by only using low-carbon electricity in all countries where it is available.
 Offsetting CO² emissions that cannot be reduced.
Carbon neutrality: BNP Paribas and the GoodPlanet Foundation launch a new carbon offsetting programme
(second link) BNP Paribas commits to becoming carbon neutral by the end of the year in terms of the CO2 emissions arising from its own operations.</t>
  </si>
  <si>
    <t>Company Wide</t>
  </si>
  <si>
    <t>$2,332,675.50</t>
  </si>
  <si>
    <t>25-40$/CO2e</t>
  </si>
  <si>
    <t>65% by 2020
80% by 2025</t>
  </si>
  <si>
    <t>Tesco</t>
  </si>
  <si>
    <t>British multinational grocery and general merchandise retailer Tesco commits to reduce scope 1 and 2 GHG emissions 60% by 2025, using a 2015 base-year. Tesco also commits to reduce its scope 3 GHG emissions 17% by 2030, using a 2015 base-year. The emissions categories covered by the scope 3 target are purchased goods and services (supply chain), fuel and energy related activities, upstream transportation and distribution, and waste generated in operations. </t>
  </si>
  <si>
    <t>yes - upstream only</t>
  </si>
  <si>
    <t>https://sustainability.tescoplc.com/sustainability/foundations/topics/carbon-footprint/
https://www.theguardian.com/environment/2012/jan/30/tesco-drops-carbon-labelling</t>
  </si>
  <si>
    <t>absolute carbon emissions from our operations
TCFD signatory
Tesco drops carbon-label pledge</t>
  </si>
  <si>
    <t>Absolute reduction in operations</t>
  </si>
  <si>
    <t>100% absolute carbon reduction</t>
  </si>
  <si>
    <t>$65,227.60</t>
  </si>
  <si>
    <t>https://sustainability.tescoplc.com/sustainability/foundations/topics/carbon-footprint/</t>
  </si>
  <si>
    <t>Reduce absolute carbon emissions from our operations from 2015/16 levels: 35% by 2020, 60% by 2025 and 100% by 2050.</t>
  </si>
  <si>
    <t>35% absolute carbon reduction</t>
  </si>
  <si>
    <t>Hitachi</t>
  </si>
  <si>
    <t>Japanese construction equipment company Hitachi Construction Machinery commits to reduce absolute scope 1 and 2 GHG emissions 45% by 2030 from a 2010 base year. Hitachi Construction Machinery also commits to reduce absolute scope 3 GHG emissions from use of sold products 33% by 2030 from a 2010 base year.</t>
  </si>
  <si>
    <t>May 2019</t>
  </si>
  <si>
    <t>https://www.hitachi.com/environment/vision/</t>
  </si>
  <si>
    <t>Through the value chain</t>
  </si>
  <si>
    <t>$86,984.70</t>
  </si>
  <si>
    <t>China Post Group</t>
  </si>
  <si>
    <t>$1,429,122.30</t>
  </si>
  <si>
    <t>DowDuPont</t>
  </si>
  <si>
    <t>http://www.dupont.com/corporate-functions/our-company/insights/articles/position-statements/articles/climate-change.html</t>
  </si>
  <si>
    <t>10% reduction in energy intensity</t>
  </si>
  <si>
    <t>$188,030.00</t>
  </si>
  <si>
    <t>DuPont</t>
  </si>
  <si>
    <t>90% by 2025</t>
  </si>
  <si>
    <t>HSBC Holdings</t>
  </si>
  <si>
    <t>Jun 2016</t>
  </si>
  <si>
    <t>https://www.greenbiz.com/news/2005/10/12/hsbc-goes-carbon-neutral-three-months-early</t>
  </si>
  <si>
    <t>HSBC has become the first major bank to reduce its carbon dioxide (CO2) emissions to zero by reducing energy use, buying green electricity, and then offsetting the remaining CO2 emissions by investing in carbon projects.
These emission reductions have been
independently verified and a</t>
  </si>
  <si>
    <t>No - abandoned</t>
  </si>
  <si>
    <t>$2,558,124.00</t>
  </si>
  <si>
    <t>SoftBank Group</t>
  </si>
  <si>
    <t>$326,163.20</t>
  </si>
  <si>
    <t>Pacific Construction Group</t>
  </si>
  <si>
    <t>https://www.swirepacific.com/sdreport/2017/environment/carbon.php</t>
  </si>
  <si>
    <t xml:space="preserve">Reduce CO2 8-10% </t>
  </si>
  <si>
    <t>$58,175.00</t>
  </si>
  <si>
    <t>Peugeot</t>
  </si>
  <si>
    <t>$70,811.10</t>
  </si>
  <si>
    <t>Pemex</t>
  </si>
  <si>
    <t>$105,384.40</t>
  </si>
  <si>
    <t>Hyundai Motor</t>
  </si>
  <si>
    <t>$161,921.40</t>
  </si>
  <si>
    <t>China Communications Construction</t>
  </si>
  <si>
    <t>$198,943.70</t>
  </si>
  <si>
    <t>Assicurazioni Generali</t>
  </si>
  <si>
    <t>$589,590.30</t>
  </si>
  <si>
    <t>-      Direct procurement from offsite grid-connected generators (PPA)</t>
  </si>
  <si>
    <t>40%
(100% in
France)</t>
  </si>
  <si>
    <t>100% in France in 2016</t>
  </si>
  <si>
    <t>Credit Agricole</t>
  </si>
  <si>
    <t>May 2016</t>
  </si>
  <si>
    <t>https://www.ca-cib.com/about-us/committed-and-responsible/management-of-our-direct-environmental-impact
https://www.credit-agricole.com/en/finance/finance/press-releases/credit-agricole-s.a-buys-carbon-credits-to-offset-its-co2-emissions</t>
  </si>
  <si>
    <t>Crédit Agricole S.A. today signed an agreement to purchase carbon credits from Carbon Capital Markets, a leading carbon trader. </t>
  </si>
  <si>
    <t>$1,856,682.30</t>
  </si>
  <si>
    <t>Classifies industry sectors and geographical zones by intensity of carbon financing. Measure in tCO2/</t>
  </si>
  <si>
    <t>Crédit Agricole</t>
  </si>
  <si>
    <t>Deutsche Telekom</t>
  </si>
  <si>
    <t>German telecommunications company  Deutsche Telekom AG commits to reduce absolute Scope 1&amp;amp;2 GHG emissions 90% by 2030 from a 2017 base-year. Deutsche Telekom AG commits to increase annual sourcing of renewable electricity from 41% in 2017 to 100% by 2021.
Deutsche Telekom AG commits to reduce Scope 3 GHG emissions 25% per customer by 2030 from a 2017 base-year.</t>
  </si>
  <si>
    <t>yes per customer</t>
  </si>
  <si>
    <t>Jun 2019</t>
  </si>
  <si>
    <t>https://www.telekom.com/en/media/media-information/archive/deutsche-telekom-to-switch-to-electricity-from-renewable-sources-of-energy-567218</t>
  </si>
  <si>
    <t>Group to cover 100 percent of their electricity needs with renewable energies by 2021 </t>
  </si>
  <si>
    <t>90% CO2 emissions reduction</t>
  </si>
  <si>
    <t>$166,163.60</t>
  </si>
  <si>
    <t>Enel</t>
  </si>
  <si>
    <t>Italian multinational manufacturer and distributor of electricity and gas Enel commits to reduce CO2 emissions 25% per kWh by 2020, from a 2007 base-year. The target includes the decommissioning of 13 GW of fossil power plants in Italy, and is a milestone in the long term goal to operate in carbon neutrality by 2050.</t>
  </si>
  <si>
    <t>https://www.enel.com/aboutus/vision and http://sustainabilityreport2015.enel.com/en/responsible-management-business/environment/climate-strategy#start to show it was agreed in 2009</t>
  </si>
  <si>
    <t>full neutrality
“We are aiming to go further: by 2050, we want to become an entirely carbon-neutral company”</t>
  </si>
  <si>
    <t>$189,079.60</t>
  </si>
  <si>
    <t>ENEL SpA</t>
  </si>
  <si>
    <t>5.94-9.51</t>
  </si>
  <si>
    <t>During/Post</t>
  </si>
  <si>
    <t>Sinochem</t>
  </si>
  <si>
    <t>$71,332.70</t>
  </si>
  <si>
    <t>Sinochem Group</t>
  </si>
  <si>
    <t>China FAW Group</t>
  </si>
  <si>
    <t>$66,682.90</t>
  </si>
  <si>
    <t>Rosneft Oil</t>
  </si>
  <si>
    <t>$189,980.10</t>
  </si>
  <si>
    <t>Banco Santander</t>
  </si>
  <si>
    <t>$1,667,946.80</t>
  </si>
  <si>
    <t>$2.7</t>
  </si>
  <si>
    <t>Dell Technologies</t>
  </si>
  <si>
    <t>Multinational computer technology company Dell Technologies commits to reduce its scope 1 and 2 absolute emissions 40% by 2020 from a 2010 base-year. The company also commits to reduce the energy intensity of their product portfolio 80% by 2020, using a 2011 base-year.  Read the Dell Case Study.</t>
  </si>
  <si>
    <t>https://www.delltechnologies.com/en-us/microsites/legacyofgood/2018/fy18-goals.htm
https://www.greenbiz.com/news/2011/09/06/dell-backs-away-carbon-neutrality-focuses-efficiency-e-waste</t>
  </si>
  <si>
    <t>Dell Backs Away from Carbon Neutrality, Focuses on Efficiency &amp; E-Waste</t>
  </si>
  <si>
    <t>Reduce absolute GHG emissions 40%</t>
  </si>
  <si>
    <t>$111,820.00</t>
  </si>
  <si>
    <t xml:space="preserve">Computers, Office Equipment </t>
  </si>
  <si>
    <t>ENI</t>
  </si>
  <si>
    <t>https://www.eni.com/en_IT/sustainability/decarbonization/strategy-investments.page
https://www.eni.com/docs/en_IT/enicom/sustainability/EniFor-2018-Decarbonization.pdf</t>
  </si>
  <si>
    <t>Stated as Net Zero Carbon Footprint Upstream
(second link) In the medium term Eni aims to achieve the net zero carbon footprint on direct emissions of upstream activities valued on an equity basis by 2030, increasing the efficiency of its upstream activities, reducing GHG emissions and developing forestry conservation projects... The path to decarbonization aims to make the Company carbon neutral in the long term, developing an integrated energy transition plan, from both the efficiency maximization and the direct emission reduction, promoting an energy mix with a low carbon impact, developing circular economy and offset initiatives through forestry projects development. Finally, a key role will be played by new technologies use for the capture and use of CO2 emitted.</t>
  </si>
  <si>
    <t>Scope 1</t>
  </si>
  <si>
    <t>$135,300.30</t>
  </si>
  <si>
    <t>Dongfeng Motor Group</t>
  </si>
  <si>
    <t>$66,397.10</t>
  </si>
  <si>
    <t>Dongfeng Motor</t>
  </si>
  <si>
    <t>Carrefour</t>
  </si>
  <si>
    <t>http://www.carrefour.com/current-news/one-planet-summit-carrefour-reasserts-its-commitment-to-curbing-climate-change</t>
  </si>
  <si>
    <t>Its stores through the world</t>
  </si>
  <si>
    <t>ReduceCO2 emmissions 40%</t>
  </si>
  <si>
    <t>$54,153.10</t>
  </si>
  <si>
    <t>$8.32-23.76</t>
  </si>
  <si>
    <t>China Resources National</t>
  </si>
  <si>
    <t>$209,651.50</t>
  </si>
  <si>
    <t>China Resources</t>
  </si>
  <si>
    <t>Anthem</t>
  </si>
  <si>
    <t>Healthcare products and services</t>
  </si>
  <si>
    <t>http://www.anthemcorporateresponsibility.com/our-environment</t>
  </si>
  <si>
    <t>24%reduction of Anthem’s scope I 
and II GHG intensity 
since baseline 2013.</t>
  </si>
  <si>
    <t>$71,571.00</t>
  </si>
  <si>
    <t>Uniper</t>
  </si>
  <si>
    <t>$57,841.50</t>
  </si>
  <si>
    <t>Bosch</t>
  </si>
  <si>
    <t>https://www.bosch-presse.de/pressportal/de/en/climate-action-bosch-to-be-carbon-neutral-world-wide-by-2020-188800.html</t>
  </si>
  <si>
    <t>Starting in 2020, Bosch will compensate for any residual and unavoidable carbon emissions primarily by buying green power from legacy plants and taking part in carbon offset programs. 
This will make Bosch the first major industrial enterprise to achieve this ambitious goal in a little over a year.
Bosch is to be fully climate-neutral... Its over 400 locations worldwide, and their engineering, manufacturing, and administrative facilities, will no longer leave a carbon footprint.</t>
  </si>
  <si>
    <t>$95,616.50</t>
  </si>
  <si>
    <t>Bosch Group</t>
  </si>
  <si>
    <t>Nestlé</t>
  </si>
  <si>
    <t>Global food and beverage company Nestlé commits to reduce absolute Scope 1 and 2 GHG emissions by 12% between 2014 and 2020, ensuring a reduction in emissions per tonne of product of at least 35% between 2010 and 2020. Nestlé will also work to reduce Scope 3 GHG emissions by 8% between 2014 and 2020.</t>
  </si>
  <si>
    <t>Feb 2017</t>
  </si>
  <si>
    <t>https://www.nestle.com/csv/impact/climate-change/climate-change</t>
  </si>
  <si>
    <t>Reduce GHG emissions by 35%</t>
  </si>
  <si>
    <t>$139,045.10</t>
  </si>
  <si>
    <t>Comcast</t>
  </si>
  <si>
    <t>We’re working toward zero emissions, zero waste, and 100% renewable energy.</t>
  </si>
  <si>
    <t>$251,684.00</t>
  </si>
  <si>
    <t>Petrobras</t>
  </si>
  <si>
    <t>$222,068.00</t>
  </si>
  <si>
    <t>SK Holdings</t>
  </si>
  <si>
    <t>$107,069.10</t>
  </si>
  <si>
    <t>Marathon Petroleum</t>
  </si>
  <si>
    <t>$92,940.00</t>
  </si>
  <si>
    <t>-      Contract with suppliers
-      Unbundled renewable energy attribute certificates</t>
  </si>
  <si>
    <t>No data available</t>
  </si>
  <si>
    <t>Citigroup</t>
  </si>
  <si>
    <t>35% reduction in GHG emissions</t>
  </si>
  <si>
    <t>$1,917,383.00</t>
  </si>
  <si>
    <t>Siemens</t>
  </si>
  <si>
    <t>https://new.siemens.com/global/en/company/sustainability/decarbonization/carbonneutral.html</t>
  </si>
  <si>
    <t>Operations… All Siemens production facilities and buildings worldwide
Siemens aims to be the world's first major industrial company to achieve a net-zero carbon footprint by 2030
MARKETED EXTENSIVELY</t>
  </si>
  <si>
    <t>operations</t>
  </si>
  <si>
    <t>$161,335.90</t>
  </si>
  <si>
    <t>Wells Fargo</t>
  </si>
  <si>
    <t>Reduce GHG emissions by 45%</t>
  </si>
  <si>
    <t>$1,895,883.00</t>
  </si>
  <si>
    <t>Boeing</t>
  </si>
  <si>
    <t>$117,359.00</t>
  </si>
  <si>
    <t>China Development Bank</t>
  </si>
  <si>
    <t>$2,356,616.20</t>
  </si>
  <si>
    <t>https://www.nissan-global.com/EN/SUSTAINABILITY/REPORT/ENVIRONMENTAL/CLIMATE/CORPORATE/</t>
  </si>
  <si>
    <t>Corporate activities globally</t>
  </si>
  <si>
    <t>$171,251.00</t>
  </si>
  <si>
    <t>Nissan Motor</t>
  </si>
  <si>
    <t>Itochu</t>
  </si>
  <si>
    <t>TCFD: https://www.itochu.co.jp/en/csr/environment/climate_change/index.html</t>
  </si>
  <si>
    <t>Reports to TCFD</t>
  </si>
  <si>
    <t>$91,250.60</t>
  </si>
  <si>
    <t>Nippon Tel. &amp; Tel.</t>
  </si>
  <si>
    <t>$201,456.10</t>
  </si>
  <si>
    <t>Nippon Telegraph &amp; Telephone</t>
  </si>
  <si>
    <t>China National Offshore Oil</t>
  </si>
  <si>
    <t>$177,193.60</t>
  </si>
  <si>
    <t>Home Depot</t>
  </si>
  <si>
    <t>$44,003.00</t>
  </si>
  <si>
    <t>Huawei Investment &amp; Holding</t>
  </si>
  <si>
    <t>$96,973.70</t>
  </si>
  <si>
    <t>-      Direct procurement from offsite grid-connected generators (PPA)
-      Unbundled renewable energy attribute certificates
-      Self-generation</t>
  </si>
  <si>
    <t>Microsoft</t>
  </si>
  <si>
    <t>https://www.microsoft.com/en-us/environment/carbon</t>
  </si>
  <si>
    <t>Since 2012, our global operations have been 100 percent carbon neutral
We continue to expand on our vision, going “beyond carbon neutral” to take a more holistic approach, both globally and locally. This includes engaging our suppliers, quantifying emissions from our customers’ use of cloud services, working to ensure that our operations are resilient to impacts from climate change, and accelerating energy and technology innovation. 
PART OF GLOBAL DRIVE ON CARBON</t>
  </si>
  <si>
    <t>$258,848.00</t>
  </si>
  <si>
    <t>$15/ton of CO2 emissions</t>
  </si>
  <si>
    <t>China Railway Construction</t>
  </si>
  <si>
    <t>$134,180.20</t>
  </si>
  <si>
    <t>n/a                -      Unbundled renewable energy attribute
certificates
-      Contract with suppliers
-      Self-generation</t>
  </si>
  <si>
    <t>Bank of America Corp.</t>
  </si>
  <si>
    <t>https://newsroom.bankofamerica.com/press-releases/environment/bank-america-commits-carbon-neutrality-and-100-percent-renewable</t>
  </si>
  <si>
    <t>Summary of Bank of America’s 2010‒2020 environmental goals: Achieve carbon neutrality for Scope 1 and 2 emissions.
Bank of America will work to reduce location-based greenhouse gas (GHG) emissions by 50 percent, energy use by 40 percent, and water use by 45 percent in its operations across the globe by 2020. In addition, Bank of America has committed to purchasing 100 percent renewable electricity
MARKETED AS PART OF PRESS RELEASE</t>
  </si>
  <si>
    <t>$2,354,507.00</t>
  </si>
  <si>
    <t>Valero Energy</t>
  </si>
  <si>
    <t>$50,155.00</t>
  </si>
  <si>
    <t>China Mobile Communications</t>
  </si>
  <si>
    <t>$255,216.60</t>
  </si>
  <si>
    <t>China Railway Engineering</t>
  </si>
  <si>
    <t>$137,914.20</t>
  </si>
  <si>
    <t>China Railway Engineering Group</t>
  </si>
  <si>
    <t>Phillips 66</t>
  </si>
  <si>
    <t>$54,302.00</t>
  </si>
  <si>
    <t>40%              -      Direct procurement from offsite grid-connected generators (PPA)
-      Unbundled renewable energy attribute certificates
-      Contract with suppliers
-      Self-generation</t>
  </si>
  <si>
    <t>2/3 by 2020</t>
  </si>
  <si>
    <t>BMWSchwarz</t>
  </si>
  <si>
    <t>$238,864.10</t>
  </si>
  <si>
    <t>BMW Group</t>
  </si>
  <si>
    <t>Japan Post Holdings</t>
  </si>
  <si>
    <t>$2,585,802.00</t>
  </si>
  <si>
    <t>China Life Insurance</t>
  </si>
  <si>
    <t>$580,331.60</t>
  </si>
  <si>
    <t>Lukoil</t>
  </si>
  <si>
    <t>$82,734.80</t>
  </si>
  <si>
    <t>Fannie Mae</t>
  </si>
  <si>
    <t>$3,418,318.00</t>
  </si>
  <si>
    <t>General Electric</t>
  </si>
  <si>
    <t>$309,129.00</t>
  </si>
  <si>
    <t>Kroger</t>
  </si>
  <si>
    <t>$38,118.00</t>
  </si>
  <si>
    <t>n/a                -      Contract with suppliers
-      Self-generation</t>
  </si>
  <si>
    <t>AXA</t>
  </si>
  <si>
    <t>https://group.axa.com/en/about-us/environmental-commitments</t>
  </si>
  <si>
    <t>In April 2017, AXA also validated a target to procure 100% of its electricity from renewable energy sources by 2025.</t>
  </si>
  <si>
    <t>PricewaterhouseCoopers Audit</t>
  </si>
  <si>
    <t>25% reduction in carbon emissions</t>
  </si>
  <si>
    <t>$1,063,784.40</t>
  </si>
  <si>
    <t>Allianz</t>
  </si>
  <si>
    <t>https://www.allianz.com/en/sustainability/low-carbon-economy/decarbonization.html</t>
  </si>
  <si>
    <t>Allianz has a long-established carbon reduction strategy to manage emissions from our own operations and we have committed to reduce carbon emissions by 30% per employee by 2020. By investing in projects such as forest protection in Kenya and Indonesia, we neutralize our remaining operational carbon emissions. Since 2012, Allianz has been a carbon-neutral company.
PART OF LOW CARBON COMMITMENT BUT NOT MARKETED AS A PRIORITY</t>
  </si>
  <si>
    <t>Carbon Trust Standard</t>
  </si>
  <si>
    <t>$1,025,919.10</t>
  </si>
  <si>
    <t>Bank of China</t>
  </si>
  <si>
    <t>$3,097,612.00</t>
  </si>
  <si>
    <t>Verizon</t>
  </si>
  <si>
    <t>https://www.verizon.com/about/news/verizon-goes-carbon-neutral-2035</t>
  </si>
  <si>
    <t>NEW YORK - Verizon is strengthening its commitment to sustainability today, announcing the company will go carbon neutral by 2035 in its Scope 1 and Scope 2 emissions. This will be achieved through a combination of reducing those emissions directly, migrating energy procurement in favor of renewable and clean energy and through the purchase of carbon offsets. 
advertised prominently</t>
  </si>
  <si>
    <t>$264,829.00</t>
  </si>
  <si>
    <t>Verizon Communications</t>
  </si>
  <si>
    <t>Gazprom</t>
  </si>
  <si>
    <t>$300,354.80</t>
  </si>
  <si>
    <t>-      Direct procurement from offsite grid-connected generators (PPA)
-      Unbundled renewable energy attribute certificates
-      Onsite solar installations</t>
  </si>
  <si>
    <t>JP Morgan Chase</t>
  </si>
  <si>
    <t>$2,622,532.00</t>
  </si>
  <si>
    <t>JPMorgan Chase &amp; Co.</t>
  </si>
  <si>
    <t>Walgreens</t>
  </si>
  <si>
    <t>https://news.walgreens.com/press-releases/general-news/walgreens-debuts-nations-first-net-zero-energy-retail-store-in-evanston-ill.htm</t>
  </si>
  <si>
    <t>Walgreens Debuts Nation’s First Net Zero Energy Retail Store in Evanston, Ill.</t>
  </si>
  <si>
    <t>$68,124.00</t>
  </si>
  <si>
    <t>Walgreens Boots Alliance</t>
  </si>
  <si>
    <t>SAIC Motor</t>
  </si>
  <si>
    <t>$114,011.70</t>
  </si>
  <si>
    <t>Cardinal Health</t>
  </si>
  <si>
    <t>$39,951.00</t>
  </si>
  <si>
    <t>-      Direct procurement from offsite grid-connected generators (PPA)
-      Self-generation</t>
  </si>
  <si>
    <t>Alphabet</t>
  </si>
  <si>
    <t>https://storage.googleapis.com/gweb-sustainability.appspot.com/pdf/Google_2018-Environmental-Report.pdf and https://www.wemeanbusinesscoalition.org/blog/google-carbon-neutrality-100-renewable-energy-beyond/</t>
  </si>
  <si>
    <t>This is for Google
(Sustainability report) carbon neutrality for our operations... We purchased enough renewable energy and high-quality carbon offsets to bring our net operational carbon emissions to zero. Google has been carbon neutral since 2007
(We Mean Business) In 2007, Google committed to carbon neutrality – a goal it has met every year since – and in 2010 the company entered into its first power purchase agreement (PPA) to buy renewable energy. 
NOT MARKETED EXTENSIVELY, subset of renewable energy</t>
  </si>
  <si>
    <t>$232,792.00</t>
  </si>
  <si>
    <t>Agricultural Bank of China</t>
  </si>
  <si>
    <t>$3,293,105.00</t>
  </si>
  <si>
    <t>Costco</t>
  </si>
  <si>
    <t>$40,830.00</t>
  </si>
  <si>
    <t>Costco Wholesale</t>
  </si>
  <si>
    <t>Honda Motor</t>
  </si>
  <si>
    <t>https://global.honda/about/sustainability/performance/environment-report.html</t>
  </si>
  <si>
    <t>Honda has introduced the Triple ZERO concept to unify its three “zeroing” efforts addressing “climate change issues,” “energy issues” and “efficient utilization of resources,” our most important challenges. The Company is striving to realize a society with an environmental impact of zero by engaging in its business activities based on this approach.</t>
  </si>
  <si>
    <t>Corporate CO2</t>
  </si>
  <si>
    <t>$184,504.60</t>
  </si>
  <si>
    <t>?</t>
  </si>
  <si>
    <t>Mitsubishi Corp.</t>
  </si>
  <si>
    <t>https://www.mitsubishicorp.com/jp/en/csr/management/theme/climate/</t>
  </si>
  <si>
    <t>per total assets</t>
  </si>
  <si>
    <t>reduce GHG emissions 25%</t>
  </si>
  <si>
    <t>$149,388.30</t>
  </si>
  <si>
    <t>Mitsubishi</t>
  </si>
  <si>
    <t>-      Direct procurement from offsite grid-connected generators (PPA)
-      Purchase from onsite installations owned by a supplier
-      Contract with suppliers
-      Self-generation</t>
  </si>
  <si>
    <t>General Motors</t>
  </si>
  <si>
    <t>$227,339.00</t>
  </si>
  <si>
    <t>General Motors Company</t>
  </si>
  <si>
    <t>5.34; 20.00</t>
  </si>
  <si>
    <t>China Construction Bank</t>
  </si>
  <si>
    <t>$3,382,421.70</t>
  </si>
  <si>
    <t>Ford Motor</t>
  </si>
  <si>
    <t>https://www.autonews.com/article/20180627/OEM/180629827/ford-hits-carbon-emissions-target-8-years-early</t>
  </si>
  <si>
    <t>Ford hits CO2 manufacturing emissions reduction target of 30% per vehicle 8 years early</t>
  </si>
  <si>
    <t>$256,540.00</t>
  </si>
  <si>
    <t>Ping An Insurance</t>
  </si>
  <si>
    <t>$1,040,383.40</t>
  </si>
  <si>
    <t>Chevron</t>
  </si>
  <si>
    <t>$253,863.00</t>
  </si>
  <si>
    <t>AmerisourceBergen</t>
  </si>
  <si>
    <t>$37,669.80</t>
  </si>
  <si>
    <t>Industrial &amp; Commer. Bank of China</t>
  </si>
  <si>
    <t>$4,034,481.60</t>
  </si>
  <si>
    <t>Industrial &amp; Commercial Bank of China</t>
  </si>
  <si>
    <t>AT&amp;T</t>
  </si>
  <si>
    <t>https://about.att.com/csr/home/issue-brief-builder/environment/climate-change.html</t>
  </si>
  <si>
    <t>2025 Goal: AT&amp;T will enable carbon savings 10 times the footprint of our operations by enhancing the efficiency of our network and delivering sustainable customer solutions.</t>
  </si>
  <si>
    <t>$531,864.00</t>
  </si>
  <si>
    <t>EXOR Group</t>
  </si>
  <si>
    <t>$190,052.30</t>
  </si>
  <si>
    <t>Hon Hai Precision Industry</t>
  </si>
  <si>
    <t>$110,012.90</t>
  </si>
  <si>
    <t>Trafigura Beheer</t>
  </si>
  <si>
    <t>$53,801.00</t>
  </si>
  <si>
    <t>Trafigura Group</t>
  </si>
  <si>
    <t>China State Construction Engineering</t>
  </si>
  <si>
    <t>$272,768.80</t>
  </si>
  <si>
    <t>Total</t>
  </si>
  <si>
    <t>$256,762.00</t>
  </si>
  <si>
    <t>CVS Health</t>
  </si>
  <si>
    <t>American retail pharmacy and health care company CVS Health commits to reduce absolute scope 1 and 2 GHG emissions 36% by 2030 from a 2010 base-year. CVS Health also commits that 70% of its suppliers by emissions will set science-based emissions reduction targets on their scope 1 and 2 emissions by 2023.</t>
  </si>
  <si>
    <t>https://cvshealth.com/social-responsibility/corporate-social-responsibility/our-commitment-to-reducing-our-greenhouse-gas-emissions</t>
  </si>
  <si>
    <t>36% reduction in GHG emissions</t>
  </si>
  <si>
    <t>$196,456.00</t>
  </si>
  <si>
    <t>Health Care: Pharmacy and Other Services</t>
  </si>
  <si>
    <t>Daimler</t>
  </si>
  <si>
    <t>https://blog.daimler.com/en/2019/05/13/mercedes-carbon-neutral-e-mobility/</t>
  </si>
  <si>
    <t>We aim to have a carbon-neutral new passenger car fleet in 20 years
PART OF THE AMBITION 2039</t>
  </si>
  <si>
    <t>Company and prouducts</t>
  </si>
  <si>
    <t>$321,890.50</t>
  </si>
  <si>
    <t>McKesson</t>
  </si>
  <si>
    <t>$59,672.00</t>
  </si>
  <si>
    <t>Glencore</t>
  </si>
  <si>
    <t>https://www.glencore.com/en/sustainability/climate-change</t>
  </si>
  <si>
    <t>Reduce GHG emission intensity 5%</t>
  </si>
  <si>
    <t>$128,672.00</t>
  </si>
  <si>
    <t>$5-140.00</t>
  </si>
  <si>
    <t>Samsung Electronics</t>
  </si>
  <si>
    <t>$304,165.30</t>
  </si>
  <si>
    <t>UnitedHealth Group</t>
  </si>
  <si>
    <t>$152,221.00</t>
  </si>
  <si>
    <t>Amazon.com</t>
  </si>
  <si>
    <t>https://www.fastcompany.com/90309906/how-amazon-plans-to-make-half-of-its-shipments-carbon-neutral-by-2030</t>
  </si>
  <si>
    <t>Called Shipment Zero plan</t>
  </si>
  <si>
    <t>Half of shipments to be carbon neutral by 2030</t>
  </si>
  <si>
    <t>Half of shipments to be carbon neutral</t>
  </si>
  <si>
    <t>$162,648.00</t>
  </si>
  <si>
    <t>Berkshire Hathaway</t>
  </si>
  <si>
    <t>approximately 43% of our businesses’ owned and contracted generation capacity comes from renewable and noncarbon sources. </t>
  </si>
  <si>
    <t>$707,794.00</t>
  </si>
  <si>
    <t>Apple</t>
  </si>
  <si>
    <t>https://www.apple.com/uk/environment/our-approach/</t>
  </si>
  <si>
    <t>100%All of Apple’s offices, retail locations and data centres run on 100% renewable energy.</t>
  </si>
  <si>
    <t>$365,725.00</t>
  </si>
  <si>
    <t>y</t>
  </si>
  <si>
    <t>Toyota Motor</t>
  </si>
  <si>
    <t>Jan 2016</t>
  </si>
  <si>
    <t>https://global.toyota/en/sustainability/esg/challenge2050/</t>
  </si>
  <si>
    <t>The entire vehicle life-cycle
Toyota set six challenges with the aim of going beyond zero environmental impact, hoping to achieve a net positive impact.
We have been striving to reduce the environmental burden attributed to automobiles to as close to zero as possible, while developing measures to contribute positively to the earth and its societies with the aim of achieving a sustainable society.
Marketed as part of Toyota Environmental Challenge 2050</t>
  </si>
  <si>
    <t>Operations and products</t>
  </si>
  <si>
    <t>$469,295.60</t>
  </si>
  <si>
    <t>https://www.toyota-europe.com/world-of-toyota/feel/environment/environmental-challenge-2050/2030-global-mid-term-targets
https://global.toyota/en/sustainability/esg/challenge2050/ for cn</t>
  </si>
  <si>
    <t>Part of Toyota Environmental Challenge</t>
  </si>
  <si>
    <t>Global plants</t>
  </si>
  <si>
    <t>Reduce CO2 emissions by 35%</t>
  </si>
  <si>
    <t>https://www.toyota-europe.com/world-of-toyota/feel/environment/environmental-challenge-2050/2030-global-mid-term-targets</t>
  </si>
  <si>
    <t xml:space="preserve">Entire Vehicle life cycle </t>
  </si>
  <si>
    <t>Volkswagen</t>
  </si>
  <si>
    <t>https://www.volkswagenag.com/en/news/stories/2018/12/volkswagen-accepts-climate-responsibility.html</t>
  </si>
  <si>
    <t>To meet the 2-degree target, the entire vehicle fleet must become CO2-neutral by 2050. What seems a long way away is in fact very close. Jost explained the timetable:</t>
  </si>
  <si>
    <t>Entire Vehicle Fleet</t>
  </si>
  <si>
    <t>$523,672.30</t>
  </si>
  <si>
    <t>Exxon Mobil</t>
  </si>
  <si>
    <t>http://www.climateaction.org/news/exxonmobil-sets-new-targets-to-reduce-greenhouse-gas-emissions</t>
  </si>
  <si>
    <t>At gas sites</t>
  </si>
  <si>
    <t>Reducing methane emissions by 15%</t>
  </si>
  <si>
    <t>$346,196.00</t>
  </si>
  <si>
    <t>BP</t>
  </si>
  <si>
    <t>$282,176.00</t>
  </si>
  <si>
    <t>Saudi Aramco</t>
  </si>
  <si>
    <t>$358,872.90</t>
  </si>
  <si>
    <t>State Grid</t>
  </si>
  <si>
    <t xml:space="preserve"> </t>
  </si>
  <si>
    <t>$572,309.50</t>
  </si>
  <si>
    <t>China National Petroleum</t>
  </si>
  <si>
    <t>$601,899.90</t>
  </si>
  <si>
    <t>Royal Dutch Shell</t>
  </si>
  <si>
    <t>https://www.shell.com/media/news-and-media-releases/2018/leading-investors-back-shells-climate-targets.html</t>
  </si>
  <si>
    <t>Energy products</t>
  </si>
  <si>
    <t>$399,194.00</t>
  </si>
  <si>
    <r>
      <rPr>
        <u/>
        <sz val="11"/>
        <color theme="1"/>
        <rFont val="Aptos Narrow"/>
        <family val="2"/>
        <scheme val="minor"/>
      </rPr>
      <t>$</t>
    </r>
    <r>
      <rPr>
        <sz val="11"/>
        <color theme="1"/>
        <rFont val="Aptos Narrow"/>
        <family val="2"/>
        <scheme val="minor"/>
      </rPr>
      <t>40</t>
    </r>
  </si>
  <si>
    <t>Sinopec Group</t>
  </si>
  <si>
    <t>$329,186.30</t>
  </si>
  <si>
    <t>Walmart</t>
  </si>
  <si>
    <t>American multinational retailing corporation Walmart commits to reduce absolute scope 1 and 2 GHG emissions 18% by 2025, from 2015 levels. Walmart will also work to reduce CO2e emissions from upstream and downstream scope 3 sources by one billion tonnes between 2015 and 2030.</t>
  </si>
  <si>
    <t>https://news.walmart.com/2017/04/19/walmart-launches-project-gigaton-to-reduce-emissions-in-companys-supply-chain</t>
  </si>
  <si>
    <t>Absolute scope 1 and 2</t>
  </si>
  <si>
    <t>Reduce CO2 emissions by 18%</t>
  </si>
  <si>
    <t>$219,295.00</t>
  </si>
  <si>
    <t>https://obamawhitehouse.archives.gov/the-press-office/2015/11/30/white-house-announces-additional-commitments-american-business-act 
https://news.walmart.com/2017/04/19/walmart-launches-project-gigaton-to-reduce-emissions-in-companys-supply-chain</t>
  </si>
  <si>
    <t>We are still in declaration
Walmart asks suppliers to reduce greenhouse gas emissions by one gigaton</t>
  </si>
  <si>
    <t>Suppliers</t>
  </si>
  <si>
    <t>Walmart Gigaton Challenge</t>
  </si>
  <si>
    <t>UNGC Business Action for 1.5</t>
  </si>
  <si>
    <t>RE100 Approach</t>
  </si>
  <si>
    <t>RE100 Progress against 100% goal (2014)</t>
  </si>
  <si>
    <t>RE100 Progress against 100% goal (2015)</t>
  </si>
  <si>
    <t>RE100 Progress against 100% goal (2016)</t>
  </si>
  <si>
    <t>RE100 Progress against 100% goal (2017)</t>
  </si>
  <si>
    <t>RE100 Interim target</t>
  </si>
  <si>
    <t>RE100 100% Goal year</t>
  </si>
  <si>
    <t>RE100 Joining year</t>
  </si>
  <si>
    <t>Old company name</t>
  </si>
  <si>
    <t>About</t>
  </si>
  <si>
    <t>Scope 3 target?</t>
  </si>
  <si>
    <t xml:space="preserve">Target year for SBT completion </t>
  </si>
  <si>
    <t>Year Committed to SBT</t>
  </si>
  <si>
    <t>Date Committed to SBT</t>
  </si>
  <si>
    <t>SBTi - Has a target been set or commitment been made?</t>
  </si>
  <si>
    <t>Sector</t>
  </si>
  <si>
    <t>Source</t>
  </si>
  <si>
    <t>Notes</t>
  </si>
  <si>
    <t>Certification</t>
  </si>
  <si>
    <t xml:space="preserve">Scope of CN </t>
  </si>
  <si>
    <t xml:space="preserve">Target year for CN </t>
  </si>
  <si>
    <t>Baseline (for CN)</t>
  </si>
  <si>
    <t>Year of reduction announcement</t>
  </si>
  <si>
    <t>Year of CN announcement</t>
  </si>
  <si>
    <t>Carbon Emissions</t>
  </si>
  <si>
    <t>Is the company Carbon Neutral?</t>
  </si>
  <si>
    <t>Country</t>
  </si>
  <si>
    <t>Private/Public</t>
  </si>
  <si>
    <t>Change in rank</t>
  </si>
  <si>
    <t>Employees</t>
  </si>
  <si>
    <t>Profits percent change</t>
  </si>
  <si>
    <t>Assets ($m)</t>
  </si>
  <si>
    <t>Profits ($m)</t>
  </si>
  <si>
    <t>Revenue percent change</t>
  </si>
  <si>
    <t>Revenues ($M)</t>
  </si>
  <si>
    <t>Carbon price</t>
  </si>
  <si>
    <t xml:space="preserve">Industry </t>
  </si>
  <si>
    <t>What current commitments are in place (2019)?</t>
  </si>
  <si>
    <t>Pre-2030 commitment of any kind?</t>
  </si>
  <si>
    <t>Of the 2030 announcements, the year of the first (of those 2030)</t>
  </si>
  <si>
    <t>Pre , During or Post Paris? - for 2015 commitments</t>
  </si>
  <si>
    <t>Of the companies with a 2030 commitment, the year of the first (any) commitment</t>
  </si>
  <si>
    <t>Has the company been repeated here?</t>
  </si>
  <si>
    <t>Company name</t>
  </si>
  <si>
    <t>Rank</t>
  </si>
  <si>
    <t>pre-Sept 4th</t>
  </si>
  <si>
    <t>-       Unbundled renewable energy attribute certificates</t>
  </si>
  <si>
    <t>Now</t>
  </si>
  <si>
    <t>Jul 2019</t>
  </si>
  <si>
    <t>Carbon neutrality</t>
  </si>
  <si>
    <t xml:space="preserve">ERT: 'Achieve and maintain an at least 20 percent reduction in total carbon emissions per employee compared to 2015 until 2025 'Founding member of Net Zero Asset Owner Alliance - commited to a fully decarbonized investment portfolio by 2050.' </t>
  </si>
  <si>
    <t>Europe</t>
  </si>
  <si>
    <t>$404,688</t>
  </si>
  <si>
    <t>$4,147</t>
  </si>
  <si>
    <t>https://www.zurich.com/en/sustainability/our-role-in-society/climate-change/minimizing-our-environmental-footprint AND https://www.zurich.com/en/media/news-releases/2019/2019-0924-01</t>
  </si>
  <si>
    <t>In our operations</t>
  </si>
  <si>
    <t>https://www.zurich.com/en/sustainability/our-role-in-society/climate-change/minimizing-our-environmental-footprint</t>
  </si>
  <si>
    <t>C</t>
  </si>
  <si>
    <t>$56,805.2</t>
  </si>
  <si>
    <t>$1,231.9</t>
  </si>
  <si>
    <t/>
  </si>
  <si>
    <t xml:space="preserve">Climate-neutral </t>
  </si>
  <si>
    <t>halve all emissions by 2030 compared to 2018</t>
  </si>
  <si>
    <t xml:space="preserve">No </t>
  </si>
  <si>
    <t>$36,309.6</t>
  </si>
  <si>
    <t>$391.7</t>
  </si>
  <si>
    <t>https://www.zf.com/master/media/corporate/m_zf_com/company/sustainability/sustainability_reports/ZF-SustainabilityReport2019_EN.pdf</t>
  </si>
  <si>
    <t>They could be aiming for net zero if they include removals in their strategy, but this has not been revealed.</t>
  </si>
  <si>
    <t>1,2,3</t>
  </si>
  <si>
    <t>No - but future commitment</t>
  </si>
  <si>
    <t>Scopes 1, 2 and 3</t>
  </si>
  <si>
    <t>C+P</t>
  </si>
  <si>
    <t>" Yankuang strictly adheres to the principle of “reduce reuse and recycle",[...]f clean production and comprehensive administration. Through these efforts, Yankuang has saved 60,000 tons of standard coals, which amounts to 17% of the world’s total investment profit on energy-saving."</t>
  </si>
  <si>
    <t>$45,730.9</t>
  </si>
  <si>
    <t>$274.9</t>
  </si>
  <si>
    <t>http://www.yankuanggroup.com.cn/node_6404.htm</t>
  </si>
  <si>
    <t>$35,408.8</t>
  </si>
  <si>
    <t>$-81.5</t>
  </si>
  <si>
    <t xml:space="preserve">Almost no information available on website </t>
  </si>
  <si>
    <t>$60,053</t>
  </si>
  <si>
    <t>$614.1</t>
  </si>
  <si>
    <t>Almost no information on website. Only vague references to their commitment to "green development, emphasizing harmonious coexistence and common development of the enterprise and the environment ,building a green supply chain, and protecting the ecological environmen"</t>
  </si>
  <si>
    <t>$20,007.5</t>
  </si>
  <si>
    <t>$220</t>
  </si>
  <si>
    <t>http://www.xiangyu-group.com/eng/social-responsibility-111.aspx</t>
  </si>
  <si>
    <t xml:space="preserve">Site cannot be reached </t>
  </si>
  <si>
    <t>N/a Website unavailable</t>
  </si>
  <si>
    <t>$39,224.4</t>
  </si>
  <si>
    <t>$89.8</t>
  </si>
  <si>
    <t>https://www.guanghui.com/</t>
  </si>
  <si>
    <t>$26,361.9</t>
  </si>
  <si>
    <t>$1,453.9</t>
  </si>
  <si>
    <t>Feb 2020</t>
  </si>
  <si>
    <t xml:space="preserve">No information on website and no  CSR report after 2016 </t>
  </si>
  <si>
    <t>Asia</t>
  </si>
  <si>
    <t>$14,656.1</t>
  </si>
  <si>
    <t>$41.8</t>
  </si>
  <si>
    <t>$49,003.6</t>
  </si>
  <si>
    <t>$667.3</t>
  </si>
  <si>
    <t>$17,301.2</t>
  </si>
  <si>
    <t>$301.5</t>
  </si>
  <si>
    <t>X5 Retail Group</t>
  </si>
  <si>
    <t>$13,398.8</t>
  </si>
  <si>
    <t>$395.7</t>
  </si>
  <si>
    <t xml:space="preserve">World Fuel Services supports the business aviation industry’s goal to reduce carbon emissions by 50% by 2050. 
Part of The Getting to Zero Coalition -- a partnership between the Global Maritime Forum, the Friends of Ocean Action, and the World Economic Forum. The Coalition is supported by public and private stakeholders within the maritime, energy, infrastructure and finance sectors. The ambition of the Getting to Zero Coalition is to have commercially viable zero emission vessels operating along deep sea trade routes by 2030, supported by the necessary infrastructure for scalable zero-carbon energy sources including production, distribution, storage and bunkering.
“We are committed to leveraging our technical expertise and global logistics capabilities to serve the maritime industry in furthering decarbonization efforts and working together towards zero emissions for a sustainable future.”
</t>
  </si>
  <si>
    <t>$5,992.4</t>
  </si>
  <si>
    <t>$178.9</t>
  </si>
  <si>
    <t>https://ir.wfscorp.com/news-releases/news-release-details/world-fuel-services-corporation-join-getting-zero-coalition
https://ir.wfscorp.com/news-releases/news-release-details/world-fuel-services-corporation-join-getting-zero-coalition</t>
  </si>
  <si>
    <t>Sep 2019</t>
  </si>
  <si>
    <t>will "issue Green Bonds certified by the Climate Bonds Initiative (CBI), `'revised "direct emissions
target to 60% below 2015 levels."</t>
  </si>
  <si>
    <t>Oceania</t>
  </si>
  <si>
    <t>$16,481.3</t>
  </si>
  <si>
    <t>$1,925.2</t>
  </si>
  <si>
    <t>https://www.woolworthsgroup.com.au/icms_docs/195583_2019-sustainability-report.pdf</t>
  </si>
  <si>
    <t>$11,482.1</t>
  </si>
  <si>
    <t>https://www.wilmar-international.com/sustainability/responsible-operations/reducing-greenhouse-gas-emissions</t>
  </si>
  <si>
    <t xml:space="preserve">They measure and disclose their scope 1 and 2 carbon emissions through CDP. They  built 24 methane capture plants at their palm oil mills in 2019, with one more to be completed in 2020. </t>
  </si>
  <si>
    <t>$47,048.6</t>
  </si>
  <si>
    <t>$1,293.4</t>
  </si>
  <si>
    <t>-       Direct procurement from offsite grid-connected generator (PPA)
-       Self-generation</t>
  </si>
  <si>
    <t>$611,337.9</t>
  </si>
  <si>
    <t>$4,771.9</t>
  </si>
  <si>
    <t>Group's operations</t>
  </si>
  <si>
    <t>https://www.westpac.com.au/about-westpac/sustainability/performance-reports/</t>
  </si>
  <si>
    <t>https://www08.wellsfargomedia.com/assets/pdf/about/corporate-responsibility/environmental-social-governance-report.pdf</t>
  </si>
  <si>
    <t>" In 2017, we achieved our goal of meeting 100% of Wells Fargo’s global electricity needs with renewable energy"</t>
  </si>
  <si>
    <t>-       Unbundled renewable energy attribute certificates
-       Self-generation
-       Direct procurement from offsite grid-connected generator (PPA)</t>
  </si>
  <si>
    <t>United States of America</t>
  </si>
  <si>
    <t>Emissions Reduction Target: 'Reduce greenhouse gas emissions 45% (from 2008 baseline)'</t>
  </si>
  <si>
    <t>North America</t>
  </si>
  <si>
    <t>$1,927,555</t>
  </si>
  <si>
    <t>$19,549</t>
  </si>
  <si>
    <t>https://www.wellsfargo.com/about/corporate-responsibility/environment/</t>
  </si>
  <si>
    <t>operations… Scope 1 and 2 GHG emissions</t>
  </si>
  <si>
    <t>2020*</t>
  </si>
  <si>
    <t>ERT: 'By 2020, we aim to reduce our net emissions by 50% compared to a 2012 baseline.'</t>
  </si>
  <si>
    <t>$193,984</t>
  </si>
  <si>
    <t>$11,054</t>
  </si>
  <si>
    <t>https://thewaltdisneycompany.com/environmental-sustainability/</t>
  </si>
  <si>
    <t>-       Direct procurement from offsite grid-connected generators (PPA)
-       Contract with suppliers
-       Unbundled renewable energy attribute certificates
-       Self-generation</t>
  </si>
  <si>
    <t>2C</t>
  </si>
  <si>
    <t xml:space="preserve">Emissions reduction plan approved by SBTI- aim to reduce emissions in our own
operations (Scopes 1 and 2) by 18 percent by 2025 from
2015 levels . Reduce Scope 3 emissions by
1 gigaton (1 billion metric tons) carbon dioxide equivalent
(CO2e) in the production and use of food and products
globally between 2015 and 2030. </t>
  </si>
  <si>
    <t>$236,495</t>
  </si>
  <si>
    <t>$14,881</t>
  </si>
  <si>
    <t>https://corporate.walmart.com/media-library/document/2018-global-responsibility-report/_proxyDocument?id=00000170-ac54-d808-a9f1-ac7e9d160000</t>
  </si>
  <si>
    <t>No CN plan but "Since 2005, Walmart has tracked its Scope 1 (direct),
Scope 2 (indirect) and Scope 3 (other indirect) GHG
emissions, following the guidelines of the World Resource GHG protocol."
Institute’s GHG Protocol. Since 2006, we have publicly
disclosed this information along with our management
practices annually to CDP."</t>
  </si>
  <si>
    <t>Boots UK £18M investment in F19 to continue minimizing carbon footprint.' - Note - not for Walgreens US.</t>
  </si>
  <si>
    <t>$67,598</t>
  </si>
  <si>
    <t>$3,982</t>
  </si>
  <si>
    <t>https://www.walgreensbootsalliance.com/sites/www/files/asset/Walgreens-Boots-Alliance-2019-Corporate-Social-Responsibility-Report_2.pdf</t>
  </si>
  <si>
    <t>post-July</t>
  </si>
  <si>
    <r>
      <rPr>
        <sz val="11"/>
        <color theme="1"/>
        <rFont val="Aptos Narrow"/>
        <family val="2"/>
        <scheme val="minor"/>
      </rPr>
      <t xml:space="preserve">climate neutral </t>
    </r>
  </si>
  <si>
    <t>"aim to reduce its lifecycle carbon footprint per car by 40 per cent between 2018 and 2025.", " 25 per cent reduction of CO2 emissions related to its global supply chain by 2025", "25 per cent reduction of carbon emissions generated by the company’s overall operations, including manufacturing and logistics."</t>
  </si>
  <si>
    <t xml:space="preserve">no </t>
  </si>
  <si>
    <t>$56,077.1</t>
  </si>
  <si>
    <t>$3,793</t>
  </si>
  <si>
    <t>https://www.media.volvocars.com/global/en-gb/media/pressreleases/259147/volvo-cars-to-radically-reduce-carbon-emissions-as-part-of-new-ambitious-climate-plan</t>
  </si>
  <si>
    <t xml:space="preserve">no mention of removals </t>
  </si>
  <si>
    <t xml:space="preserve">Check this one, because they specify carbon emissions not GHG emissions. </t>
  </si>
  <si>
    <t>[2025] global manufacturing network… [2040] addressing tailpipe emissions</t>
  </si>
  <si>
    <t>No - but future commitment and further future commitment across more scopes</t>
  </si>
  <si>
    <t>manufacturing network</t>
  </si>
  <si>
    <t>C/C+P</t>
  </si>
  <si>
    <t xml:space="preserve">Do not have an SBTI, focused on compensation through forestry projects, not removals. </t>
  </si>
  <si>
    <t>$547,810.9</t>
  </si>
  <si>
    <t>$15,542</t>
  </si>
  <si>
    <t>https://www.volkswagenag.com/en/news/stories/2019/12/what-volkswagen-is-doing-for-the-environment.html</t>
  </si>
  <si>
    <t>Reduce the carbon footprint of cars and light-commercial vehicles across the entire value chain to CO2 neutral by 2050.</t>
  </si>
  <si>
    <t>cars and light-commercial vehicles across the entire value chain to CO2 neutral</t>
  </si>
  <si>
    <t>-       Contract with suppliers
-       Self-generation</t>
  </si>
  <si>
    <t>UK</t>
  </si>
  <si>
    <t>Post-July</t>
  </si>
  <si>
    <t>Net Zero</t>
  </si>
  <si>
    <t>part of a GSMA taskforce that has defined the emission reduction pathway for the telecoms industry</t>
  </si>
  <si>
    <t>$185,455.7</t>
  </si>
  <si>
    <t>$-1,022</t>
  </si>
  <si>
    <t>https://www.vodafone.com/our-purpose/planet/reducing-emissions-in-our-operations</t>
  </si>
  <si>
    <t>No mention of carbon removals / neutralization. 'This will require a significant reduction in our direct carbon emissions as well as setting targets for indirect emissions (including suppliers and joint ventures).'</t>
  </si>
  <si>
    <t xml:space="preserve">We are also working to analyse our Scope 3 emissions… Our efforts to reduce Scope 3 emissions are concentrated where we believe we can make the biggest impact: joint venture businesses, our suppliers and business travel.
</t>
  </si>
  <si>
    <t>net-zero emissions</t>
  </si>
  <si>
    <t>No - but future commitment by virtue of "net zero"</t>
  </si>
  <si>
    <t>[does not specify]</t>
  </si>
  <si>
    <t>U</t>
  </si>
  <si>
    <t>Construction and Engineering</t>
  </si>
  <si>
    <t>$102,252.9</t>
  </si>
  <si>
    <t>$3,648.8</t>
  </si>
  <si>
    <t>direct impacts… [not] indirect carbon footprint generated by the activities of suppliers, partners and customers</t>
  </si>
  <si>
    <t>https://www.vinci.com/vinci.nsf/en/press-releases/pages/20200115-1745.htm</t>
  </si>
  <si>
    <t>direct impacts</t>
  </si>
  <si>
    <t>$49,519</t>
  </si>
  <si>
    <t>$3,308</t>
  </si>
  <si>
    <t>ViacomCBS</t>
  </si>
  <si>
    <t>Pre-July</t>
  </si>
  <si>
    <t>2035-2045</t>
  </si>
  <si>
    <t xml:space="preserve">50% Carbon Intensity Reduction by 2025.' </t>
  </si>
  <si>
    <t>$291,727</t>
  </si>
  <si>
    <t>$19,265</t>
  </si>
  <si>
    <t xml:space="preserve"> Scope 1 and Scope 2 emissions. This will be achieved through a combination of reducing those emissions directly, migrating energy procurement in favor of renewable and clean energy and through the purchase of carbon offsets.</t>
  </si>
  <si>
    <t>Scope 1 and Scope 2</t>
  </si>
  <si>
    <t>French transnational company Veolia commits to reduce absolute scope 1 and 2 GHG emissions 22% by 2034 from a 2018 base year. The target boundary includes biogenic emissions and removals associated with the use of bioenergy based on applicable EU and French regulation.</t>
  </si>
  <si>
    <t>Oct 2019</t>
  </si>
  <si>
    <t xml:space="preserve">carbon positive </t>
  </si>
  <si>
    <t xml:space="preserve">They say they are carbon positive, but is unclear how and when they achieved this. "Veolia is carbon positive and now saves over 2 million tonnes of CO2 emissions for its customers." 
</t>
  </si>
  <si>
    <t>None</t>
  </si>
  <si>
    <t>$46,039.7</t>
  </si>
  <si>
    <t>$699.4</t>
  </si>
  <si>
    <t>https://www.veolia.com/en/csr-climate-change
https://performance-rse.veolia.com/performance-rse/performance-environnementale/
https://www.veolia.co.uk/press-releases/business-proves-going-beyond-carbon-neutrality-today-no-pipe-dream
https://www.veolia.co.uk/sites/g/files/dvc1681/files/document/2018/01/Veolia_UK_-_Protect_and_prosper_-_Our_journey_is_your_resource_advantage_summary_report.pdf</t>
  </si>
  <si>
    <t xml:space="preserve">Seem committed to a carbon neutral approach but nothing specific about timings
The company is carbon positive </t>
  </si>
  <si>
    <t>https://csr-performance.veolia.com/csr-performance/managing-environmental-performance/contribute-to-combating-climate-change/challenges-and-actions/
https://www.veolia.com/en/csr-climate-change
https://performance-rse.veolia.com/performance-rse/performance-environnementale/
https://www.veolia.co.uk/press-releases/business-proves-going-beyond-carbon-neutrality-today-no-pipe-dream
https://www.veolia.co.uk/sites/g/files/dvc1681/files/document/2018/01/Veolia_UK_-_Protect_and_prosper_-_Our_journey_is_your_resource_advantage_summary_report.pdf</t>
  </si>
  <si>
    <t>negative</t>
  </si>
  <si>
    <t>No specific emission reduction plan: ' intend to
continue to reduce our emissions through the
adoption of new technologies and improved and
more efficient operations.'</t>
  </si>
  <si>
    <t>Oil &amp; Gas</t>
  </si>
  <si>
    <t>$53,864</t>
  </si>
  <si>
    <t>$2,422</t>
  </si>
  <si>
    <t>https://www.valero.com/en-us/Documents/Climate%20Related%20Risks%20and%20Opportunities/Review_of_Climate-Related_Risks_and_Opportunities_Web.pdf</t>
  </si>
  <si>
    <t>Dec 2019</t>
  </si>
  <si>
    <t xml:space="preserve">zero net </t>
  </si>
  <si>
    <t xml:space="preserve">"zero net" only covers scopes 1 and 2. Vale aims to establish a goal for scope 3 to encourage clients and suppliers in the same direction. Through active engagement with clients from the steel and metallurgy industries, Vale will work to reduce emissions in its value chain. </t>
  </si>
  <si>
    <t>Claims, but not according to SBTI</t>
  </si>
  <si>
    <t>Latin America</t>
  </si>
  <si>
    <t>Mining - Metals (Iron, Aluminium, Other Metals)</t>
  </si>
  <si>
    <t>$91,713</t>
  </si>
  <si>
    <t>$-1,683</t>
  </si>
  <si>
    <t>http://www.vale.com/en/aboutvale/news/pages/vale-advances-on-the-climate-agenda-and-unveils-uss-2-billion-to-reduce-carbon-emissions-within-the-next-ten-years.aspx</t>
  </si>
  <si>
    <t>Not across all scopes</t>
  </si>
  <si>
    <t>No mention of removals</t>
  </si>
  <si>
    <t>scopes 1 and 2</t>
  </si>
  <si>
    <t>The base year used to calculate the carbon goal was 2017, when Vale’s emissions reached 14.1 million metric tons of CO2 equivalent (MtCO2e). The goal is to reduce it to 9.5 MtCO2e by 2030. Furthermore, the projects to disassociate its production from carbon emissions, Vale will recover and protect another 500 thousand hectares of native forest by 2030. Today, the company helps to protect more than 1 million hectares worldwide.</t>
  </si>
  <si>
    <t>$173,732.6</t>
  </si>
  <si>
    <t>$4,006.3</t>
  </si>
  <si>
    <t>$11,288</t>
  </si>
  <si>
    <t>$385</t>
  </si>
  <si>
    <t>US Foods Holding</t>
  </si>
  <si>
    <t xml:space="preserve">GHG Emissions Reduction: reduce 2017 Scope 1 and Scope 2 (Market-Based) GHG emission by 3% by the end of 2023 (for our U.S. Administrative Portfolio, U.S. Large Pharmaceutical Sites and directly managed international sites)' - Neglible reduction target. </t>
  </si>
  <si>
    <t>$173,889</t>
  </si>
  <si>
    <t>$13,839</t>
  </si>
  <si>
    <t>https://www.unitedhealthgroup.com/viewer.html?file=/content/dam/UHG/PDF/About/UNH-Environmental-Impact-Statement.pdf</t>
  </si>
  <si>
    <t>ERT: ' goal to reduce absolute greenhouse gas emissions 12 percent across our global ground operations by 2025.'</t>
  </si>
  <si>
    <t>$57,857</t>
  </si>
  <si>
    <t>$4,440</t>
  </si>
  <si>
    <t>https://sustainability.ups.com/sustainability-strategy/environmental-responsibility</t>
  </si>
  <si>
    <t xml:space="preserve">By 2050, they plan to reduce their  total greenhouse gas emissions by half of what they produced in 2005. They measure their scopes 1,2 and 3 emissions. Offer carbon offsetting to customers. Aim for carbon neutral growth in 2020. </t>
  </si>
  <si>
    <t>$52,611</t>
  </si>
  <si>
    <t>$3,009</t>
  </si>
  <si>
    <t>https://hub.united.com/united-cleaner-future-emissions-biofuel--2604671268.html</t>
  </si>
  <si>
    <t>climate-neutral</t>
  </si>
  <si>
    <t>$49,111.7</t>
  </si>
  <si>
    <t>$682.7</t>
  </si>
  <si>
    <t>Power generation in Europe</t>
  </si>
  <si>
    <t>https://www.uniper.energy/news/uniper-surpasses-2019-financial-targets-and-aims-for-climate-neutral-power-generation-in-europe-by-2035/</t>
  </si>
  <si>
    <t>power generation in Europe</t>
  </si>
  <si>
    <t>positive</t>
  </si>
  <si>
    <t>https://www.unilever.com/news/news-and-features/Feature-article/2020/we-now-use-100-renewable-grid-electricity-globally.html</t>
  </si>
  <si>
    <t>"We are delighted to announce that we are now using 100% renewable grid electricity across all our factories, offices, R&amp;D facilities, data centres, warehouses and distribution centres."</t>
  </si>
  <si>
    <t>-       Direct procurement from offsite grid-connected generators (PPA)
-       Unbundled renewable energy attribute certificates</t>
  </si>
  <si>
    <t>Netherlands/UK</t>
  </si>
  <si>
    <t>1.5C</t>
  </si>
  <si>
    <t>Carbon postive</t>
  </si>
  <si>
    <t>$72,738.3</t>
  </si>
  <si>
    <t>$6,295.8</t>
  </si>
  <si>
    <t>https://www.unilever.com/sustainable-living/reducing-environmental-impact/greenhouse-gases/tackling-climate-impact-in-our-operations/</t>
  </si>
  <si>
    <t>https://www.unilever.com/news/press-releases/2020/unilever-sets-out-new-actions-to-fight-climate-change-and-protect-and-regenerate-nature-to-preserve-resources-for-future-generations.html and https://www.unilever.com/sustainable-living/reducing-environmental-impact/greenhouse-gases/tackling-climate-impact-in-our-operations/ and https://www.bloomberg.com/news/articles/2020-06-14/unilever-to-cut-emissions-to-zero-by-2039-adopt-carbon-labeling</t>
  </si>
  <si>
    <t>projects likely to include landscape restoration, reforestation, carbon sequestration. The company’s remaining 65 million metric tons of emissions under Scope 3 are produced in the use of Unilever products—whenever someone boils water, say, for a cup of Lipton tea. Unilever will try to cut these in half by 2030</t>
  </si>
  <si>
    <t>from the sourcing of the materials we use, up to the point of sale of our products in the store.</t>
  </si>
  <si>
    <t>have no carbon emissions from our own operations, and to halve the GHG footprint of our products across the value chain, by 2030. AND directly supporting the generation of more renewable energy than we consume.</t>
  </si>
  <si>
    <t>https://www.unilever.com/news/press-releases/2020/unilever-sets-out-new-actions-to-fight-climate-change-and-protect-and-regenerate-nature-to-preserve-resources-for-future-generations.html</t>
  </si>
  <si>
    <t>from the sourcing of the materials we use, up to the point of sale of our products in the store</t>
  </si>
  <si>
    <t>https://www.unilever.com/news/press-releases/2020/unilever-sets-out-new-actions-to-fight-climate-change-and-protect-and-regenerate-nature-to-preserve-resources-for-future-generations.html AND https://www.unilever.com/sustainable-living/reducing-environmental-impact/greenhouse-gases/tackling-climate-impact-in-our-operations/</t>
  </si>
  <si>
    <t>ERT: '60% reduction of GHG by 2020 and 80% by 2030.'</t>
  </si>
  <si>
    <t>$960,378.2</t>
  </si>
  <si>
    <t>$3,775.3</t>
  </si>
  <si>
    <t>https://www.unicreditgroup.eu/en/press-media/press-releases/2019/unicredit-announces-new-esg-targets-as-part-of-a-long-term-commi.html</t>
  </si>
  <si>
    <t>https://www.ubs.com/global/en/ubs-society/our-stories/2020/climate.html</t>
  </si>
  <si>
    <t>"100% electricity from renewable sources in Switzerland since 2007 (worldwide from mid-2020 onwards)."</t>
  </si>
  <si>
    <t>-       Contract with suppliers
-       Unbundled renewable energy attribute certificates
-       Self-generation</t>
  </si>
  <si>
    <t xml:space="preserve">Awarded CDP climate A list. </t>
  </si>
  <si>
    <t>$972,183</t>
  </si>
  <si>
    <t>$4,304</t>
  </si>
  <si>
    <t>2019 Climate strategy: https://www.ubs.com/global/en/ubs-society/our-stories/2020/climate.html</t>
  </si>
  <si>
    <t>$25,633</t>
  </si>
  <si>
    <t>$-8,813</t>
  </si>
  <si>
    <t>ERT:'reducing our operational greenhouse gas (GHG) emissions by 40% by 2029 and 60% by 2044, using a 2014 baseline.'</t>
  </si>
  <si>
    <t>$495,426</t>
  </si>
  <si>
    <t>$6,914</t>
  </si>
  <si>
    <t>https://www.usbank.com/about-us-bank/community/sustainability.html</t>
  </si>
  <si>
    <t>SBT: working toward a “30 by 30” target to reduce greenhouse gas (GHG) emissions 30% by 2030 against a 2016 baseline year.</t>
  </si>
  <si>
    <t>$33,097</t>
  </si>
  <si>
    <t>$2,022</t>
  </si>
  <si>
    <t>https://www.tysonsustainability.com/cdp/CDP_Climate_Change_2019.pdf</t>
  </si>
  <si>
    <t>$10,122.2</t>
  </si>
  <si>
    <t>$825.9</t>
  </si>
  <si>
    <t>$110,122</t>
  </si>
  <si>
    <t>$2,622</t>
  </si>
  <si>
    <t>Travelers</t>
  </si>
  <si>
    <t>$54,151.4</t>
  </si>
  <si>
    <t>$871.7</t>
  </si>
  <si>
    <t>$42,058</t>
  </si>
  <si>
    <t>$1,246.8</t>
  </si>
  <si>
    <t>Zero</t>
  </si>
  <si>
    <t>Going Beyond Zero Environmental Impact and Achieving a Net Positive Impact. Minus emission features absorbing air when generating electricity and emitting cleaner air.</t>
  </si>
  <si>
    <t xml:space="preserve">minus emssions' </t>
  </si>
  <si>
    <t>$487,465.9</t>
  </si>
  <si>
    <t>$19,096.2</t>
  </si>
  <si>
    <t>https://global.toyota/pages/global_toyota/sustainability/report/er/er19_en.pdf</t>
  </si>
  <si>
    <t>completely eliminate CO2 emissions not only while driving vehicles, but throughout the entire vehicle life cycle including materials and parts manufacturing and vehicle assembly, maintenance, disposal, and recycling.</t>
  </si>
  <si>
    <t>Completely eliminate all CO2 emissions from the entire vehicle life cycle. Reduce global average CO2 emissions during operation from new vehicles by 90% from Toyota’s 2010 global level. Achieve zero CO2 emissions at all plants worldwide by 2050.</t>
  </si>
  <si>
    <t>entire vehicle life cycle</t>
  </si>
  <si>
    <t>Net Zero across Total’s worldwide operations by 2050 or sooner (scope 1+2). Net Zero across all its production and energy products used by its customers in Europe2  by 2050 or sooner (scope 1+2+3). 60% or more reduction in the average carbon intensity of energy products used worldwide.'</t>
  </si>
  <si>
    <t>$273,294</t>
  </si>
  <si>
    <t>$11,267</t>
  </si>
  <si>
    <t>https://www.total.com/media/news/total-adopts-new-climate-ambition-get-net-zero-2050</t>
  </si>
  <si>
    <t>No SBT, Not across all scopes</t>
  </si>
  <si>
    <t>Does not meet NZ requirement according to SBTI threshold - crucially net zero across all production and energy (Scope 1, 2, 3 will only occur in Europe.)</t>
  </si>
  <si>
    <t>Net Zero across Total’s worldwide operations by 2050 or sooner (scope 1+2)</t>
  </si>
  <si>
    <t>worldwide operations… [and] production and energy products used by its customers in Europe</t>
  </si>
  <si>
    <t>Jun 2020</t>
  </si>
  <si>
    <t xml:space="preserve">They have a carbon zero scheme (through a partnership with CO2 balance) that creatde carbon neutral products through offsetting the emissions generated from the procurement, manufacture and delivery of the products. The offsetting projects involve mangrove reforestation, forest protection, providing energy efficient stoves in Africa. Doesn't mention if this is an option to customers or if this is something that happens automatically. </t>
  </si>
  <si>
    <t>$31,307.8</t>
  </si>
  <si>
    <t>$-1,054.4</t>
  </si>
  <si>
    <t>https://www.toshibatec.co.uk/assets/brochures/BR_Carbon%20Zero_1019.pdf
https://sustainabledevelopment.un.org/partnership/?p=13456</t>
  </si>
  <si>
    <t xml:space="preserve">Carbon neutral </t>
  </si>
  <si>
    <t>"target of a total of $100 billion in low-carbon lending, financing,
asset management and internal corporate programs by 2030."</t>
  </si>
  <si>
    <t>$1,076,921.3</t>
  </si>
  <si>
    <t>$8,781</t>
  </si>
  <si>
    <t>https://www.td.com/document/PDF/ESG/2019-ESG-Report.pdf</t>
  </si>
  <si>
    <t>They don't specify removals</t>
  </si>
  <si>
    <t>Reduce energy use through increased efficiency, generate renewable electricity, purchase certified EcoLogo or Green-e renewable energy credits (RECs). Offset remaining emissions through North American Offsets.</t>
  </si>
  <si>
    <t xml:space="preserve">Operations </t>
  </si>
  <si>
    <t>$12,548.8</t>
  </si>
  <si>
    <t>$-64.5</t>
  </si>
  <si>
    <t>$110,649.1</t>
  </si>
  <si>
    <t>$466.4</t>
  </si>
  <si>
    <t>$233,681.6</t>
  </si>
  <si>
    <t>$2,389.2</t>
  </si>
  <si>
    <t>Business activities</t>
  </si>
  <si>
    <t>https://www.tokiomarinehd.com/en/sustainability/pdf/sustainability_web_2019.pdf</t>
  </si>
  <si>
    <t>business activities</t>
  </si>
  <si>
    <t>2020 goal to reduce global GHG emissions per dollar of revenue by 30% against a 2010 baseline. Purchased over 405 million kilowatt hours of low-carbon energy. Implemented energy efficiency initiatives. Achieved CDP score of A-; Celebrated 18 years on FTSE4Good index; 2018 U.S. EPA Smartway High Performer. Looking at creating a science-based emissions reduction target and analyzing options that include 2 degree, 1.5 degree, and carbon-neutral scenarios</t>
  </si>
  <si>
    <t>$24,145</t>
  </si>
  <si>
    <t>$3,272.2</t>
  </si>
  <si>
    <t>https://www.tjx.com/responsibility/environment/</t>
  </si>
  <si>
    <t>$615,042.3</t>
  </si>
  <si>
    <t>$2,460.1</t>
  </si>
  <si>
    <t>German multinational conglomerate thyssenkrupp commits to reduce absolute scope 1 and 2 GHG emissions 30% by 2030 from a 2018 base year. thyssenkrupp also commits to reduce absolute scope 3 GHG emissions 16% by 2030 from a 2017 base year.</t>
  </si>
  <si>
    <t>Aug 2019</t>
  </si>
  <si>
    <t>Well-below 2C</t>
  </si>
  <si>
    <t>$39,761.4</t>
  </si>
  <si>
    <t>$-342.8</t>
  </si>
  <si>
    <t>$58,381</t>
  </si>
  <si>
    <t>$3,696</t>
  </si>
  <si>
    <t>Thermo Fisher Scientific</t>
  </si>
  <si>
    <t>-       Unbundled renewable energy attribute certificates
-       Self-generation</t>
  </si>
  <si>
    <t>65% by
2020 80%
by 2025</t>
  </si>
  <si>
    <t>$66,794.9</t>
  </si>
  <si>
    <t>$1,240</t>
  </si>
  <si>
    <t>Absolute carbon reduction from our operations by 2050.</t>
  </si>
  <si>
    <t>https://www.tescoplc.com/sustainability/planet/climate-change/climate-change/</t>
  </si>
  <si>
    <t>$136,954.8</t>
  </si>
  <si>
    <t>$13,506.6</t>
  </si>
  <si>
    <t>-       Direct procurement from offsite grid-connected generators (PPA)
-       Contract with suppliers
-       Self-generation
-       Unbundled renewable energy attribute certificates</t>
  </si>
  <si>
    <t>85% by
2025</t>
  </si>
  <si>
    <t>Telefonica commits to reduce absolute scope 1 and 2 GHG emissions 50% by 2025, and 70% by 2030 from a 2015 base year. Telefonica commits to reduce absolute scope 3 GHG emissions from fuel and energy related activities 25% by 2025 from a 2016 base year. Telefónica commits to reduce scope 3 GHG emissions from purchased goods and services and capital goods 30% per euro purchased by 2025 from a 2016 base year.</t>
  </si>
  <si>
    <t>Lead with net zero but mention of carbon neutrality</t>
  </si>
  <si>
    <t xml:space="preserve">Avoid 10 tons of CO2 in customers for each one issued by Telefónica in 2025 (Net Positive).  </t>
  </si>
  <si>
    <t>$133,427.5</t>
  </si>
  <si>
    <t>$1,278.2</t>
  </si>
  <si>
    <t>https://www.telefonica.com/en/web/press-office/-/telefonica-s-contribution-to-a-green-recovery and https://www.telefonica.com/en/web/responsible-business/environment/energy-and-climate-change-2</t>
  </si>
  <si>
    <t>Finally, emissions that cannot be eliminated will be compensated through CO2 ab-sorption projects... Less CO2 emissions: achieve net zero emissions before 2030 in our main markets (Brazil, Germany, UK and Spain) and, globally, decrease emissions by 70% for the same year (in relation to 2015)* and achieve carbon neutrality by 2050.</t>
  </si>
  <si>
    <t>Goal of zero net emissions in our major operations' by 2030.  Key markets include Brazil, Spain, UK, and Germany.</t>
  </si>
  <si>
    <t>Less CO2 emissions: achieve net zero emissions before 2030 in our main markets (Brazil, Germany, UK and Spain) and, globally, decrease emissions by 70% for the same year (in relation to 2015)* and achieve carbon neutrality by 2050.</t>
  </si>
  <si>
    <t>https://www.telefonica.com/en/web/press-office/-/telefonica-s-contribution-to-a-green-recovery</t>
  </si>
  <si>
    <t>Scopes 1 and 2</t>
  </si>
  <si>
    <t>https://www.telefonica.com/es/web/press-office/-/telefonica-s-contribution-to-a-green-recovery</t>
  </si>
  <si>
    <t>$13,268.6</t>
  </si>
  <si>
    <t>$374.5</t>
  </si>
  <si>
    <t>-       Direct procurement from offsite grid-connected generators (PPA)
-       Purchase from onsite installations owned by a supplier
-       Self-generation</t>
  </si>
  <si>
    <t>Part of We Mean Business coalition</t>
  </si>
  <si>
    <t>$42,601.6</t>
  </si>
  <si>
    <t>$-1,702.5</t>
  </si>
  <si>
    <t>post-Sept 4th</t>
  </si>
  <si>
    <t>-       Direct procurement from offsite grid-connected generators (PPA)
-       Contract with suppliers
-       Self-generation
-       Purchase from onsite installations owned by a supplier</t>
  </si>
  <si>
    <t>60% by 2025</t>
  </si>
  <si>
    <t>Target will reduce its absolute Scope 1, 2 and 3* greenhouse gas emissions by 30 percent below 2017 levels by 2030. We’re also committing that 80 percent of our suppliers will set science-based reduction targets on their Scope 1 and 2 emissions by 2023.'</t>
  </si>
  <si>
    <t>$42,779</t>
  </si>
  <si>
    <t>$3,281</t>
  </si>
  <si>
    <t>https://corporate.target.com/corporate-responsibility/planet/climate</t>
  </si>
  <si>
    <t xml:space="preserve">carbon neutral </t>
  </si>
  <si>
    <t xml:space="preserve"> they specify being carbon neutral in Germany, but they operates with subsidiaries and branches on five continents and through cooperations are active in more than 150 countries.They avoid, reduce and offset emissions. Will be making offset payments for "organization's own opperations". Carbon neutral in 2019 for Germany operations. Scope 3 not included in calculations. Support reforestation projects in Uganda and Brazil. </t>
  </si>
  <si>
    <t>$199,331.5</t>
  </si>
  <si>
    <t>$1,033.1</t>
  </si>
  <si>
    <t>https://www.talanx.com/en/newsroom/press_articles/talanx_signs_up_to_un_pri</t>
  </si>
  <si>
    <t xml:space="preserve">Scope 3 not included. </t>
  </si>
  <si>
    <t xml:space="preserve">They specify being carbon neutral in Germany, but they operate with subsidiaries and branches on five continents and through cooperations are active in more than 150 countries.They avoid, reduce and offset emissions. Will be making offset payments for "organization's own opperations". Carbon neutral in 2019 for Germany operations. Scope 3 not included in calculations. Support reforestation projects in Uganda and Brazil. </t>
  </si>
  <si>
    <t>Takeda Pharmaceutical Company commits to reduce absolute scope 1 and 2 GHG emissions 40% by FY2025 from a FY2016 base year. Takeda Pharmaceutical Company also commits to reduce absolute scope 1 and 2 GHG emissions 100% by FY2040 from a FY2016 base year. Furthermore, Takeda Pharmaceutical Company commits that 67% of its suppliers by emissions covering purchased goods and services, capital goods and upstream transportation and distribution, will have science-based targets by 2024.</t>
  </si>
  <si>
    <t>Apr 2020</t>
  </si>
  <si>
    <t>$118,636.9</t>
  </si>
  <si>
    <t>$406.9</t>
  </si>
  <si>
    <t xml:space="preserve">No commitment for carbon removal, just carbon credits </t>
  </si>
  <si>
    <t>By 2040, Takeda commits to being carbon neutral by eliminating all greenhouse gas (GHG) emissions from its operations (Scopes 1 and 2), and reducing its Scope 3 emissions by 50% (from FY2018) through continued educating and influencing its suppliers on their greenhouse gas reduction efforts, and by addressing remaining Scope 3 emissions through verified carbon offsets.</t>
  </si>
  <si>
    <t>In 2020, Takeda commits to be carbon neutral across its value chain (Scopes 1, 2 and 3) beginning with FY2019 GHG emissions through the use of renewable energy and verified carbon offsets.</t>
  </si>
  <si>
    <t>https://www.takeda.com/corporate-responsibility/environment/commitment-to-carbon-neutrality-at-takeda/</t>
  </si>
  <si>
    <t>Takeda Pharmaceutical</t>
  </si>
  <si>
    <t>$75,553.8</t>
  </si>
  <si>
    <t>$11,452.1</t>
  </si>
  <si>
    <t xml:space="preserve">No english CSR reports </t>
  </si>
  <si>
    <t>N/A - Report only in Chinese</t>
  </si>
  <si>
    <t>$134,299.1</t>
  </si>
  <si>
    <t>$3,211.5</t>
  </si>
  <si>
    <t>$17,966.5</t>
  </si>
  <si>
    <t>$1,674.3</t>
  </si>
  <si>
    <t>https://www.swissre.com/sustainability/footprint/greenhouse-neutral-programme.html</t>
  </si>
  <si>
    <t>"by the end of 2020"</t>
  </si>
  <si>
    <t>-       Solar PV installed at sites in US, Europe, India
-       Unbundled renewable energy attribute certificates
-       Contract with suppliers</t>
  </si>
  <si>
    <t>CO2NetZero</t>
  </si>
  <si>
    <t>Participated ' in the world's first auction for carbon removal certificates, run by the recently formed Finnish start-up Puro.earth.'</t>
  </si>
  <si>
    <t>$238,567</t>
  </si>
  <si>
    <t>$727</t>
  </si>
  <si>
    <t>https://www.swissre.com/sustainability/footprint/co2netzero-programme.html</t>
  </si>
  <si>
    <t>support carbon removal projects to compensate any emissions we cannot yet avoid.'</t>
  </si>
  <si>
    <t xml:space="preserve">substantially reduced our own CO2 emissions between 2003 and 2019. Offsetting all the remaining emissions </t>
  </si>
  <si>
    <t xml:space="preserve">During the first phase of our Greenhouse Neutral Programme, we reported on our Scope 1 and Scope 2 emissions (heating and power consumption, respectively) as well as a major source of Scope 3 emissions (business travel). For the second phase of our Greenhouse Neutral Programme, we have extended the scope of our emissions accounting and reporting: in addition to business travel, this includes use of copy paper, waste generation, water consumption, technical gases and employee commuting. With the exception of commuting, we have committed to compensating these emissions, as well. </t>
  </si>
  <si>
    <t>Scope 1 and Scope 2... major source of Scope 3 emissions (business travel… use of copy paper, waste generation, water consumption and technical gases)</t>
  </si>
  <si>
    <t>$30,903.9</t>
  </si>
  <si>
    <t>$1,234.5</t>
  </si>
  <si>
    <t>$34,003</t>
  </si>
  <si>
    <t>$1,424.8</t>
  </si>
  <si>
    <t>"goal of achieving a 30% GHG emissions intensity reduction of our products by 2030 relative to a 2014 baseline. At the end of 2019, we had achieved approximately 10% reduction against this baseline"</t>
  </si>
  <si>
    <t>$68,976.6</t>
  </si>
  <si>
    <t>$2,184.9</t>
  </si>
  <si>
    <t>https://sustainability.suncor.com/en?_ga=2.55463087.58629952.1597325125-170633671.1597325125</t>
  </si>
  <si>
    <t xml:space="preserve">Met 2020 goal to reduce emissions by 20% relative to 2014 baseline one year early. 2030 goal is to reduce emissions by 30% based on 2014 baseline. </t>
  </si>
  <si>
    <t>$229,216.4</t>
  </si>
  <si>
    <t>$2,044.7</t>
  </si>
  <si>
    <t>https://cdn.sunlife.com/static/Global/digital_media/MarCom/Sustainability/Sustainability-Report-2019-E.pdf</t>
  </si>
  <si>
    <t>Sun Life Financial</t>
  </si>
  <si>
    <t>$2,034,454.7</t>
  </si>
  <si>
    <t>$6,474.1</t>
  </si>
  <si>
    <t>Target: 40% reduction from the FY2013 level (FY2030)</t>
  </si>
  <si>
    <t>$357,565</t>
  </si>
  <si>
    <t>$47.9</t>
  </si>
  <si>
    <t>https://www.sumitomolife.co.jp/english/annual/pdf/ar2020.pdf</t>
  </si>
  <si>
    <t>Negative emissions are defined as the absorption, capturing, and removal of CO2 emitted in the past and accumulated in the atmosphere</t>
  </si>
  <si>
    <t xml:space="preserve">Negative emissions </t>
  </si>
  <si>
    <t>$28,541.8</t>
  </si>
  <si>
    <t>$668.9</t>
  </si>
  <si>
    <t>https://www.sumitomocorp.com/en/jp/sustainability/environmental-management/climate</t>
  </si>
  <si>
    <t>The scope of business targeted for carbon neutralization is as follows [Scope1・2] Direct CO2 emissions from Sumitomo Corporation and its subsidiaries, as well as indirect CO2 emissions from the generation of energy used by each company (however, for power generation businesses, emissions from those affiliated companies under the equity method are also included) [Scope3] Indirect CO2 emissions associated with the use of energy resources produced by fossil energy concession of Sumitomo Corporation Group, its subsidiaries, and affiliated companies under the equity method. Carbon neutrality means net-zero CO2 emissions that combine CO2 emissions from our business and our contributions to CO2 emission reduction.</t>
  </si>
  <si>
    <t xml:space="preserve">1,2,3 </t>
  </si>
  <si>
    <t>Scopes 1, 2, and 3</t>
  </si>
  <si>
    <t>$75,216</t>
  </si>
  <si>
    <t>$1,576.1</t>
  </si>
  <si>
    <t>The Subaru Group has set a target of reducing direct CO2 emissions (Scope 1, 2) by 30% compared with the FYE2017 level by FYE2031 and is in the process of formulating the Subaru Environmental Action Plan for initiatives to be implemented from FYE2022. In addition, we have begun work on achieving a reduction of approximately 20,000 tons of CO2—equating to around 3% of annual emissions—by FYE2021</t>
  </si>
  <si>
    <t>$30,479.4</t>
  </si>
  <si>
    <t>$1,403.5</t>
  </si>
  <si>
    <t>https://www.subaru.co.jp/en/csr/report/pdf/2019/csr_report_2019_all.pdf</t>
  </si>
  <si>
    <t>$9,936.1</t>
  </si>
  <si>
    <t>$85.1</t>
  </si>
  <si>
    <t>StoneX</t>
  </si>
  <si>
    <t xml:space="preserve">participate in overseas climate action projects, but no specific targets. </t>
  </si>
  <si>
    <t>$171,460.1</t>
  </si>
  <si>
    <t>$179.5</t>
  </si>
  <si>
    <t>http://eng.spic.com.cn/2016SiteEn/Responsibility/report/201808/W020180827506080338577.pdf</t>
  </si>
  <si>
    <t>No information on emissions reduction targets</t>
  </si>
  <si>
    <t>$596,616.3</t>
  </si>
  <si>
    <t>$7,970</t>
  </si>
  <si>
    <t>http://www.sgcc.com.cn/html/files/2019-09/20/20190920152835313445345.pdf</t>
  </si>
  <si>
    <t>Promote the transition to clean and low-carbon energy.'</t>
  </si>
  <si>
    <t>$294,823.2</t>
  </si>
  <si>
    <t>$5,592.7</t>
  </si>
  <si>
    <t>State Farm Insurance</t>
  </si>
  <si>
    <t>$555,132.1</t>
  </si>
  <si>
    <t>$2,788.2</t>
  </si>
  <si>
    <t>https://www.banktrack.org/download/sustainability_report_201819/sbi_sustainability_report_201819.pdf</t>
  </si>
  <si>
    <t>domestic operations</t>
  </si>
  <si>
    <t>https://stories.starbucks.com/stories/2020/2019-report-leading-in-sustainability/</t>
  </si>
  <si>
    <t>Jan 2020</t>
  </si>
  <si>
    <t>Resource positive</t>
  </si>
  <si>
    <t>$19,219.6</t>
  </si>
  <si>
    <t>$3,599.2</t>
  </si>
  <si>
    <t>https://stories.starbucks.com/stories/2020/message-from-starbucks-ceo-kevin-johnson-starbucks-new-sustainability-commitment</t>
  </si>
  <si>
    <t>Our aspiration is to become resource positive – storing more carbon than we emit, eliminating waste, and providing more clean freshwater than we use. '</t>
  </si>
  <si>
    <t>Formalize goals in 2021</t>
  </si>
  <si>
    <t>Starbucks</t>
  </si>
  <si>
    <t>30% by
2030</t>
  </si>
  <si>
    <t>zero</t>
  </si>
  <si>
    <t>SBT &amp; RE100</t>
  </si>
  <si>
    <t>$213,189.1</t>
  </si>
  <si>
    <t>$5,354.8</t>
  </si>
  <si>
    <t>Sony claims 'road to zero' however will not be NZ in accordance to SBTI threshold.</t>
  </si>
  <si>
    <t>Throughout the life cycle of our products and business activities.</t>
  </si>
  <si>
    <t>throughout product life cycles</t>
  </si>
  <si>
    <t>Were certified as carbon neutral in 2012 by the carbon neutral certification committee instituted by the Ministry of the Environment, Japan. They then had a merger where it seems like they lost this status. They don't talk about carbon neutrality in their CSR report 2018. They state: "Sompo Japan Nipponkoa, the new company created after the full merger in September 2014 will continuously strive to achieve Carbon Neutrality by enhancing ongoing efforts to reduce CO2</t>
  </si>
  <si>
    <t>$110,834.1</t>
  </si>
  <si>
    <t>$1,126.9</t>
  </si>
  <si>
    <t>http://www.sompo-hd.com/~/media/hd/en/files/csr/communications/pdf/2013/e_report2013_5.pdf
https://www.sompo-hd.com/~/media/hd/en/files/csr/communications/pdf/2018/e_report2018.pdf</t>
  </si>
  <si>
    <t>$344,751.5</t>
  </si>
  <si>
    <t>$-8,844.3</t>
  </si>
  <si>
    <t>reduce its carbon footprint by cutting its CO2 emissions per employee by 25% by 2020.' implement the internal carbon tax, charged to the Group’s business lines and support functions, in order to fund the purchase of ‘carbon credits’.</t>
  </si>
  <si>
    <t>$1,522,314.5</t>
  </si>
  <si>
    <t>$3,635.3</t>
  </si>
  <si>
    <t>https://www.societegenerale.com/en/energy-transition-climate-commitments/reducing-our-carbon-footprint</t>
  </si>
  <si>
    <t>Not specific on whether it has achieved carbon neutrality / has been since 2007. "aiming to be carbon neutral in 2012, scluding Rosbank"</t>
  </si>
  <si>
    <t>excluding Rosbank</t>
  </si>
  <si>
    <t xml:space="preserve">Target of 20% improvement in energy performance from 2015 to 2025 </t>
  </si>
  <si>
    <t>$107,808.8</t>
  </si>
  <si>
    <t>$-896.5</t>
  </si>
  <si>
    <t>https://www.sncf.com/en/commitments/sustainble-development/leading-the-charge-for-the-planet</t>
  </si>
  <si>
    <t>SNCF Group</t>
  </si>
  <si>
    <t>$114,175.1</t>
  </si>
  <si>
    <t>$615.5</t>
  </si>
  <si>
    <t>$56,506.4</t>
  </si>
  <si>
    <t>$912.2</t>
  </si>
  <si>
    <t>No specific reduction target, only phrases like 'reducing' 'breakthrough technologies.'</t>
  </si>
  <si>
    <t>$317,515.7</t>
  </si>
  <si>
    <t>$6,793.2</t>
  </si>
  <si>
    <t>http://www.sinopecgroup.com/group/en/socialresponsibility/Premium/</t>
  </si>
  <si>
    <t>Green Enterprise Action Plan' in 2018. No commitment to specific reductions / neutrality. (10 subsidaries rated as 2018 Sinopec Green Enterprises.)</t>
  </si>
  <si>
    <t>$55,071.4</t>
  </si>
  <si>
    <t>$452.3</t>
  </si>
  <si>
    <t>$78,799.4</t>
  </si>
  <si>
    <t>$473.4</t>
  </si>
  <si>
    <t>Emphasis on CN &amp; NZ across production facilities and buildings. (Not NZ for SBTI threshold)</t>
  </si>
  <si>
    <t>$163,785.3</t>
  </si>
  <si>
    <t>$5,834.5</t>
  </si>
  <si>
    <t>Scope 1, 2.</t>
  </si>
  <si>
    <t>Scope 1, 2</t>
  </si>
  <si>
    <t xml:space="preserve">Not able to access website </t>
  </si>
  <si>
    <t>$71,543</t>
  </si>
  <si>
    <t>$40</t>
  </si>
  <si>
    <t>$100,421.8</t>
  </si>
  <si>
    <t>$1,593.7</t>
  </si>
  <si>
    <t>Shenzhen Investment Holdings</t>
  </si>
  <si>
    <t>$13,562.3</t>
  </si>
  <si>
    <t>$486.5</t>
  </si>
  <si>
    <t>Shenghong Holding Group</t>
  </si>
  <si>
    <t>$35,869.8</t>
  </si>
  <si>
    <t>$105.4</t>
  </si>
  <si>
    <t>$42,256.6</t>
  </si>
  <si>
    <t>$22</t>
  </si>
  <si>
    <t>$48,744.4</t>
  </si>
  <si>
    <t>$211.6</t>
  </si>
  <si>
    <t>$1,006,833.2</t>
  </si>
  <si>
    <t>$8,507.1</t>
  </si>
  <si>
    <t>N/a - Report only in Chinese</t>
  </si>
  <si>
    <t>$19,671.6</t>
  </si>
  <si>
    <t>$590.7</t>
  </si>
  <si>
    <t>Shanghai Pharmaceuticals Holding</t>
  </si>
  <si>
    <t>$36,935.4</t>
  </si>
  <si>
    <t>$568.9</t>
  </si>
  <si>
    <t>Shanghai Construction Group</t>
  </si>
  <si>
    <t>$34,841.8</t>
  </si>
  <si>
    <t>$792.1</t>
  </si>
  <si>
    <t>$51,265.1</t>
  </si>
  <si>
    <t>$21.7</t>
  </si>
  <si>
    <t>Shandong Iron &amp; Steel Group</t>
  </si>
  <si>
    <t>$44,551.5</t>
  </si>
  <si>
    <t>$729.6</t>
  </si>
  <si>
    <t xml:space="preserve">No emisssions targets in 2019 CSR report </t>
  </si>
  <si>
    <t>$57,548.6</t>
  </si>
  <si>
    <t>$215.2</t>
  </si>
  <si>
    <t xml:space="preserve">No public CSRR or ESGR, only vague information on their website about implementing of key energy-saving and GHG emission-reduction projects. They state that they have determined the key business units in energy-saving and GHG emission reduction and that 45 key energy-saving projects will be carried out. </t>
  </si>
  <si>
    <t>$78,756.6</t>
  </si>
  <si>
    <t>$119.5</t>
  </si>
  <si>
    <t>http://en.shccig.com/about.php?cat_id=1351</t>
  </si>
  <si>
    <t>Reduce emissions across our entire supply chain (scope 3) in addition to our own emissions (scopes 1 + 2). Reduce emissions from group store operations by at least 80% (compared to FY2013).</t>
  </si>
  <si>
    <t>$55,604</t>
  </si>
  <si>
    <t>$2,001.5</t>
  </si>
  <si>
    <t>https://www.7andi.com/en/csr/policy/environment_02.html</t>
  </si>
  <si>
    <t>-       Direct procurement from offsite grid-connected generators (PPA)
-       Contract with suppliers
-       Unbundled renewable energy attribute certificates
-       Self-generation
Purchase from onsite installations owned by a supplier</t>
  </si>
  <si>
    <t>80% by
2020</t>
  </si>
  <si>
    <t>French multinational corporation Schneider Electric commits to reduce absolute scope 1 and 2 GHG emissions 100% and absolute scope 3 emissions 35% by 2030 from a 2017 base year. Schneider Electric also commits to increase annual sourcing of renewable electricity from 30% in 2018 to 100% by 2030.</t>
  </si>
  <si>
    <t>Lead with carbon neutral but mention of net zero</t>
  </si>
  <si>
    <t>$50,511.4</t>
  </si>
  <si>
    <t>$2,700.8</t>
  </si>
  <si>
    <t>https://www.prnewswire.com/news-releases/schneider-electric-cuts-five-years-from-its-carbon-neutrality-goal-establishing-roadmap-for-the-carbon-neutral-world-300922871.html</t>
  </si>
  <si>
    <t>aims of "achieving net-zero operational emissions by 2030 as part of validated SBT target, and engaging with suppliers towards a net-zero supply chain by 2050."</t>
  </si>
  <si>
    <t>net-zero operational emissions by 2030… net-zero supply chain by 2050</t>
  </si>
  <si>
    <t>accelerating its 2030 goal of carbon neutrality by demonstrating carbon neutrality in its extended ecosystem by 2025, bringing forward its objective by 5 years</t>
  </si>
  <si>
    <t>our operations… Extended ecosystem</t>
  </si>
  <si>
    <t>operational emissions… [and] supply chain</t>
  </si>
  <si>
    <t>https://www.prnewswire.com/news-releases/schneider-electric-cuts-five-years-from-its-carbon-neutrality-goal-establishing-roadmap-for-the-carbon-neutral-world-300922871.html and https://www.schneider-electric.co.uk/en/about-us/press/news/2018/schneider-electric-strengthens-its-commitment-to-become-carbon-neutral.jsp</t>
  </si>
  <si>
    <t>Will define SBT by 2021</t>
  </si>
  <si>
    <t>$56,312</t>
  </si>
  <si>
    <t>$-10,137</t>
  </si>
  <si>
    <t>https://www.slb.com/newsroom/press-release/2019/pr-2019-1219-slb-gs-sbti</t>
  </si>
  <si>
    <t>$482,464.1</t>
  </si>
  <si>
    <t>$13,059.6</t>
  </si>
  <si>
    <t>Operates the most complex Carbon Capture and storage programme.' Hosted a conference on CC&amp;S.</t>
  </si>
  <si>
    <t>$398,348.6</t>
  </si>
  <si>
    <t>$88,210.9</t>
  </si>
  <si>
    <t>https://www.saudiaramco.com/en/making-a-difference/planet/carbon-capture-utilization-and-storage</t>
  </si>
  <si>
    <t>Carbon capture technologies - not implemented across all business model. Hawiyah Gas Plant uses carbon capture technology to capture 30 million standard cubic feet of CO2 every day.</t>
  </si>
  <si>
    <t>2022-2025</t>
  </si>
  <si>
    <t>German multinational software corporation SAP  commits to reduce total scope 1, 2 and 3 GHG emissions 40% by 2025, using a 2016 base year. This target is an important milestone in reducing emissions 85% by 2050, using a 2016 base year.</t>
  </si>
  <si>
    <t>$67,585.3</t>
  </si>
  <si>
    <t>$3,717.1</t>
  </si>
  <si>
    <t>Avoid, reduce and compensate plan. Will use internal carbon pricing model for CO₂-free train and air travel and carbon neutral fuel cards for company cars.</t>
  </si>
  <si>
    <t>Sanofi commits to reduce absolute scope 1 and 2 GHG emissions 55% by 2030 from a 2019 base year. Sanofi also commits to reduce absolute scope 3 GHG emissions 14% by 2030 from a 2019 base year.
*The target boundary includes biogenic emissions and removals from bioenergy feedstocks.</t>
  </si>
  <si>
    <t>Jul 2020</t>
  </si>
  <si>
    <t>1.5°C</t>
  </si>
  <si>
    <t xml:space="preserve">Sanofi has set objectives to reduce CO2 emissions by 50% by 2025 compared to 2015. </t>
  </si>
  <si>
    <t>$126,534.9</t>
  </si>
  <si>
    <t>$3,140.6</t>
  </si>
  <si>
    <t>https://www.sanofi.com/-/media/Project/One-Sanofi-Web/Websites/Global/Sanofi-COM/Home/common/docs/download-center/Sanofis-Risks-and-Opportunities-related-to-Climate-Change-2019.pdf</t>
  </si>
  <si>
    <t>$270,485.4</t>
  </si>
  <si>
    <t>$838.7</t>
  </si>
  <si>
    <t>Emissions reduction target, although minor. 'GHG emission target for 2020 is 1.55 tonnes of CO₂e/KRW 100 million, which is a 70% reduction from 5.17 tonnes
of CO₂e/KRW 100 million in 2008.'</t>
  </si>
  <si>
    <t>$304,907.5</t>
  </si>
  <si>
    <t>$18,453.3</t>
  </si>
  <si>
    <t>https://images.samsung.com/is/content/samsung/p5/uk/aboutsamsung/pdf/Sustainability_report_2020_en_F.pdf</t>
  </si>
  <si>
    <t>$39,700.4</t>
  </si>
  <si>
    <t>$901.1</t>
  </si>
  <si>
    <t>French multinational corporation Saint-Gobain commits to reduce absolute scope 1 and 2 GHG emissions 10% by 2025 from a 2017 base year. Saint-Gobain also commits to reduce absolute scope 3 GHG emissions 10% within the same timeframe.</t>
  </si>
  <si>
    <t>$56,100.9</t>
  </si>
  <si>
    <t>$1,573.7</t>
  </si>
  <si>
    <t>https://www.saint-gobain.com/sites/sgcom.master/files/2019_09_23_net_zero_carbon_va.pdf</t>
  </si>
  <si>
    <t>No mention of carbon removals / neutralization.</t>
  </si>
  <si>
    <t>limit its environmental impact and contribute to decarbonize its markets.</t>
  </si>
  <si>
    <t>https://www.saint-gobain.com/en/saint-gobain-net-zero-carbon-2050</t>
  </si>
  <si>
    <t>$121,930.8</t>
  </si>
  <si>
    <t>$3,706.1</t>
  </si>
  <si>
    <t>ERT: '50% decrease in CO2 emissions by 2020.' (Only for Europe)</t>
  </si>
  <si>
    <t>$48,047.7</t>
  </si>
  <si>
    <t>$2,738.8</t>
  </si>
  <si>
    <t>https://www.safran-group.com/commitments/ecoresponsible-enterprise</t>
  </si>
  <si>
    <t xml:space="preserve">Net zero </t>
  </si>
  <si>
    <t xml:space="preserve"> '3-4% reduction of Net Carbon Footprint by the end of 2022.Executive and employee pay linked to emission reduction targets.' Globally Shell has set itself an ambition to become a net-zero emissions energy business by 2050 or sooner.
Our aim is to reduce our global NCF by around 30% by 2035, and by around 65% by 2050. And we have linked our near-term targets to executive pay.</t>
  </si>
  <si>
    <t>$404,336</t>
  </si>
  <si>
    <t>$15,842</t>
  </si>
  <si>
    <t>https://www.shell.com/energy-and-innovation/the-energy-future/what-is-shells-net-carbon-footprint-ambition/faq.html AND https://www.shell.co.uk/a-cleaner-energy-future/our-response-to-climate-change.html</t>
  </si>
  <si>
    <t>https://www.shell.co.uk/a-cleaner-energy-future/our-response-to-climate-change.html and https://www.shell.com/energy-and-innovation/the-energy-future/shells-ambition-to-be-a-net-zero-emissions-energy-business.html and https://www.shell.com/energy-and-innovation/the-energy-future/what-is-shells-net-carbon-footprint-ambition/faq.html</t>
  </si>
  <si>
    <t>To reach net zero emissions, actions will be needed in three areas. Firstly, an improvement in energy productivity. Secondly, changing the mix of energy products. And finally, storing remaining emissions in carbon sinks. 
Our aim is to reduce our global Net Carbon Footprint by around 30% by 2035, and by around 65% by 2050. And we have linked our near-term targets to executive pay.
Carbon Tracker exclude Shell's net zero target because "it does not rule out being dependent on customers' actions"</t>
  </si>
  <si>
    <t xml:space="preserve">To reach net zero emissions, actions will be needed in three areas. Firstly, an improvement in energy productivity. Secondly, changing the mix of energy products. And finally, storing remaining emissions in carbon sinks. </t>
  </si>
  <si>
    <t>https://www.shell.com/energy-and-innovation/the-energy-future/shells-ambition-to-be-a-net-zero-emissions-energy-business.html</t>
  </si>
  <si>
    <t>business [and not all products' emissions]</t>
  </si>
  <si>
    <t>see net zero</t>
  </si>
  <si>
    <t>ERT: 'Reduce our absolute scope 1 and 2 GHG emissions by at least 2.5% per year with a target of 15% (using a 2018 baseline) by 2023.'</t>
  </si>
  <si>
    <t>$1,087,304.1</t>
  </si>
  <si>
    <t>$9,678</t>
  </si>
  <si>
    <t>https://www.rbc.com/community-social-impact/environment/environmental-footprint.html</t>
  </si>
  <si>
    <t>http://www.rbc.com/community-sustainability/_assets-custom/pdf/RBC-Climate-Blueprint.pdf</t>
  </si>
  <si>
    <t>in our global operations annually</t>
  </si>
  <si>
    <t>Across our global operations</t>
  </si>
  <si>
    <t>ERT: 'We will reduce absolute emissions from our own operations (scope 1 and 2) by 50% between
2018-2030. We will reduce absolute emissions from our value chain (scope 3) by 15% between
2018-2030.'</t>
  </si>
  <si>
    <t>$46,568.4</t>
  </si>
  <si>
    <t>$1,976.6</t>
  </si>
  <si>
    <t>https://www.aholddelhaize.com/media/10406/climate-strategy-report.pdf</t>
  </si>
  <si>
    <t>New Carbon Management Subcommitte but Emission Reduction Target (ERT) is 'Reducing per unit GHG emissions
by 5% by 2022'</t>
  </si>
  <si>
    <t>$208,549.4</t>
  </si>
  <si>
    <t>$10,943.6</t>
  </si>
  <si>
    <t>https://www.rosneft.com/upload/site2/document_file/Rosneft_CSR2019_ENG.pdf</t>
  </si>
  <si>
    <t>Reduce the emission of greenhouse gases (tCO2eq. (scope 1 + 2) by 15% per employee by 2030 against a 2015 baseline).'</t>
  </si>
  <si>
    <t>$80,440.4</t>
  </si>
  <si>
    <t>$13,429.8</t>
  </si>
  <si>
    <t>https://www.roche.com/sustainability/environment/our_she_goals_and_performance.htm?tab_id=tab1</t>
  </si>
  <si>
    <t xml:space="preserve">Net Zero </t>
  </si>
  <si>
    <t>$87,802</t>
  </si>
  <si>
    <t>$8,010</t>
  </si>
  <si>
    <t>https://www.riotinto.com/en/news/releases/2020/Rio-Tinto-to-invest-1-billion-to-help-meet-new-climate-change-targets</t>
  </si>
  <si>
    <t xml:space="preserve">through emissions reductions through the value chain (i.e. including scope 3) and carbon removals and offsets </t>
  </si>
  <si>
    <t xml:space="preserve">See net zero </t>
  </si>
  <si>
    <t>UK (UK)</t>
  </si>
  <si>
    <t>$64,981.3</t>
  </si>
  <si>
    <t>$-4,271.1</t>
  </si>
  <si>
    <t>https://www.repsol.com/en/press-room/press-releases/2019/repsol-will-be-a-net-zero-emissions-company-by-2050.cshtml</t>
  </si>
  <si>
    <t>It is possible to achieve at least 70% of this target with the technology that can currently be foreseen, and the company is committed to applying the best available technologies to increase this figure, including carbon capture, use and storage. Repsol would, if necessary, aditionally offset emissions through reforestation and other natural climate sinks to achieve zero net emissions by 2050.</t>
  </si>
  <si>
    <t xml:space="preserve">all of its activities and investments </t>
  </si>
  <si>
    <t>Multinational automobile manufacturer GROUPE RENAULT commits to reduce scope 1 and 2 GHG emissions 60% per car produced by 2030 from a 2012 base-year.
GROUPE RENAULT commits to reduce scope 3 GHG emissions from use of sold products 41% per vehicle kilometer by 2030 from a 2010 base-year.</t>
  </si>
  <si>
    <t>Reducing the world's carbon footprint per vehicle by 25% between
2010 and 2022. This corporate indicator covers the life cycle of all vehicles sold worldwide,
including the Groupe Renault 's logistics, tertiary and industrial activities, as well as business
travel.'</t>
  </si>
  <si>
    <t>$137,124.7</t>
  </si>
  <si>
    <t>$-157.8</t>
  </si>
  <si>
    <t>https://group.renault.com/wp-content/uploads/2018/08/biodiversity-policy_groupe-renault_en.pdf</t>
  </si>
  <si>
    <t>$154,196.1</t>
  </si>
  <si>
    <t>$5,624.9</t>
  </si>
  <si>
    <t>$139,716</t>
  </si>
  <si>
    <t>$5,537</t>
  </si>
  <si>
    <t>Raytheon Technologies</t>
  </si>
  <si>
    <t>ERT: ' 2030, Randstad’s CO2 emissions per FTE have reduced 10% compared to 2018. '</t>
  </si>
  <si>
    <t>$11,401.3</t>
  </si>
  <si>
    <t>$678.3</t>
  </si>
  <si>
    <t>https://www.randstad.com/about-randstad/sustainability/sustainability-basics/</t>
  </si>
  <si>
    <t>$4,063.9</t>
  </si>
  <si>
    <t>$170.1</t>
  </si>
  <si>
    <t>$20,504.7</t>
  </si>
  <si>
    <t>$515.8</t>
  </si>
  <si>
    <t>$24,507.1</t>
  </si>
  <si>
    <t>$3,005.4</t>
  </si>
  <si>
    <t>ERT: 'aims
to reduce greenhouse gas emissions from its operations by 20%
compared to the business-as-usual scenarios by 2030.'</t>
  </si>
  <si>
    <t>$82,952</t>
  </si>
  <si>
    <t>$2,994.1</t>
  </si>
  <si>
    <t>https://www.pttplc.com/en/Media/Publications/Report/Sustainabilityreport.aspx</t>
  </si>
  <si>
    <t>Offset carbon emissions for U.S. employees’ business travel in 2019, Prudential and PGIM purchased highquality environmental instruments from Natural Capital Partners. The company earned CarbonNeutral® business travel certification in accordance with The CarbonNeutral Protocol.'</t>
  </si>
  <si>
    <t>$896,552</t>
  </si>
  <si>
    <t>$4,186</t>
  </si>
  <si>
    <t>https://s1.q4cdn.com/379746662/files/sustainability_reports/2020/FINAL-2019_Sustainability-Report_v3.pdf</t>
  </si>
  <si>
    <t>No specific ERT.</t>
  </si>
  <si>
    <t>$454,214</t>
  </si>
  <si>
    <t>$783</t>
  </si>
  <si>
    <t>https://global.mandg.com/responsibility/environmental-performance</t>
  </si>
  <si>
    <t>Since 2010, they have lowered carbon emissions per policies in force (PIFs) by 58 percent and are reducing it an additional 10 percent by 2022.</t>
  </si>
  <si>
    <t>$54,895.3</t>
  </si>
  <si>
    <t>$3,970.3</t>
  </si>
  <si>
    <t>https://www.progressive.com/about/corporate-responsibility/environment/</t>
  </si>
  <si>
    <t>-       Direct procurement from offsite grid-connected generators (PPA)
-       Contract with suppliers</t>
  </si>
  <si>
    <t>20% by
2020</t>
  </si>
  <si>
    <t>ERT: 'existing goal of reducing greenhouse gas emissions by 50% and purchasing 100% renewable electricity by 2030.'</t>
  </si>
  <si>
    <t>$115,095</t>
  </si>
  <si>
    <t>$3,897</t>
  </si>
  <si>
    <t>https://news.pg.com/press-release/pg-corporate-announcements/pg-embraces-natural-climate-solutions-accelerate-progress-c</t>
  </si>
  <si>
    <t>advancing a portfolio of natural climate solutions</t>
  </si>
  <si>
    <t>Global operations</t>
  </si>
  <si>
    <t>$139,084</t>
  </si>
  <si>
    <t>$772.8</t>
  </si>
  <si>
    <t>$368,078.1</t>
  </si>
  <si>
    <t>$874.2</t>
  </si>
  <si>
    <t>$267,412.9</t>
  </si>
  <si>
    <t>$1,502</t>
  </si>
  <si>
    <t>Mid/long-term goal (2010-2020): Reduce GHG emissions per ton of steel produced to 2.00 tCO2/t-S
(Incorporate into the evaluation of Head of Steel Business Unit).
*A new 2050 goal is under development'</t>
  </si>
  <si>
    <t>$68,642.1</t>
  </si>
  <si>
    <t>$1,599.8</t>
  </si>
  <si>
    <t>http://www.posco.com/homepage/docs/eng6/jsp/dn/irinfo/posco_report_2019_eng.pdf#page=1</t>
  </si>
  <si>
    <t>$29,969</t>
  </si>
  <si>
    <t>$331</t>
  </si>
  <si>
    <t>Strategy for reducing climate impact will be announced at end of 2020</t>
  </si>
  <si>
    <t>$18,804.2</t>
  </si>
  <si>
    <t>$1,120.5</t>
  </si>
  <si>
    <t>https://raportzintegrowany2019.orlen.pl/en/srodowisko-i-klimat/odpowiedzialnosc-za-srodowisko-i-klimat/</t>
  </si>
  <si>
    <t>Joined Climate 100+. September 2019 signed up to PRI, First Chinese Investment company to do so. TCFD requirements for carbon emission reductions.' However, no specific emission reduction targets.</t>
  </si>
  <si>
    <t>$1,180,488.5</t>
  </si>
  <si>
    <t>$21,626.7</t>
  </si>
  <si>
    <t>http://www.pingan.com/app_upload/images/info/upload/1e5bab55-e0b5-43de-b664-155b2a02dde3.pdf</t>
  </si>
  <si>
    <t>$10,512.3</t>
  </si>
  <si>
    <t>$6.4</t>
  </si>
  <si>
    <t>$321,425.7</t>
  </si>
  <si>
    <t>$108.5</t>
  </si>
  <si>
    <t xml:space="preserve">"Aspire to be Greenhouse Gas emissions efficient and neutral by 2030" no evidence of a plan on their sustainability statement as of January 2020. </t>
  </si>
  <si>
    <t>https://www.thephoenixgroup.com/~/media/Files/P/Phoenix-Group-v3/Attachments/reports-and-presentations/sustainability-report-2019-v3.pdf
https://www.thephoenixgroup.com/investor-relations/reports-and-presentations/sustainability-report-download/download.aspx</t>
  </si>
  <si>
    <t>[do not specify]</t>
  </si>
  <si>
    <t>Phoenix Group Holdings</t>
  </si>
  <si>
    <t>No specific emission reduction plan: 'A long-term strategy that, over time, positions the company for the future growth of lower
greenhouse gas (GHG)-emitting segments, such as Midstream and Chemicals, while maintaining our
core operations.'</t>
  </si>
  <si>
    <t>$58,720</t>
  </si>
  <si>
    <t>$3,076</t>
  </si>
  <si>
    <t>https://www.phillips66.com/Sustainability-site/Documents/Sustainability-Report-2020.pdf</t>
  </si>
  <si>
    <t>- 30 percent reduction in absolute CO2e emissions from our own operations (scope 1 and 2) by 2020 vs 2010 baseline, and carbon neutrality in our manufacturing facilities by 2030.
- 100 percent share of electricity used in manufacturing from renewables by 2030, versus 2010 baseline.
- 40 percent reduction of absolute CO2e emissions from our operations and value chain (scope 1, 2, and 3) by 2030, versus 2010 baseline, and carbon neutrality by 2050.
- 70 percent Share of tobacco leaf purchased that is cured using sustainably sourced fuels by 2020.
- Zero coal used in tobacco curing by 2020.</t>
  </si>
  <si>
    <t>$42,875</t>
  </si>
  <si>
    <t>$7,185</t>
  </si>
  <si>
    <t>https://www.pmi.com/sustainability/climate-change</t>
  </si>
  <si>
    <t>Goal: 40 percent reduction of absolute CO2e emissions from our operations and value chain (scope 1, 2, and 3) by 2030, versus 2010 baseline, and carbon neutrality by 2050.</t>
  </si>
  <si>
    <t>our operations and value chain (scope 1, 2, and 3)</t>
  </si>
  <si>
    <t>ERT:'on track to achieve the 60 to 80%
reduction by 2050 (from 2000).'</t>
  </si>
  <si>
    <t>$167,489</t>
  </si>
  <si>
    <t>$16,273</t>
  </si>
  <si>
    <t>https://pfe-pfizercom-d8-prod.s3.amazonaws.com/responsibility/protecting_environment/Pfizer_Climate_Change_Position_Statement.pdf</t>
  </si>
  <si>
    <t>ERT approved by SBTI: 'Groupe PSA commits to reduce, from the 2018 base year to 2034:
• absolute GHG emissions from energy consumption of industrial
activities (“scope 1 and 2”) by 20%. GHG emissions from use of sold products, considering the whole
cycle “Well-to-Wheel” (“scope 3”) by 37% per vehicle kilometre.'</t>
  </si>
  <si>
    <t>$78,305.4</t>
  </si>
  <si>
    <t>$3,582.7</t>
  </si>
  <si>
    <t>https://www.cotecorp.com/Groupe_PSA_2019_CSR_Report.pdf</t>
  </si>
  <si>
    <t>$152,218.4</t>
  </si>
  <si>
    <t>$7,975.1</t>
  </si>
  <si>
    <t>$229,740</t>
  </si>
  <si>
    <t>$10,151</t>
  </si>
  <si>
    <t>Petrobras’ 10 Sustainability Commitments, which involve acting on existing assets and designing new projects with a goal of zero emissions growth until 2025.'</t>
  </si>
  <si>
    <t>https://petrobras.com.br/en/society-and-environment/environment/climate-changes/</t>
  </si>
  <si>
    <t>ERT: 'Total Emissions: Reduce absolute greenhouse gas (GHG) emissions by at least 20% by 2030, scope 1,2,3.)</t>
  </si>
  <si>
    <t>$78,547</t>
  </si>
  <si>
    <t>$7,314</t>
  </si>
  <si>
    <t>https://www.pepsico.com/sustainability/goals-and-progress</t>
  </si>
  <si>
    <t>$162,687</t>
  </si>
  <si>
    <t>$3,204</t>
  </si>
  <si>
    <t>ERT: Reduce CO2 emissions by 25% by 2021.</t>
  </si>
  <si>
    <t>$101,602</t>
  </si>
  <si>
    <t>$-18,038.7</t>
  </si>
  <si>
    <t>https://www.pemex.com/etica_y_transparencia/transparencia/informes/Documents/inf_sustentabilidad_2016_esp_verificacion.pdf</t>
  </si>
  <si>
    <t>Full sust. Report only available in Spanish.</t>
  </si>
  <si>
    <t>N/A</t>
  </si>
  <si>
    <t>They have reduction targets  of 21 percent greenhouse gas emissions and 24 percent electricity consumption by 2020 from 2009 levels per revenue dollar. Participated in the CDP (Carbon Disclosure Project) since 2009</t>
  </si>
  <si>
    <t>$19,033.2</t>
  </si>
  <si>
    <t>$625</t>
  </si>
  <si>
    <t>http://www.pegatroncorp.com/files/backend/csr_file/2018_CSR_Annual_Report.pdf</t>
  </si>
  <si>
    <t xml:space="preserve">Only green house gas reduction targets (in "Other") thourgh improving efficiency and increasing renewables usage. GHG emissions inventory covers scope 1 and 2. </t>
  </si>
  <si>
    <t xml:space="preserve">promote the creation of factories with zero emissions by 2050.' </t>
  </si>
  <si>
    <t>$57,541.6</t>
  </si>
  <si>
    <t>$2,076</t>
  </si>
  <si>
    <t>https://www.panasonic.com/global/corporate/sustainability/eco/vision.html</t>
  </si>
  <si>
    <t>https://www.panasonic.com/global/corporate/sustainability/eco/co2.html</t>
  </si>
  <si>
    <t>our business activities</t>
  </si>
  <si>
    <t>$63,694.6</t>
  </si>
  <si>
    <t>$3,455</t>
  </si>
  <si>
    <t>$28,361.1</t>
  </si>
  <si>
    <t>$2,387.9</t>
  </si>
  <si>
    <t>Paccar</t>
  </si>
  <si>
    <t>founding member of the Net Zero Initiative (http://www.netzero-initiative.com/fr) which has defined a precise, demanding and transparent framework to promote corporate net zero carbon.'</t>
  </si>
  <si>
    <t>$119,314.5</t>
  </si>
  <si>
    <t>$3,364.5</t>
  </si>
  <si>
    <t>https://www.orange.com/en/Human-Inside/Our-commitment-to-society/pages/Environmental-commitment-Orange-vows-to-be-carbon-neutral-by-2040</t>
  </si>
  <si>
    <t xml:space="preserve">Net-zero emissions, does not reach the SBTI threshold. No mention of removals </t>
  </si>
  <si>
    <t>increased use of renewable energy, which will account for over 50% of the Group's energy mix by 2025, as well as unprecedented efforts in terms of energy efficiency.</t>
  </si>
  <si>
    <t>https://www.orange.com/en/environmental-commitment-orange-vows-achieve-net-zero-carbon-emissions-2040</t>
  </si>
  <si>
    <t>direct or induced environmental footprint</t>
  </si>
  <si>
    <t>https://www.orange.com/en/content/download/53245/1470807/version/11/file/PR_Orange_Engage2025_EN_041219.pdf</t>
  </si>
  <si>
    <t xml:space="preserve">By 2025, they aim to reach a 55% reduction in emissions per unit of energy consumed, and a 26% reduction in absolute emissions, against 2015 baseline. These goals account for Oracle cloud data centres. </t>
  </si>
  <si>
    <t>$108,709</t>
  </si>
  <si>
    <t>$11,083</t>
  </si>
  <si>
    <t>https://blogs.oracle.com/sustainability/oracle-streamlines-tracking-of-global-carbon-footprint-and-greenhouse-gas-emissions
https://www.oracle.com/corporate/citizenship/sustainability/operations.html</t>
  </si>
  <si>
    <t>net-zero</t>
  </si>
  <si>
    <t>$45,316.9</t>
  </si>
  <si>
    <t>$1,962.1</t>
  </si>
  <si>
    <t xml:space="preserve">https://www.omv.com/en/about-us/energy/omv-and-the-climate AND https://www.omv.com/en/news/202729-omv-takes-next-steps-towards-reducing-carbon-footprint (for suspected date) </t>
  </si>
  <si>
    <t>operations (scope 1 and 2)… we will also need to draw on new technologies such as carbon capture and utilization or storage</t>
  </si>
  <si>
    <t>net-zero GHG emissions of operations (scope 1 and 2)</t>
  </si>
  <si>
    <t>$66,642.2</t>
  </si>
  <si>
    <t>$1,538.4</t>
  </si>
  <si>
    <t>Report on Mission Carbon Neutral, (source 1), but no specific commitment in Sust. Report (source 2).</t>
  </si>
  <si>
    <t>1) https://www.ongcindia.com/wps/wcm/connect/be626185-f4b6-403c-80e1-aa3ee55dda92/ongc_cnbrr220420.pdf?MOD=AJPERES&amp;CONVERT_TO=url&amp;CACHEID=ROOTWORKSPACE-be626185-f4b6-403c-80e1-aa3ee55dda92-n6wej6m AND https://www.ongcindia.com/wps/wcm/connect/99f8d113-e7b5-4457-9813-fbea0039efd5/sustain2030201.pdf?MOD=AJPERES&amp;CONVERT_TO=url&amp;CACHEID=ROOTWORKSPACE-99f8d113-e7b5-4457-9813-fbea0039efd5-n3TC.zS</t>
  </si>
  <si>
    <t>Swiss multinational pharmaceutical company Novartis commits to reduce absolute scope 1, 2 and 3 GHG emissions 35% by 2030 from a 2016 base-year.</t>
  </si>
  <si>
    <t>ERT: 'reduce our carbon footprint, including that of our supply chain (Scope 1, 2 and 3), by half versus 2016 levels by 2030.'</t>
  </si>
  <si>
    <t>$118,370</t>
  </si>
  <si>
    <t>$11,732</t>
  </si>
  <si>
    <t>In our own operations (Scope 1 and 2)</t>
  </si>
  <si>
    <t xml:space="preserve">No CSR report available </t>
  </si>
  <si>
    <t>$290,318</t>
  </si>
  <si>
    <t>$1,268</t>
  </si>
  <si>
    <t>$41,089</t>
  </si>
  <si>
    <t>$2,248</t>
  </si>
  <si>
    <t>Set a science-based target for our Scope 1 and 2 emissions (own operations) to reduce those emissions by 41% by 2030 compared to the 2014 baseline.'</t>
  </si>
  <si>
    <t>$43,917.3</t>
  </si>
  <si>
    <t>$7.8</t>
  </si>
  <si>
    <t>https://www.nokia.com/about-us/sustainability/combatting-climate-change/our-operations/</t>
  </si>
  <si>
    <t>$157,089.9</t>
  </si>
  <si>
    <t>$-6,173.7</t>
  </si>
  <si>
    <t>emissions from new vehicles and emissions from corporate activites.</t>
  </si>
  <si>
    <t>https://www.nissan-global.com/EN/DOCUMENT/PDF/SR/2019/SR19_E_All.pdf</t>
  </si>
  <si>
    <t>new vehicles and corporate activites</t>
  </si>
  <si>
    <t xml:space="preserve">No specfic emission reduction plan. 'We are contributing to the reduction of CO2 emissions and facilitating adaptation to climate change.' - Common theme across companies that have this commitment. </t>
  </si>
  <si>
    <t>$212,955.8</t>
  </si>
  <si>
    <t>$7,866.9</t>
  </si>
  <si>
    <t>https://www.ntt.co.jp/kankyo/e/management/statement.html</t>
  </si>
  <si>
    <t>Nippon Telegraph and Telephone</t>
  </si>
  <si>
    <t>$68,890.2</t>
  </si>
  <si>
    <t>$-3,968.9</t>
  </si>
  <si>
    <t>$741,012</t>
  </si>
  <si>
    <t>$1,767.2</t>
  </si>
  <si>
    <t>-       Direct procurement from offsite grid-connected generators (PPA)
-       Unbundled renewable energy attribute certificates
-       Purchase from onsite installations owned by a
supplier</t>
  </si>
  <si>
    <t>US</t>
  </si>
  <si>
    <t>American multinational corporation  NIKE, Inc. sets a target to reduce absolute scope 1 and 2 GHG emissions 65% by 2030 from a 2015 base year. NIKE, Inc. also sets a target to reduce absolute scope 3 GHG emissions 30% within the same timefram</t>
  </si>
  <si>
    <t xml:space="preserve">Nike has started a Move to Zero Campaign for going net zero, but has not stated a target date and has said it's not meant to be a target, it's meant to be a "dream". This is strange to me because this campaign is part of the Transition to Zero campaign that Microsoft and Maersk are conducting to reach net zero, which makes me think that they should have similarly rigorous targets. Nike's targets of Move to Zero are just about reaching 100% renewable energy for owned and operated facilites by 2025, and reducing global supply chain emissions by 2030. It also participates in carbon removal projects, including reforestation projects, but this is not tied to unavoidable emissions. 
</t>
  </si>
  <si>
    <t>$23,717</t>
  </si>
  <si>
    <t>$4,029</t>
  </si>
  <si>
    <t>https://news.nike.com/news/nike-move-to-zero-climate-change-initiative
https://fashionista.com/2019/09/nike-move-to-zero-sustainability-campaign
https://purpose.nike.com/carbon-energy</t>
  </si>
  <si>
    <t>$330,806.3</t>
  </si>
  <si>
    <t>$1,003.8</t>
  </si>
  <si>
    <t xml:space="preserve">To access any information on their website, you have to have an account with them. </t>
  </si>
  <si>
    <t>https://www.newyorklife.com/redirect?adobe_mc_sdid=SDID%253D10E4475D64A37D33-6809318BB7ED09B5%257CMCORGID%253DA0F6525A5492CD900A4C98C6%2540AdobeOrg%257CTS%253D1597146037&amp;adobe_mc_ref=https%253A%252F%252Fwww.google.com%252F</t>
  </si>
  <si>
    <t>Nestle</t>
  </si>
  <si>
    <t>Lead with zero net but mention of net zero</t>
  </si>
  <si>
    <t>$123,858.7</t>
  </si>
  <si>
    <t>$12,546.2</t>
  </si>
  <si>
    <t>https://www.nestle.com/csv/impact/climate-change</t>
  </si>
  <si>
    <t>Achieving a balance between emissions and removals for all greenhouse gases within a company’s value chain over a specific time period. Avoided emissions and offsets are not counted as part of the commitment.</t>
  </si>
  <si>
    <t>balance between emissions and removals for all greenhouse gases within a company’s value chain over a specific time period.</t>
  </si>
  <si>
    <t>value chain</t>
  </si>
  <si>
    <t>https://www.nestle.com/ask-nestle/environment/answers/nestle-climate-change</t>
  </si>
  <si>
    <t>Zero emisisons</t>
  </si>
  <si>
    <t>$28,900.3</t>
  </si>
  <si>
    <t>$919.5</t>
  </si>
  <si>
    <t>p.33 of report</t>
  </si>
  <si>
    <t>reduce CO2 emissions linked to our business operations (Scope 1, Scope 2) to effectively zero.</t>
  </si>
  <si>
    <t>https://www.nec.com/en/global/csr/pdf/2019_report.pdf announced in 2017 at https://www.nec.com/en/global/eco/announce/policy_guideline/index.html</t>
  </si>
  <si>
    <t>ERT: Reduce
absolute GEI emissions
Scope 1 and 2 by 21% by 2022 against a 2017 baseline. (see report in source)</t>
  </si>
  <si>
    <t>Gas Utilities</t>
  </si>
  <si>
    <t>$46,173.3</t>
  </si>
  <si>
    <t>$1,568.1</t>
  </si>
  <si>
    <t>https://www.naturgy.com/en/sustainability/the_environment/climate_change_and_energy_transition</t>
  </si>
  <si>
    <t xml:space="preserve">By 2026, Nationwide is committed to reducing carbon emissions per thousand square feet by 26%. </t>
  </si>
  <si>
    <t>$239,539.6</t>
  </si>
  <si>
    <t>$829.7</t>
  </si>
  <si>
    <t>https://static.nationwide.com/media/2019%20Environmental%20Responsibility%20Report_tcm826-257815.pdf?r=6</t>
  </si>
  <si>
    <t xml:space="preserve">ERT: 'By 2020, 35% carbon emissions reduction compared to base year in 2009. In 2019, a 44% carbon reduction was achieved.' </t>
  </si>
  <si>
    <t>CN &amp; RE100</t>
  </si>
  <si>
    <t>$322,749.5</t>
  </si>
  <si>
    <t>$3,048.9</t>
  </si>
  <si>
    <t>https://www.munichre.com/en/company/corporate-responsibility/environment.html#-1117147778</t>
  </si>
  <si>
    <t>Operational activities</t>
  </si>
  <si>
    <t>https://www.munichre.com/content/dam/munichre/global/content-pieces/documents/cr-report-2019.pdf/_jcr_content/renditions/original./cr-report-2019.pdf</t>
  </si>
  <si>
    <t>ERT: 'For the target of reduction of CO2, The MS&amp;AD Insurance Group holds target as below;
Reduce CO2 emissions to 70% from the base year (fiscal 2009) in 2050, and reduce to 30% in 2020.'</t>
  </si>
  <si>
    <t>$214,642.9</t>
  </si>
  <si>
    <t>$1,315.6</t>
  </si>
  <si>
    <t>https://www.ms-ad-hd.com/en/csr/summary/kpi.html#002</t>
  </si>
  <si>
    <t xml:space="preserve">n/a </t>
  </si>
  <si>
    <t xml:space="preserve">United States of America </t>
  </si>
  <si>
    <t xml:space="preserve">Carbon Neutral </t>
  </si>
  <si>
    <t xml:space="preserve">First U.S.-based global bank to join PCAF and its Steering Committee as part of the Firm’s commitment to measuring and disclosing its approach to climate change risk and opportunity.' </t>
  </si>
  <si>
    <t>$895,429</t>
  </si>
  <si>
    <t>$9,042</t>
  </si>
  <si>
    <t>https://www.morganstanley.com/press-releases/morgan-stanley-joins-leadership-of-global-carbon-accounting-part</t>
  </si>
  <si>
    <t xml:space="preserve">To achieve carbon neutrality, the firm will consider on-site power generation, power purchase agreements, renewable energy credits and carbon offsets as part of its strategy.' (Source 2) </t>
  </si>
  <si>
    <t>https://www.morganstanley.com/press-releases/morgan-stanley-announces-new-goal-of-carbon-neutrality-for-globa AND https://www.morganstanley.com/articles/carbon-neutral-by-2022</t>
  </si>
  <si>
    <t>American multinational confectionery, food, and beverage holding company Mondelēz International commits to reduce absolute scope 1, 2, and 3 (purchased goods and services and waste generated in operations) GHG emissions 10% by 2025 from a 2018 base year.</t>
  </si>
  <si>
    <t>$64,549</t>
  </si>
  <si>
    <t>$3,870</t>
  </si>
  <si>
    <t>$1,986,296.6</t>
  </si>
  <si>
    <t>$4,125.8</t>
  </si>
  <si>
    <t>electricity use carbon neutral across all of its Japan business locations</t>
  </si>
  <si>
    <t>$109,246.7</t>
  </si>
  <si>
    <t>$3,601</t>
  </si>
  <si>
    <t>https://www.mitsui.com/jp/en/topics/2020/1231567_11245.html</t>
  </si>
  <si>
    <t>https://www.mitsui.com/jp/en/sustainability/commitment/index.html</t>
  </si>
  <si>
    <t>No SBT</t>
  </si>
  <si>
    <t xml:space="preserve">Does not satisfy threshold of SBTI to neutralize / removals. </t>
  </si>
  <si>
    <t>Net-Zero Emissions</t>
  </si>
  <si>
    <t>$3,114,383.1</t>
  </si>
  <si>
    <t>$4,857.8</t>
  </si>
  <si>
    <t>The MHI Group has established CO2 emission reduction targets within its MHI Group Long-Term Environmental Target (FY2018-2030) and Fourth MHI Group Environmental Targets (FY2018–2020)</t>
  </si>
  <si>
    <t>$46,133.9</t>
  </si>
  <si>
    <t>$801.3</t>
  </si>
  <si>
    <t>https://www.mhi.com/csr/environment/climat.html</t>
  </si>
  <si>
    <t>Electronics and electrical equipment manufacturing company Mitsubishi Electric commits to reduce absolute scope 1 and 2 GHG emissions 18% by 2030 from a 2016 base year. Mitsubishi Electric also commits to reduce absolute scope 3 GHG emissions 15% by 2030 from a 2018 base year.</t>
  </si>
  <si>
    <t xml:space="preserve">2°C </t>
  </si>
  <si>
    <t xml:space="preserve">In April 2018, the Mitsubishi Electric Group made a commitment to formulating SBTs*2 within two years. A-List company in the CDP "Climate Change" program. "In fiscal 2019, we continued our initiatives for switching to the use of refrigerants with lower GWP, improving operations, and achieving greater gas recovery and abatement." </t>
  </si>
  <si>
    <t>$40,804.8</t>
  </si>
  <si>
    <t>$2,040.4</t>
  </si>
  <si>
    <t>https://www.mitsubishielectric.com/en/sustainability/environment/report/low_carbon/production/index.html</t>
  </si>
  <si>
    <t>$47,489.1</t>
  </si>
  <si>
    <t>$497.4</t>
  </si>
  <si>
    <t>Emission Reduction Targets: 'Aim to reduce greenhouse gas (GHG) emissions (compared to year ended March 2017 levels) per total assets (in MC's fininacial reports) by 25% by 2030.'</t>
  </si>
  <si>
    <t>$167,018.2</t>
  </si>
  <si>
    <t>$4,924</t>
  </si>
  <si>
    <t>$66,220</t>
  </si>
  <si>
    <t>$348.3</t>
  </si>
  <si>
    <t xml:space="preserve">Announced in 2018 that its All Easy Series R-290 residential split systems air conditioner is the first of its kind to obtain Blue Angel Certification for its ultra-low global warming potential, high energy efficiency, low noise and safety. </t>
  </si>
  <si>
    <t>$43,348.9</t>
  </si>
  <si>
    <t>$3,504.6</t>
  </si>
  <si>
    <t>https://www.midea-group.com/Investors/financial-reports</t>
  </si>
  <si>
    <t>-       Direct procurement from offsite grid-connected generators (PPA)
-       Unbundled renewable energy attribute certificates
-       Self-generation</t>
  </si>
  <si>
    <t>American multinational technology company Microsoft commits to continue annually source 100% renewable electricity through 2030. Microsoft also commits to reduce scope 3 GHG emissions intensity per unit of revenue 30% by 2030 from a 2017 base year and to avoid growth in absolute scope 3 emissions.</t>
  </si>
  <si>
    <t>Carbon negative</t>
  </si>
  <si>
    <t>Remove from the environment all the carbon the company has emitted either directly or by electrical consumption since it was founded in 1975.'</t>
  </si>
  <si>
    <t>$286,556</t>
  </si>
  <si>
    <t>$39,240</t>
  </si>
  <si>
    <t>https://blogs.microsoft.com/blog/2020/01/16/microsoft-will-be-carbon-negative-by-2030/</t>
  </si>
  <si>
    <t>Removals</t>
  </si>
  <si>
    <t>Microsoft and its supply chain emissions.</t>
  </si>
  <si>
    <t>Operational carbon emissions.</t>
  </si>
  <si>
    <t>Yes and future commitment across more scopes</t>
  </si>
  <si>
    <t>Microsoft and its supply chain emissions</t>
  </si>
  <si>
    <t>operational carbon emissions</t>
  </si>
  <si>
    <t>Michelin commits to reduce absolute scope 1 and 2 GHG emissions 38% by 2030 from a 2010 base year*. Michelin commits to reduce absolute scope 3 GHG emissions from fuel- and energy-related activities; upstream and downstream transportation and distribution; and end-of-life treatment of sold products 15% by 2030 from a 2018 base year. Michelin also commits that 70% of its suppliers by emissions covering purchased goods and services will have science-based targets by 2024. *The target boundary includes biogenic emissions and removals from bioenergy feedstocks</t>
  </si>
  <si>
    <t>May 2020</t>
  </si>
  <si>
    <t xml:space="preserve">ERT: 'Halving Michelin's Inudstial Carbon Footprint by 2050.' </t>
  </si>
  <si>
    <t>$35,554.3</t>
  </si>
  <si>
    <t>$1,959.8</t>
  </si>
  <si>
    <t>https://www.michelin.com/en/sustainable-development-mobility/environment/low-carbon-products/</t>
  </si>
  <si>
    <t>German multinational wholesale/cash and carry group METRO AG commits to reduce scope 1 and 2 GHG emissions 60% per square meter selling and delivery space by 2030 from a 2011 base year. METRO AG also commits to reduce absolute scope 3 GHG emissions 15% by 2030 from a 2018 base year.</t>
  </si>
  <si>
    <t xml:space="preserve">In 2018, recorded a reduction in GHG emissions--this is attributable
in part to transport efficiency measures, waste management
and the use of new refrigerants, as well as to the refinement of the
method used to calculate the emissions generated by  transport
activities, which helps to better define the scope of  direct
emissions. </t>
  </si>
  <si>
    <t>$15,803.2</t>
  </si>
  <si>
    <t>$-142.1</t>
  </si>
  <si>
    <t>https://corpo.metro.ca/en/corporate-social-responsibility.html</t>
  </si>
  <si>
    <t>ERT: 'We’ve nearly tripled our public goals to reduce energy and emissions globally by 10% by 2020, reducing them 33% and 27%, respectively.'</t>
  </si>
  <si>
    <t>$740,463</t>
  </si>
  <si>
    <t>$5,899</t>
  </si>
  <si>
    <t>https://www.metlife.com/sustainability/MetLife-sustainability/climate/</t>
  </si>
  <si>
    <t>across our global operations.</t>
  </si>
  <si>
    <t>https://www.metlife.com/sustainability/MetLife-sustainability/climate/energy-emissions/#:~:text=For%20MetLife%2C%20carbon%20neutrality%20involves,goals%20for%20the%20next%20horizon.</t>
  </si>
  <si>
    <t xml:space="preserve">No information on emissions targets in ESGR, CSRR or website </t>
  </si>
  <si>
    <t>$84,397</t>
  </si>
  <si>
    <t>$9,843</t>
  </si>
  <si>
    <t xml:space="preserve">Merk vs merk group </t>
  </si>
  <si>
    <t xml:space="preserve">Meiji Yasuda Life Insurance Company’s policy states that it will restrict new financing to coal power plants regardless of their geographic location, but the restriction policy excludes coal power plants that utilize ultra-supercritical (USC) technology. This effectively means that this policy has no influence over many domestic and international coal power plant projects that are now underway. </t>
  </si>
  <si>
    <t>$394,317.5</t>
  </si>
  <si>
    <t>$1,911.7</t>
  </si>
  <si>
    <t>https://www.greenpeace.org/japan/sustainable/press-release/2018/09/14/657/</t>
  </si>
  <si>
    <t>Met 2020 GHG reduction goals and are setting new ones. "Compared to our FY13 baseline, in FY19 we consumed 26% less energy and generated 38% fewer GHG emissions per million dollars revenue"</t>
  </si>
  <si>
    <t>$89,694</t>
  </si>
  <si>
    <t>$4,631</t>
  </si>
  <si>
    <t>https://www.medtronic.com/content/dam/medtronic-com/global/Corporate/citizenship/documents/2019-integrated-performance-report.pdf#page=45</t>
  </si>
  <si>
    <t>$15,214.9</t>
  </si>
  <si>
    <t>$349.2</t>
  </si>
  <si>
    <t>$61,247</t>
  </si>
  <si>
    <t>$900</t>
  </si>
  <si>
    <t>https://www.mckesson.com/About-McKesson/Corporate-Citizenship/Environmental/</t>
  </si>
  <si>
    <t>"he company is committed to reducing its average 'Well-to-Wheel' CO2 emissions to 50% of 2010 levels by 2030, and to 90% by 2050."</t>
  </si>
  <si>
    <t>$25,794.8</t>
  </si>
  <si>
    <t>$111.6</t>
  </si>
  <si>
    <t>https://www.mazda-press.com/uk/news/2020/mazda-backs-carbon-neutral-biofuel-research/</t>
  </si>
  <si>
    <t>$290,730.7</t>
  </si>
  <si>
    <t>$3,700.7</t>
  </si>
  <si>
    <t>$58,481</t>
  </si>
  <si>
    <t>$-1,816.1</t>
  </si>
  <si>
    <r>
      <t>Company Wide Carbon Emission Reduction Target: 'Reduce Scope 1 and 2 GHG emissions per barall of oil processed to 30% below 2014 levels by 2030. Linked achievement of the goal to our executive and employee compensation programs.' 'GHG intensity goal is in line with the 2.5% annual linear reduction rate the international Science-Based Targets initiative has recommended to enable companies to support the “well below 2-degrees Celsius” scenarios of the Paris Climate Agreement.' - I</t>
    </r>
    <r>
      <rPr>
        <b/>
        <sz val="11"/>
        <color theme="1"/>
        <rFont val="Aptos Narrow"/>
        <family val="2"/>
        <scheme val="minor"/>
      </rPr>
      <t>nterseting to see if they are a member of SBTI.</t>
    </r>
  </si>
  <si>
    <t>$98,556</t>
  </si>
  <si>
    <t>$2,637</t>
  </si>
  <si>
    <t>https://sustainability.marathonpetroleum.com/Reader/Page/15</t>
  </si>
  <si>
    <t>$81,385.1</t>
  </si>
  <si>
    <t>$681.9</t>
  </si>
  <si>
    <t xml:space="preserve">MAPFRE facilities </t>
  </si>
  <si>
    <t>https://www.mapfre.com/en/strategy/</t>
  </si>
  <si>
    <t>facilities</t>
  </si>
  <si>
    <t>$624,039.8</t>
  </si>
  <si>
    <t>$4,222</t>
  </si>
  <si>
    <t xml:space="preserve">Report on scope 1 and 2 emissions </t>
  </si>
  <si>
    <t>$25,790</t>
  </si>
  <si>
    <t>$1,765</t>
  </si>
  <si>
    <t>https://www.magna.com/docs/default-source/sustainability-policy/magna-intl-annual-information-form---sustainability-report-(online-version)---clean-pdf.pdf?sfvrsn=c57a97d6_0</t>
  </si>
  <si>
    <t>Part of Transform to Net Zero Initiative, alongside Microsoft. 
Maersk was instrumental in founding the Getting to Zero coalition in 2019,</t>
  </si>
  <si>
    <t>$55,399</t>
  </si>
  <si>
    <t>$-84</t>
  </si>
  <si>
    <t>https://www.maersk.com/news/articles/2020/07/21/nine-leading-businesses-launch-new-initiative-to-accelerate-progress-to-a-net-zero-future
https://www.maersk.com/news/articles/2019/06/26/towards-a-zero-carbon-future</t>
  </si>
  <si>
    <t>https://www.maersk.com/news/articles/2020/07/21/nine-leading-businesses-launch-new-initiative-to-accelerate-progress-to-a-net-zero-future
https://www.maersk.com/news/articles/2019/06/26/towards-a-zero-carbon-future
https://www.maersk.com/~/media_sc9/maersk/about/files/sustainability/sustainability-reports/apmm_sustainability_report_2019_a4.pdf</t>
  </si>
  <si>
    <t xml:space="preserve">operations </t>
  </si>
  <si>
    <t>Net zero</t>
  </si>
  <si>
    <t>$299,658.9</t>
  </si>
  <si>
    <t>$1,429.2</t>
  </si>
  <si>
    <t>https://docs.mandg.com/docs/UK/Adviser/MandG-approach-to-climate-change.pdf</t>
  </si>
  <si>
    <t>on our total book of assets under management and administration… This includes all investments made by M&amp;G Investments, the asset manager within M&amp;G plc</t>
  </si>
  <si>
    <t xml:space="preserve">See net Zero </t>
  </si>
  <si>
    <t>Includes Greenhouse Gas Protocol Scope 1 and 2 emissions and a minimum of 66% of upstream Scope 3 emissions (categories 1 to 8)</t>
  </si>
  <si>
    <t>on our total book of assets under management and administration</t>
  </si>
  <si>
    <t>M&amp;G</t>
  </si>
  <si>
    <t xml:space="preserve">goal is to achieve a 15% reduction in CO2e emissions per ton of product produced by 2030 compared with 2015 levels. </t>
  </si>
  <si>
    <t>$30,435</t>
  </si>
  <si>
    <t>$3,390</t>
  </si>
  <si>
    <t>https://www.lyondellbasell.com/en/sustainability/environment/energy-and-greenhouse-gases/</t>
  </si>
  <si>
    <t>No specific emission reduction plan: 'We plan to conduct a more thorough inventory of greenhouse
gas emissions, identify further benchmarks and regularly report
on their achievement status.'</t>
  </si>
  <si>
    <t>$95,772.5</t>
  </si>
  <si>
    <t>$9,895.2</t>
  </si>
  <si>
    <t>https://www.lukoil.com/InvestorAndShareholderCenter/ReportsAndPresentations/SustainabilityReport</t>
  </si>
  <si>
    <t>Commitments set in 2009: 
• An increase of 1.5% per year in energy efficiency until 2020
• CO2-neutral growth from 2020
• A 50% reduction in net CO2 emissions by 2050 as compared to 2005. 
Carbon offsetting is automatically included in fares for contract customers as of 2020.</t>
  </si>
  <si>
    <t>$47,880.5</t>
  </si>
  <si>
    <t>$1,357.7</t>
  </si>
  <si>
    <t>https://www.lufthansagroup.com/en/responsibility/climate-environment/environmental-strategy.html</t>
  </si>
  <si>
    <t>Contract with suppliers</t>
  </si>
  <si>
    <t>$39,471</t>
  </si>
  <si>
    <t>$4,281</t>
  </si>
  <si>
    <t xml:space="preserve">Planted trees to offset main Brazil offices </t>
  </si>
  <si>
    <t>$19,538</t>
  </si>
  <si>
    <t>$230</t>
  </si>
  <si>
    <t>https://www.ldc.com/wp-content/uploads/2019-Juice-SR_FINAL_lores-secured.pdf</t>
  </si>
  <si>
    <t>French multinational cosmetics company L’Oréal commits to reduce its absolute scope 1, 2 and 3 greenhouse gas emissions 25% by 2030, from a 2016 base year. In support of this goal, L’Oréal will reduce absolute scope 1 and 2 emissions at its operated sites 100% by 2025, from a 2016 base year.</t>
  </si>
  <si>
    <t>Part of Transform to Net Zero</t>
  </si>
  <si>
    <t>$49,172.1</t>
  </si>
  <si>
    <t>$4,197.2</t>
  </si>
  <si>
    <t>https://mediaroom.loreal.com/wp-content/uploads/2019/09/CP_ENG.pdf</t>
  </si>
  <si>
    <t xml:space="preserve">Carbon neutral action today appears to be a combination of carbon removals and avoidance projects. </t>
  </si>
  <si>
    <t>2030 SBT covers the whole of its value chain, including its direct and indirect impacts</t>
  </si>
  <si>
    <t xml:space="preserve">Today 35 L’Oréal industrial sites had reached carbon neutrality, including 14 factories
2020 industrial and logistics activities
2025 all its industrial, administrative and research sites
They say they will achieve carbon neutrality at all its sites and reduce carbon emissions (in line with SBT) for scopes 1, 2 and 3 by 25% in absolute terms, compared to 2016. Unclear whether this means they will be carbon neutral for all scopes. Will balance residual emissions through carbon savings. Also engage in partnerships to "capture or avoid carbon emissions". This is called their Carbon Balanced Programme (comprised of energy and forestry projects); it covers  L’Oréal’s sites’ Scope 1 and 2 emissions (meaning the emissions arising from all the Group’s sites), together with the Scope 3 emissions linked to the downstream transport of its products (approximately 400,000 tonnes of CO2 annually). 
</t>
  </si>
  <si>
    <t>its industrial and logistics activities… L’Oréal’s sites’ Scope 1 and 2 emissions (meaning the emissions arising from all the Group’s sites), together with the Scope 3 emissions linked to the downstream transport of its products (approximately 400,000 tonnes of CO2 annually)... And all its industrial, administrative and research sites have committed to a journey to achieve carbon neutrality by 2025.</t>
  </si>
  <si>
    <t>Scope 1,2 and 3</t>
  </si>
  <si>
    <t>https://www.loreal.com/en/articles/sharing-beauty-with-all/low-carbon-growth-a-new-ambition/</t>
  </si>
  <si>
    <t>industrial and logistics activities</t>
  </si>
  <si>
    <t>developing a state-of-the-art Geostationary Carbon Observatory, or GeoCarb, with the University of Oklahoma and NASA’s Jet Propulsion Laboratory. GeoCarb aims to advance our collective understanding of the global carbon cycle by mapping key carbon gases from geostationary orbit. Over time, this technology can contribute much-needed data to support climate adaptation and resiliency efforts.'</t>
  </si>
  <si>
    <t>$47,528</t>
  </si>
  <si>
    <t>$6,230</t>
  </si>
  <si>
    <t>https://sustainability.lockheedmartin.com/sustainability/downloads/Lockheed_Martin_Sustainability_Report_Full_2019.pdf</t>
  </si>
  <si>
    <t>https://www.lloydsbankinggroup.com/globalassets/documents/our-group/responsibility/sustainability-risk-management/lloyds-banking-group-environmental-statement_final_mar20-v2.pdf</t>
  </si>
  <si>
    <t>"We now source 100% of our global electricity consumption from renewable sources"</t>
  </si>
  <si>
    <t>-       No data available</t>
  </si>
  <si>
    <t>60% from additional renewable projects by
2025</t>
  </si>
  <si>
    <t>reduce our carbon emissions by 80% by 2050.'</t>
  </si>
  <si>
    <t>$1,104,491.3</t>
  </si>
  <si>
    <t>$3,732.5</t>
  </si>
  <si>
    <t>Mar 2020</t>
  </si>
  <si>
    <t>$86,612</t>
  </si>
  <si>
    <t>$2,285</t>
  </si>
  <si>
    <t>Linde</t>
  </si>
  <si>
    <t>They fund and insure  renwable energy and carbon sequestration projects. They have a 2019 divestment policy to not make new investments in debt or equity securities of
companies that generate more than 25% of their revenues
from thermal coal mining or utility companies that
generate more than 25% of their electricity production
from thermal coal</t>
  </si>
  <si>
    <t>$133,644</t>
  </si>
  <si>
    <t>$1,044</t>
  </si>
  <si>
    <t>https://www.libertymutualgroup.com/documents/liberty-mutual-2019-esg-report-vfinal.pdf</t>
  </si>
  <si>
    <t>$38,796.1</t>
  </si>
  <si>
    <t>$26.8</t>
  </si>
  <si>
    <t>http://www.lgnewsroom.com/2019/05/lg-commits-to-carbon-neutrality-by-2030/</t>
  </si>
  <si>
    <t>LG will look to reduce carbon emissions from its global operations by 50 percent compared to a 2017 baseline by implementing various carbon reduction and renewable energy initiatives. This effort will help bring LG closer to reaching its ultimate goal of carbon neutrality, achieving a net-zero carbon emissions footprint by balancing carbon emissions with carbon removal.'</t>
  </si>
  <si>
    <t>balancing carbon emissions with carbon removal.'</t>
  </si>
  <si>
    <t>net-zero carbon emissions from... global operations</t>
  </si>
  <si>
    <t>https://www.lg.com/uk/about-lg/press-media/LG-COMMITS-TO-CARBON-NEUTRALITY-BY-2030</t>
  </si>
  <si>
    <t>Lenovo commits to reduce absolute scope 1 and 2 GHG emissions 50% by FY 2029/30 from a FY 2018/19 base year. Lenovo commits to reduce scope 3 GHG emissions from use of sold products 25% per comparable product (for notebooks, desktops and servers) by FY 2029/30 from a FY 2018/19 base year. Lenovo also commits to reduce scope 3 GHG emissions from purchased goods and services 25% per million US$ procurement spend, and from upstream transportation and distribution 25% per tonne-km of transported product over the same period.</t>
  </si>
  <si>
    <t>$32,128.2</t>
  </si>
  <si>
    <t>$665.1</t>
  </si>
  <si>
    <t>$742,524</t>
  </si>
  <si>
    <t>$2,340.3</t>
  </si>
  <si>
    <t>https://www.legalandgeneralgroup.com/media-centre/press-releases/legal-general-commits-to-net-zero-carbon-across-its-housing-portfolio/#:~:text=Legal%20%26%20General%20announces%20that%20it,later%20living%20and%20affordable%20housing.</t>
  </si>
  <si>
    <t xml:space="preserve">No mention of carbon removals. Does mention SBT and portfolio (scope 3). From 2030, all homes built by our housing business will be capable of operating at net zero carbon emissions (Defined by the UK Green Building Council as when the amount of carbon emission associated with the building’s operational energy on an annual basis is zero or negative. A net zero carbon building is highly energy efficient and powered from on-site and/or off-site renewable energy sources, with any remaining carbon balance offset). In addition, we’re seeking to understand and monitor the embodied carbon associated with the construction of our homes. From 2030, our operational footprint (occupied offices and business travel) will operate with net zero carbon emissions. We will develop energy efficient commercial properties in our urban regeneration business and set science-based targets that are aligned with the Paris objective. </t>
  </si>
  <si>
    <t>From 2030, our operational footprint (occupied offices and business travel) will operate with net zero carbon emissions.</t>
  </si>
  <si>
    <t>https://www.legalandgeneralgroup.com/media-centre/press-releases/legal-general-commits-to-net-zero-carbon-across-its-housing-portfolio/</t>
  </si>
  <si>
    <t>housing portfolio</t>
  </si>
  <si>
    <t>P</t>
  </si>
  <si>
    <t>https://www.legalandgeneralgroup.com/csr/our-journey-to-net-zero/</t>
  </si>
  <si>
    <t>Legal &amp; General Group</t>
  </si>
  <si>
    <t>Multinational company involved in the manufacture of building materials LafargeHolcim commits to reduce scope 1 GHG emissions 10% per ton of cementitious materials by 2030 from a 2018 base year. LafargeHolcim also commits to reduce scope 2 GHG emissions 65% per ton of cementitious materials within the same timeframe.*
*The target boundary includes biogenic emissions and removals associated with the use of bioenergy.</t>
  </si>
  <si>
    <t>ERT: 'We are committed to reducing emission levels in line with a 2-degree scenario as agreed at the COP21 world climate conference in Paris.'</t>
  </si>
  <si>
    <t>$56,449.9</t>
  </si>
  <si>
    <t>$2,234.8</t>
  </si>
  <si>
    <t>https://www.lafargeholcim.com/our-co2-emissions-reduction</t>
  </si>
  <si>
    <t>https://www.groupelaposte.com/en/article/carbon-neutrality-the-key-figures</t>
  </si>
  <si>
    <t>"The 12,000 buildings (i.e. 10 million m2) managed by Poste Immo, the Group’s real estate subsidiary, supplied with electricity from exclusively renewable sources."</t>
  </si>
  <si>
    <t>Postal service company La Poste SA commits to reduce absolute scope 1 and 2 GHG emissions 51% by 2025 from a 2013 base year. La Poste SA commits to reduce absolute scope 3 GHG emissions 14% by 2025 from a 2013 base year.</t>
  </si>
  <si>
    <t>Le Groupe La Poste has reduced its greenhouse gas emissions by 20% since 2013. It is outlining a new plan for the year 2025 to reduce its emissions in line with the targets set by the Paris Agreement</t>
  </si>
  <si>
    <t>$326,618.4</t>
  </si>
  <si>
    <t>$920</t>
  </si>
  <si>
    <t>100% carbon neutral mail, parcel, express and digital solutions since 2012… La Banque Postale joined the initiative for all of its operating activities in 2018</t>
  </si>
  <si>
    <t>mail, parcel, express and digital solutions… [and] all of its operating activities</t>
  </si>
  <si>
    <t>Kroger commits to reduce its absolute enterprise-wide greenhouse gas emissions by
30% by 2030, from a 2018 base year.' - Will work with SBTi in the future to understand the feasibility.'</t>
  </si>
  <si>
    <t>$45,256</t>
  </si>
  <si>
    <t>$1,659</t>
  </si>
  <si>
    <t>https://www.thekrogerco.com/wp-content/uploads/2020/06/The-Kroger-Co_Greenhouse-Gas-Reduction-Goal_2020.pdf</t>
  </si>
  <si>
    <t>$170,888</t>
  </si>
  <si>
    <t>$-2,012.7</t>
  </si>
  <si>
    <t>$25,453</t>
  </si>
  <si>
    <t>$773.8</t>
  </si>
  <si>
    <t>Starting from 2020, an integrated management system will be deployed at all Kia premises in Korea in order to include environmental aspects in every decision making process, fulfill its environmental responsibility, promote mutual growth, and create the value of eco-friendliness.'</t>
  </si>
  <si>
    <t>$47,863.7</t>
  </si>
  <si>
    <t>$1,567.4</t>
  </si>
  <si>
    <t>https://pr.kia.com/en/company/sustainability/eco-friendly-operation/eco-friendly.do</t>
  </si>
  <si>
    <t>$88,647.6</t>
  </si>
  <si>
    <t>$5,884.4</t>
  </si>
  <si>
    <t>Carbon emissions reduction target by 2030 (compared with 2017): 25%</t>
  </si>
  <si>
    <t>$448,446</t>
  </si>
  <si>
    <t>$2,841.8</t>
  </si>
  <si>
    <t>https://m.kbfg.com/Eng/about/sustainability/sustainability.jsp</t>
  </si>
  <si>
    <t>$70,442.6</t>
  </si>
  <si>
    <t>$1,195.7</t>
  </si>
  <si>
    <t>https://www.environmentalleader.com/2020/02/jpmorgan-chase-renewable-energy-2020/</t>
  </si>
  <si>
    <t>-       Direct procurement from offsite grid-connected generators (PPA)
-       Unbundled renewable energy attribute certificates
-       Onsite solar installations</t>
  </si>
  <si>
    <t>100% Renewable Energy by 2020. $200bn in financing in 2020 to drive action on climate change and advance the objectives of the UN SDGs.</t>
  </si>
  <si>
    <t>$2,687,379</t>
  </si>
  <si>
    <t>$36,431</t>
  </si>
  <si>
    <t>https://impact.jpmorganchase.com/impact/sustainability</t>
  </si>
  <si>
    <t>JPMorgan Chase</t>
  </si>
  <si>
    <t>2025 goals of 25 percent reductions in both energy and emissions intensity</t>
  </si>
  <si>
    <t>$42,287</t>
  </si>
  <si>
    <t>$5,674</t>
  </si>
  <si>
    <t>https://www.johnsoncontrols.com/-/media/jci/corporate-sustainability/reporting-and-policies/gri/2019/johnson_controls_2020-sustainability-report.pdf?la=en&amp;hash=63C4727C436616C656A41E32DC0613A2421F3657</t>
  </si>
  <si>
    <t>35% by 2020</t>
  </si>
  <si>
    <t>ERT: 'set a science-based scope 1 and 2 goal to reduce our absolute carbon emissions 20% by 2020, and 80% by 2050 compared to our 2010 baseline.'</t>
  </si>
  <si>
    <t>RE100</t>
  </si>
  <si>
    <t>$157,728</t>
  </si>
  <si>
    <t>$15,119</t>
  </si>
  <si>
    <t>Cannot access website. https://www.jznyjt.com/</t>
  </si>
  <si>
    <t>$33,149.1</t>
  </si>
  <si>
    <t>$-114.3</t>
  </si>
  <si>
    <t xml:space="preserve">CSR reports end in 2015 </t>
  </si>
  <si>
    <t>$16,569.6</t>
  </si>
  <si>
    <t>$298</t>
  </si>
  <si>
    <t>$22,646.2</t>
  </si>
  <si>
    <t>$169.5</t>
  </si>
  <si>
    <t>$41,505.8</t>
  </si>
  <si>
    <t>$717.5</t>
  </si>
  <si>
    <t>$42,991.8</t>
  </si>
  <si>
    <t>$-1,818.8</t>
  </si>
  <si>
    <t>$37,286.1</t>
  </si>
  <si>
    <t>$1,763.7</t>
  </si>
  <si>
    <t>$31,412.1</t>
  </si>
  <si>
    <t>$1,538.7</t>
  </si>
  <si>
    <t xml:space="preserve">Conglomerate company. No CSR reports for the group, only for the individual companies. </t>
  </si>
  <si>
    <t>$97,028</t>
  </si>
  <si>
    <t>$2,838</t>
  </si>
  <si>
    <t>In accordance with Japan's Plan for Global Warming Countermeasures based on the Paris Agreement, we have set the Group's GHG reduction target to achieve by FY2030 and an intermediate benchmark for FY2020. A 4.4% reduction from the FY2016 level)'</t>
  </si>
  <si>
    <t>$2,647,343.8</t>
  </si>
  <si>
    <t>$4,449.3</t>
  </si>
  <si>
    <t>https://www.japanpost.jp/en/csr/report/pdf/2019_en.pdf</t>
  </si>
  <si>
    <t>Have reduced carbon footprint by 35% over the past fifteen years despite the footprint of the  business increasing by over 40%</t>
  </si>
  <si>
    <t>$34,667</t>
  </si>
  <si>
    <t>$193.1</t>
  </si>
  <si>
    <t>https://www.about.sainsburys.co.uk/news/latest-news/2020/28-01-20-net-zero</t>
  </si>
  <si>
    <t>https://www.about.sainsburys.co.uk/~/media/Files/S/Sainsburys/Sainsburys%20Sustainability%20Update%201920%20v3.pdf</t>
  </si>
  <si>
    <t>Don't appear to be including scope 3</t>
  </si>
  <si>
    <t>across our own operations</t>
  </si>
  <si>
    <t>The retailer will increase its use of renewable energy, while reducing overall energy usage. Will work with the Carbon Trust to assess emissions and set science-based targets for reduction. Will work to plant 1.5 million native trees by 2025, which has the potential to mitigate 375,000 tonnes of CO2</t>
  </si>
  <si>
    <t>No specific emissions reduction plan: 'Contribution to the development of a low-carbon society by committing to technologies that help reduce greenhouse gases emissions.'</t>
  </si>
  <si>
    <t>$101,041.9</t>
  </si>
  <si>
    <t>$4,611</t>
  </si>
  <si>
    <t>https://www.itochu.co.jp/en/csr/pdf/19fulle32-76.pdf</t>
  </si>
  <si>
    <t>$407,131</t>
  </si>
  <si>
    <t>$6,874.7</t>
  </si>
  <si>
    <t>As regards direct impacts, the Intesa Sanpaolo Group Environmental Plan - Climate Change Action Plan - identifies mid and long-term objectives for reducing CO2 emissions and increasing energy consumption and production from renewable sources. The goals for 2022 include: a reduction of 37% in absolute emissions connected with energy consumption (direct and indirect) compared with 2012 (a 33% reduction was already recorded in the period 2012-2019); the increase in the use of renewable energy sources, from 76% at the end of 2012 to 81% by the end of 202 (renewable electricity consumption in 2019 was about 83% of the total); the maintenance of electricity production levels from photovoltaic energy.</t>
  </si>
  <si>
    <t>$915,992.9</t>
  </si>
  <si>
    <t>$4,680.7</t>
  </si>
  <si>
    <t>https://group.intesasanpaolo.com/en/sustainability/environment</t>
  </si>
  <si>
    <t>ERT:  '40% reduction by 2025 against a 2005 baseline.'</t>
  </si>
  <si>
    <t>$152,186</t>
  </si>
  <si>
    <t>$9,431</t>
  </si>
  <si>
    <t>https://www.ibm.org/responsibility/2019/IBM-2019-CRR.pdf</t>
  </si>
  <si>
    <t>New targets:
By 2050: Net zero CO2
By 2030: 20% reduction in net CO2
By 2025: 10% reduction in CO2 per passenger kilometre
From 2020: all its UK domestic flights net zero carbon</t>
  </si>
  <si>
    <t>Air Transportation</t>
  </si>
  <si>
    <t>$40,025.9</t>
  </si>
  <si>
    <t>$1,919.5</t>
  </si>
  <si>
    <t>https://www.iairgroup.com/~/media/Files/I/IAG/documents/flightpath-net-zero-EN-v3.pdf</t>
  </si>
  <si>
    <t>Will meet the target by scaling up investments in sustainable fuels, low carbon aircraft and carbon capture technologies</t>
  </si>
  <si>
    <t>Will meet the target by scaling up  investments in sustainable fuels, low carbon aircraft and carbon capture technologies</t>
  </si>
  <si>
    <t xml:space="preserve">No specific scope mentioned </t>
  </si>
  <si>
    <t>https://www.iairgroup.com/~/media/Files/I/IAG/documents/IAG%20Annual%20report%20and%20accounts%202019.pdf</t>
  </si>
  <si>
    <t>ERT: 'By 2020 we will reduce our direct GHG emissions by 10% on a per-unit basis from 2010 level.'</t>
  </si>
  <si>
    <t>$136,524</t>
  </si>
  <si>
    <t>$21,048</t>
  </si>
  <si>
    <t>https://s21.q4cdn.com/600692695/files/doc_financials/2019/Final-2020-Proxy-Statement.pdf</t>
  </si>
  <si>
    <t xml:space="preserve"> Continue to invest in reducing our own environmental footprint, including
goals for absolute carbon emissions reductions.'</t>
  </si>
  <si>
    <t xml:space="preserve">computing… own global manufacturing footprint [and] the technology “handprint”—... product energy use  </t>
  </si>
  <si>
    <t>http://csrreportbuilder.intel.com/pdfbuilder/pdfs/CSR-2019-20-Full-Report.pdf</t>
  </si>
  <si>
    <t xml:space="preserve">computing… own global manufacturing footprint [and]... product energy use  </t>
  </si>
  <si>
    <t>https://www.ing.com/Sustainability/Our-Stance/Energy.htm</t>
  </si>
  <si>
    <t>Achieved 2020 CO2e emissions target in 2019. Our extrapolated CO2e emissions
decreased by 57 percent in 2019 relative to our base year. This was achieved, by reducing
business travel and by reducing global energy consumption, including heating oil, natural gas
and district heating.</t>
  </si>
  <si>
    <t>$997,274.8</t>
  </si>
  <si>
    <t>$4,368.5</t>
  </si>
  <si>
    <t>2019 annual report: https://www.ing.com/Sustainability/The-world-around-us-1/Reporting.htm</t>
  </si>
  <si>
    <t>They have reduced emissions through scopes 1, 2 and 3 but their offsets don't remove emissions. They offset through the purchase of Voluntary Carbon Units (VCUs), with the majority originating from a high impact Acre Amazonian Rainforest REDD+ Portfolio in Brazil. This collection of three projects prevents deforestation across 105,000 hectares of pristine rainforest in the Amazon basin</t>
  </si>
  <si>
    <t>Offset remaining emissions through purchasing carbon credits</t>
  </si>
  <si>
    <t>https://www.ing.com/Sustainability/Our-own-operations.htm</t>
  </si>
  <si>
    <t>operations and buildings, IT systems and business travel</t>
  </si>
  <si>
    <t>$1,025,838.2</t>
  </si>
  <si>
    <t>$9,534.4</t>
  </si>
  <si>
    <t>No specific emission target reduction. 'April 2019, the Bank, through Singapore Branch, issued the world’s first green Belt &amp; Road Inter-bank Regular Cooperation bond(BRBR Green Bond). Used to support green asset projects.' 'First financial institution in China to join TCFD.'</t>
  </si>
  <si>
    <t>$4,322,528.4</t>
  </si>
  <si>
    <t>$45,194.5</t>
  </si>
  <si>
    <t>http://v.icbc.com.cn/userfiles/Resources/ICBCLTD/download/2020/2019csrEN1.pdf</t>
  </si>
  <si>
    <t xml:space="preserve">"80% of the enery we use in our facilities (headquarters, logictics and stores) will come from renewable sources in 2025. We have committed to reducing our GHG emissions by 30% by 2030". Their vision is to achieve net zero emissions in "the industry". </t>
  </si>
  <si>
    <t>$31,460.1</t>
  </si>
  <si>
    <t>$4,063.3</t>
  </si>
  <si>
    <t>https://www.inditex.com/our-commitment-to-the-environment/climate-change-and-energy</t>
  </si>
  <si>
    <t>$43,608.8</t>
  </si>
  <si>
    <t>$-126</t>
  </si>
  <si>
    <t>ERT: 'CO2 reduction targets in Indicator 1 are set in Japan's 2030 Nationally Determined Contribution of GHG reduction.'</t>
  </si>
  <si>
    <t>$35,966.9</t>
  </si>
  <si>
    <t>$-211</t>
  </si>
  <si>
    <t>https://sustainability.idemitsu.com/en/themes/311</t>
  </si>
  <si>
    <t>Iberdrola already generates 100% of its energy with zero emissions in countries such as the UK, Germany and Portugal. For the 2030 horizon, the group will reduce the intensity of its emissions by 50% compared to 2007 levels. Target to have virtually zero emissions in Europe by 2030</t>
  </si>
  <si>
    <t>$137,347</t>
  </si>
  <si>
    <t>$3,812.5</t>
  </si>
  <si>
    <t>https://www.iberdrola.com/press-room/news/detail/iberdrola-se-compromete-a-ser-neutra-en-carbono-en-el-ano-2050-1733946320170314
https://www.iberdrola.com/sustainability/against-climate-change
https://www.iberdrola.com/about-us/energy-transition</t>
  </si>
  <si>
    <t>Not clear on scope.</t>
  </si>
  <si>
    <t xml:space="preserve">"global carbon neutrality" </t>
  </si>
  <si>
    <t>https://www.iberdrola.com/wcorp/gc/prod/en_US/corporativos/docs/IB_Sustainability_Report.pdf</t>
  </si>
  <si>
    <t>the company</t>
  </si>
  <si>
    <t>Reduce GHG emissions by 26% compared to 2016. (By 2030.)'</t>
  </si>
  <si>
    <t>$168,219.5</t>
  </si>
  <si>
    <t>$2,557.1</t>
  </si>
  <si>
    <t>https://www.hyundai.com/content/dam/hyundai/ww/en/images/company/sustainability/about-sustainability/hmc-2020-sustainability-report-en-v2.pdf</t>
  </si>
  <si>
    <t>We are also making continuous efforts to better respond to the 2030 national GHG reduction roadmap of Korea and to build a carbon neutral operation system by 2050.'</t>
  </si>
  <si>
    <t>operation system</t>
  </si>
  <si>
    <t>Goal to reduce emissions by 10% against BAU in 2025 (BAU, Business As Usual : Estimated 2025 emission based on GHG emissions from '14 ~ '19)</t>
  </si>
  <si>
    <t>$40,306.2</t>
  </si>
  <si>
    <t>$1,965.6</t>
  </si>
  <si>
    <t>https://en.mobis.co.kr/en/sustainability/contentsid/2574/index.do</t>
  </si>
  <si>
    <t xml:space="preserve">ERT: ' reduce our greenhouse gas emissions (which includes energy) by 2.1% year over year (from a 2017 baseline) ' </t>
  </si>
  <si>
    <t>$29,074</t>
  </si>
  <si>
    <t>$2,707</t>
  </si>
  <si>
    <t>http://humanacsrreport.com/environmental-sustainability.html</t>
  </si>
  <si>
    <t>$84,176</t>
  </si>
  <si>
    <t>$122</t>
  </si>
  <si>
    <t>Emission reduction target: 'Reduce carbon emissions (Scope 1 and Scope 2) per million RMB of revenue by 16% compared with 2019' Additionally: '5G Power cuts Energy Used per site by 51%.' p.62</t>
  </si>
  <si>
    <t>$123,269.9</t>
  </si>
  <si>
    <t>$9,062.1</t>
  </si>
  <si>
    <t>https://www-file.huawei.com/-/media/corp2020/pdf/sustainability/2019-sustainability-report-en-v2.pdf</t>
  </si>
  <si>
    <t>-       Direct procurement from offsite grid-connected generators (PPA)
-       Contract with suppliers
-       Self-generation</t>
  </si>
  <si>
    <t>90% by
2025</t>
  </si>
  <si>
    <t>Emphasis on a 'need to transition to net zero, but no commitment from the Bank.'</t>
  </si>
  <si>
    <t>Emissions Reduction Target (2020): '2020 Goal (set from 2011 baseline):2.0 CO2 tonnes per full-time equivalent employee (FTE). 100% RE by 2030.'</t>
  </si>
  <si>
    <t>$2,715,152</t>
  </si>
  <si>
    <t>$7,383</t>
  </si>
  <si>
    <t>https://www.hsbc.com/our-approach/building-a-sustainable-future/sustainable-operations</t>
  </si>
  <si>
    <t>No - but used to be</t>
  </si>
  <si>
    <t>2005 - 2011</t>
  </si>
  <si>
    <t>40% by
2020</t>
  </si>
  <si>
    <t>American multinational information technology company HP Inc. commits to reduce scope 1 and 2 GHG emissions 60% by 2025, using a 2015 base year. HP Inc commits to reduce product use GHG emissions intensity (lifetime use emissions per unit shipped), including emissions resulting from both HP products’ energy use and paper use, 30% by 2025 from a 2015 base year. This includes a commitment to reduce product use GHG emissions intensity for energy use 30% by 2025 from a 2015 base year. HP further commits to reduce the scope 3 emissions intensity from first-tier production and product transportation suppliers (emissions per million US$ revenue) 10% by 2025, using a 2015 base year.</t>
  </si>
  <si>
    <t xml:space="preserve"> Reduce Scope 1 and Scope 2 GHG emissions from global operations by 60% by 2025, compared to 2015. '</t>
  </si>
  <si>
    <t>$33,467</t>
  </si>
  <si>
    <t>$3,152</t>
  </si>
  <si>
    <t>https://www8.hp.com/h20195/v2/GetPDF.aspx/c06601778.pdf#page=20</t>
  </si>
  <si>
    <t>$58,679</t>
  </si>
  <si>
    <t>$6,143</t>
  </si>
  <si>
    <t>Emission Reduction Target: halving total CO2 emissions by 2050 compared with 2000 levels while expanding production and sales globally. Honda is steadily reducing CO2 emissions with the aim of ultimately eliminating them.'</t>
  </si>
  <si>
    <t>$189,335.3</t>
  </si>
  <si>
    <t>$4,191.8</t>
  </si>
  <si>
    <t>https://global.honda/content/dam/site/global/about/cq_img/sustainability/report/pdf/2020/Honda-SR-2020-en-053-079.pdf</t>
  </si>
  <si>
    <t>"started exploring ways to achieve carbon neutral status in 2050"</t>
  </si>
  <si>
    <t>Established a reduce carbon emissions by 24.0% for 2020 than base year (2015), in accordance with ISO 14064-1 standards.'</t>
  </si>
  <si>
    <t>$110,790.4</t>
  </si>
  <si>
    <t>$3,730.9</t>
  </si>
  <si>
    <t>https://www.foxconn.com/s3/reports/CSR%E5%A0%B1%E5%91%8A%E6%9B%B8/%E8%8B%B1%E6%96%87%E7%89%88/2019%E9%B4%BB%E6%B5%B7%20CSR%20report_en.pdf</t>
  </si>
  <si>
    <t>In the 2020 CSR report, p.74 states: 'long-term goal: carbon neutralization.' - However no specific commitment.</t>
  </si>
  <si>
    <t>Emissions Reduction: '2.1% annual reduction: Medium Term Goal 39.9% by 2030:  Long Term Goal 50.4% by 2035.'</t>
  </si>
  <si>
    <t>$51,236</t>
  </si>
  <si>
    <t>$11,242</t>
  </si>
  <si>
    <t>https://corporate.homedepot.com/sites/default/files/pdfs/The%20Home%20Depot%20Carbon%20Footprint%20update%20Aug%202019.pdf</t>
  </si>
  <si>
    <t>ERT: ' long-term reduction targets for CO2 emissions of 50% by fiscal 2030 and 80% by fiscal 2050 (compared to fiscal 2010 levels) throughout the value chain.'</t>
  </si>
  <si>
    <t>$91,885.6</t>
  </si>
  <si>
    <t>$805.7</t>
  </si>
  <si>
    <t>https://www.hitachi.com/environment/vision/low_carbon.html</t>
  </si>
  <si>
    <t>-       Direct procurement from offsite grid-connected generators
-       Unbundled renewable energy attribute certificates</t>
  </si>
  <si>
    <t>50% by
2025</t>
  </si>
  <si>
    <t>Multinational enterprise information technology company Hewlett Packard Enterprise commits to reduce absolute scope 1 and 2 GHG emissions by 55% by 2025 from 2016 base year. Hewlett Packard Enterprise also commits to reduce absolute scope 3 GHG emissions 15% by 2025 from 2016 base year. In addition, the company commits to increasing the energy performance of its product portfolio 30x within the same time-frame, which equates to reducing the greenhouse gas emissions per operation by over 95 percent. HPE commits that its manufacturing suppliers covering 80% of spend will set science-based targets by 2025</t>
  </si>
  <si>
    <t>Goal to reduce the GHG emissions from its global operations by 25 percent by 2025, compared to 2015</t>
  </si>
  <si>
    <t>$51,803</t>
  </si>
  <si>
    <t>$1,049</t>
  </si>
  <si>
    <t>https://press.hp.com/us/en/press-releases/2017/hp-commits-to-reduce-greenhouse-gas-emissions-from-its-global-op.html#:~:text=Press%20Releases-,HP%20commits%20to%20reduce%20greenhouse%20gas%20emissions,global%20operations%20another%2025%20percent&amp;text=announces%20a%20new%20target%20to,by%202025%2C%20compared%20to%202015.</t>
  </si>
  <si>
    <t>$33,773.3</t>
  </si>
  <si>
    <t>$2,076.8</t>
  </si>
  <si>
    <t>$39,363.5</t>
  </si>
  <si>
    <t>$-305.8</t>
  </si>
  <si>
    <t>Nov 2019</t>
  </si>
  <si>
    <t>ERT: 'HEINEKEN commits to increase its share of renewable energy in production from 14% today (renewable thermal energy and electricity combined) to 70% by 2030. This implies an 80% reduction target in carbon emissions.'</t>
  </si>
  <si>
    <t>$52,196.1</t>
  </si>
  <si>
    <t>$1,216.6</t>
  </si>
  <si>
    <t>https://www.theheinekencompany.com/newsroom/heineken-announces-drop-the-c-programme2/</t>
  </si>
  <si>
    <t>$45,058</t>
  </si>
  <si>
    <t>$3,505</t>
  </si>
  <si>
    <t>$66,332.8</t>
  </si>
  <si>
    <t>$-94.1</t>
  </si>
  <si>
    <t xml:space="preserve">Joined the carbon disclosure project. References on their websites to CSR projects that they help with around the world, but they don't focus on the reduction of their operational emissions.  </t>
  </si>
  <si>
    <t>$157,646.1</t>
  </si>
  <si>
    <t>$77.2</t>
  </si>
  <si>
    <t>$8,205.5</t>
  </si>
  <si>
    <t>$174.9</t>
  </si>
  <si>
    <t>$26,911</t>
  </si>
  <si>
    <t>$1,187.9</t>
  </si>
  <si>
    <t>$43,837.9</t>
  </si>
  <si>
    <t>$564.5</t>
  </si>
  <si>
    <t>$70,591.4</t>
  </si>
  <si>
    <t>$78.3</t>
  </si>
  <si>
    <t>Guangxi Investment Group</t>
  </si>
  <si>
    <t>$17,666.5</t>
  </si>
  <si>
    <t>$388.4</t>
  </si>
  <si>
    <t>$1,501,843</t>
  </si>
  <si>
    <t>$3,391.3</t>
  </si>
  <si>
    <t>contribute to the realization of a sustainable, low-carbon society by reducing automobile CO2 emissions, cutting CO2 emissions through product life cycles, including logistics business, and contributing to eliminating CO2 emissions from plants.'</t>
  </si>
  <si>
    <t>$164,478.3</t>
  </si>
  <si>
    <t>$2,134.1</t>
  </si>
  <si>
    <t>https://www.toyota-tsusho.com/english/csr/materiality.html</t>
  </si>
  <si>
    <t xml:space="preserve">No information on website about CSR or sustainability </t>
  </si>
  <si>
    <t>$40,623.6</t>
  </si>
  <si>
    <t>$3,574.8</t>
  </si>
  <si>
    <t>Gree Electric Appliances</t>
  </si>
  <si>
    <t>https://www.goldmansachs.com/what-we-do/sustainable-finance/documents/reports/2019-sustainability-report.pdf</t>
  </si>
  <si>
    <t>"In 2019, we moved forward on multiple fronts to minimize operational impacts. By the end of the year, we had nearly reached our 2020 goals of sourcing 100 percent of our electricity from renewable sources"</t>
  </si>
  <si>
    <t>-       Unbundled renewable energy attribute certificates
-       Contract with suppliers</t>
  </si>
  <si>
    <t>firm’s commitment to EP100 is aligned with the “Net Zero Carbon Building” compliance pathway,
which will focus on reducing the impacts of our global real estate portfolio.'</t>
  </si>
  <si>
    <t>$992,968</t>
  </si>
  <si>
    <t>$8,466</t>
  </si>
  <si>
    <t>across our global direct Scope 1, indirect (market-based) Scope 2, and Scope 3 business travel emissions</t>
  </si>
  <si>
    <t>direct Scope 1, indirect (market-based) Scope 2, and Scope 3 business travel emissions</t>
  </si>
  <si>
    <t>Glencore International</t>
  </si>
  <si>
    <t>As we rely on the application and assurance of our own HSEC management framework, we do not insist that our assets undergo third-party ISO 14001 certification and we do not use external certification as an indicator of environmental performance.' - Interesting in further commitments are made and no third party verification.</t>
  </si>
  <si>
    <t>$124,076</t>
  </si>
  <si>
    <t>$-404</t>
  </si>
  <si>
    <t>https://www.glencore.com/dam:jcr/5e2559a7-3f43-4d3d-8205-c162c7f33b94/2018+Our+approach+to+sustainability.pdf</t>
  </si>
  <si>
    <t>British multinational pharmaceutical company GSK commits to reduce absolute scope 1 and 2 GHG emissions 10% by 2025 from a 2017 base year. GSK also commits to reduce absolute scope 3 GHG emissions 16% by 2030 from a 2017 base year.</t>
  </si>
  <si>
    <t>Progress is not good: Scope 1 and 2 carbon emissions from our operations up 2% in 2013, but down 7% since 2010; Scope 3 emissions (excluding raw materials) up 1.5% in 2013 and up 11% since 2010, due to strong sales of HFA propellant-based inhalers.</t>
  </si>
  <si>
    <t>$105,552.1</t>
  </si>
  <si>
    <t>$5,927.4</t>
  </si>
  <si>
    <t xml:space="preserve">Includes emissions reductions across scopes 1,2, and 3, but does include removals, </t>
  </si>
  <si>
    <t xml:space="preserve">Value chain </t>
  </si>
  <si>
    <t>$36,875.7</t>
  </si>
  <si>
    <t>$182.4</t>
  </si>
  <si>
    <t>-       Direct procurement from offsite grid-connected generators (PPA)
-       Purchase from onsite installations owned by a supplier
-       Contract with suppliers
-       Self-generation</t>
  </si>
  <si>
    <t xml:space="preserve"> 100% Renewable by 2040. 'National Zero Emission Vehicle (NZEV) program to create a comprehensive approach to help move our country faster to an all-electric, zero emissions future. Aim for 7million long range EVs by 2030.'</t>
  </si>
  <si>
    <t>$228,037</t>
  </si>
  <si>
    <t>$6,732</t>
  </si>
  <si>
    <t>https://www.gm.com/our-stories/commitment/its-time-for-american-leadership-in-zero-emissions-vehicles.html</t>
  </si>
  <si>
    <t>No specific ERT, but since '2011 GE had reduced our greenhouse
gas emissions by 23%. (2018)'</t>
  </si>
  <si>
    <t>$266,048</t>
  </si>
  <si>
    <t>$-4,979</t>
  </si>
  <si>
    <t>https://www.ge.com/sites/default/files/GEA19007_Climate_Change_Statement_r3.pdf</t>
  </si>
  <si>
    <t xml:space="preserve">Collecting GHG emissions data and implementing emissions reduction strategies In individual facilities. </t>
  </si>
  <si>
    <t>$48,841</t>
  </si>
  <si>
    <t>$3,484</t>
  </si>
  <si>
    <t>https://www.gd.com/-/media/GD-Corporate/PDF/2018_gd_sustainability_report.ashx</t>
  </si>
  <si>
    <t>Reduce GHG emissions by min 16% by 2030, from 2014 as base year.)'</t>
  </si>
  <si>
    <t>$352,397.7</t>
  </si>
  <si>
    <t>$18,593</t>
  </si>
  <si>
    <t>https://www.gazprom.com/f/posts/64/716836/investor-day-2020-presentation.pdf</t>
  </si>
  <si>
    <t xml:space="preserve">Zero Co2 emissions </t>
  </si>
  <si>
    <t>$29,494.3</t>
  </si>
  <si>
    <t>$1,472</t>
  </si>
  <si>
    <t xml:space="preserve">No, because offsetting through carbon credits. Not clear about scope 3 emissions. </t>
  </si>
  <si>
    <t xml:space="preserve">Through reducing emissions, getting 100% renewables and offsetting through carbon credits </t>
  </si>
  <si>
    <t>The Fujitsu Group's CO2 emissions</t>
  </si>
  <si>
    <t>$285,161</t>
  </si>
  <si>
    <t>$1,892.7</t>
  </si>
  <si>
    <t>Taiwan, Province of China</t>
  </si>
  <si>
    <t>$75,207.5</t>
  </si>
  <si>
    <t>$2,107.6</t>
  </si>
  <si>
    <t>https://www.fresenius.com/financial_reporting/Fresenius_Group_Non_Financial_Report_2019.pdf</t>
  </si>
  <si>
    <t>$2,203,623</t>
  </si>
  <si>
    <t>$7,214</t>
  </si>
  <si>
    <t>carbon neutral</t>
  </si>
  <si>
    <t>"Carbon neutrality refers to achieving zero carbon emissions by balancing such emissions with carbon removal" and "Ford also is working to develop goals approved and defined by the Science Based Targets initiative"</t>
  </si>
  <si>
    <t>$258,537</t>
  </si>
  <si>
    <t>$47</t>
  </si>
  <si>
    <t>https://media.ford.com/content/fordmedia/fna/us/en/news/2020/06/24/ford-expands-climate-change-goals.html</t>
  </si>
  <si>
    <t>we focus on vehicle use, suppliers and factories, which together represent 95 percent of our emissions</t>
  </si>
  <si>
    <t>vehicle use, suppliers and factories</t>
  </si>
  <si>
    <t>$33,764.5</t>
  </si>
  <si>
    <t>$1,075.1</t>
  </si>
  <si>
    <t>$41,093.3</t>
  </si>
  <si>
    <t>$-615.6</t>
  </si>
  <si>
    <t>$63,202.5</t>
  </si>
  <si>
    <t>$136.4</t>
  </si>
  <si>
    <t>ERT: 'Reduce aircraft emissions intensity by 30% from a 2005 baseline by 2020. Increase FedEx Express vehicle fuel
efficiency by 50% from a 2005 baseline
by 2025.'</t>
  </si>
  <si>
    <t>$54,403</t>
  </si>
  <si>
    <t>$540</t>
  </si>
  <si>
    <t>http://sustainability.fedex.com/FedEx_2020_Global_Citizenship_Report.pdf</t>
  </si>
  <si>
    <t>$3,503,319</t>
  </si>
  <si>
    <t>$14,160</t>
  </si>
  <si>
    <t>https://sustainability.fb.com/report-pages/renewable-energy/</t>
  </si>
  <si>
    <t>50% by
2018</t>
  </si>
  <si>
    <t>ERT: 'reducing our operational (Scope 1 and 2) greenhouse gas emissions by 75 percent by the end of 2020, compared to our base year of 2017.'</t>
  </si>
  <si>
    <t>$133,376</t>
  </si>
  <si>
    <t>$18,485</t>
  </si>
  <si>
    <t>https://sustainability.fb.com/report-pages/climate/</t>
  </si>
  <si>
    <t>ExxonMobil</t>
  </si>
  <si>
    <t>Invested $10bn in lower-emission energy solutions since 2000.' However, CEO made robust case for future  of oil and gas, not following other oil companies commitments. Also staunch defence around #ExonnKnew controversy.</t>
  </si>
  <si>
    <t>$362,597</t>
  </si>
  <si>
    <t>$14,340</t>
  </si>
  <si>
    <t>https://corporate.exxonmobil.com/Energy-and-environment/Environmental-protection/Climate-change https://www.ft.com/content/6b785d00-5f23-11ea-b0ab-339c2307bcd4</t>
  </si>
  <si>
    <t xml:space="preserve">No specific emissions reductions. </t>
  </si>
  <si>
    <t>$193,738.6</t>
  </si>
  <si>
    <t>$3,417.1</t>
  </si>
  <si>
    <t>https://www.exor.com/sites/default/files/2020/document-documents/EXOR%202019%20ANNUAL%20REPORT_0.pdf</t>
  </si>
  <si>
    <t>$124,977</t>
  </si>
  <si>
    <t>$2,936</t>
  </si>
  <si>
    <t>Reduce net carbon intensity by at least 50% by 2050 takes into account scope 1, 2 and 3 emissions, from initial production to final consumption.'</t>
  </si>
  <si>
    <t>$118,063</t>
  </si>
  <si>
    <t>$1,843</t>
  </si>
  <si>
    <t>https://www.equinor.com/en/how-and-why/climate.html</t>
  </si>
  <si>
    <t>"Remaining emissions will be compensated either through quota trading systems, such as EU ETS, or high-quality offset mechanisms"</t>
  </si>
  <si>
    <t>$61,733.2</t>
  </si>
  <si>
    <t>$4,591.3</t>
  </si>
  <si>
    <t>Emphasis on CN.</t>
  </si>
  <si>
    <t>ERT: 'Reduction of 80% in Scope 1, 2 and 3 net emissions, with reference to the entire life-cycle of the energy products sold and of 55% in emission intensity compared to 2018.'</t>
  </si>
  <si>
    <t>$138,549.1</t>
  </si>
  <si>
    <t>$165.7</t>
  </si>
  <si>
    <t>https://www.eni.com/assets/documents/documents-en/nuova-mission-da-eni-for-eng.pdf</t>
  </si>
  <si>
    <t>Claims to be a NZ carbon footprint, rather than CN.</t>
  </si>
  <si>
    <t>Net zero carbon footprint for Scope 1 and 2 emissions from upstream operations by 2030 and from Eni Group operations by 2040.</t>
  </si>
  <si>
    <t>Scope 1 and 2 emissions from upstream operations</t>
  </si>
  <si>
    <t>Service, business energy &amp;amp; regeneration company ENGIE commits to reduce power generation GHG emissions from scope 1 and scope 3, 52% per kWh by 2030 from a 2017 base year. ENGIE commits to reduce absolute scope 3 emissions from use of sold products 34% by 2030 from a 2017 base year</t>
  </si>
  <si>
    <t>ERT: 'GHG emissions related to energy production (Scope 1 and 3) in line with the SBT trajectory. GHG emissions from the use of products sold, in line with the SBT trajectory.' SBT certification for its new objectives for 2030, a step toward the Group's carbon neutrality: reduce by 52% the rate of emissions per kWh of energy production between 2017 and 2030. Reduce by 34% the emissions linked to the use of the Group's products sold between 2017 and 2030. These reductions cover 96% of Scope 1 emissions and 91% of Scope 3 emissions.</t>
  </si>
  <si>
    <t>$179,351.7</t>
  </si>
  <si>
    <t>$1,101.3</t>
  </si>
  <si>
    <t>https://www.engie.com/sites/default/files/assets/documents/2020-04/RI-Engie2020-ENG-vdef.pdf</t>
  </si>
  <si>
    <t>"the Group's carbon neutrality" is mentioned but no specific target</t>
  </si>
  <si>
    <t>$98,880</t>
  </si>
  <si>
    <t>$3,592</t>
  </si>
  <si>
    <t>Reduction of 4.08mn tons of CO2 emissions by 2030.'</t>
  </si>
  <si>
    <t>$74,130.6</t>
  </si>
  <si>
    <t>$-1,728.7</t>
  </si>
  <si>
    <t>https://www.hd.eneos.co.jp/english/csr/report/pdf/jxtg_en_2018_f.pdf</t>
  </si>
  <si>
    <t>ENEOS Holdings</t>
  </si>
  <si>
    <t>Multinational energy company Enel commits to reduce scope 1 GHG emissions 70% per kWh by 2030 from a 2017 base year, limiting them to 125 gCO2/kWheq, and achieve full decarbonization by 2050. Enel SpA also commits to reduce absolute scope 3 GHG emissions for the use of sold products 16% by 2030 from a 2017 base year</t>
  </si>
  <si>
    <t>$192,408.5</t>
  </si>
  <si>
    <t>$2,433.3</t>
  </si>
  <si>
    <t xml:space="preserve">Decarbonisation in terms of direct greenhouse gas emissions (Scope 1) by 2050. Does not satisfy CN criteria. </t>
  </si>
  <si>
    <t>Includes direct emissions due exclusively to energy generation. Other direct emissions are not considered in the definition of the target as they are considered marginal and satisfy the exclusion criterion according to SBTi methodology that fixes a margin of 5% of the total Scope 1 and Scope 2 emissions.</t>
  </si>
  <si>
    <t>https://www.enel.com/investors/sustainability/sustainability-topics-and-performances/greenhouse-gas-emission</t>
  </si>
  <si>
    <t>direct emissions due exclusively to energy generation</t>
  </si>
  <si>
    <t>$125,920.9</t>
  </si>
  <si>
    <t>$4,299.6</t>
  </si>
  <si>
    <t>EDF</t>
  </si>
  <si>
    <t>Emphasis on carbon neutrality.</t>
  </si>
  <si>
    <t>The Group also committed to reduce its indirect CO2 emissions, including those related to its clients’ energy consumption, for the first time.'</t>
  </si>
  <si>
    <t>$340,406</t>
  </si>
  <si>
    <t>$5,769.8</t>
  </si>
  <si>
    <t>Direct CO2 emissions ( Direct emissions excluding the life cycle analysis of generating plant and fuel.)</t>
  </si>
  <si>
    <t>Direct CO2 emissions</t>
  </si>
  <si>
    <t xml:space="preserve">Started a partnership with WWF in 2009  to reduce the carbon footprint of EDEKA and expand the range of environmentally friendly products and more efficient ways of working with resources such as energy and water. 
EDEKA intends to reduce greenhouse gas emissions from the EDEKA Group by 30% by the year 2020, and by 50% by the year 2025.  For greenhouse gas emissions generated in the supply chain, a binding reduction target for the target years 2020 and 2025 was defined. This target is not readily available on their website or publications. </t>
  </si>
  <si>
    <t>$8,844.1</t>
  </si>
  <si>
    <t>$380.8</t>
  </si>
  <si>
    <t>https://www.edeka.de/nachhaltigkeit/unsere-wwf-partnerschaft/die-partnerschaft/intro.jsp
https://www.wwf.de/fileadmin/user_upload/EDEKA-Fortschrittsbericht-EN.pdf</t>
  </si>
  <si>
    <t>ERT: 'reduction of
CO₂ emission volume by
40% in railway operations
(compared with FY2014)'</t>
  </si>
  <si>
    <t>$78,995.6</t>
  </si>
  <si>
    <t>$1,825.1</t>
  </si>
  <si>
    <t>https://www.jreast.co.jp/e/environment/pdf_2019/p094-099.pdf</t>
  </si>
  <si>
    <t>$110,630.5</t>
  </si>
  <si>
    <t>$1,752.8</t>
  </si>
  <si>
    <t>https://www.eon.com/en/about-us/sustainability/strategy.html</t>
  </si>
  <si>
    <t>Reduce scope 3 by 50% in 2030 and 100% by 2050... Reduce our Scope 1 and 2 emissions by 75% by 2030 and by 100% by 2040</t>
  </si>
  <si>
    <t>In 2018, committed to cut its aggregated CO2 emissions by at least 80 percent by 2050</t>
  </si>
  <si>
    <t>$627,847</t>
  </si>
  <si>
    <t>$1,894.9</t>
  </si>
  <si>
    <t>https://www.corporate-responsibility.dzbank.com/content/wertewelt/en/home/environmental_values/climate_strategy.html</t>
  </si>
  <si>
    <t>Dow Chemical</t>
  </si>
  <si>
    <t>entered into new renewable power agreements for its manufacturing facilities in Argentina, Brazil, Texas, and Kentucky</t>
  </si>
  <si>
    <t>$60,524</t>
  </si>
  <si>
    <t>$-1,359</t>
  </si>
  <si>
    <t>https://investors.dow.com/en/news/news-details/2020/Dow-sets-targets-to-reduce-GHG-emissions-stop-plastic-waste-and-drive-toward-a-circular-economy/default.aspx</t>
  </si>
  <si>
    <t>Scopes 1, 2, 3, plus product benefits</t>
  </si>
  <si>
    <t>Dow</t>
  </si>
  <si>
    <t>$71,423.3</t>
  </si>
  <si>
    <t>$1,328.4</t>
  </si>
  <si>
    <t>$22,825.1</t>
  </si>
  <si>
    <t>$1,712.6</t>
  </si>
  <si>
    <t>climate neutral</t>
  </si>
  <si>
    <t>ERT: 'By 2030, we are planning to reduce our CO2 emissions by 90 percent compared to 2017. We are also focusing on emissions from the supply chain and that our customers generate when using our products and solutions: By 2030, the Group’s objective is to reduce the CO2 emissions per customer by 25 percent compared to 2017.' 'In the future T-Mobile US will be included.'</t>
  </si>
  <si>
    <t>$191,562.3</t>
  </si>
  <si>
    <t>$4,328.2</t>
  </si>
  <si>
    <t>https://www.telekom.com/en/corporate-responsibility/climate-and-environment/is-01-climate-and-environment-context/reducing-co2-355308</t>
  </si>
  <si>
    <t>In the future T-Mobile US will be included' (Into Emissions Reductions)</t>
  </si>
  <si>
    <t xml:space="preserve">direct and indirect CO2 emissions… do more than simply switch over to renewable energy sources; it will also take climate action on its vehicle fleet and buildings. </t>
  </si>
  <si>
    <t>https://www.telekom.com/en/media/media-information/archive/explicit-commitment-to-responsible-action-and-climate-protection-595704 and https://www.telekom.com/en/corporate-responsibility/climate-and-environment/is-01-climate-and-environment-context/reducing-co2-355308</t>
  </si>
  <si>
    <t>direct and indirect CO2 emissions</t>
  </si>
  <si>
    <t>$58,554.5</t>
  </si>
  <si>
    <t>$2,935.8</t>
  </si>
  <si>
    <t>https://www.dpdhl.com/content/dam/dpdhl/en/media-center/responsibility/dpdhl-sustainability-report-2019.pdf</t>
  </si>
  <si>
    <t xml:space="preserve">P.86 of the 2019 Sustainability Report: Net zero emissions by 2050: 'Operate 70% of our first and last mile services with zero-emission solutions.' - But does not meet SBT standards.  </t>
  </si>
  <si>
    <t xml:space="preserve">As part of our forest conservation efforts, we will join partner organizations in planting one million trees per year through 2025. More than three million trees have already been planted since 2017. </t>
  </si>
  <si>
    <t>reduce all logistics-related emissions to zero.</t>
  </si>
  <si>
    <t>70% of our first and last mile services</t>
  </si>
  <si>
    <t>https://www.dpdhl.com/en/sustainability/environment-and-solutions/gogreen-program.html</t>
  </si>
  <si>
    <t>$1,456,509.3</t>
  </si>
  <si>
    <t>$-6,032.8</t>
  </si>
  <si>
    <t>Conducted by "purchasing and retiring high-level emissions reduction certificates."</t>
  </si>
  <si>
    <t>"offset unavoidable carbon emissions covering GHG Scopes 1 and 2 and business travel since 2012"</t>
  </si>
  <si>
    <t>https://responsibility.db.com/non-financial-report/2017/environment/carbon-neutrality.html and https://www.db.com/cr/en/environment/carbon-neutrality.htm</t>
  </si>
  <si>
    <t>Scopes 1 and 2 and business travel</t>
  </si>
  <si>
    <t>Deutsche Bahn commits to reduce scope 1 and 2 GHG emissions 50% across transportation services on a per passenger-km, tonne-km, track-km, and per station basis by 2030 from a 2006 base year. Deutsche Bahn commits to reduce scope 3 emissions from freight transportation and bus services 50% per tonne-km and passenger-km by 2030 from a 2006 base year. Deutsche Bahn commits to reduce absolute scope 1, 2, and 3 GHG emissions 100% by 2050 from a 2006 base year.</t>
  </si>
  <si>
    <t>2°C</t>
  </si>
  <si>
    <t>climate neutrality</t>
  </si>
  <si>
    <t>$73,885.3</t>
  </si>
  <si>
    <t>$746.5</t>
  </si>
  <si>
    <t>No other info on offsetting / scopes</t>
  </si>
  <si>
    <t>gradually increasing the proportion of renewable energies in the DB traction current mix</t>
  </si>
  <si>
    <t>https://ib.deutschebahn.com/ib2018/en/group-management-report/environmental/our-aspiration-for-climate-noise-and-nature-conservation/</t>
  </si>
  <si>
    <t>all our transport services</t>
  </si>
  <si>
    <t>$52,297.6</t>
  </si>
  <si>
    <t>$626.4</t>
  </si>
  <si>
    <t>$64,532</t>
  </si>
  <si>
    <t>$4,767</t>
  </si>
  <si>
    <t>https://news.delta.com/delta-commits-1-billion-become-first-carbon-neutral-airline-globally</t>
  </si>
  <si>
    <t xml:space="preserve">Suspect not, because not enough abatement </t>
  </si>
  <si>
    <t xml:space="preserve">enterprise-wide efforts to decrease the use of jet fuel and increase efficiency, "Investing in technology to remove carbon emissions from atmosphere" </t>
  </si>
  <si>
    <t>mitigate all emissions from its global business</t>
  </si>
  <si>
    <t>global business</t>
  </si>
  <si>
    <t>-       Variety of approaches</t>
  </si>
  <si>
    <t>ERT: 'reduce Scopes 1 and 2 greenhouse gas emissions by 50% by 2030.'</t>
  </si>
  <si>
    <t>$118,861</t>
  </si>
  <si>
    <t>$4,616</t>
  </si>
  <si>
    <t>https://corporate.delltechnologies.com/en-us/social-impact/reporting/2030-goals.htm</t>
  </si>
  <si>
    <t>current goal is to reduce absolute GHG emissions by another 15% by 2022, from a 2017 baseline.</t>
  </si>
  <si>
    <t>$73,011</t>
  </si>
  <si>
    <t>$3,253</t>
  </si>
  <si>
    <t>https://s22.q4cdn.com/253594569/files/doc_downloads/2019/09/2019_JD-Sustainability-Report.pdf#page=32</t>
  </si>
  <si>
    <t>$53,029.6</t>
  </si>
  <si>
    <t>$-158.6</t>
  </si>
  <si>
    <t>-       Direct procurement from offsite grid-connected generators (PPA)
-       Contract with suppliers
-       Unbundled energy attribute certificates</t>
  </si>
  <si>
    <t>"We aim to cocreate “carbon positive” programs to sequester more carbon in agriculture, forests and natural ecosystems, as they will be critical in limiting global warming to 2°C" and "Our ambition is to: Take action on mitigation and contribute to sequestering carbon in soils, forests and ecosystems for “net positive” impacts to combat climate change" and "To achieve “zero net” emissions, Danone will aim to peak its fullscope carbon emissions in absolute terms between 2020 and 2025, and pioneer “carbon positive” programs to fix more carbon"</t>
  </si>
  <si>
    <t>$50,914.3</t>
  </si>
  <si>
    <t>$2,159</t>
  </si>
  <si>
    <t>https://www.danone.com/content/dam/danone-corp/danone-com/about-us-impact/policies-and-commitments/en/2016/2016_05_18_ClimatePolicyFullVersion.pdf</t>
  </si>
  <si>
    <t>Beyond 2050, cut absolute emissions and fix carbon through sequestration techniques and forest restoration to reduce the CO2 quantity in the atmosphere. '</t>
  </si>
  <si>
    <t>Danone’s strategy to achieve carbon neutrality is based on the following pillars: reducing emissions, transforming agricultural practices to sequester more carbon in the ground, eliminating deforestation from our supply chain, and offsetting the emissions that remain</t>
  </si>
  <si>
    <t>across our full value chain</t>
  </si>
  <si>
    <t>full scope</t>
  </si>
  <si>
    <t>https://www.danone.com/impact/planet/towards-carbon-neutrality.html</t>
  </si>
  <si>
    <t>full value chain</t>
  </si>
  <si>
    <t>-       Self-generation
-       Contract with suppliers</t>
  </si>
  <si>
    <t xml:space="preserve">In 2020 named on
“Climate Change A List”at CDP Climate Change for the Second Consecutive Year. 2055 goal of 70% reduction in GHG emissions per unit sales from fiscal 2015 levels. Renewable energy utilization rate  of 100% by 2040. </t>
  </si>
  <si>
    <t>$42,818.4</t>
  </si>
  <si>
    <t>$2,148.6</t>
  </si>
  <si>
    <t>https://www.daiwahouse.com/sustainable/csr/pdfs/2019/en_Sustainability_All.pdf</t>
  </si>
  <si>
    <t>CO2 neutral</t>
  </si>
  <si>
    <t>At Daimler Trucks &amp; Buses we are clearly committed to the goals of the Paris Climate Protection Agreement and thus to the decarbonization of our industry. Having CO₂-neutral transport on the road by 2050 is our ultimate goal.'</t>
  </si>
  <si>
    <t>$339,456.4</t>
  </si>
  <si>
    <t>$2,660.5</t>
  </si>
  <si>
    <t>https://www.daimler.com/company/corporate-governance/board-of-management/kaellenius/linkedin/ambition-2039.html</t>
  </si>
  <si>
    <t>https://edition.cnn.com/2019/05/13/business/mercedes-benz-carbon-neutral-electric-vehicles/index.html</t>
  </si>
  <si>
    <t>Daimler's carbon-neutral announcement does not include its vast commercial vehicle fleet, which includes Freightliner trucks and Thomas Built Buses.</t>
  </si>
  <si>
    <t>Unsure of scope, 1 &amp; 2? 'aims to offer only new vehicles that are CO₂-neutral in driving operation (“tank-to-wheel”) in the triad markets of Europe, Japan and NAFTA by 2039.' Wording is focused on CO2 neutral and vehicle fleet only.</t>
  </si>
  <si>
    <t>2022 (Mercedes) European plants
2039 (Mercedes) new passenger car fleet (Daimler) CO₂ neutrality... for new vehicles</t>
  </si>
  <si>
    <t>https://www.daimler.com/sustainability/co2-neutral-commercial-vehicle-fleet-until-2039.html</t>
  </si>
  <si>
    <t>CO₂-neutral in driving operation in… Europe, Japan and NAFTA</t>
  </si>
  <si>
    <t>-       Contract with suppliers</t>
  </si>
  <si>
    <t>$555,306.7</t>
  </si>
  <si>
    <t>$298.3</t>
  </si>
  <si>
    <t>ERT 2030 Target: 'Plan to reduce our absolute scope 1 and 2 ghg emissions 36 percent from our 2010 base year emissions.'</t>
  </si>
  <si>
    <t>$222,449</t>
  </si>
  <si>
    <t>$6,634</t>
  </si>
  <si>
    <t>https://cvshealth.com/sites/default/files/2019-csr-report.pdf</t>
  </si>
  <si>
    <t>$61,802.5</t>
  </si>
  <si>
    <t>$523.2</t>
  </si>
  <si>
    <t>$41,876.7</t>
  </si>
  <si>
    <t xml:space="preserve">Unclear how they will reach the goal. They have commited to 33% CO2 reduction to 520kg net CO2/tonne cementitious product by 2030, compared with 1990 levels, but there is no mention of offsetting. </t>
  </si>
  <si>
    <t>along the cement and concrete value chain</t>
  </si>
  <si>
    <t>https://www.crh.com/media/3224/crh1299-sustainability-report-2019_v75_interactive.pdf</t>
  </si>
  <si>
    <t xml:space="preserve">Greenhouse gas neutral </t>
  </si>
  <si>
    <t>have reduced  annual net global greenhouse gas emissions by around 23% since 2017.</t>
  </si>
  <si>
    <t>$762,180.3</t>
  </si>
  <si>
    <t>$3,402</t>
  </si>
  <si>
    <t>https://www.credit-suisse.com/about-us/en/our-company/corporate-responsibility/environment/greenhouse-gas-neutrality.html</t>
  </si>
  <si>
    <t>No, because offsetting through carbon credits.</t>
  </si>
  <si>
    <t xml:space="preserve">IncludeL Scope 1 - stationary combustion, mobile combustion, fugitive emissions, Scope 2 – purchased electricity and district heat, Scope 3 – purchased goods and services: paper and water consumption, energy upstream emissions, waste generated, business travel. Through operational efficiency improvements, energy-​saving investments, the substitution of existing energy sources through climate-​friendly energy and though renewable energy certificates (RECs), and finally by compensating for the remaining emissions through the purchase of emissions reduction certificates. </t>
  </si>
  <si>
    <t xml:space="preserve">Verified by SGS </t>
  </si>
  <si>
    <t>Scopes 1, 2 and [some] Scope 3 (purchased goods and services: paper and water consumption, energy upstream emissions, waste generated, business travel)</t>
  </si>
  <si>
    <t>-       Direct procurement from offsite grid-connected generators (PPA)</t>
  </si>
  <si>
    <t>60%
(100% in
France)</t>
  </si>
  <si>
    <t>100% in
France in 2016</t>
  </si>
  <si>
    <t>Emissions Reduction Target: 'The Crédit Agricole Group’s Medium-Term 2020 Plan sets the objective of reducing Greenhouse Gas (GHG) emissions by 15%, measured by the carbon balances at 2020 and covering the 13 entities involved in a FReD approach implemented by the Group, our corporate social responsibility management tool.'</t>
  </si>
  <si>
    <t>$1,984,002.5</t>
  </si>
  <si>
    <t>$5,421.7</t>
  </si>
  <si>
    <t>https://www.ca-cib.com/about-us/committed-and-responsible/management-of-our-direct-environmental-impact</t>
  </si>
  <si>
    <t>Oil and gas</t>
  </si>
  <si>
    <t>$26,753.9</t>
  </si>
  <si>
    <t>$1,049.7</t>
  </si>
  <si>
    <t>$273,791.9</t>
  </si>
  <si>
    <t>$5,724.9</t>
  </si>
  <si>
    <t>No specific emissiosn reductions targets. Reporting GHG emissions since 2018.</t>
  </si>
  <si>
    <t>$45,400</t>
  </si>
  <si>
    <t>$3,659</t>
  </si>
  <si>
    <t>https://www.costco.com/sustainability-greenhouse-gas-emissions.html</t>
  </si>
  <si>
    <t>$19,803.5</t>
  </si>
  <si>
    <t>$528.4</t>
  </si>
  <si>
    <t>CO2-neutral [2040] / climate neutrality [2050]</t>
  </si>
  <si>
    <t>$47,778.5</t>
  </si>
  <si>
    <t>$-1,371.1</t>
  </si>
  <si>
    <t>in all of its production processes [2040]… Reduction of total CO2 emissions from value chain (Scope 1, 2, 3) by 2050.</t>
  </si>
  <si>
    <t>https://www.continental.com/en/press/press-releases/continental-press-conference-iaa-2019-186292 and https://www.continental.com/en/sustainability/environment/continental-s-environmental-strategy-63142</t>
  </si>
  <si>
    <t>production processes</t>
  </si>
  <si>
    <t>Long-term target to reduce our GHG emissions intensity from five to 15% by 2030 from a Jan. 1, 2017 baseline.</t>
  </si>
  <si>
    <t>$70,514</t>
  </si>
  <si>
    <t>$7,189</t>
  </si>
  <si>
    <t>http://www.conocophillips.com/sustainability/managing-climate-related-risks/metrics-targets/ghg-target/</t>
  </si>
  <si>
    <t>Hospitality</t>
  </si>
  <si>
    <t>$16,399.3</t>
  </si>
  <si>
    <t>$1,416</t>
  </si>
  <si>
    <t>$12,765.6</t>
  </si>
  <si>
    <t>$225.1</t>
  </si>
  <si>
    <t>25% by
2020</t>
  </si>
  <si>
    <t xml:space="preserve">"we will target an average emissions intensity decrease of our business lending portfolio consistent with our commitment to a net zero emissions economy by 2050." As of 2018, 52.5% less
Group emissions since 2009. 
</t>
  </si>
  <si>
    <t>$685,113.8</t>
  </si>
  <si>
    <t>$6,127.3</t>
  </si>
  <si>
    <t>https://www.commbank.com.au/guidance/newsroom/our-climate-commitment-201708.html
https://www.commbank.com.au/content/dam/commbank/about-us/docs/2019-cdp-submission.pdf</t>
  </si>
  <si>
    <t>Claims to have a zero emissions target. However states: 'Our zero emissions goal applies to our entire operational fleet, including
our Xfinity vans.' This is not in fufillment to the SBTI net-zero commitment as it is only focused on one segment of the business.</t>
  </si>
  <si>
    <t>$263,414</t>
  </si>
  <si>
    <t>$13,057</t>
  </si>
  <si>
    <t>https://update.comcast.com/wp-content/uploads/sites/33/dlm_uploads/2019/05/ComcastNBCU_print_0730-web.pdf</t>
  </si>
  <si>
    <t>"Since 2009, our greenhouse gas emissions
have reduced by 36%; and we met our 2020 emissions reduction target
four years early in 2016."</t>
  </si>
  <si>
    <t>$6,859.5</t>
  </si>
  <si>
    <t>$1,025.6</t>
  </si>
  <si>
    <t>https://www.colesgroup.com.au/FormBuilder/_Resource/_module/ir5sKeTxxEOndzdh00hWJw/file/Coles_Sustainability_Report_2019.pdf</t>
  </si>
  <si>
    <t>Coles Group</t>
  </si>
  <si>
    <t>$85,846.9</t>
  </si>
  <si>
    <t>$414.3</t>
  </si>
  <si>
    <t>American multinational manufacturer of nonalcoholic beverage concentrates and syrups. The Coca-Cola Company sets a target to reduce absolute scope 1, 2, and 3 GHG emissions 25% by 2030 from a 2015 base-year.</t>
  </si>
  <si>
    <t xml:space="preserve">Set goal in 2013 to reduce the carbon footprint of the "drink in your hand” by 25 percent by 2020. Called for UK Government to set Net Zero by 2050 target. </t>
  </si>
  <si>
    <t>$86,381</t>
  </si>
  <si>
    <t>$8,920</t>
  </si>
  <si>
    <t>https://www.coca-colacompany.com/news/reducing-carbon-in-our-value-chain#:~:text=In%202017%2C%20it%20is%20estimated,19%25%20below%202010%20levels*.&amp;text=This%20is%20reflected%20in%20our,goal%20we%20set%20in%202013.
http://www.climateaction.org/news/coca-cola-among-firms-calling-on-the-uk-for-net-zero-emissions-by-2050</t>
  </si>
  <si>
    <t>Achieving a carbon-neutral investment portfolio by 2050 through joining the Net-Zero Asset Owner Alliance.'</t>
  </si>
  <si>
    <t>$494,267.1</t>
  </si>
  <si>
    <t>$1,580.1</t>
  </si>
  <si>
    <t>https://www.cnp.fr/en/the-cnp-assurances-group/csr-commitments/commitment-to-the-climate</t>
  </si>
  <si>
    <t>Water Transportation</t>
  </si>
  <si>
    <t>$32,730.9</t>
  </si>
  <si>
    <t>$-229.1</t>
  </si>
  <si>
    <t>on track to reduce by 40% its CO2 emissions per tonne transported per km by 2030</t>
  </si>
  <si>
    <t>No scope mentioned - "Our 2050 objective is to be Carbon Neutral"</t>
  </si>
  <si>
    <t>http://www.cma-cgm.com/news/3143/the-cma-cgm-group-heads-towards-carbon-neutrality-by-2050</t>
  </si>
  <si>
    <t>CMA CGM</t>
  </si>
  <si>
    <t>$155,420.7</t>
  </si>
  <si>
    <t>$5,083.7</t>
  </si>
  <si>
    <t>$34,922.9</t>
  </si>
  <si>
    <t>$229.2</t>
  </si>
  <si>
    <t>https://www.citigroup.com/citi/about/esg/download/2019/Global-ESG-Report-2019.pdf?ieNocache=118</t>
  </si>
  <si>
    <t>"we will be able to meet our goal of sourcing 100 percent renewable electricity for all our facilities by the end of 2020"</t>
  </si>
  <si>
    <t>-       Contract with suppliers
-       Unbundled renewable energy attribute certificates</t>
  </si>
  <si>
    <t>Emissions Reduction Target: '45% reduction in location based GHG emissions, compared to a 2010 baseline. $250 billion commited to environmental finance.'</t>
  </si>
  <si>
    <t>$1,951,158</t>
  </si>
  <si>
    <t>$19,401</t>
  </si>
  <si>
    <t>https://www.citigroup.com/citi/sustainability/</t>
  </si>
  <si>
    <t>$1,074,806.3</t>
  </si>
  <si>
    <t>$3,646.8</t>
  </si>
  <si>
    <t>ERT:'80 percent of Cisco component, manufacturing,
and logistics suppliers by spend will have a
public, absolute GHG emissions reduction
target by FY25. Reduce Cisco supply chain-related Scope 3 GHG emissions by 30 percent absolute by
FY30 (FY19 base year).'</t>
  </si>
  <si>
    <t>$97,793</t>
  </si>
  <si>
    <t>$11,621</t>
  </si>
  <si>
    <t>https://www.cisco.com/c/dam/m/en_us/about/csr/csr-report/2019/_pdf/csr-report-2019.pdf</t>
  </si>
  <si>
    <t>Scope 1 and 2 Emissions Reduction Target 20% - set against base year of 2013. - Achieved.'</t>
  </si>
  <si>
    <t>$155,774</t>
  </si>
  <si>
    <t>$5,104</t>
  </si>
  <si>
    <t>https://www.cigna.com/about-us/corporate-responsibility/report/environment/sustainability-performance-plan</t>
  </si>
  <si>
    <t>$50,900.5</t>
  </si>
  <si>
    <t>$1,503.6</t>
  </si>
  <si>
    <t xml:space="preserve">In May 2019, Chubb announced a new companywide goal to reduce its global greenhouse gas (GHG) emissions 20% on an absolute basis by 2025. The company also established a long-term goal to reduce absolute GHG emissions 40% by 2035. Both goals use 2016 emissions levels as the baseline. </t>
  </si>
  <si>
    <t>$176,943</t>
  </si>
  <si>
    <t>$4,454</t>
  </si>
  <si>
    <t>$16,447.5</t>
  </si>
  <si>
    <t>$829.9</t>
  </si>
  <si>
    <t>$105,314.8</t>
  </si>
  <si>
    <t>$3,288.4</t>
  </si>
  <si>
    <t>full traceability for all of its raw materials by 2025… cover 30% of its energy needs from renewable sources by 2020 and also on track to cut its CO2 emissions by 25% by the same time</t>
  </si>
  <si>
    <t>https://www.reuters.com/article/us-luxury-environment-idUSKBN1WA2AY</t>
  </si>
  <si>
    <t>$248,360.3</t>
  </si>
  <si>
    <t>$5,626.7</t>
  </si>
  <si>
    <t>In 2016, the Company designated approximately RMB200 million for energy-saving and emission reduction, which was mainly used in energy-saving renovation and application of energy-saving technology.</t>
  </si>
  <si>
    <t>$81,001.3</t>
  </si>
  <si>
    <t>$721.2</t>
  </si>
  <si>
    <t>https://www.chinaunicom.com.hk/en/about/csr.php</t>
  </si>
  <si>
    <t>$129,342.9</t>
  </si>
  <si>
    <t>$1,802.6</t>
  </si>
  <si>
    <t>$118,439.3</t>
  </si>
  <si>
    <t>$585.8</t>
  </si>
  <si>
    <t>$294,070</t>
  </si>
  <si>
    <t>$3,333</t>
  </si>
  <si>
    <t>$134,035.7</t>
  </si>
  <si>
    <t>$1,833.1</t>
  </si>
  <si>
    <t xml:space="preserve">CSR Report in Chinese. Latest report in 2016 </t>
  </si>
  <si>
    <t>$48,801.7</t>
  </si>
  <si>
    <t>$987.7</t>
  </si>
  <si>
    <t>No specific ERT.'We are committed to strengthening environmental protection, energy conservation and emission reduction, improving resource utilization efficiency, reducing pollutant emissions, fulfilling social responsibilities, enhancing green competitiveness and promoting the harmonious development of enterprises and nature.'</t>
  </si>
  <si>
    <t>$232,277.1</t>
  </si>
  <si>
    <t>$3,571.6</t>
  </si>
  <si>
    <t>http://en.crc.com.cn/whatwebelieve/OurResponsibility_new/newenvironment/</t>
  </si>
  <si>
    <t>No specific emission reduction targets</t>
  </si>
  <si>
    <t>$152,982.5</t>
  </si>
  <si>
    <t>$1,535.3</t>
  </si>
  <si>
    <t>http://www.crecg.com/english/resource/cms/article/4051/10070723/2019052417220772882.pdf</t>
  </si>
  <si>
    <t>$155,597.9</t>
  </si>
  <si>
    <t>$1,359.2</t>
  </si>
  <si>
    <t>$1,518,542.8</t>
  </si>
  <si>
    <t>$4,440.9</t>
  </si>
  <si>
    <t>$188,478.8</t>
  </si>
  <si>
    <t>$2,030.9</t>
  </si>
  <si>
    <t>$219,408.4</t>
  </si>
  <si>
    <t>$4,015.5</t>
  </si>
  <si>
    <t>$61,501.7</t>
  </si>
  <si>
    <t>$1,283.7</t>
  </si>
  <si>
    <t>https://www.norincogroup.com.cn/</t>
  </si>
  <si>
    <t>No specific reduction target, only phrases like 'strengthening R&amp;D low carbon technologies and pollution reduction measures across the lines of production and operation to reduce carbon emissions.'</t>
  </si>
  <si>
    <t>$608,085.6</t>
  </si>
  <si>
    <t>$4,443.2</t>
  </si>
  <si>
    <t>https://www.cnpc.com.cn/en/climate/common_index.shtml</t>
  </si>
  <si>
    <t xml:space="preserve">Decrease in raw coal consumption by 6.4% in 2018, partaking in forestry carbon sequestration. </t>
  </si>
  <si>
    <t>No specfic emission reduction plan. 'CNOOC strengthened green environmental protection management and promoted green low-carbon development.'</t>
  </si>
  <si>
    <t>$184,922.2</t>
  </si>
  <si>
    <t>$6,957.2</t>
  </si>
  <si>
    <t>https://s3-us-west-2.amazonaws.com/ungc-production/attachments/cop_2019/476044/original/CNOOC_2018_Sustainability_Report.pdf?1561717781</t>
  </si>
  <si>
    <t>$119,401.2</t>
  </si>
  <si>
    <t>$1,104.7</t>
  </si>
  <si>
    <t>China National Nuclear</t>
  </si>
  <si>
    <t>$56,840.6</t>
  </si>
  <si>
    <t>$307.7</t>
  </si>
  <si>
    <t>China National Coal Group</t>
  </si>
  <si>
    <t>$85,590.2</t>
  </si>
  <si>
    <t>$-104.9</t>
  </si>
  <si>
    <t>$9,711.6</t>
  </si>
  <si>
    <t>$568.7</t>
  </si>
  <si>
    <t xml:space="preserve">Emission Reduction Target, non-specific: 'To ensure that the year-on-year growth rate of our overall energy consumption and the year-on-year growth rate of our
carbon emissions are lower than the growth rate of our network (connection) scale in the next five years.' </t>
  </si>
  <si>
    <t>$266,190.3</t>
  </si>
  <si>
    <t>$12,145.1</t>
  </si>
  <si>
    <t>https://www.chinamobileltd.com/en/ir/reports/ar2019/sd2019.pdf</t>
  </si>
  <si>
    <t>$959,249</t>
  </si>
  <si>
    <t>$7,790.3</t>
  </si>
  <si>
    <t>$133,441.7</t>
  </si>
  <si>
    <t>$230.1</t>
  </si>
  <si>
    <t>$277,918.2</t>
  </si>
  <si>
    <t>$5,233.1</t>
  </si>
  <si>
    <t>$1,064,823.3</t>
  </si>
  <si>
    <t>$13,442.5</t>
  </si>
  <si>
    <t>$648,393.2</t>
  </si>
  <si>
    <t>$4,660.3</t>
  </si>
  <si>
    <t>No emisssions targets in 2018 CSR report. Their "IGCC-based pre-combustion carbon dioxide capture technology won the first prize of China Electric Power Science and Technology Progress Award"</t>
  </si>
  <si>
    <t>$161,663.2</t>
  </si>
  <si>
    <t>$186.5</t>
  </si>
  <si>
    <t>http://www.chng.com.cn/n16/av/chixueng.pdf</t>
  </si>
  <si>
    <t>$118,038.3</t>
  </si>
  <si>
    <t>$310.4</t>
  </si>
  <si>
    <t>$28,310.4</t>
  </si>
  <si>
    <t>$489.5</t>
  </si>
  <si>
    <t>$70,353.7</t>
  </si>
  <si>
    <t>$2,847.8</t>
  </si>
  <si>
    <t>$316,777.5</t>
  </si>
  <si>
    <t>$2,501.3</t>
  </si>
  <si>
    <t>$748,020.4</t>
  </si>
  <si>
    <t>$1,989.6</t>
  </si>
  <si>
    <t>https://www.ebchinaintl.com/en/ir/press_content-p181107.html</t>
  </si>
  <si>
    <t>Since 2005, the company has generated green electricity of approximately 23.8 billion kWh. The Group's projects also have accumulatively reduced COD emissions by over 2.8 million tonnes</t>
  </si>
  <si>
    <t>$251,272</t>
  </si>
  <si>
    <t>$4,264.1</t>
  </si>
  <si>
    <t>$61,053.7</t>
  </si>
  <si>
    <t>$395.3</t>
  </si>
  <si>
    <t>$57,864.6</t>
  </si>
  <si>
    <t>$1,742.5</t>
  </si>
  <si>
    <t>$47,018.6</t>
  </si>
  <si>
    <t>$137.8</t>
  </si>
  <si>
    <t>$108,895.5</t>
  </si>
  <si>
    <t>$426.7</t>
  </si>
  <si>
    <t>$125,906.4</t>
  </si>
  <si>
    <t>$1,086.6</t>
  </si>
  <si>
    <t>$3,651,644.6</t>
  </si>
  <si>
    <t>$38,609.7</t>
  </si>
  <si>
    <t>http://www.ccb.com/en/newinvestor/upload/20190328_1553704880/20190328003858392277.pdf</t>
  </si>
  <si>
    <t>$232,053.4</t>
  </si>
  <si>
    <t>$1,332.6</t>
  </si>
  <si>
    <t>$123,777.1</t>
  </si>
  <si>
    <t>$2,901.3</t>
  </si>
  <si>
    <t>$68,554.6</t>
  </si>
  <si>
    <t>$2,628.3</t>
  </si>
  <si>
    <t>$50,065.2</t>
  </si>
  <si>
    <t>$1,958.9</t>
  </si>
  <si>
    <t>Minor emission reduction target: 'Oil net GHG emissions intensity by 5-10%.' 'Transition area focus: Lower carbon internsity, performance tied to employee compensation. Increase renewables. Invest in breakthrough technologies - Developed one of the world's largest integrated CC&amp;S projects in Austraila.' p.10 of report</t>
  </si>
  <si>
    <t>$237,428</t>
  </si>
  <si>
    <t>$2,924</t>
  </si>
  <si>
    <t>https://www.chevron.com/-/media/shared-media/documents/2019-corporate-sustainability-report.pdf</t>
  </si>
  <si>
    <t>$121,159.6</t>
  </si>
  <si>
    <t>$-1,250.9</t>
  </si>
  <si>
    <t>$148,188</t>
  </si>
  <si>
    <t>$1,668</t>
  </si>
  <si>
    <t>https://ir.charter.com/corporate-responsibility-report</t>
  </si>
  <si>
    <t xml:space="preserve">the company does not disclose its GHG emissions and has no GHG reduction targets. </t>
  </si>
  <si>
    <t>$115,747.5</t>
  </si>
  <si>
    <t>$2,260.7</t>
  </si>
  <si>
    <t>$24,045</t>
  </si>
  <si>
    <t>$-1,305.4</t>
  </si>
  <si>
    <t>https://www.centrica.com/sustainability/responsible-business-ambitions/climate-change/</t>
  </si>
  <si>
    <t xml:space="preserve">Will communicate pathway to net zero by 2030 </t>
  </si>
  <si>
    <t>$40,994</t>
  </si>
  <si>
    <t>$1,321</t>
  </si>
  <si>
    <t xml:space="preserve">No mention of emissions targets on website or in reports </t>
  </si>
  <si>
    <t>$16,736.9</t>
  </si>
  <si>
    <t>$122.1</t>
  </si>
  <si>
    <t>$335,795.8</t>
  </si>
  <si>
    <t>$2,030.5</t>
  </si>
  <si>
    <t>Cathay Financial Holding</t>
  </si>
  <si>
    <t>$78,453</t>
  </si>
  <si>
    <t>$6,093</t>
  </si>
  <si>
    <t>Carrefour Group commits to reduce absolute scope 1 and 2 GHG emissions of 30% by 2030 and 55% by 2040 from a 2019 base year. Carrefour Group also commits to reduce absolute scope 3 GHG emissions from purchased goods and services and use of sold products of 29% by 2030 from a 2019 base year.</t>
  </si>
  <si>
    <t>ERT: 'reduce its greenhouse gas emissions (scope 1&amp;2) by 40% by 2025 and by 70% by 2050 (compared with 2010 levels). Reduce emissions linked to the purchase of goods and services (scope 3) by 30% by 2030, compared to 2019.'</t>
  </si>
  <si>
    <t>$57,020.2</t>
  </si>
  <si>
    <t>$1,263.6</t>
  </si>
  <si>
    <t>https://www.carrefour.com/sites/default/files/2020-06/Climate%20-%20Press%20release%20Carrefour_05062020%20Eng.pdf</t>
  </si>
  <si>
    <t>No specific emissions reductions yet. 'By the end of 2021, we plan to set a public greenhouse gas emissions reduction goal for our pharmaceutical distribution business.'</t>
  </si>
  <si>
    <t>$40,963</t>
  </si>
  <si>
    <t>$1,363</t>
  </si>
  <si>
    <t>https://www.cardinalhealth.com/en/about-us/corporate-citizenship/environmental-sustainability.html</t>
  </si>
  <si>
    <t xml:space="preserve">RE100 in 2018 </t>
  </si>
  <si>
    <t>$390,365</t>
  </si>
  <si>
    <t>$5,546</t>
  </si>
  <si>
    <t>https://www.capitalone.com/about/newsroom/climate-change-journey-2030/</t>
  </si>
  <si>
    <t xml:space="preserve">They don't explicitly say that they're working towards net zero, but they are aiming to abate their emissions through carbon removals which, in addition to their carbon neutral achievements (SBTI reductions across all three scopes), would get them to net zero. </t>
  </si>
  <si>
    <t xml:space="preserve">Achieved through offsetting. </t>
  </si>
  <si>
    <t>Scope 1 and Scope 2 emissions, as well as Scope 3 business travel emissions</t>
  </si>
  <si>
    <t xml:space="preserve">50% reduction from 2008 levels by the year 2030. </t>
  </si>
  <si>
    <t>$43,883.2</t>
  </si>
  <si>
    <t>$1,147.6</t>
  </si>
  <si>
    <t>https://global.canon/en/csr/report/pdf/canon-sus-2019-e-18.pdf</t>
  </si>
  <si>
    <t>$321,485.5</t>
  </si>
  <si>
    <t>$5,339.1</t>
  </si>
  <si>
    <t>Takes into account: The emissions produced by the consumption of fuels and coolant gases (scope 1), The indirect emissions generated from electricity consumption (scope 2), The remaining indirect emissions generated by the consumption of goods and services, waste treatment and business trips of employees (scope 3). 100% of electricity consumed at CaixaBank’s corporate centre in Barcelona, and 99.31% of that consumed at all buildings and within the entity’s. They have conducted abatement and reforestation projects to remove CO2. branch network originate from renewable energy sources, as accredited by the supplier Naturgy
Verified Carbon Standard</t>
  </si>
  <si>
    <t>Scopes 1, 2 and 3 ("Other indirect emissions... Products and services consumed")</t>
  </si>
  <si>
    <t>https://www.caixabank.com/responsabilidadcorporativa/medioambiente/eficienciaambiental_en.html</t>
  </si>
  <si>
    <t xml:space="preserve"> In 2019, Bunge scored a B for Climate by CDP. Weak emissions reduction goals: The target for 2026 is reducing emissions intensity by 10%, considering a 2016 baseline. </t>
  </si>
  <si>
    <t>$18,317</t>
  </si>
  <si>
    <t>$-1,280</t>
  </si>
  <si>
    <t>https://www.bunge.com/sites/default/files/2018_gri_sustainability_report.pdf</t>
  </si>
  <si>
    <t>https://www.bt.com/about/digital-impact-and-sustainability/tackling-climate-change/the-road-to-net-zero#accordion-1</t>
  </si>
  <si>
    <t>"By the end of 2020, we aim to source 100% renewable electricity worldwide, where markets allow."</t>
  </si>
  <si>
    <t>-       PPA via direct wire: Procurement from onsite installations owned by a supplier
-       PPA via direct wire: Procurement from offsite installations owned by a supplier
-       PPA via grid: Procurement from offsite grid- connected generators
-       Contracts via grid: Contract with suppliers - Grid supplied renewable supplies
-       Self-generation: Generated by the consumer</t>
  </si>
  <si>
    <t>Overall, we cut the total Scope 1 &amp; 2 emissions from our global operations by 18.6% this year to 243Ktonnes of CO2e. Since 2016/17, we’ve reduced our carbon intensity by 42% to 18 tonnes of CO2e per £m value added – on our way to our 87% reduction target for 2030</t>
  </si>
  <si>
    <t>$65,850.8</t>
  </si>
  <si>
    <t>$2,202.8</t>
  </si>
  <si>
    <t>https://www.bt.com/about/digital-impact-and-sustainability/tackling-climate-change/the-road-to-net-zero#accordion-3</t>
  </si>
  <si>
    <t xml:space="preserve">Business </t>
  </si>
  <si>
    <t>https://www.bt.com/about/digital-impact-and-sustainability/tackling-climate-change/the-road-to-net-zero</t>
  </si>
  <si>
    <t>ERT: '30% reduction in carbon footprint by 2030.'</t>
  </si>
  <si>
    <t>$323,969</t>
  </si>
  <si>
    <t>$2,807</t>
  </si>
  <si>
    <t>https://www.brookfield.com/sites/default/files/2019-09/BAM_ESG_Report_2018.pdf</t>
  </si>
  <si>
    <t>$186,761.1</t>
  </si>
  <si>
    <t>$7,278.7</t>
  </si>
  <si>
    <t xml:space="preserve">No obvious plan for offsetting. Reduce Scopes 1 and 2 CO2e emissions by 30% by 2025; To reduce absolute Scope 1 and Scope 2 CO2e emissions by 30% to 605 tonnes by 2030; Source 30% of our direct energy from renewable sources by 2025. </t>
  </si>
  <si>
    <t xml:space="preserve">Direct operations </t>
  </si>
  <si>
    <t>$129,944</t>
  </si>
  <si>
    <t>$3,439</t>
  </si>
  <si>
    <t>Bristol-Myers Squibb</t>
  </si>
  <si>
    <t>Goal to reduce  absolute CO2 emissions (Scope 1 and 2*1) by 30% and aspire to reduce by 50% by 2030</t>
  </si>
  <si>
    <t>$36,319.8</t>
  </si>
  <si>
    <t>$2,684</t>
  </si>
  <si>
    <t>https://www.bridgestone.com/responsibilities/environment/reduce_co2/operations/</t>
  </si>
  <si>
    <t xml:space="preserve">Supports World Bank carbon pricing, supplying natural gas, producing renewable energy. Not for profit carbon offsetting programme, 2.5mil tonnes in past 10 years.' </t>
  </si>
  <si>
    <t>$295,194</t>
  </si>
  <si>
    <t>$4,026</t>
  </si>
  <si>
    <t>https://www.bp.com/en/global/corporate/news-and-insights/bp-magazine/sustainability-report-carbon-6-ways-bp-taking-action.html</t>
  </si>
  <si>
    <t>https://www.bp.com/en/global/corporate/sustainability/climate-change/reducing-emissions-in-our-operations.html and https://www.ft.com/content/07497357-5c39-4dea-839f-b33691dc7195</t>
  </si>
  <si>
    <t>BP equity share basis? Does this qualify for NZ? significant stake in Russia’s state-backed Rosneft not being covered in its plans</t>
  </si>
  <si>
    <t xml:space="preserve">Scope 1, 2, 3. We aim to be net zero across our entire operations on an absolute basis by 2050 or sooner. This aim relates to Scope 1 and 2 GHG emissions. And we aim to be net zero on an absolute basis across the carbon in our upstream oil and gas production by 2050 or sooner. This is our Scope 3 aim, and is on a bp equity share basis excluding Rosneft. </t>
  </si>
  <si>
    <t>We aim to be net zero across our entire operations on an absolute basis by 2050 or sooner. This aim relates to Scope 1 and 2 GHG emissions. And we aim to be net zero on an absolute basis across the carbon in our upstream oil and gas production by 2050 or sooner. This is our Scope 3 aim, and is on a bp equity share basis excluding Rosneft.</t>
  </si>
  <si>
    <t>https://www.bp.com/en/global/corporate/sustainability/climate-change/reducing-emissions-in-our-operations.html</t>
  </si>
  <si>
    <t>20 % reduction in the carbon footprint between 2015 and 2030</t>
  </si>
  <si>
    <t>$44,170.9</t>
  </si>
  <si>
    <t>$1,325.2</t>
  </si>
  <si>
    <t>https://www.bouygues-construction.com/en/page-engagement/carbon-energy</t>
  </si>
  <si>
    <t xml:space="preserve"> We also set ourselves a target for the upstream and downstream stages of the value chain (scope 3) in 2019. In addition to this specific goal, we want to make an active contribution to ensuring that the stages of the value chain that we do not influence alone will also be climate neutral by 2050.</t>
  </si>
  <si>
    <t>$99,927.3</t>
  </si>
  <si>
    <t>$1,780.7</t>
  </si>
  <si>
    <t>https://www.bosch.com/company/sustainability/environment/</t>
  </si>
  <si>
    <t>emissions in our direct sphere of influence (scope 1 and 2) carbon neutral worldwide.</t>
  </si>
  <si>
    <t>scope 1 and 2</t>
  </si>
  <si>
    <t>achieve a global approach to carbon-neutral growth — starting in 2020 with a 50% reduction by 2050.'</t>
  </si>
  <si>
    <t>$133,625</t>
  </si>
  <si>
    <t>$-636</t>
  </si>
  <si>
    <t>https://www.boeing.com/principles/environment/index.page#:~:text=2020%20Global%20Environment%20Report%20demonstrates%20Boeing's%20commitment%20to%20sustainability&amp;text=Boeing's%20commitment%20to%20energy%2Defficient,a%2050%25%20reduction%20by%202050.</t>
  </si>
  <si>
    <t>ERT: Goal for 2020 ' 25% reduction in employee emissions.'</t>
  </si>
  <si>
    <t>$2,429,673.9</t>
  </si>
  <si>
    <t>$9,147.7</t>
  </si>
  <si>
    <t>https://group.bnpparibas/en/news/carbon-neutral-bnp-paribas-commitment-climate</t>
  </si>
  <si>
    <t>reduce its direct impact on the environment—impacts that are linked to business activities.</t>
  </si>
  <si>
    <t>https://group.bnpparibas/en/news/closer-carbon-neutrality-bnp-paribas</t>
  </si>
  <si>
    <t>direct greenhouse gas emissions and indirect emissions linked to the purchase of energy and to business travels</t>
  </si>
  <si>
    <t>-       Direct procurement from offsite grid-connected generators (PPA)
-       Unbundled renewable energy attribute certificates
-       Contract with suppliers
-       Self-generation</t>
  </si>
  <si>
    <t>By 2020, the BMW Group will have reduced CO2 emissions in the European new vehicle fleet
(EU-28) by at least 50 % compared to the base year (1995)' AND 'e first car man
-
ufacturer to join the international “Getting to Zero Coali
-
tion”. The objective of this initiative is to use zero-emission
cargo vessels from 2030.'</t>
  </si>
  <si>
    <t>$255,945.4</t>
  </si>
  <si>
    <t>$5,501.2</t>
  </si>
  <si>
    <t>https://www.bmwgroup.com/content/dam/grpw/websites/bmwgroup_com/responsibility/downloads/en/2020/2020-BMW-Group-SVR-2019-Englisch.pdf</t>
  </si>
  <si>
    <t>BHP</t>
  </si>
  <si>
    <t>Australasia and Europe</t>
  </si>
  <si>
    <t>$100,861</t>
  </si>
  <si>
    <t>$8,306</t>
  </si>
  <si>
    <t>https://www.bhp.com/environment/climate-change/</t>
  </si>
  <si>
    <t>Doesn't cover scope 3. No specifications about all scopes or about removals. As we work to develop an integrated product stewardship strategy in FY2020 we intend to look to identify additional opportunities to work with others in our value chain to influence emissions reductions. We also intend to set public goals related to Scope 3 emissions.</t>
  </si>
  <si>
    <t xml:space="preserve">Operational emissions </t>
  </si>
  <si>
    <t xml:space="preserve">Reduce electricity use, accelerate renewables use, exploring low emissions technologies. Carbon offsets will be used as required, but no specification about removals. </t>
  </si>
  <si>
    <t>in the latter half of this century</t>
  </si>
  <si>
    <t>operational emissions</t>
  </si>
  <si>
    <t>Australia / UK</t>
  </si>
  <si>
    <t>$19,952.2</t>
  </si>
  <si>
    <t>$430.9</t>
  </si>
  <si>
    <t>American multinational consumer electronics retailer Best Buy commits to reduce absolute Scope 1 and Scope 2 GHG emissions 50% by 2030 from a 2017 base-year. Best Buy also commits to reduce absolute Scope 3 GHG emissions from Use of Sold Products 20% by 2030 from a 2017 base-year.</t>
  </si>
  <si>
    <t>Reduce carbon emissions in our operations by 75% (over 2009 baseline) by 2030 ; carbon neutral by 2050
Reduce carbon emissions for our customers by 20% (over 2017 baseline) by 2030; saving $5 billion in energy costs</t>
  </si>
  <si>
    <t>$15,591</t>
  </si>
  <si>
    <t>$1,541</t>
  </si>
  <si>
    <t>https://corporate.bestbuy.com/sustainability/</t>
  </si>
  <si>
    <t xml:space="preserve">No mention of scope or how. They have also  identified targets for 2030, shown in Other. </t>
  </si>
  <si>
    <t>Approximately 43% of our owned and contracted generating capacity coming from renewable and noncarbon sources.'</t>
  </si>
  <si>
    <t>$817,729</t>
  </si>
  <si>
    <t>$81,417</t>
  </si>
  <si>
    <t>https://www.brkenergy.com/environment/renewables</t>
  </si>
  <si>
    <t>$71,908.7</t>
  </si>
  <si>
    <t>$746.9</t>
  </si>
  <si>
    <t>$141,712</t>
  </si>
  <si>
    <t>$4,578.9</t>
  </si>
  <si>
    <t>implement energy efficiency measures at our sites and switch to 100 percent electricity from renewable energies. The remaining emissions will be offset by purchasing certificates from climate protection projects with recognized quality standards.'</t>
  </si>
  <si>
    <t>Carbon Neutral Operations (Scope 1 and Scope 2 (market-based) emissions of the environmentally relevant sites)</t>
  </si>
  <si>
    <t>https://www.bayer.com/en/climate-protection.aspx</t>
  </si>
  <si>
    <t>$97,592.7</t>
  </si>
  <si>
    <t>$9,425.3</t>
  </si>
  <si>
    <t>"partnering with the Blue Marine Foundation to help protect and sustain the largest carbon sink on Earth: the ocean"</t>
  </si>
  <si>
    <t>$1,510,233.3</t>
  </si>
  <si>
    <t>$4,177.9</t>
  </si>
  <si>
    <t>https://home.barclays/society/our-position-on-climate-change/</t>
  </si>
  <si>
    <t xml:space="preserve">Have announced aim to be net zero by 2050 through reducing emissions in scopes 1, 2 and 3, and and offsetting remaining emissions. However, this offsetting is done through purchasing carbon credits as opposed to removals, so I don't believe that this is a net zero goal. </t>
  </si>
  <si>
    <t>Scope 3 emissions for a bank are, in simple terms, the GHG footprint of the business activities we finance around the world.</t>
  </si>
  <si>
    <t xml:space="preserve">Barclays already has a plan to be net zero by 2030 in Scope 1 (all direct GHG emissions) and Scope 2 (indirect GHG emissions from the consumption of purchased electricity, heat or steam). "We have halved our operational GHG emissions over the last two years through procurement of green energy, and our residual footprint from our properties and business travel is fully offset, which on some definitions would make us net zero today." "We are now setting a goal to be net zero in Scope 3, across all of our financing  activity, by 2050. “Scope 3” emissions for a bank are, in simple terms, the GHG footprint of the business activities we finance around the world, across all sectors." </t>
  </si>
  <si>
    <t>operational GHG emissions</t>
  </si>
  <si>
    <t>https://home.barclays/society/our-position-on-climate-change/ and https://home.barclays/society/our-position-on-climate-change/our-commitment-to-help-limit-global-warming/</t>
  </si>
  <si>
    <t>Established an internal price on carbon in 2017, and are on-track to achieve greenhouse gas reduction target of 10 per cent by 2021.  Established a new target of 25% by 2025</t>
  </si>
  <si>
    <t>$826,480.7</t>
  </si>
  <si>
    <t>$6,314</t>
  </si>
  <si>
    <t>https://www.newswire.ca/news-releases/scotiabank-to-mobilize-100-billion-by-2025-to-support-the-transition-to-a-lower-carbon-and-more-resilient-economy-818158127.html
https://www.scotiabank.com/content/dam/scotiabank/canada/en/documents/about/Scotiabank_2019_ESG_Report.pdf</t>
  </si>
  <si>
    <t>$648,451.5</t>
  </si>
  <si>
    <t>$4,333.3</t>
  </si>
  <si>
    <t>BMO achieved Carbon Neutrality through a combination of consumption reduction activities, the purchase of renewable electricity (Renewable Energy Certificates) and closed the remaining gap via the purchase of high quality voluntary carbon offset credits.</t>
  </si>
  <si>
    <t>enterprise-wide</t>
  </si>
  <si>
    <t>https://www.bmo.com/cr/images/BMO_CDP2011en.pdf
https://corporate-responsibility.bmo.com/wp-content/uploads/2019/12/BMO-CDP-2019_English-1.pdf</t>
  </si>
  <si>
    <t>$1,422,053.8</t>
  </si>
  <si>
    <t>$11,186.4</t>
  </si>
  <si>
    <t>No specific emissions reductions. 'The Bank advocates a green and low-carbon philosophy.'</t>
  </si>
  <si>
    <t>$3,268,837.9</t>
  </si>
  <si>
    <t>$27,126.9</t>
  </si>
  <si>
    <t>https://pic.bankofchina.com/bocappd/report/202003/P020200327591091297029.pdf</t>
  </si>
  <si>
    <t>-       Unbundled renewable energy attribute certificates
-       Contract with suppliers
-       Self-generation</t>
  </si>
  <si>
    <t>$2,434,079</t>
  </si>
  <si>
    <t>$27,430</t>
  </si>
  <si>
    <t>https://newsroom.bankofamerica.com/press-releases/environment</t>
  </si>
  <si>
    <t>Pending third party verification</t>
  </si>
  <si>
    <t>Reducing Scope 1 and 2 emissions from its facilities, purchasing 100 percent renewable electricity and buying carbon offsets for its remaining unavoidable emissions.</t>
  </si>
  <si>
    <t>https://newsroom.bankofamerica.com/press-releases/environment/bank-america-achieves-carbon-neutrality</t>
  </si>
  <si>
    <t>Bank of America</t>
  </si>
  <si>
    <t>ERT: 'expects to cut total emissions by nearly a half from 2019 to 2025.'</t>
  </si>
  <si>
    <t>$1,709,072.9</t>
  </si>
  <si>
    <t>$7,292</t>
  </si>
  <si>
    <t>https://www.santander.com/en/press-room/press-releases/santander-commits-to-becoming-carbon-neutral-in-2020</t>
  </si>
  <si>
    <t>offsetting all the emissions generated by its own operations.</t>
  </si>
  <si>
    <t xml:space="preserve">In 2019, BB committed to offsetting GHG emissions from scopes 1 and 2 by acquiring carbon credits in the voluntary, regulated or carbon market. Measures and discloses  scope 1,2 and 3 emissiosn under BB's GHG Emissions Inventory. Their inventory has been gold certified since 2010. Offsetting projects: Banco do Brasil Beach Volleyball Tour and Brazil Tennis Open, sponsored by BB in Costa do Sauípe, Bahia: 1,392 trees planted. Signatory to the Brazilian GHG Protocol Program, Businesses for the Climate, and the Carbon Disclosure Project. </t>
  </si>
  <si>
    <t>$361,080.8</t>
  </si>
  <si>
    <t>$4,157.6</t>
  </si>
  <si>
    <t>https://apicatalog.mziq.com/filemanager/v2/d/5760dff3-15e1-4962-9e81-322a0b3d0bbd/977f3853-0277-a712-6d3f-9ea407621e0a?origin=2
https://www45.bb.com.br/docs/ri/ra2010/eng/ra/28.htm</t>
  </si>
  <si>
    <t xml:space="preserve">In 2019, BB committed to offsetting GHG emissions from scopes 1 and 2 by acquiring carbon credits in the voluntary, regulated or carbon market. Could mean that they have been doing this since 2019 since there is no target date for achieving this. But, they haven't advertised being carbon neutral. </t>
  </si>
  <si>
    <t>https://apicatalog.mziq.com/filemanager/v2/d/5760dff3-15e1-4962-9e81-322a0b3d0bbd/977f3853-0277-a712-6d3f-9ea407621e0a?origin=2</t>
  </si>
  <si>
    <t>offset 100%</t>
  </si>
  <si>
    <t>"In 2020, 100% of Bradesco’s operations will be supplied with electricity from renewable sources", "commitment to offset 100% of greenhouse gases (GHG) emissions from Bradesco's operations, based on it's GHG Inventory, starting in 2019"</t>
  </si>
  <si>
    <t>$342,746.8</t>
  </si>
  <si>
    <t>$5,330.5</t>
  </si>
  <si>
    <t>https://www.marketscreener.com/BANCO-BRADESCO-55345296/news/Banco-Bradesco-Position-on-climate-change-29947447/</t>
  </si>
  <si>
    <t xml:space="preserve">They were committed to offsetting all GHG emissions starting with emissions in 2019, but it is unclear whether they have achieved this </t>
  </si>
  <si>
    <t>https://www.bradescori.com.br/siteBradescoRI/Uploads/Arquivos/Comunicados/3630/3630_2_Notice%20to%20the%20Market.pdf</t>
  </si>
  <si>
    <t>48% by
2020
70% by
2025</t>
  </si>
  <si>
    <t>Aim to "reduce CO2 emissions by 68 percent from 2015 levels and for 70 percent of the energy consumed to come from renewable sources by 2025."</t>
  </si>
  <si>
    <t>$784,209.7</t>
  </si>
  <si>
    <t>$3,930.8</t>
  </si>
  <si>
    <t>https://www.bbva.com/en/as-of-january-1st-bbva-set-an-internal-price-for-its-co2-emissions-and-commits-to-being-carbon-neutral-in-2020</t>
  </si>
  <si>
    <t xml:space="preserve">Through Increasing energy efficiency, increasing usage of renewable energy, and implementing measures to facilitate group transportation and reduce travel. It has defined an internal price for its emissions. Uses offsetting, but does not specify removals. </t>
  </si>
  <si>
    <t xml:space="preserve">CO2 emissions </t>
  </si>
  <si>
    <t>https://www.bbva.com/en/as-of-january-1st-bbva-set-an-internal-price-for-its-co2-emissions-and-commits-to-being-carbon-neutral-in-2020/</t>
  </si>
  <si>
    <t>Absolute emissions reduction target pending approval from SBTI. '25% reduction in AXA’s CO2 emissions (in absolute terms t.CO2 eq.' AND 'Joined the "Net Zero Asset Owner Alliance”, a coalition of institutional investors committed to transitioning their investments to “net-zero” greenhouse gas emissions by 2050 to align their portfolios with a 1.5°C scenario.'</t>
  </si>
  <si>
    <t>$876,457.5</t>
  </si>
  <si>
    <t>$4,317</t>
  </si>
  <si>
    <t>https://www.axa.com/en/about-us/environmental-footprint-management https://www.axa.com/en/press/press-releases/axa-launches-a-new-phase-in-its-climate-strategy-to-accelerate-its-contribution-to-a-low-carbon-and-more-resilient-economy</t>
  </si>
  <si>
    <t>https://www.axa.com/en/about-us/environmental-footprint-management</t>
  </si>
  <si>
    <t>ERT: '70% reduction by 2030, against the 2010 baseline.'</t>
  </si>
  <si>
    <t>$609,327</t>
  </si>
  <si>
    <t>$3,251.4</t>
  </si>
  <si>
    <t>https://www.aviva.com/social-purpose/environment/</t>
  </si>
  <si>
    <t xml:space="preserve">offset its entire operational emissions. </t>
  </si>
  <si>
    <t>https://www.aviva.com/social-purpose/our-stories/climate-neutral-now/</t>
  </si>
  <si>
    <t xml:space="preserve">operational emissions </t>
  </si>
  <si>
    <t>Aviva</t>
  </si>
  <si>
    <t>$144,797.5</t>
  </si>
  <si>
    <t>$578.1</t>
  </si>
  <si>
    <t>$38,708.2</t>
  </si>
  <si>
    <t>$-1,637.5</t>
  </si>
  <si>
    <t>Latest report publication from 2018</t>
  </si>
  <si>
    <t>https://www.auchan-holding.com/uploads/files/modules/downloads/1554287337_5ca48ae9c5191.pdf</t>
  </si>
  <si>
    <t>AT&amp;T commits* to reduce absolute scope 1 and scope 2 GHG emissions 26% by 2030 from a 2015 base year. AT&amp;T also commits that 50% of its suppliers by spend covering purchased goods and services, capital goods, and downstream leased assets will set science-based scope 1 and scope 2 targets by 2024.
*The target boundary includes biogenic emissions and removals from bioenergy feedstocks.</t>
  </si>
  <si>
    <t>goal to enable carbon savings 10 times the footprint of our operations by 2025.'</t>
  </si>
  <si>
    <t>$551,669</t>
  </si>
  <si>
    <t>$13,903</t>
  </si>
  <si>
    <t>https://about.att.com/ecms/dam/csr/2019/library/corporate-responsibility/2019-2020-Summary.pdf</t>
  </si>
  <si>
    <t>Emission Reduction Target for 2020: 'Stable and structural reduction of at least 20% of GHG emissions compared to the base year 2013.'</t>
  </si>
  <si>
    <t>$577,557.9</t>
  </si>
  <si>
    <t>$2,988.4</t>
  </si>
  <si>
    <t>https://www.generali.com/it/our-responsibilities/our-commitment-to-the-environment-and-climate/greenhouse-gas-emissions</t>
  </si>
  <si>
    <t>CSR report does not mention climate targets</t>
  </si>
  <si>
    <t>$16,400.8</t>
  </si>
  <si>
    <t>$-204.1</t>
  </si>
  <si>
    <t xml:space="preserve">ERT: '25% reduction by 2035 over 2019 baseline.' </t>
  </si>
  <si>
    <t>$43,997</t>
  </si>
  <si>
    <t>$1,379</t>
  </si>
  <si>
    <t>https://www.adm.com/sustainability</t>
  </si>
  <si>
    <t>ERT: 'Our target in Europe is to reduce our CO2 emissions by 30% by 2030 over 2018 and be carbon neutral by 2050. Across our global portfolio our ambition is to significantly reduce our carbon footprint.'</t>
  </si>
  <si>
    <t>$87,908</t>
  </si>
  <si>
    <t>$-2,454</t>
  </si>
  <si>
    <t>https://corporate.arcelormittal.com/sustainability/approach/climate-change</t>
  </si>
  <si>
    <t xml:space="preserve">All of Apple’s offices, stores and data centres in 44 countries are powered by 100% renewable electricity sources. </t>
  </si>
  <si>
    <t>$338,516</t>
  </si>
  <si>
    <t>$55,256</t>
  </si>
  <si>
    <t>https://www.apple.com/uk/environment/</t>
  </si>
  <si>
    <t>https://www.apple.com/uk/newsroom/2020/07/apple-commits-to-be-100-percent-carbon-neutral-for-its-supply-chain-and-products-by-2030/</t>
  </si>
  <si>
    <t>Carbon neutral across its entire business, manufacturing supply chain, and product life cycle. Reduce emissions by 75 percent by 2030 while developing innovative carbon removal solutions for the remaining 25 percent of its comprehensive footprint</t>
  </si>
  <si>
    <t>All of our operations, from commuting to business travel, are carbon neutral too.</t>
  </si>
  <si>
    <t>entire business, manufacturing supply chain, and product life cycle</t>
  </si>
  <si>
    <t>operations... commuting [and] business travel</t>
  </si>
  <si>
    <t>Emissions Reduction Target: 'Reduce our scope I and II greenhouse gas (GHG) emissions intensity by 30% by 2020 (2013 baseline).'</t>
  </si>
  <si>
    <t>$77,453</t>
  </si>
  <si>
    <t>$4,807</t>
  </si>
  <si>
    <t>https://www.anthemcorporateresponsibility.com/environmental-policy-and-commitments</t>
  </si>
  <si>
    <t>$47,781.1</t>
  </si>
  <si>
    <t>$-208.9</t>
  </si>
  <si>
    <t>$31,609.4</t>
  </si>
  <si>
    <t>$1,773</t>
  </si>
  <si>
    <t>Global Brewer AB InBev commits to reduce absolute scopes 1 and 2 GHG emissions 35% by 2025 from a 2017 base year. AB InBev commits to increase annual sourcing of renewable electricity from 7% in 2016 to 100% by 2025. AB InBev also commits to reduce emissions across the value chain (Scopes 1, 2 and 3) by 25% per beverage by 2025, from a 2017 base year. These commitments reinforce AB InBev’s commitment towards mitigating the impacts of climate change.</t>
  </si>
  <si>
    <t>$236,648</t>
  </si>
  <si>
    <t>$9,171</t>
  </si>
  <si>
    <t>pre-July</t>
  </si>
  <si>
    <t>Africa</t>
  </si>
  <si>
    <t>$56,152</t>
  </si>
  <si>
    <t>$3,547</t>
  </si>
  <si>
    <t>Aiming for 30% reduction in GHG by 2030. Reducing energy consumption through FutureSmart MiningTM methods and technology adoption and switching to low carbon energy sourcing, increasing renewables in our energy mix. They say they will use carbon pricing</t>
  </si>
  <si>
    <t>https://www.angloamerican.com/sustainability/environment/climate-change</t>
  </si>
  <si>
    <t>South Africa</t>
  </si>
  <si>
    <t xml:space="preserve">No specific emission reduction targets. 'Improving operations and reducing our carbon footprint wherever possible.' </t>
  </si>
  <si>
    <t>$39,172</t>
  </si>
  <si>
    <t>$855.4</t>
  </si>
  <si>
    <t>https://www.amerisourcebergen.com/-/media/assets/amerisourcebergen/corporate_citizenship/abc_corpcitizenship_report_2019_final.pdf?la=en&amp;hash=4277633C393A9824CE096307072597F9715BABC2</t>
  </si>
  <si>
    <t>$525,064</t>
  </si>
  <si>
    <t>$3,348</t>
  </si>
  <si>
    <t xml:space="preserve">Zero net </t>
  </si>
  <si>
    <t>Yes, claims, but not according to SBTI</t>
  </si>
  <si>
    <t>$198,321</t>
  </si>
  <si>
    <t>$6,759</t>
  </si>
  <si>
    <t>https://s1.q4cdn.com/692158879/files/doc_downloads/social_reports/2018-2019-American-Express-CSR-Report.pdf</t>
  </si>
  <si>
    <t>Claim they are "zero net" and "net zero", but no evidence of removals. Follow CarbonNeutral Protocol</t>
  </si>
  <si>
    <t>Through a combination of renewable energy credits, carbon offsets, and emission reduction projects around the world</t>
  </si>
  <si>
    <t>CarbonNeutral®</t>
  </si>
  <si>
    <t>scope 1, 2 and 3 (employee business travel and waste)</t>
  </si>
  <si>
    <t>Yes by virtue of zero net</t>
  </si>
  <si>
    <t>https://about.americanexpress.com/corporate-responsibility/sustainability/sustainability/default.aspx</t>
  </si>
  <si>
    <t xml:space="preserve">"carbon neutral growth in international emissions after 2020 using market based measures, and a 50% reduction in greenhouse
gas emissions by 2050 which will primarily come from sustainable alternative jet fuel. GHG emissions reduction goals are described on behlaf of the collective airlines industry. ", "a company goal to source 2.5 million gigajoules — the energy equivalent to almost 20 million gallons of jet fuel — of cost-competitive renewables by 2025.", "established a 20-year goal to reduce our GHG intensity ratio by 30 percent between 2005 and 2025.", complying under protest to the EU ETS. </t>
  </si>
  <si>
    <t>$59,995</t>
  </si>
  <si>
    <t>$1,686</t>
  </si>
  <si>
    <t>https://www.aacargo.com/about/safeguarding-green-future.html</t>
  </si>
  <si>
    <t>$81,132</t>
  </si>
  <si>
    <t>$3,518</t>
  </si>
  <si>
    <t>https://s22.q4cdn.com/604986553/files/doc_downloads/sustainability/2020/07/v2/2019-Sustainability-Report.pdf</t>
  </si>
  <si>
    <t>in line with the criteria and recommendations of the Science Based Targets initiative</t>
  </si>
  <si>
    <t>reach net-zero emissions</t>
  </si>
  <si>
    <t>in line with... Science Based Targets initiative</t>
  </si>
  <si>
    <t>$23,170.8</t>
  </si>
  <si>
    <t>$1,807.3</t>
  </si>
  <si>
    <t>Amazon</t>
  </si>
  <si>
    <t xml:space="preserve">Concerns around the transparency around Amazon's renewable projects. </t>
  </si>
  <si>
    <t>$225,248</t>
  </si>
  <si>
    <t>$11,588</t>
  </si>
  <si>
    <t>https://uk.reuters.com/article/us-amazon-environment/amazon-vows-to-be-carbon-neutral-by-2040-buying-100000-electric-vans-idUKKBN1W41ZV</t>
  </si>
  <si>
    <t>https://sustainability.aboutamazon.com/ and https://www.forbes.com/sites/prakashdolsak/2020/06/24/amazons-2019-sustainability-report-some-progress-but-critical-challenges-remain/#2ff094226254</t>
  </si>
  <si>
    <t xml:space="preserve">Amazon includes emissions from products sold under its private label. But these constitute only a fraction of its online sales (we are not even talking about the emissions that results when Amazon sells its cloud computing services to the fossil fuel sector; more on this below). In our opinion, climate leaders are responsible for the climate impact of all products they sell or profit from. Thus, without providing comprehensive data on all its Scope 3 emissions, it is difficult to assess Amazon's climate footprint, leave aside its "real" climate commitment. </t>
  </si>
  <si>
    <t>Across our business</t>
  </si>
  <si>
    <t>Investing $100mn in reforestation &amp; climate mitigation.'</t>
  </si>
  <si>
    <t xml:space="preserve">across our business </t>
  </si>
  <si>
    <t>https://sustainability.aboutamazon.com/</t>
  </si>
  <si>
    <t>$93,947.7</t>
  </si>
  <si>
    <t>$273.2</t>
  </si>
  <si>
    <t>-       Direct procurement from offsite grid-connected generators (PPA)
-       Self-generation</t>
  </si>
  <si>
    <t>Carbon Neutral &amp; Net Zero</t>
  </si>
  <si>
    <t>Increase the net positive impact of our products.'</t>
  </si>
  <si>
    <t>net positive'</t>
  </si>
  <si>
    <t>$275,909</t>
  </si>
  <si>
    <t>$34,343</t>
  </si>
  <si>
    <t>https://services.google.com/fh/files/misc/google_2019-environmental-report.pdf</t>
  </si>
  <si>
    <t>As we work to reduce our emissions, our need for carbon offsets will continue to decrease. We reduce our Scope 1 and 2 emissions by improving energy efficiency and procuring renewable energy. We reduce our operational Scope 3 emissions by minimizing the need for business travel through encouraging use of video conferencing tools like Google Hangouts for meetings.</t>
  </si>
  <si>
    <t>we’ve partnered with more than 40 carbon offset projects to offset more than 19 million tCO2e. One of Google’s long-standing project partners is OneidaHerkimer Solid Waste Management Authority, a landfill gas project in upstate New York, United States</t>
  </si>
  <si>
    <t>Because of our renewable energy and carbon offset programs, our net operational carbon emissions during this period were zero.</t>
  </si>
  <si>
    <t>$119,950</t>
  </si>
  <si>
    <t>$4,847</t>
  </si>
  <si>
    <t xml:space="preserve">35% GHG emissions reduction
per employee since 2010 against a 2020 target of -30%.' 'Our approach to the low-carbon transition will be steered by
our commitment to set science-based emission reduction targets
as well as to reaching net-zero emissions in our proprietary
investment portfolio by 2050. ' </t>
  </si>
  <si>
    <t>$1,134,954</t>
  </si>
  <si>
    <t>$8,857.8</t>
  </si>
  <si>
    <t>https://www.allianz.com/content/dam/onemarketing/azcom/Allianz_com/sustainability/documents/Allianz_Group_Sustainability_Report_2019-web.pdf</t>
  </si>
  <si>
    <t>Since 2012, we neutralize our remaining carbon emissions by investing in carbon projects like forest protection in Kenya. Together with our other carbon reduction strategies, these efforts made us a carbon neutral company.</t>
  </si>
  <si>
    <t>30% of our sites to be carbon neutral by 2030.'</t>
  </si>
  <si>
    <t>$22,607.7</t>
  </si>
  <si>
    <t>$1,833.9</t>
  </si>
  <si>
    <t>https://corpo.couche-tard.com/rapport-EN/</t>
  </si>
  <si>
    <t>$185,026.5</t>
  </si>
  <si>
    <t>$21,450.2</t>
  </si>
  <si>
    <t>$24,735.1</t>
  </si>
  <si>
    <t>Albertsons</t>
  </si>
  <si>
    <t>$36,945.1</t>
  </si>
  <si>
    <t>$221.3</t>
  </si>
  <si>
    <t>https://www.aisin.com/csr/environment/carbon/</t>
  </si>
  <si>
    <t xml:space="preserve">no evidence of removals, but they do say that they promote global nature and environmental conservation activities. It is probably carbon neutral not net zero </t>
  </si>
  <si>
    <t xml:space="preserve">* Every process including extraction of resources, processing of raw materials and the manufacturing, consumption and disposal of the product. 
Through promotion and expansion of development of new functional components that can contribute to significant reduction of CO2 emissions, establishment of a clean-energy factory system and manufacturing under such system. </t>
  </si>
  <si>
    <t>CO2 emissions… throughout the life cycle* of our products</t>
  </si>
  <si>
    <t>No - but future commitment by virtue of "zero"</t>
  </si>
  <si>
    <t>throughout the life cycle of our products</t>
  </si>
  <si>
    <t>Carbon-neutral growth: From 2020, net carbon emissions from aviation will be capped. This means that even though air travel is increasing, greenhouse gas emissions will not (ATAG).' '50% reduction in CO2 emissions: By 2050, net aviation carbon emissions will be half of 2005 levels (CORSIA).'</t>
  </si>
  <si>
    <t>$128,412.7</t>
  </si>
  <si>
    <t>$-1,524.4</t>
  </si>
  <si>
    <t>https://www.airbus.com/company/sustainability/environment/decarbonisation.html</t>
  </si>
  <si>
    <t>Ambition 2020: reduce CO2 emissions by 20% compared to 2011*. This will be done through 1) Fleet modernization: a modern and energy efficient fleet improves both economic and environmental performances, 2) Operational efficiency: reducing weight carried on board, optimizing the use of airspace and eco-piloting in the air and on the ground reduce CO2 emissions, 3) Using sustainable biofuels: partnerships to accelerate the development of a market for sustainable biofuels, 4) Offsetting emissions: a CO2 offset service for their customers based on the distance flown and fuel-efficiency data of aircraft.
Airfrance has offset 100% of the emissions of its domestic flights as of 1st January 2020</t>
  </si>
  <si>
    <t>$34,497</t>
  </si>
  <si>
    <t>$324.6</t>
  </si>
  <si>
    <t>https://www.airfranceklm.com/en/carbon-footprint</t>
  </si>
  <si>
    <t>ERT: '25% emissions reduction target per
employee by 2030 with 2017 as
a base year. The target applies to
Scope 1 and Scope 2 emissions.'</t>
  </si>
  <si>
    <t>$284,132</t>
  </si>
  <si>
    <t>$6,648</t>
  </si>
  <si>
    <t>https://www.aia.com/content/dam/group/en/esg/HAR20020050_E_AIA_ESG19(1550)F_.pdf</t>
  </si>
  <si>
    <t>Signature of UN Principles for Responsible Banking (PRB)</t>
  </si>
  <si>
    <t>$3,571,541.7</t>
  </si>
  <si>
    <t>$30,701.2</t>
  </si>
  <si>
    <t>https://www.globalcapital.com/article/b1h9h6htjzl09k/the-path-to-zero-carbon-fast-will-mean-firm</t>
  </si>
  <si>
    <t>-       Self-generation</t>
  </si>
  <si>
    <t>$102,574.7</t>
  </si>
  <si>
    <t>$246.2</t>
  </si>
  <si>
    <t xml:space="preserve"> from our stores… [and] from our business operations.</t>
  </si>
  <si>
    <t>https://www.aeon.info/export/sites/default/common/images/en/pressroom/imgsrc/180328R_3.pdf</t>
  </si>
  <si>
    <t>our stores… [and] business operations.</t>
  </si>
  <si>
    <t>$494,246.6</t>
  </si>
  <si>
    <t>$1,386.8</t>
  </si>
  <si>
    <t>ClimateCare</t>
  </si>
  <si>
    <t>operations in the Netherlands, the UK and the US... since 2016... We extended the scope of our carbon offsetting to cover all our wholly-owned operations in 2019</t>
  </si>
  <si>
    <t>https://www.aegon.com/newsroom/news/2017/carbon-neutral/</t>
  </si>
  <si>
    <t>Aegon</t>
  </si>
  <si>
    <t>carbon neutrality / climate neutrality</t>
  </si>
  <si>
    <t>$23,211.2</t>
  </si>
  <si>
    <t>$2,211.7</t>
  </si>
  <si>
    <t>for our own operations</t>
  </si>
  <si>
    <t>https://www.adidas-group.com/en/sustainability/managing-sustainability/environmental-approach/#/unser-ansatz/unser-ansatz/green-company-initiative-fur-eigene-standorte/</t>
  </si>
  <si>
    <t>$11,864.9</t>
  </si>
  <si>
    <t>$813.7</t>
  </si>
  <si>
    <t>as an organisation</t>
  </si>
  <si>
    <t>In 2019, stimated emissions savings of 25,419.61 tCO2 in
initiatives such as the supply of electricity through
renewable energies with guarantee of origin or the
substitution and replacement of vehicles. They say they are committed to Avoiding or minimizing energy consumption
and the emission of greenhouse gases generated by its activities.
- Setting greenhouse gas emission reduction targets aligned with the latest trends and standards.</t>
  </si>
  <si>
    <t>$43,315.7</t>
  </si>
  <si>
    <t>$1,076.7</t>
  </si>
  <si>
    <t>https://www.grupoacs.com/ficheros_editor/File/05_responsabilidad_corporativa/00%20PDFS/6.1.%20Medio%20ambiente_en.pdf</t>
  </si>
  <si>
    <t>Climate Neutral</t>
  </si>
  <si>
    <t>$100,441.3</t>
  </si>
  <si>
    <t>$537.2</t>
  </si>
  <si>
    <t xml:space="preserve"> 'Since we already decided in 2011 to work CO₂-neutral, we have since been compensating our emissions by purchasing 'VCS certificates. This policy will no longer be necessary from 2030.' 'Will be fully climate neutral by 2030.'</t>
  </si>
  <si>
    <t>climate neutral business operations</t>
  </si>
  <si>
    <t>https://nieuws.achmea.nl/achmea-werkt-in-2030-volledig-klimaatneutraal/</t>
  </si>
  <si>
    <t>-       Direct procurement from offsite grid-connected generators (PPA)
-       Contract with suppliers
-       Unbundled renewable energy attribute certificates</t>
  </si>
  <si>
    <t xml:space="preserve"> Moved towards virtual servers and migrated from workstations to laptops. They are more than a quarter of the way
to their goal of procuring 100% renewable energy by 2023, with 26% of
their  energy coming from renewable sources in fiscal 2019.</t>
  </si>
  <si>
    <t>$29,789.9</t>
  </si>
  <si>
    <t>$4,779.1</t>
  </si>
  <si>
    <t>https://www.accenture.com/_acnmedia/PDF-120/Accenture-Corporate-Citizenship-Report-2019.pdf#zoom=40</t>
  </si>
  <si>
    <t>Reduce scopes 1 and 2 - market based - by 2035</t>
  </si>
  <si>
    <t>$89,115</t>
  </si>
  <si>
    <t>$7,882</t>
  </si>
  <si>
    <t>https://www.abbvie.com/content/dam/abbvie-dotcom/uploads/PDFs/our-position-on-global-climate-change.pdf
https://www.abbvie.com/responsibility/communities-and-environment/environmental-sustainability.html</t>
  </si>
  <si>
    <t xml:space="preserve">met 42% CO2 reduction target by 2020 compared to 2010 baseline. </t>
  </si>
  <si>
    <t>$67,887</t>
  </si>
  <si>
    <t>$3,687</t>
  </si>
  <si>
    <t>https://dam.abbott.com/en-us/documents/pdfs/abbott-citizenship/Abbott2018GlobalSustainabilityReport.pdf#page=43</t>
  </si>
  <si>
    <t>Met their 2019 target to reduce  GHG emissions by 40 percent by the end of 2020 from a 2013 baseline. Now is establishing a science-based GHG emissions target for  post-2020 sustainability objectives and is currently working to calculate what this target should be.</t>
  </si>
  <si>
    <t>$46,108</t>
  </si>
  <si>
    <t>$1,439</t>
  </si>
  <si>
    <t>https://sustainabilityreport2019.abb.com/responsible-operations/climate-action.html</t>
  </si>
  <si>
    <t>50% by 2025</t>
  </si>
  <si>
    <t>$44,659</t>
  </si>
  <si>
    <t>$4,570</t>
  </si>
  <si>
    <t>CEO Business Roundtable</t>
  </si>
  <si>
    <t>BSR</t>
  </si>
  <si>
    <t>WBCSD member</t>
  </si>
  <si>
    <t>InfluenceMap score</t>
  </si>
  <si>
    <t>InfluenceMap positive or negative</t>
  </si>
  <si>
    <t>InfluenceMap</t>
  </si>
  <si>
    <t>CN or SBT first</t>
  </si>
  <si>
    <t>RE100 - source</t>
  </si>
  <si>
    <t>RE100 - notes</t>
  </si>
  <si>
    <t>RE100 - if 2019</t>
  </si>
  <si>
    <t>RE100 - APPROACH</t>
  </si>
  <si>
    <t>RE100 - 2014</t>
  </si>
  <si>
    <t>RE100 - 2015</t>
  </si>
  <si>
    <t>RE100 - 2016</t>
  </si>
  <si>
    <t>RE100 - 2017</t>
  </si>
  <si>
    <t>RE100 - 2018 progress</t>
  </si>
  <si>
    <t>RE100 - INTERIM Target</t>
  </si>
  <si>
    <t>RE100 tweak</t>
  </si>
  <si>
    <t>HQ</t>
  </si>
  <si>
    <t>If 2019 announcement</t>
  </si>
  <si>
    <t>Result from 2019 re carbon neutral</t>
  </si>
  <si>
    <t>AW check</t>
  </si>
  <si>
    <t>SBT % reduction - scope 3</t>
  </si>
  <si>
    <t>SBT % reduction - scope 2</t>
  </si>
  <si>
    <t>SBT % reduction - scope 1</t>
  </si>
  <si>
    <t>SBT % reduction - scope 1 &amp; 2</t>
  </si>
  <si>
    <t>SBT year of achievement - scope 3</t>
  </si>
  <si>
    <t>SBT year of achievement - scope 2</t>
  </si>
  <si>
    <t>SBT year of achievement - scope 1</t>
  </si>
  <si>
    <t>Date Committed / Target published</t>
  </si>
  <si>
    <t>Target Qualification</t>
  </si>
  <si>
    <t>SBT status</t>
  </si>
  <si>
    <t>Emphasis (cn vs nz)</t>
  </si>
  <si>
    <t>Other (e.g. emissions reduction target (ERT))</t>
  </si>
  <si>
    <t>"carbon negative"/"climate positive" / “climate positive” / “carbon positive”</t>
  </si>
  <si>
    <t>Is the company net zero? (Yes, No, No-but future commitment, Unsure, Previously, Claims but not according to SBTi)</t>
  </si>
  <si>
    <t>Old catgorisation of CN</t>
  </si>
  <si>
    <t>Does it have an SBT?</t>
  </si>
  <si>
    <t>If-pre-2030 net zero date of commitment</t>
  </si>
  <si>
    <t>If-pre-2030 RE100 date of commitment</t>
  </si>
  <si>
    <t>If-pre-2030 SBT date of commitment</t>
  </si>
  <si>
    <t>If-pre-2030 CN date of commitment</t>
  </si>
  <si>
    <t>What pre-2030 commitment?</t>
  </si>
  <si>
    <t>What commitments?</t>
  </si>
  <si>
    <t>Private/Public (govt-owned)</t>
  </si>
  <si>
    <t>Region</t>
  </si>
  <si>
    <t>Years on Fortune Global 500 list</t>
  </si>
  <si>
    <t>Change in Fortune Global 500 rank</t>
  </si>
  <si>
    <t>Link</t>
  </si>
  <si>
    <t>Definition</t>
  </si>
  <si>
    <t>Scope of net zero (ideally "Scope 1, 2, 3")</t>
  </si>
  <si>
    <t>Notes of CN</t>
  </si>
  <si>
    <t>Certification of CN (DIRECT QUOTES ONLY - NO NEED FOR QUOTATION MARKS e.g. "PAS 2060 certified by SGS" - bear in mind quite unlikely to state)</t>
  </si>
  <si>
    <t>Scope of CN (DIRECT QUOTES ONLY - NO NEED FOR QUOTATION MARKS e.g. Scopes 1 and 2 and business travel)</t>
  </si>
  <si>
    <t>Is the company Carbon Neutral? (Yes, No, No-but future commitment, Unsure, Previously)</t>
  </si>
  <si>
    <t>No CN or NZ commitment</t>
  </si>
  <si>
    <t>Announced</t>
  </si>
  <si>
    <t>Scope - in their words</t>
  </si>
  <si>
    <t>Net zero action/commitment</t>
  </si>
  <si>
    <t>Target (average of targets for three scope)</t>
  </si>
  <si>
    <t>Target Set (T) or Committed (C)</t>
  </si>
  <si>
    <t>Target/Achieved</t>
  </si>
  <si>
    <t>Carbon neutral action/commitment?</t>
  </si>
  <si>
    <t>link</t>
  </si>
  <si>
    <t xml:space="preserve">investment portfolio [and] operations </t>
  </si>
  <si>
    <t>V</t>
  </si>
  <si>
    <t>facilities and business travel</t>
  </si>
  <si>
    <t>Y</t>
  </si>
  <si>
    <t>Financial</t>
  </si>
  <si>
    <t>Zijin Mining Group</t>
  </si>
  <si>
    <t>Zhejiang Rongsheng Holding Group</t>
  </si>
  <si>
    <t>Zhejiang Hengyi Group</t>
  </si>
  <si>
    <t>Transportation and logistics</t>
  </si>
  <si>
    <t>Zhejiang Communications Investment Group</t>
  </si>
  <si>
    <t>all three scopes of the Greenhouse Gas Protocol</t>
  </si>
  <si>
    <t>Yunnan Provincial Investment Holding Group</t>
  </si>
  <si>
    <t>T</t>
  </si>
  <si>
    <t>WH Group</t>
  </si>
  <si>
    <t>Scopes 1, 2, and 3 financed emissions</t>
  </si>
  <si>
    <t>no SBT</t>
  </si>
  <si>
    <t>operations (Scopes 1 and 2)</t>
  </si>
  <si>
    <t>Weichai Power</t>
  </si>
  <si>
    <t>direct operations</t>
  </si>
  <si>
    <t>Telecommunications and media</t>
  </si>
  <si>
    <t>global manufacturing network</t>
  </si>
  <si>
    <t>supply chains, plants and business divisions and our customers’ use of the vehicles</t>
  </si>
  <si>
    <t>C + P</t>
  </si>
  <si>
    <t>Scope 1,2 and 3 emissions</t>
  </si>
  <si>
    <t>United Kingdom</t>
  </si>
  <si>
    <t>all business divisions</t>
  </si>
  <si>
    <t>Engineering and construction</t>
  </si>
  <si>
    <t>Scope 1 and 2 emissions operational emissions</t>
  </si>
  <si>
    <t>Energy and utilities</t>
  </si>
  <si>
    <t>global refining Scope 1 and 2 GHG emissions</t>
  </si>
  <si>
    <t>Health care and pharmaceuticals</t>
  </si>
  <si>
    <t>Scope 1, 2 and 3 emissions in our global operations</t>
  </si>
  <si>
    <t>United Natural Foods</t>
  </si>
  <si>
    <t>our operations [and] our products up to point of sale</t>
  </si>
  <si>
    <t>GHG scope 1 and 2 emissions [and assets]</t>
  </si>
  <si>
    <t>V (future) *</t>
  </si>
  <si>
    <t>business related air travel</t>
  </si>
  <si>
    <t>global operations and supply chain... including scopes 1,2 and 3</t>
  </si>
  <si>
    <t>Truist Financial</t>
  </si>
  <si>
    <t xml:space="preserve"> owned operations</t>
  </si>
  <si>
    <t>business activities Non-consolidated and domestic/overseas consolidated subsidiaries... Scope 1 and Scope 2</t>
  </si>
  <si>
    <t>global factories</t>
  </si>
  <si>
    <t>C + P (future)</t>
  </si>
  <si>
    <t>worldwide operations (scope 1+2) all production and energy products used by its customers in Europe by 2050</t>
  </si>
  <si>
    <t>TotalEnergies</t>
  </si>
  <si>
    <t>operations and financing activities</t>
  </si>
  <si>
    <t>V*</t>
  </si>
  <si>
    <t>operations in Canada, the US, and international locations</t>
  </si>
  <si>
    <t>operations business activities (Scope1 + 2 + 3 (Category 1,3,5,6))</t>
  </si>
  <si>
    <t xml:space="preserve">own production operations, the energy it purchases and its products </t>
  </si>
  <si>
    <t>operations (Scopes 1 and 2) and value chain emissions (Scope 3)</t>
  </si>
  <si>
    <t>Tesla</t>
  </si>
  <si>
    <t>own operations</t>
  </si>
  <si>
    <t>C (future)</t>
  </si>
  <si>
    <t>main operations… LatAm and the whole value chain</t>
  </si>
  <si>
    <t>V (future)</t>
  </si>
  <si>
    <t>supply chain, products and operations</t>
  </si>
  <si>
    <t>operations and supply chain, inclusive of scopes 1, 2 and 3</t>
  </si>
  <si>
    <t>own operations and remaining value chain</t>
  </si>
  <si>
    <t>global offices [all TMSC fabs in Taiwan and all overseas locations]</t>
  </si>
  <si>
    <t>Synnex</t>
  </si>
  <si>
    <t>own operations [and] investment portfolio</t>
  </si>
  <si>
    <t>V (future)*</t>
  </si>
  <si>
    <t>Sunac China Holdings</t>
  </si>
  <si>
    <t>business operations around the world for both Sun Life and MFS</t>
  </si>
  <si>
    <t>groupwide operations [and] investment and loan portfolio.</t>
  </si>
  <si>
    <t>Scope 1, 2, and 3 [and] Asset portfolio</t>
  </si>
  <si>
    <t>in-house manufacturing (Scopes 1 and 2)</t>
  </si>
  <si>
    <t xml:space="preserve">C </t>
  </si>
  <si>
    <t>StoneX Group</t>
  </si>
  <si>
    <t>lifecycle of our products, service and business activities</t>
  </si>
  <si>
    <t>scopes 1, 2 and 3... including at the investment portfolio</t>
  </si>
  <si>
    <t>financing portfolios</t>
  </si>
  <si>
    <t>operations Group-wide</t>
  </si>
  <si>
    <t>SK</t>
  </si>
  <si>
    <t>scope 1 &amp; 2</t>
  </si>
  <si>
    <t>Siemens Energy</t>
  </si>
  <si>
    <t>group store operations</t>
  </si>
  <si>
    <t>operations (scope 1 and 2) by 2025 [and] end-to-end value chain (full scopes 1, 2 and 3) by 2040</t>
  </si>
  <si>
    <t>own operations direct emissions as well as a selected subset of indirect emmissions</t>
  </si>
  <si>
    <t>scope 1 &amp; 2 and car fleet</t>
  </si>
  <si>
    <t>direct and indirect carbon dioxide emissions, but also the emissions along its value chain</t>
  </si>
  <si>
    <t>entire operations and upstream oil and gas production… excluding Rosneft</t>
  </si>
  <si>
    <t>lending [and] global operations</t>
  </si>
  <si>
    <t>Scope 1&amp;2</t>
  </si>
  <si>
    <t>C*</t>
  </si>
  <si>
    <t>Rite Aid</t>
  </si>
  <si>
    <t>operations and shipping</t>
  </si>
  <si>
    <t>scopes 1, 2 and 3</t>
  </si>
  <si>
    <t>Aerospace and defense</t>
  </si>
  <si>
    <t>portfolio of assets and Scope 1 and Scope 2</t>
  </si>
  <si>
    <t>Scope 1, emissions from sources directly controlled by the business, and Scope 2, indirect emissions associated with the purchase of electricity, heat or cooling</t>
  </si>
  <si>
    <t>operations + investments</t>
  </si>
  <si>
    <t>direct operations (scope 1+2)… value chain (scope 1+2+3)</t>
  </si>
  <si>
    <t>manufacturing facilities</t>
  </si>
  <si>
    <t>internal operations</t>
  </si>
  <si>
    <t>Performance Food Group</t>
  </si>
  <si>
    <t>Emissions from business activities (scope 1 and 2)</t>
  </si>
  <si>
    <t>Olam International</t>
  </si>
  <si>
    <t>operations and supply chain (Scope 1, 2 and 3)</t>
  </si>
  <si>
    <t>own operations (Scope 1 and 2) by 2025 supply chain (Scope 1, 2 and 3) by 2030</t>
  </si>
  <si>
    <t>operations and the life cycle of its products</t>
  </si>
  <si>
    <t>domestic scope 1 + 2</t>
  </si>
  <si>
    <t>portfolio</t>
  </si>
  <si>
    <t>New Hope Holding Group</t>
  </si>
  <si>
    <t>New China Life Insurance</t>
  </si>
  <si>
    <t>internal emissions [and] Scope 3 emissions</t>
  </si>
  <si>
    <t>Netflix</t>
  </si>
  <si>
    <t>value chain [excluding] consumer use of sold products [and] purchased services, leased assets, capital goods, investments</t>
  </si>
  <si>
    <t>direct business operations</t>
  </si>
  <si>
    <t>investment portfolio [and] real estate portfolio</t>
  </si>
  <si>
    <t>business operations</t>
  </si>
  <si>
    <t>supply chain as in our own business operation</t>
  </si>
  <si>
    <t>financed emissions</t>
  </si>
  <si>
    <t>global operations and business trave;</t>
  </si>
  <si>
    <t>worldwide greenhouse gas emissions (Scope 1 and 2)</t>
  </si>
  <si>
    <t>company emissions</t>
  </si>
  <si>
    <t>electricity use… at its Head Office and all business locations in Japan</t>
  </si>
  <si>
    <t>our finance portfolio… and our own operations</t>
  </si>
  <si>
    <t>all three scopes</t>
  </si>
  <si>
    <t>direct operations including data centers, software development labs, air travel and office buildings</t>
  </si>
  <si>
    <t>global business operations</t>
  </si>
  <si>
    <t xml:space="preserve"> owned and leased properties across the world... its fleet of automobiles in the Auto &amp; Home business line (Scope 1 and 2) [and] employee business travel (Scope 3)</t>
  </si>
  <si>
    <t>operations (Scopes 1&amp;2)</t>
  </si>
  <si>
    <t>Self Emissions [and] Emissions from investees</t>
  </si>
  <si>
    <t>global operations [including] manufacturing sites and other facilities Scope 1 and Scope 2</t>
  </si>
  <si>
    <t>Scope 1… 2 [and] Scope 3, Category 15</t>
  </si>
  <si>
    <t>company globally</t>
  </si>
  <si>
    <t>scope 1 and 2 emissions [and] financed emissions</t>
  </si>
  <si>
    <t>operations [and] vessels</t>
  </si>
  <si>
    <t>vessels</t>
  </si>
  <si>
    <t>scope 1, 2 and 3</t>
  </si>
  <si>
    <t xml:space="preserve">all its sites by 2025 (production plants, administrative offices and research centres) </t>
  </si>
  <si>
    <t>Longfor Group Holdings</t>
  </si>
  <si>
    <t>own operations [and] financed emissions</t>
  </si>
  <si>
    <t>scope 1+ scope 2 emissions</t>
  </si>
  <si>
    <t>mail, express parcel and digital services</t>
  </si>
  <si>
    <t>Kia</t>
  </si>
  <si>
    <t>internal emissions [and] asset portfolio's emissions</t>
  </si>
  <si>
    <t>direct carbon emissions from its corporate buildings and branches, indirect emissions from the generation of purchased electricity, and emissions from employee travel</t>
  </si>
  <si>
    <t>Jinneng Holding Group</t>
  </si>
  <si>
    <t>Jingye Group</t>
  </si>
  <si>
    <t>group</t>
  </si>
  <si>
    <t>direct and indirect (scopes 1, 2 and 3) emissions</t>
  </si>
  <si>
    <t>Bermuda</t>
  </si>
  <si>
    <t>Scope 1 (direct emissions by the Company) and Scope 2 (emissions from use of electricity, etc. supplied by other enterprises) emissions of the four main Group companies.</t>
  </si>
  <si>
    <t>Jabil</t>
  </si>
  <si>
    <t>Scopes 1/2/3 + Fossil fuel businesses [and] affiliates and general investments</t>
  </si>
  <si>
    <t>Scopes 1/2/3 + Fossil fuel businesses and… affiliates and general investments</t>
  </si>
  <si>
    <t>Scope 1, Scope 2, and Scope 3 emissions associated with IBM's electricity consumption at co-location data centers</t>
  </si>
  <si>
    <t>computing</t>
  </si>
  <si>
    <t>full IKEA value chain</t>
  </si>
  <si>
    <t>Ingka Group</t>
  </si>
  <si>
    <t>in-house operations (Scope1+2)</t>
  </si>
  <si>
    <t>in Europe [and] globally</t>
  </si>
  <si>
    <t>products and global operations</t>
  </si>
  <si>
    <t>Huayang New Material Technology Group</t>
  </si>
  <si>
    <t>operations and supply chain [and] financed emissions</t>
  </si>
  <si>
    <t>across HP value chain</t>
  </si>
  <si>
    <t>operations and facilities</t>
  </si>
  <si>
    <t>products and corporate activities</t>
  </si>
  <si>
    <t xml:space="preserve">value chain </t>
  </si>
  <si>
    <t>scope 1 CO2 emissions</t>
  </si>
  <si>
    <t>Holcim</t>
  </si>
  <si>
    <t>business sites (factories and offices)</t>
  </si>
  <si>
    <t>scope 1, 2, and 3 emissions</t>
  </si>
  <si>
    <t>Heraeus Holding</t>
  </si>
  <si>
    <t>Hong Kong</t>
  </si>
  <si>
    <t>Guangzhou Pharmaceutical Holdings</t>
  </si>
  <si>
    <t>Guangzhou Municipal Construction Group</t>
  </si>
  <si>
    <t>corporate financing portfolios and Natixis Insurance general fund</t>
  </si>
  <si>
    <t>P*</t>
  </si>
  <si>
    <t>supply chain [and] financing activities</t>
  </si>
  <si>
    <t>operations and business travel</t>
  </si>
  <si>
    <t>total emissions footprint</t>
  </si>
  <si>
    <t>scope 1, 2 and 3 carbon emissions</t>
  </si>
  <si>
    <t>Gilead Sciences</t>
  </si>
  <si>
    <t>global products and operations</t>
  </si>
  <si>
    <t>operations [and] the Scope 3 emissions from the use of sold products</t>
  </si>
  <si>
    <t>Scope 1, 2 and 3… globally</t>
  </si>
  <si>
    <t>Fortum</t>
  </si>
  <si>
    <t>globally</t>
  </si>
  <si>
    <t>group level</t>
  </si>
  <si>
    <t>operations globally</t>
  </si>
  <si>
    <t>global operations (Scope 1 and Scope 2) [by 2020]... value chain [by 2030]</t>
  </si>
  <si>
    <t>operations-driven emissions</t>
  </si>
  <si>
    <t>own operations fleet vehicles and energy usage from… facilities</t>
  </si>
  <si>
    <t>Ericsson</t>
  </si>
  <si>
    <t>GHG Lifecycle Emissions (Scope 1+2+3)</t>
  </si>
  <si>
    <t>Carbon Footprint Upstream (Scope 1+2)</t>
  </si>
  <si>
    <t>value chain (scope 1,2 and 3)</t>
  </si>
  <si>
    <t>own CO2 emissions</t>
  </si>
  <si>
    <t>our business</t>
  </si>
  <si>
    <t>ELO Group</t>
  </si>
  <si>
    <t>own operations (scope 1 and 2 emissions)</t>
  </si>
  <si>
    <t>Eli Lilly</t>
  </si>
  <si>
    <t>direct CO2 emissions</t>
  </si>
  <si>
    <t>Scope 1 and 2 [and] Scope 3</t>
  </si>
  <si>
    <t>Dollar Tree</t>
  </si>
  <si>
    <t>supplier to consumer value chain... scope 3 emissions</t>
  </si>
  <si>
    <t>in-house emissions direct and indirect emissions (Scope 1 and 2)</t>
  </si>
  <si>
    <t>logistics-related emissions</t>
  </si>
  <si>
    <t>operational and attributable emissions</t>
  </si>
  <si>
    <t>worldwide operations</t>
  </si>
  <si>
    <t>our CO2 emissions</t>
  </si>
  <si>
    <t>Transportation and Logistics</t>
  </si>
  <si>
    <t>manufacturing operations, the products it produces and the energy it uses</t>
  </si>
  <si>
    <t>Scope 1, Scope 2 and Scope 3</t>
  </si>
  <si>
    <t>CO2 emissions throughout the product life cycle</t>
  </si>
  <si>
    <t>own plants, including the global battery production network</t>
  </si>
  <si>
    <t>investment portfolio</t>
  </si>
  <si>
    <t>cement and concrete value chain</t>
  </si>
  <si>
    <t>our financing [and] operations</t>
  </si>
  <si>
    <t>emissions generated by its own activities and those related to its financing and investment</t>
  </si>
  <si>
    <t>areas in which we have direct control</t>
  </si>
  <si>
    <t>production</t>
  </si>
  <si>
    <t>Scope 1 and 2 emissions across our entire global operations</t>
  </si>
  <si>
    <t>U*</t>
  </si>
  <si>
    <t>the Group</t>
  </si>
  <si>
    <t>operations and financing</t>
  </si>
  <si>
    <t>Scope 1 and Scope 2 emissions at facilities</t>
  </si>
  <si>
    <t>China State Shipbuilding</t>
  </si>
  <si>
    <t>China Resources Land</t>
  </si>
  <si>
    <t>China Reinsurance (Group)</t>
  </si>
  <si>
    <t>operations (Scope 1 and 2)</t>
  </si>
  <si>
    <t xml:space="preserve">own emissions (scope 1 and 2) and those of its customers (scope 3) </t>
  </si>
  <si>
    <t>business activites</t>
  </si>
  <si>
    <t>supply chain as well as our operations</t>
  </si>
  <si>
    <t>all assets under management</t>
  </si>
  <si>
    <t>own operations [and] value chain</t>
  </si>
  <si>
    <t>Scope 1 (direct) and Scope 2 (indirect) emissions</t>
  </si>
  <si>
    <t>across the value chain and product life cycle</t>
  </si>
  <si>
    <t>operations [and] oil and gas production</t>
  </si>
  <si>
    <t>operations emissions and business travel</t>
  </si>
  <si>
    <t>Boehringer Ingelheim</t>
  </si>
  <si>
    <t>credit and investment for own account activities</t>
  </si>
  <si>
    <t>operational (Scope 1 and 2) emissions</t>
  </si>
  <si>
    <t>Australia and United Kingdom</t>
  </si>
  <si>
    <t>across our business</t>
  </si>
  <si>
    <t>Beijing Jianlong Heavy Industry Group</t>
  </si>
  <si>
    <t>entire value chain</t>
  </si>
  <si>
    <t xml:space="preserve">own operations </t>
  </si>
  <si>
    <t>Scope 1 and 2 emissions globally</t>
  </si>
  <si>
    <t>all 3 scopes</t>
  </si>
  <si>
    <t>our operations and our financing</t>
  </si>
  <si>
    <t>company worldwide</t>
  </si>
  <si>
    <t>operations… including Scope 1, Scope 2 and part of Scope 3</t>
  </si>
  <si>
    <t>operations, supply chain, and financing activities</t>
  </si>
  <si>
    <t>Scope 1 and 2 emissions and business travel</t>
  </si>
  <si>
    <t>across the group</t>
  </si>
  <si>
    <t>direct [emissions]</t>
  </si>
  <si>
    <t>credit and investment portfolios</t>
  </si>
  <si>
    <t>direct emissions and emissions from purchased electricity (respectively scope 1 and 2)</t>
  </si>
  <si>
    <t>direct [and] indirect emissions</t>
  </si>
  <si>
    <t>operations (Scope 1 and 2) [and] value chain</t>
  </si>
  <si>
    <t>BAE Systems</t>
  </si>
  <si>
    <t>scope 1, 2 and 3 emissions [and] shareholder assets and policy holder assets where Aviva has decision-making control</t>
  </si>
  <si>
    <t>operations on a worldwide basis</t>
  </si>
  <si>
    <t>AstraZeneca</t>
  </si>
  <si>
    <t>operations and investment portfolio</t>
  </si>
  <si>
    <t>global corporate operations [by 2020]… entire business, manufacturing supply chain, and product life cycle [by 2030]</t>
  </si>
  <si>
    <t>Scope 1 and 2 emissions</t>
  </si>
  <si>
    <t>Scope 1 and Scope 2 Emissions</t>
  </si>
  <si>
    <t>Amgen</t>
  </si>
  <si>
    <t>insurance portfolio [and] operational and attributable greenhouse gas</t>
  </si>
  <si>
    <t>Alfresa Holdings</t>
  </si>
  <si>
    <t>production activities [and] all products</t>
  </si>
  <si>
    <t>production activities</t>
  </si>
  <si>
    <t>Aisin</t>
  </si>
  <si>
    <t>stores</t>
  </si>
  <si>
    <t>scope 1, 2 and 3 emissions</t>
  </si>
  <si>
    <t>Any pre-2030 commitment?</t>
  </si>
  <si>
    <t>From</t>
  </si>
  <si>
    <t>Scope of commitment*</t>
  </si>
  <si>
    <t>Company (C), product (P), value chain (V) or unspecified (U) (* = no SBT)</t>
  </si>
  <si>
    <t>Company (C), product (P), unspecified (U) or future</t>
  </si>
  <si>
    <t xml:space="preserve">Target (T) or committed (C) </t>
  </si>
  <si>
    <t>RE100 goal</t>
  </si>
  <si>
    <t>Headquarters</t>
  </si>
  <si>
    <t>Name</t>
  </si>
  <si>
    <t>Carbon neutral</t>
  </si>
  <si>
    <t>SBT</t>
  </si>
  <si>
    <t>https://www.umicore.com/en/newsroom/news/umicore-unveils-bold-sustainability-ambitions-and-commits-to-achieving-carbon-neutrality-by-2035/</t>
  </si>
  <si>
    <t>Umicore</t>
  </si>
  <si>
    <t>Food, beverages and agriculture</t>
  </si>
  <si>
    <t>https://www.mondelezinternational.com/News/Commitment-to-2050-Net-Zero-Emissions-Target</t>
  </si>
  <si>
    <t>United States of America (USA)</t>
  </si>
  <si>
    <t>https://new.abb.com/news/detail/75543/abb-publishes-sustainability-report-2020</t>
  </si>
  <si>
    <t>Industrial goods</t>
  </si>
  <si>
    <t>DSV</t>
  </si>
  <si>
    <t>https://www.rwe.com/en/press/rwe-ag/2019-09-30-the-new-rwe</t>
  </si>
  <si>
    <t>emissions from all scopes</t>
  </si>
  <si>
    <t>https://www.credit-suisse.com/sustainability/en/reports.html</t>
  </si>
  <si>
    <t>investments and portfolios</t>
  </si>
  <si>
    <t>Financial services</t>
  </si>
  <si>
    <t>https://www.colesgroup.com.au/FormBuilder/_Resource/_module/ir5sKeTxxEOndzdh00hWJw/file/Sustainability_Report.pdf</t>
  </si>
  <si>
    <t>Retail</t>
  </si>
  <si>
    <t>https://www.randstad.com/s3fs-media/rscom/public/2022-07/2022_Randstad-Global-Environmental-Policy.pdf</t>
  </si>
  <si>
    <t>https://www.jabil.com/dam/jcr:2c5159fc-c5cf-4362-bd88-61ed8ae26c7f/Jabil-2021-Sustainability-Report.pdf</t>
  </si>
  <si>
    <t>https://www.holcim.com/sites/holcim/files/documents/holcim_net_zero_journey_booklet.pdf</t>
  </si>
  <si>
    <t>operations and value chain</t>
  </si>
  <si>
    <t>V (SBTi)</t>
  </si>
  <si>
    <t>Danaher</t>
  </si>
  <si>
    <t>https://www.bridgestone.com/responsibilities/library/pdf/sr2020.pdf</t>
  </si>
  <si>
    <t>own emissions</t>
  </si>
  <si>
    <t>Automotive</t>
  </si>
  <si>
    <t>Paramount Global</t>
  </si>
  <si>
    <t>https://responsibility.metroag.de/focus-areas/climate-action</t>
  </si>
  <si>
    <t>https://www.linkedin.com/pulse/three-elements-netflixs-climate-target-reduce-retain-stewart-ph-d-/</t>
  </si>
  <si>
    <t>Scopes 1-3</t>
  </si>
  <si>
    <t>https://www.global.toshiba/ww/news/corporate/2020/11/pr1001.html</t>
  </si>
  <si>
    <t>https://www.aa.com/content/images/customer-service/about-us/corporate-governance/aag-esg-report-2019-2020.pdf</t>
  </si>
  <si>
    <t>direct carbon emissions</t>
  </si>
  <si>
    <t>https://www.delta.com/content/dam/delta-www/about-delta/corporate-responsibility/2021-esg-report.pdf</t>
  </si>
  <si>
    <t>airline operations and value chain (Scopes 1, 2 and 3)</t>
  </si>
  <si>
    <t>https://news.delta.com/update-our-path-net-zero</t>
  </si>
  <si>
    <t>https://esg.x5.ru/media/files/x5_SR2021_di6jtFi.pdf</t>
  </si>
  <si>
    <t>https://sumitomoelectric.com/sustainability/integrated/growth-strategies/earth-environment</t>
  </si>
  <si>
    <t>https://news.medtronic.com/2021-11-08-Medtronic-announces-2045-net-zero-emissions-ambition-to-combat-climate-change</t>
  </si>
  <si>
    <t>https://news.medtronic.com/2020-10-13-Medtronic-2020-Integrated-Performance-Report-Shares-Goal-of-Carbon-Neutrality-by-FY30-Achievement-of-100-Gender-Pay-Equity-in-the-U-S-and-Progress-on-COVID-19-Response</t>
  </si>
  <si>
    <t>https://www.cj.co.kr/cj_files/CJ%20Cheiljedang%20Commitment%20For%20Climate%20Action_en.pdf</t>
  </si>
  <si>
    <t>business</t>
  </si>
  <si>
    <t>Mercadona</t>
  </si>
  <si>
    <t>Metals and mining</t>
  </si>
  <si>
    <t>Shanghai Delong Steel Group</t>
  </si>
  <si>
    <t>Chengdu Xingcheng Investment Group</t>
  </si>
  <si>
    <t>https://api.mziq.com/mzfilemanager/v2/d/0501147c-6489-4fc5-8ac2-a39baa2721b9/c8f4709a-fcd0-97f1-22c6-b8c9430ee9d3?origin=1</t>
  </si>
  <si>
    <t>direct GHG emissions</t>
  </si>
  <si>
    <t>https://www.samsunglife.com/dcms/upload/2021/09/24/Samsung%20Life%20Insurance%20Integrated%20Report%202021.pdf</t>
  </si>
  <si>
    <t>https://www.investorab.com/investors-media/press-releases-news/?page=/v4/perma/press/1949940</t>
  </si>
  <si>
    <t>2021 + 2021</t>
  </si>
  <si>
    <t>2030 + 2050</t>
  </si>
  <si>
    <t>company + value chain (portfolio companies' scope 1 and 2 emissions)</t>
  </si>
  <si>
    <t>C + V</t>
  </si>
  <si>
    <t>Investor</t>
  </si>
  <si>
    <t>https://www.crh.com/media/4137/crh-2021-sustainability-report_interactive.pdf</t>
  </si>
  <si>
    <t>cement and concrete value chains</t>
  </si>
  <si>
    <t>S</t>
  </si>
  <si>
    <t>Shandong Hi-Speed Group</t>
  </si>
  <si>
    <t>https://sustainability-prd-cdn.suncor.com/-/media/project/ros/shared/documents/climate-reports/2021-climate-report-en.pdf?modified=20220610115656&amp;_ga=2.145056758.394837423.1660658362-479813926.1660658362</t>
  </si>
  <si>
    <t>scope 1 and 2 emissions</t>
  </si>
  <si>
    <t>https://www.scotiabank.com/content/dam/scotiabank/corporate/Documents/Scotiabank_2021_ESG_Report_Final.pdf</t>
  </si>
  <si>
    <t>operations + financed emissions</t>
  </si>
  <si>
    <t xml:space="preserve">https://wfscorp.gcs-web.com/static-files/f5a1009c-01cb-44a8-9ad1-27cb669ed27d </t>
  </si>
  <si>
    <t>https://www.pmi.com/resources/docs/default-source/pmi-sustainability/pmi_lctp_211026.pdf?sfvrsn=5c4c19b7_10#:~:text=The%20target%20of%20achieving%20carbon,business%20more%20resilient%20and%20profitable.</t>
  </si>
  <si>
    <t>V (SBTi?)</t>
  </si>
  <si>
    <t>https://en.weichaipower.com/investor_relations/hk_02338/periodic/202204/P020220429637243985186.pdf</t>
  </si>
  <si>
    <t>unspecified</t>
  </si>
  <si>
    <t>G</t>
  </si>
  <si>
    <t>https://ir.synnex.com/news/press-release-details/2022/TD-SYNNEX-Announces-Corporate-Citizenship-Program/default.aspx</t>
  </si>
  <si>
    <t>TD Synnex</t>
  </si>
  <si>
    <t>https://report.migros.ch/2021/app/uploads/2021_in_Brief.pdf</t>
  </si>
  <si>
    <t>https://www.globalsuzuki.com/corporate/environmental/report/pdf/2021_enve_all.pdf</t>
  </si>
  <si>
    <t>https://www.takeda.com/49fefa/siteassets/system/corporate-responsibility/reporting-on-sustainability/annual-integrated-report/Takeda_2022_annual_integrated_report.pdf</t>
  </si>
  <si>
    <t>2022 + 2022</t>
  </si>
  <si>
    <t>2035 + 2040</t>
  </si>
  <si>
    <t>Scope 1 and 2 emissions + entire value chain, including currently estimated scope 3 GHG emissions</t>
  </si>
  <si>
    <t>our value chain</t>
  </si>
  <si>
    <t>https://www.fujitsu.com/global/about/environment/climate-energy-vision/</t>
  </si>
  <si>
    <t>https://global.canon/en/environment/target.html</t>
  </si>
  <si>
    <t>https://www.sumitomolife.co.jp/english/newsrelease/pdf/nr20210401.pdf</t>
  </si>
  <si>
    <t>Scope 1, 2, 3</t>
  </si>
  <si>
    <t>https://www.senecaesg.com/insights/sf-holding-releases-first-carbon-target-white-paper/</t>
  </si>
  <si>
    <t>business processes</t>
  </si>
  <si>
    <t>S.F. Holding</t>
  </si>
  <si>
    <t>https://banco.bradesco/html/classic/sobre/sustentabilidade/internas/noticias/noticia16.shtm</t>
  </si>
  <si>
    <t>https://banco.bradesco/assets/classic/pdf/sustentabilidade/Climate%20Change_Bradesco-1.pdf</t>
  </si>
  <si>
    <t>https://static.inditex.com/annual_report_2021/en/documents/annual_report_2021.pdf</t>
  </si>
  <si>
    <t>BYD</t>
  </si>
  <si>
    <t>Sx</t>
  </si>
  <si>
    <t>Tata Steel</t>
  </si>
  <si>
    <t>Xinjiang Zhongtai Group</t>
  </si>
  <si>
    <t>https://www.sap.com/docs/download/investors/2021/sap-2021-integrated-report.pdf#page=306</t>
  </si>
  <si>
    <t>http://media.carmax.com/press-releases/news-release/2021/CarMax-Announces-Commitment-to-Net-Zero-Carbon-Emissions-by-2050/default.aspx</t>
  </si>
  <si>
    <t>CarMax</t>
  </si>
  <si>
    <t>https://en.chinacoalenergy.com/n2/p998996/ChinaCoal%20CSR%202020.pdf</t>
  </si>
  <si>
    <t>https://www.qualcomm.com/news/releases/2021/11/qualcomm-announces-goal-achieve-net-zero-emissions-2040</t>
  </si>
  <si>
    <t>Qualcomm</t>
  </si>
  <si>
    <t>https://www.coop.ch/content/dam/taten-statt-worte/TatenstattWorte_Relaunch/Hintergruende/nachhaltigkeit-bei-coop/Strategie/Mehrjahresziele_Nachhaltigkeit_2022-2026_en.pdf</t>
  </si>
  <si>
    <t>retail, production and wholesale</t>
  </si>
  <si>
    <t>https://report.coop.ch/app/uploads/Coop_GB21_en.pdf</t>
  </si>
  <si>
    <t>Swiss core business</t>
  </si>
  <si>
    <t>https://www.veolia.com/en/our-media/news/cop26-veolia-preparing-double-its-commitments-reducing-ghg-emissions-while#:~:text=In%20the%20long%20term%2C%20Veolia,as%20by%20using%20sequestration%20techniques. https://www.veolia.com/sites/g/files/dvc4206/files/document/2022/06/integrated-report-2021-veolia-ecological-transformation.pdf</t>
  </si>
  <si>
    <t>https://www.thephoenixgroup.com/sites/phoenix-group/files/phoenix-group/sustainability-and-responsibility/sustainable-report/Climate%20Report%202021.pdf</t>
  </si>
  <si>
    <t>2025 + 2050</t>
  </si>
  <si>
    <t>own operations + investment portfolio</t>
  </si>
  <si>
    <t>https://www.ing.com/Newsroom/News/ING-to-steer-to-net-zero-climate.htm</t>
  </si>
  <si>
    <t>net zero opterations + portfolio</t>
  </si>
  <si>
    <t>https://www.ing.com/Sustainability/Sustainability-direction/Climate-action.htm</t>
  </si>
  <si>
    <t xml:space="preserve">Scope 1 and 2, and Scope 3 business travel </t>
  </si>
  <si>
    <t xml:space="preserve">https://raportzintegrowany2020.orlen.pl/uploads/orlen-raport-zintegrowany-2020-en.pdf </t>
  </si>
  <si>
    <t>production emissions (Scope 1 and 2)</t>
  </si>
  <si>
    <t>https://assets.siemens-energy.com/siemens/assets/api/uuid:f9cc58e5-e334-4b64-8fe6-ffa989192b6a/siemens-energy-sustainability-report-2021.pdf</t>
  </si>
  <si>
    <t>Scope 1 to 3 (SGRE)</t>
  </si>
  <si>
    <t>https://press.siemens-energy.com/global/en/pressrelease/science-based-targets-initiative-sbti-confirms-siemens-energys-co2-reduction-targets</t>
  </si>
  <si>
    <t>Lu'an Chemical Group</t>
  </si>
  <si>
    <t>Hunan Iron &amp; Steel Group</t>
  </si>
  <si>
    <t>https://download.schneider-electric.com/files?p_Doc_Ref=Carbon_Pledge_EN</t>
  </si>
  <si>
    <t>operations + value chain</t>
  </si>
  <si>
    <t>C + V (SBTi?)</t>
  </si>
  <si>
    <t>2025 + 2040</t>
  </si>
  <si>
    <t>operations + value chain (scope 1, 2, 3)</t>
  </si>
  <si>
    <t>V + C</t>
  </si>
  <si>
    <t>https://www.mhi.com/news/21102902.html</t>
  </si>
  <si>
    <t>operations and entire value chain</t>
  </si>
  <si>
    <t>https://www.honeywell.com/us/en/news/2021/04/how-we-will-reach-carbon-neutral-by-2035</t>
  </si>
  <si>
    <t>Shudao Investment Group</t>
  </si>
  <si>
    <t>https://www.longfor.com/upload/file/2022-05-30/1fb7db56-60e3-4f3e-a684-7b474ecce0ea.pdf</t>
  </si>
  <si>
    <t>https://sustainability.travelers.com/drivers-of-sustained-value/eco-efficient-operations#ghg-inventory-goals</t>
  </si>
  <si>
    <t>https://www.aisin.com/en/aithink/vision/carbon-neutral/</t>
  </si>
  <si>
    <t>production and business environment</t>
  </si>
  <si>
    <t>https://www.heraeus.com/en/group/about_heraeus/corporate_responsibility/corporate_responsibility.html</t>
  </si>
  <si>
    <t>Scope 1 and 2 [of] precious metals division</t>
  </si>
  <si>
    <t>https://www.zijinmining.com/upload/file/2022/06/09/9b7954d122554e8ab7327852dc7d4004.pdf</t>
  </si>
  <si>
    <t>Olam Group</t>
  </si>
  <si>
    <t>https://smart-home.haier.com/en/gpxx/esg/P020220601448742758380.pdf?appdesc=2021%20Environmental,%20Social%20and%20Governance%20Report</t>
  </si>
  <si>
    <t>https://www.mizuhogroup.com/binaries/content/assets/pdf/mizuhoglobal/investors/financial-information/ir-information/briefing/202205_1.pdf</t>
  </si>
  <si>
    <t>lending and portfolio</t>
  </si>
  <si>
    <t>https://www.bat.com/group/sites/UK__9D9KCY.nsf/vwPagesWebLive/DOC7SGL2# https://www.bat.com/group/sites/UK__9D9KCY.nsf/vwPagesWebLive/DOAWWEKR/$file/BAT_ESG_Report_2021.pdf?open&amp;v=1</t>
  </si>
  <si>
    <t>https://www.bat.com/group/sites/UK__9D9KCY.nsf/vwPagesWebLive/DOAWWEKR/$file/BAT_ESG_Report_2021.pdf?open&amp;v=1</t>
  </si>
  <si>
    <t>https://news.3m.com/2021-02-16-3M-to-Invest-1-Billion-to-Achieve-Carbon-Neutrality,-Reduce-Water-Use,-and-Improve-Water-Quality</t>
  </si>
  <si>
    <t>https://www.mitsubishicorp.com/jp/en/pr/archive/2021/html/0000047907.html</t>
  </si>
  <si>
    <t>Mitsubishi Corp</t>
  </si>
  <si>
    <t>https://news.metal.com/newscontent/101603668/the-contract-signing-ceremony-for-the-carbon-neutralization-project-of-tongling-nonferrous-metals-group-was-held</t>
  </si>
  <si>
    <t>https://www.northropgrumman.com/wp-content/uploads/2021-NG-Sustainability-Report_Final.pdf</t>
  </si>
  <si>
    <t>our operations</t>
  </si>
  <si>
    <t>Raízen</t>
  </si>
  <si>
    <t>https://2020-annual-report.kuehne-nagel.com/sustainability/fostering-sustainability-in-the-industry/driving-our-net-zero-carbon-programme/driving-our-net-zero-carbon-programme</t>
  </si>
  <si>
    <t>2020 + 2019</t>
  </si>
  <si>
    <t xml:space="preserve">2020 + 2030 </t>
  </si>
  <si>
    <t>Scope 1+2 + Scope 3</t>
  </si>
  <si>
    <t>Kuehne + Nagel International</t>
  </si>
  <si>
    <t xml:space="preserve">https://www.massmutual.com/about-us/news-and-press-releases/press-releases/2021/04/massmutual-announces-new-net-zero-commitments-that-address-climate-change </t>
  </si>
  <si>
    <t>operations + investment portfolio</t>
  </si>
  <si>
    <t>https://www.thephoenixgroup.com/sustainability/our-net-zero-commitment</t>
  </si>
  <si>
    <t>2020 + 2020</t>
  </si>
  <si>
    <t>operations + supply chain and investment portfolio</t>
  </si>
  <si>
    <t>https://doc.irasia.com/listco/hk/ckh/annual/2021/esr.pdf</t>
  </si>
  <si>
    <t>businesses within the Infrastructure division</t>
  </si>
  <si>
    <t>https://www.magna.com/company/newsroom/releases/release/2021/04/22/news-release---magna-commits-to-carbon-neutrality-in-global-operations-by-2030</t>
  </si>
  <si>
    <t>https://www.exeloncorp.com/newsroom/exelon-utilities-announces-goal-to-achieve-net-zero-emissions-by-2050</t>
  </si>
  <si>
    <t>https://www.hyundai.com/content/dam/hyundai/ww/en/images/company/sustainability/carbon-neutrality-roadmap/hmc-2021-carbon-neutral-white-paper-en.pdf</t>
  </si>
  <si>
    <t>2021SustainabilityReportEN_all.pdf (smfg.co.jp)</t>
  </si>
  <si>
    <t>groupwide operations + investment and loan portfolio</t>
  </si>
  <si>
    <t> </t>
  </si>
  <si>
    <t>https://www.cenovus.com/News-and-Stories/News-releases/2020/1968285</t>
  </si>
  <si>
    <t>Cenovus Energy</t>
  </si>
  <si>
    <t>https://www.sompo-hd.com/en/csr/materiality/topic2/</t>
  </si>
  <si>
    <t>https://www.kbfg.com/Eng/about/sustainability/sustainability.jsp</t>
  </si>
  <si>
    <t>internal emissions + external emissions</t>
  </si>
  <si>
    <t>https://www.astrazeneca.com/media-centre/press-releases/2020/astrazenecas-ambition-zero-carbon-strategy-to-eliminate-emissions-by-2025-and-be-carbon-negative-across-the-entire-value-chain-by-2030-22012020.html#</t>
  </si>
  <si>
    <t>2025 + 2030</t>
  </si>
  <si>
    <t>global operations + entire value chain</t>
  </si>
  <si>
    <t>C + V (SBTi)</t>
  </si>
  <si>
    <t>https://www.posteitaliane.it/files/1476557513302/Annual-Financial-Report-2021-PDF.pdf</t>
  </si>
  <si>
    <t>products, services and processes</t>
  </si>
  <si>
    <t>https://www.meijiyasuda.co.jp/english/sustainability/corporate-citizen/environmental_protection.html, https://www.meijiyasuda.co.jp/english/newsroom/pdf/20210705_01.pdf</t>
  </si>
  <si>
    <t>https://www.enbridge.com/media-center/news/details?id=123647&amp;lang=en</t>
  </si>
  <si>
    <t>https://home.barclays/content/dam/home-barclays/documents/citizenship/Sustainability/Barclays-Climate-Strategy-Targets-and-Progress-2022-Final.pdf</t>
  </si>
  <si>
    <t>direct and indirect emissions</t>
  </si>
  <si>
    <t>Scope 1, Scope 2 and Scope 3 business travel emissions</t>
  </si>
  <si>
    <t>https://www.skhynix.com/sustainability/UI-FR-SA1601</t>
  </si>
  <si>
    <t>https://groupe-elo.com/app/uploads/2022/02/2021_12_ELO_communiqu%E2%80%9A-VDEF_UK-1.pdf</t>
  </si>
  <si>
    <t>https://www.tatamotors.com/jlr-press-release/jaguar-land-rover-announces-2030-sustainability-targets/</t>
  </si>
  <si>
    <t>nine of the Group's Infrastructure businesses have already committed to net-zero</t>
  </si>
  <si>
    <t>https://www.lgchem.com/upload/file/sustainability/LGChem_2021_Sustainability_Report_ENG.pdf</t>
  </si>
  <si>
    <t>https://www.enbw.com/company/press/enbw-becomes-climate-neutral.html</t>
  </si>
  <si>
    <t>carbon emissions (excl. supply chain)</t>
  </si>
  <si>
    <t>Energie Baden-Wurttemberg</t>
  </si>
  <si>
    <t>https://www.loreal.com/-/media/project/loreal/brand-sites/corp/master/lcorp/documents-media/publications/commitments/2022/climate-report-2021.pdf?rev=3cdf0ff94b15497b97b6ad8b26615363&amp;hash=E4ED811AD7E3E448F3CFF79F7A810A33</t>
  </si>
  <si>
    <t>https://www.loreal.com/-/media/project/loreal/brand-sites/corp/master/lcorp/documents-media/publications/l4f/loreal-for-the-future--booklet.pdf</t>
  </si>
  <si>
    <t>our sites</t>
  </si>
  <si>
    <t>Household and personal products</t>
  </si>
  <si>
    <t>https://stories.td.com/us/en/article/td-sets-2030-interim-financed-emissions-targets-for-high-emitting-sectors-energy-and-power-generation</t>
  </si>
  <si>
    <t>operations and investments</t>
  </si>
  <si>
    <t>https://www.newswire.ca/news-releases/tds-global-business-operations-are-now-carbon-neutral-539358601.html</t>
  </si>
  <si>
    <t>2022</t>
  </si>
  <si>
    <t>2050</t>
  </si>
  <si>
    <t>https://www.grupoacs.com/ficheros_editor/File/05_responsabilidad_corporativa/PDS%202025_ingl%C3%A9s_PDF.pdf</t>
  </si>
  <si>
    <t>https://www.airuniversity.af.edu/CASI/Display/Article/2850135/itow-china-national-nuclear-power-appeals-for-bigger-role/</t>
  </si>
  <si>
    <t>https://www.gd.com/-/media/GD-Corporate/Responsibility/GD-2021-Sustainability-Report.ashx?la=en&amp;hash=BA16B44D73947DF8637FC94336D89B287BDBB408</t>
  </si>
  <si>
    <t>https://www.coca-colacompany.com/content/dam/journey/us/en/reports/coca-cola-business-environmental-social-governance-report-2021.pdf#page=3</t>
  </si>
  <si>
    <t>https://www.jfe-holdings.co.jp/en/release/2022/02/220208.html</t>
  </si>
  <si>
    <t>steel business</t>
  </si>
  <si>
    <t>https://cdn.koc.com.tr/cmscontainer/kocholding/media/koc/05surdurulebilirlik/kocgsp2021-final-edit.pdf?.</t>
  </si>
  <si>
    <t>https://ir.thermofisher.com/investors/news-events/news/news-details/2021/Thermo-Fisher-Scientific-Commits-to-Achieve-Net-Zero-Carbon-Emissions-by-2050/default.aspx</t>
  </si>
  <si>
    <t>across operations and value chain</t>
  </si>
  <si>
    <t>https://www.daiwahouse.co.jp/sustainable/csr/pdfs/2021/en_Sustainability_All.pdf</t>
  </si>
  <si>
    <t>https://www.bbva.com/en/bbva-commits-to-net-zero-emissions-by-2050/</t>
  </si>
  <si>
    <t>indirect emissions...“taking into account those related to our clients.”</t>
  </si>
  <si>
    <t>https://www.bbva.com/en/sustainability/bbva-meets-goal-to-become-carbon-neutral-in-2020/</t>
  </si>
  <si>
    <t>https://www.mitsubishielectric.com/en/sustainability/environment/report/pdf/2021/all.pdf</t>
  </si>
  <si>
    <t>https://investor-relations.db.com/files/documents/annual-reports/2022/Non-Financial_Report_2021.pdf?language_id=1</t>
  </si>
  <si>
    <t>net zero carbon emissions across portfilio</t>
  </si>
  <si>
    <t>https://www.db.com/files/documents/csr/reports/deutsche-bank-cr-report-2012.pdf</t>
  </si>
  <si>
    <t>https://www.oracle.com/uk/a/ocom/docs/ppn-carbon-reduction-plan-nov-2021.pdf</t>
  </si>
  <si>
    <t>operations and supply chain</t>
  </si>
  <si>
    <t>https://www.oracle.com/corporate/citizenship/sustainability/operations.html https://www.oracle.com/uk/a/ocom/docs/ppn-carbon-reduction-plan-nov-2021.pdf</t>
  </si>
  <si>
    <t>https://www.tiaa.org/public/pdf/t/tiaa-responsible-business-report-pub2022.pdf</t>
  </si>
  <si>
    <t>2040 + 2050</t>
  </si>
  <si>
    <t>operations + emissions from investments</t>
  </si>
  <si>
    <t>https://www.ubs.com/global/en/sustainability-impact/net-zero.html</t>
  </si>
  <si>
    <t>scope 1 and 2 + all our activities (scope 1, 2, 3)</t>
  </si>
  <si>
    <t>business air travel</t>
  </si>
  <si>
    <t>https://www.thyssenkrupp.com/en/newsroom/press-releases/thyssenkrupp-sets-clear-targets--group-aims-to-be-climate-neutral-by-2050------30-percent-emissions-reduction-planned-for-2030-12803.html</t>
  </si>
  <si>
    <t>Carbon – Sainsbury's (sainsburys.co.uk)</t>
  </si>
  <si>
    <t>https://le-groupe-laposte.cdn.prismic.io/le-groupe-laposte/5f38407b-8e03-4292-99e4-2c8b99c1cf1b_La+Poste+Groupe+2021_URD_EN.pdf</t>
  </si>
  <si>
    <t>logistics</t>
  </si>
  <si>
    <t>https://le-groupe-laposte.cdn.prismic.io/le-groupe-laposte/f5433efd-c6ab-48a0-bb37-d641634c37ad_GLP_2021_RSE_+EN+-+ecobook.pdf</t>
  </si>
  <si>
    <t>"Mail, Parcel and Express activities" "La Banque Postale" and "La Poste Network"</t>
  </si>
  <si>
    <t>https://www.chubb.com/content/dam/chubb-sites/chubb-com/us-en/about-chubb/environment/doc/Chubb_2021_Climate-Related_Financial_Disclosure_and_Environmental_Report.pdf</t>
  </si>
  <si>
    <t>https://www.dzbank.de/content/dzbank_com/en/home/DZ_BANK/press/specials/sustainability.html</t>
  </si>
  <si>
    <t>operations and investment portfolio of R+V (Insurance subsidiary of DZ Bank)</t>
  </si>
  <si>
    <t>Hangzhou Iron and Steel Group</t>
  </si>
  <si>
    <t>https://medias.sncf.com/sncfcom/finances/sa/Green-Bond-reporting-2020-UK.pdf</t>
  </si>
  <si>
    <t>https://www.itau.com.br/relacoes-com-investidores/Download.aspx?Arquivo=ofcVrudbTei4jHUON/B7iA==&amp;linguagem=en</t>
  </si>
  <si>
    <t>https://api.mziq.com/mzfilemanager/v2/d/42787847-4cf6-4461-94a5-40ed237dca33/720cb063-97e0-0b31-54de-c38f6d1962be?origin=2</t>
  </si>
  <si>
    <t>https://www.angloamerican.com/~/media/Files/A/Anglo-American-Group/PLC/investors/annual-reporting/2022/aa-sustainability-report-full-2021.pdf</t>
  </si>
  <si>
    <t xml:space="preserve">https://www.omv.com/en/news/202729-omv-takes-next-steps-towards-reducing-carbon-footprint </t>
  </si>
  <si>
    <t>https://www.shougang.com.cn/en/u/cms/www/202205/12143001mif4.pdf</t>
  </si>
  <si>
    <t>no link</t>
  </si>
  <si>
    <t>https://www.volvogroup.com/content/dam/volvo-group/markets/master/investors/reports-and-presentations/annual-reports/annual-and-sustainability-report-2021.pdf</t>
  </si>
  <si>
    <t>https://s29.q4cdn.com/330828691/files/doc_downloads/esg_resources/AXP-2020-2021-ESG-Report.pdf</t>
  </si>
  <si>
    <t>Scope 1 and 2 emissions and a minimum of two-thirds of total Scope 3 emissions</t>
  </si>
  <si>
    <t>https://www.loblaw.ca/en/loblaw-takes-action-on-climate-change-with-net-zero-commitment</t>
  </si>
  <si>
    <t>operational footprint (Scope 1 and 2) + Scope 3, including those generated by suppliers</t>
  </si>
  <si>
    <t>entire value chain emissions</t>
  </si>
  <si>
    <t>https://www.fresenius.com/environment</t>
  </si>
  <si>
    <t>https://www.continental.com/en/sustainability/sustainability-framework/carbon-neutrality/</t>
  </si>
  <si>
    <t>Scope 1 and 2 + across entire value chain</t>
  </si>
  <si>
    <t>ZF_Annual-Report_2021.pdf</t>
  </si>
  <si>
    <t>all emissions categories</t>
  </si>
  <si>
    <t>https://www.ms-ad-hd.com/en/csr/report/main/05/teaserItems1/0/linkList/0/link/sus_report20211222.pdf</t>
  </si>
  <si>
    <t>https://www.hanwhasolutions.com/m/en/sustainability/sustainable-report/</t>
  </si>
  <si>
    <t>Hanwha Solutions net zero across scopes 1+2</t>
  </si>
  <si>
    <t>https://www.lyondellbasell.com/en/news-events/corporate--financial-news/lyondellbasell-announces-goal-of-achieving-net-zero-emissions-by-2050/</t>
  </si>
  <si>
    <t>https://www.wemeanbusinesscoalition.org/blog/company-profile-iberdrola/ https://www.iberdrola.com/sustainability/against-climate-change</t>
  </si>
  <si>
    <t>2019 + 2019</t>
  </si>
  <si>
    <t>Scope 1 in Europe + Scope 1, 2 and 3</t>
  </si>
  <si>
    <t>http://www.act4nature.com/wp-content/uploads/2021/11/SANOFI-VA.pdf</t>
  </si>
  <si>
    <t>https://www.sanofi.com/en/our-responsibility</t>
  </si>
  <si>
    <t>https://www.zjec.com.cn/mtsc/uploads/undefined/E_ESG_Report_-_2022_0331.pdf</t>
  </si>
  <si>
    <t>https://news.bms.com/news/details/2020/Bristol-Myers-Squibb-Strengthens-its-Commitment-to-the-Environment-with-New-Corporate-Goals/default.aspx</t>
  </si>
  <si>
    <t>https://www.telefonica.com/en/sustainability-innovation/environment/energy-and-climate-change/</t>
  </si>
  <si>
    <t>Scope 1 and 2 + value chain</t>
  </si>
  <si>
    <t>Susun Construction Group</t>
  </si>
  <si>
    <t>own emissions + loans and investments portfolios and asset management</t>
  </si>
  <si>
    <t>https://reports.swissre.com/2021/assets/pdf/AR21_SURE_Sustainability_Report_2021.pdf</t>
  </si>
  <si>
    <t>2021 + 2019</t>
  </si>
  <si>
    <t>operations + underwriting and investment portfolio</t>
  </si>
  <si>
    <t>https://reports.swissre.com/sustainability-report/2020/operations/our-greenhouse-neutral-programme.html</t>
  </si>
  <si>
    <t>https://www.reuters.com/markets/commodities/indian-refiner-bpcl-tie-up-with-nuclear-institute-net-zero-push-2021-12-13/</t>
  </si>
  <si>
    <t>https://www.gsk.com/en-gb/responsibility/environmental-sustainability/</t>
  </si>
  <si>
    <t>operations (Scope 1 and 2) + full value chain (Scope 3)</t>
  </si>
  <si>
    <t>GSK</t>
  </si>
  <si>
    <t>https://www.exor.com/sites/default/files/2022/page-documents/Exor%202021%20Sustainability%20Report.pdf</t>
  </si>
  <si>
    <t>https://thefeed.blog/2021/06/09/our-path-to-net-zero-by-2050/</t>
  </si>
  <si>
    <t>global operations and supply chain</t>
  </si>
  <si>
    <t>https://www.tepco.co.jp/en/hd/about/esg/environment/carbon-neutrality-e.html</t>
  </si>
  <si>
    <t>https://www.aia.com/content/dam/group/en/esg/AIA%20ESG%20Report%202021%20English.pdf</t>
  </si>
  <si>
    <t>Business</t>
  </si>
  <si>
    <t>https://www.ingka.com/reporting/better-planet/climate-positive-by-2030/</t>
  </si>
  <si>
    <t>https://www.conocophillips.com/sustainability/sustainability-news/story/conocophillips-adopts-paris-aligned-climate-risk-framework-to-meet-net-zero-operational-emissions-ambition-by-2050/</t>
  </si>
  <si>
    <t>operational (scope 1 and 2) emissions</t>
  </si>
  <si>
    <t>https://groupebpce.com/en/all-the-latest-news/news/2021/climate-on-a-path-towards-carbon-neutrality-by-2050</t>
  </si>
  <si>
    <t>across operations, insurance portfolios, and corporate&amp;IB portfolios</t>
  </si>
  <si>
    <t>https://www.kddi.com/extlib/files/english/corporate/csr/csr_report/2021/pdf/report2021_en.pdf</t>
  </si>
  <si>
    <t>across operations - scope 1 and 2</t>
  </si>
  <si>
    <t>https://www.sumitomocorp.com/en/jp/news/release/2020/group/13510</t>
  </si>
  <si>
    <t>https://www.denso.com/global/en/news/newsroom/2021/20210202-g02/</t>
  </si>
  <si>
    <t>https://www.manulife.com/content/dam/corporate/global/en/documents/pas/climate-approach-en-2020.pdf</t>
  </si>
  <si>
    <t>2020 + 2050</t>
  </si>
  <si>
    <t>https://s22.q4cdn.com/604986553/files/doc_downloads/2022/07/AM-2021-SUSTAINABILITY-REPORT-(AI).pdf</t>
  </si>
  <si>
    <t>https://www.cisco.com/c/m/en_us/about/csr/esg-hub.html</t>
  </si>
  <si>
    <t>https://ir.cmbc.com.cn/media/cftelmok/2021-annual-report-en.pdf</t>
  </si>
  <si>
    <t>https://www.woolworthsgroup.com.au/page/media/Press_Releases/woolworths-group%E2%80%99s-2030-emissions-reduction-targets-endorsed-by-un-backed-science-based-targets-initiative/</t>
  </si>
  <si>
    <t>https://www.orange.com/en/engagements/orange-s-commitment/to-the-environment https://gallery.orange.com/rse/media/450906e4-9ba3-48f5-9ab7-9b9c8237b7b4#v=Version1&amp;l=en&amp;p=4</t>
  </si>
  <si>
    <t>https://www.sberbank.com/reducingcarbon</t>
  </si>
  <si>
    <t>https://www.accenture.com/gb-en/about/responsible-business/environment</t>
  </si>
  <si>
    <t xml:space="preserve"> Scope 1, 2 and 3 emissions</t>
  </si>
  <si>
    <t>http://static.cninfo.com.cn/finalpage/2021-06-09/1210198337.PDF</t>
  </si>
  <si>
    <t>https://www.merck.com/news/merck-accelerates-climate-goals-announces-carbon-neutrality-in-operations-by-2025/</t>
  </si>
  <si>
    <t>http://english.www.gov.cn/news/topnews/202101/18/content_WS6004dbfac6d0f72576943fc5.html</t>
  </si>
  <si>
    <t>corporate</t>
  </si>
  <si>
    <t>https://corporate.charter.com/esg-report.pdf</t>
  </si>
  <si>
    <t>https://corporate.bestbuy.com/best-buy-signs-the-climate-pledge-accelerating-sustainability-goals/</t>
  </si>
  <si>
    <t>https://www.aig.com/content/dam/aig/america-canada/us/documents/about-us/report/aig-esg-report_2021.pdf.coredownload.pdf</t>
  </si>
  <si>
    <t>operations; underwriting and investment portfolios</t>
  </si>
  <si>
    <t>https://www.bayer.com/sites/default/files/2022-03/Bayer-Sustainability-Report-2021.pdf#page=84</t>
  </si>
  <si>
    <t>https://www.bayer.com/sites/default/files/2021-02/Bayer-Sustainability-Report-2020.pdf</t>
  </si>
  <si>
    <t>https://www.tokiomarinehd.com/en/sustainability/pdf/sustainability_web_2021_2.pdf</t>
  </si>
  <si>
    <t>Tokio Marine Group (including investee companies and financing recipients)</t>
  </si>
  <si>
    <t>https://www.tokiomarinehd.com/en/sustainability/management/climate_change.html</t>
  </si>
  <si>
    <t>https://www.saint-gobain.com/sites/saint-gobain.com/files/media/document/CDP_Climate_Change_Questionnaire_2021.pdf</t>
  </si>
  <si>
    <t>direct emissions on our sites (scope 1), indirect emissions mainly linked to the use of electricity (scope 2), and emissions upstream and downstream of our value chain (scope 3)</t>
  </si>
  <si>
    <t>https://www.repsol.com/content/dam/repsol-corporate/es/accionistas-e-inversores/pdf/boosting-the-transition.pdf</t>
  </si>
  <si>
    <t>Idemitsu Sustainability Report 2021 : ENVIRONMENT</t>
  </si>
  <si>
    <t>https://home.kepco.co.kr/kepco/cmmn/documentViewer.po?fn=BBS_202112011020147160&amp;rs=/kepco/synap/doc</t>
  </si>
  <si>
    <t>power generation</t>
  </si>
  <si>
    <t>https://www.novartis.com/sites/novartiscom/files/novartis-integrated-report-2021.pdf</t>
  </si>
  <si>
    <t>own operations + supply chain</t>
  </si>
  <si>
    <t>https://www.vodafone.com/sustainable-business/our-purpose-pillars/planet/net-zero-by-2040</t>
  </si>
  <si>
    <t>https://www.midea-group.com/about-us/news/midea-group-officially-unveils-its-green-strategy</t>
  </si>
  <si>
    <t>https://www.talanx.com/en/talanx-group/sustainability/strategy_-_action_areas</t>
  </si>
  <si>
    <t>global operations + asset management and underwriting</t>
  </si>
  <si>
    <t>https://www.mufg.jp/dam/csr/report/progress/202204_en.pdf</t>
  </si>
  <si>
    <t xml:space="preserve">own operations + financed portfolio </t>
  </si>
  <si>
    <t>https://www.ab-inbev.com/assets/pdfs/Net%20Zero%20Executive%20Summary_FINAL%2012pm.pdf</t>
  </si>
  <si>
    <t>https://www.renaultgroup.com/wp-content/uploads/2021/04/220421_climate-report-renault-group_8mb.pdf</t>
  </si>
  <si>
    <t>https://economictimes.indiatimes.com/industry/banking/finance/banking/sbi-announces-steps-to-go-carbon-neutral-by-2030/articleshow/65855255.cms?from=mdr</t>
  </si>
  <si>
    <t>own operation</t>
  </si>
  <si>
    <t>2021 ESG Report (dow.com)
Primary date: https://investors.dow.com/en/news/news-details/2020/Dow-sets-targets-to-reduce-GHG-emissions-stop-plastic-waste-and-drive-toward-a-circular-economy/default.aspx</t>
  </si>
  <si>
    <t>https://group.softbank/system/files/pdf/sustainability/report/sustainability-report_fy2021_01_en.pdf</t>
  </si>
  <si>
    <t>http://www.vale.com/en/sustainability/pages/carbonneutral.aspx</t>
  </si>
  <si>
    <t>https://gruen.deutschebahn.com/en/strategy/climate_protection</t>
  </si>
  <si>
    <t>http://zgh.com/wp-content/uploads/2021/06/Geely-Holding-Group-Sustainability-Report-2021.pdf, https://www.media.volvocars.com/global/en-gb/media/pressreleases/259147/volvo-cars-to-radically-reduce-carbon-emissions-as-part-of-new-ambitious-climate-plan</t>
  </si>
  <si>
    <t>https://cmacgm-group.com/api/sites/default/files/2022-06/CMACGM_Rapport_2021_Web_UK.pdf</t>
  </si>
  <si>
    <t>http://en.sasac.gov.cn/2021/11/12/c_8170.htm</t>
  </si>
  <si>
    <t>https://www.lloydsbankinggroup.com/assets/pdfs/investors/financial-performance/lloyds-banking-group-plc/2021/q4/2021-lbg-climate-report.pdf</t>
  </si>
  <si>
    <t>emissions we finance</t>
  </si>
  <si>
    <t>https://www.societegenerale.com/en/news/press-release/societe-generale-joins-net-zero-banking-alliance</t>
  </si>
  <si>
    <t>https://www.vinci.com/publi/vinci/extract/2021_workforce_related_environmental_and_social_information.pdf</t>
  </si>
  <si>
    <t xml:space="preserve"> direct scope of business activities</t>
  </si>
  <si>
    <t>http://en.ansteel.cn/upload/pdf/2020.pdf</t>
  </si>
  <si>
    <t>https://www.petronas.com/pcg/sites/pcg/files/2022-03/PCG%20Sustainability%20Report%202021%20%E2%80%93%C2%A0Website.pdf</t>
  </si>
  <si>
    <t>https://www.nipponsteel.com/en/ir/library/pdf/20210330_ZC.pdf</t>
  </si>
  <si>
    <t>Domestic SCOPE 1+2 (Scope 3 not applicable)</t>
  </si>
  <si>
    <t>https://www.bhp.com/sustainability/climate-change</t>
  </si>
  <si>
    <t>operational emissions across scope 1 and 2</t>
  </si>
  <si>
    <t>https://worldwide.kia.com/int/company/sustainability/sustainability-report</t>
  </si>
  <si>
    <t>https://www.morganstanley.com/press-releases/2030-targets-for-net-zero-financed-emissions-commitment-</t>
  </si>
  <si>
    <t>https://www.morganstanley.com/articles/carbon-neutral-by-2022</t>
  </si>
  <si>
    <t>https://www.everbright.com/sites/default/files/csr_report/E%20ESG.pdf, announcement:https://www.everbright.com/en/news/china-everbright-limited-announces-aim-achieving-carbon-neutrality-operations-2022</t>
  </si>
  <si>
    <t>own operations reducing</t>
  </si>
  <si>
    <t>https://download.cib.com.cn/netbank/download/cn/Sustainable_Finance/report_2020en.pdf</t>
  </si>
  <si>
    <t>the Bank</t>
  </si>
  <si>
    <t>https://www.airbus.com/en/sustainability/reporting-and-performance-data/document-centre</t>
  </si>
  <si>
    <t>Scope 1 &amp; Scope 2</t>
  </si>
  <si>
    <t>https://www.maersk.com/news/articles/2022/01/12/apmm-accelerates-net-zero-emission-targets-to-2040-and-sets-milestone-2030-targets</t>
  </si>
  <si>
    <t>https://www.unilever.com/planet-and-society/climate-action/strategy-and-goals/</t>
  </si>
  <si>
    <t>https://www.boeing.com/features/2020/12/boeing-reaches-net-zero-carbon-emissions-from-manufacturing-and-worksites.page</t>
  </si>
  <si>
    <t>https://www.legalandgeneralgroup.com/media/18377/fy2020-lg-tcfd-report.pdf</t>
  </si>
  <si>
    <t xml:space="preserve">operational footprint + balance sheet </t>
  </si>
  <si>
    <t>https://www8.hp.com/h20195/v2/GetPDF.aspx/c08228880.pdf</t>
  </si>
  <si>
    <t>https://press.hp.com/us/en/press-releases/2021/hp-inc-announces-ambitious-climate-action-goals.html</t>
  </si>
  <si>
    <t>https://www.riotinto.com/en/invest/reports/sustainability-report</t>
  </si>
  <si>
    <t>https://www.aegon.com/contentassets/65a12ebf767a47d49f0f4b380c952edd/pr-aegon--commits-to-net-zero-by-2050.pdf</t>
  </si>
  <si>
    <t>investment portfolio emissions</t>
  </si>
  <si>
    <t>https://www.aegon.com/siteassets/iar/2021/aegon-integrated-annual-report-2021.pdf#page=394</t>
  </si>
  <si>
    <t>https://www.aviva.com/newsroom/news-releases/2021/03/aviva-becomes-the-first-major-insurer-worldwide-to-target-Net-Zero-carbon-by-2040/</t>
  </si>
  <si>
    <t>https://www.spglobal.com/marketintelligence/en/news-insights/latest-news-headlines/goldman-sachs-commits-to-reach-net-zero-carbon-emissions-by-2030-63025530</t>
  </si>
  <si>
    <t>https://www.goldmansachs.com/our-commitments/sustainability/sustainable-finance/our-operational-impact/carbon-energy/</t>
  </si>
  <si>
    <t>https://jbs.com.br/wp-content/uploads/2021/08/-sustainability-in-report-jbs-2020.pdf, https://www.jbs.com.br/netzero/en/</t>
  </si>
  <si>
    <t>https://holdings.panasonic/global/corporate/sustainability/environment/carbon-neutral.html</t>
  </si>
  <si>
    <t>Panasonic Holdings</t>
  </si>
  <si>
    <t>https://ongcindia.com/documents/77751/1767719/293_286_ESG2021_compressed.pdf/dfc3d712-e1ec-4ad3-d31c-a5c404b48965</t>
  </si>
  <si>
    <t xml:space="preserve">https://www.hbisco.com/site/en/groupnewssub/info/2021/15999.html </t>
  </si>
  <si>
    <t>https://newsroom.posco.com/en/poscos-carbon-neutrality-2050-declaration-background-and-achievement-goals/</t>
  </si>
  <si>
    <t>announcement: https://www.lg.com/us/solar/solar/files/news/5.20.19_LG_Carbon_Neutral_2030_Release_FINAL.pdf, data: https://www.lg.com/global/sustainability-report</t>
  </si>
  <si>
    <t>operational and product related emissions</t>
  </si>
  <si>
    <t>https://impact.disney.com/app/uploads/2022/02/2021-CSR-Report.pdf</t>
  </si>
  <si>
    <t>operational</t>
  </si>
  <si>
    <t>https://www.zurich.com/en/media/news-releases/2022/2022-0331-01</t>
  </si>
  <si>
    <t>2022 + 2021</t>
  </si>
  <si>
    <t>https://www.zurich.com/sustainability/strategy/our-climate-commitment/carbon-neutral?page_url_input_url=https%3a%2f%2fwww.zurich.com%2fsustainability%2fenvironment%2four-climate-commitment%2fcarbon-neutral</t>
  </si>
  <si>
    <t>https://sustainability.pttgcgroup.com/en/net-zero</t>
  </si>
  <si>
    <t>http://www.jxcc.com/content/b93206c27f1141cd8e7649f7c7112510.html?type=2&amp;columnId=6259e25f77314c4781f0bdd18c60a390</t>
  </si>
  <si>
    <t>http://s3gw.cmbchina.com/lb50.01-cmbweb-prd/CIOAManager/20220318/87666ece-fb37-4b6c-b0cc-1730132045c1.pdf</t>
  </si>
  <si>
    <t>https://sustainabilityreport.metlife.com/content/dam/metlifecom/us/sustainability/sus-refresh-2022/report-website/pdf/2021-sustainability-report.pdf</t>
  </si>
  <si>
    <t>global operations and investment portfilio</t>
  </si>
  <si>
    <t>https://www.toyota-tsusho.com/english/sustainability/environment/climate-change.html</t>
  </si>
  <si>
    <t>https://news.lenovo.com/pressroom/press-releases/new-ambitious-science-based-esg-targets-10-year-sustainability-milestones/</t>
  </si>
  <si>
    <t>https://assets.cwp.roche.com/f/126832/x/70206811f5/20200331-she-goals-2020-2025-communication.pdf</t>
  </si>
  <si>
    <t>https://newsroom.ibm.com/2021-02-16-IBM-Commits-To-Net-Zero-Greenhouse-Gas-Emissions-By-2030?lnk=hpv18nf1</t>
  </si>
  <si>
    <t>https://www.unepfi.org/news/themes/climate-change/dai-ichi-life-insurance-is-first-asian-member-of-net-zero-asset-owner-alliance/#:~:text=Japan's%20Dai%2Dichi%20Life%20Insurance,total%20AUM%20of%20%245.6%20trillion.</t>
  </si>
  <si>
    <t>the company and holdings</t>
  </si>
  <si>
    <t>https://www.ge.com/sites/default/files/ge2021_sustainability_report.pdf</t>
  </si>
  <si>
    <t>https://www.ge.com/news/reports/climate-commitments-how-ge-rising-challenges-energy-transition</t>
  </si>
  <si>
    <t>https://www.nissay.co.jp/english/esg/esg_report2021_en.pdf</t>
  </si>
  <si>
    <t>business activities [and] investment portfolio</t>
  </si>
  <si>
    <t>https://www.baicintl.com/html/2022/company_news_0623/262.html</t>
  </si>
  <si>
    <t>all products</t>
  </si>
  <si>
    <t>https://www.nissan-global.com/EN/SUSTAINABILITY/LIBRARY/SR/2021/ASSETS/PDF/SR21_E_All.pdf</t>
  </si>
  <si>
    <t>operations and product life cycle</t>
  </si>
  <si>
    <t>https://www.brookfield.com/responsibility/brookfields-net-zero-commitment</t>
  </si>
  <si>
    <t>all assets managed</t>
  </si>
  <si>
    <t>https://www.marubeni.com/en/news/2021/release/00022.html</t>
  </si>
  <si>
    <t>for the group</t>
  </si>
  <si>
    <t>https://www1.hkexnews.hk/listedco/listconews/sehk/2022/0325/2022032501088.pdf</t>
  </si>
  <si>
    <t>https://www.pg.co.uk/2021_Citizenship_Report.pdf</t>
  </si>
  <si>
    <t>https://fortune.com/2020/07/16/emissions-climate-neutral-procter-and-gambler/</t>
  </si>
  <si>
    <t>https://corporate-media.arcelormittal.com/media/ob3lpdom/car_2.pdf</t>
  </si>
  <si>
    <t>Scope 1 &amp; 2 (Scope 3 not applicable)</t>
  </si>
  <si>
    <t>https://www.hsbc.com/who-we-are/our-climate-strategy/becoming-a-net-zero-bank</t>
  </si>
  <si>
    <t>own operations and supply chain + financed emissions</t>
  </si>
  <si>
    <t>https://ssl4.eir-parts.net/doc/8267/ir_material_for_fiscal_ym23/116815/00.pdf</t>
  </si>
  <si>
    <t>stores and logistics</t>
  </si>
  <si>
    <t>https://www.7andi.com/en/sustainability/policy/environment_03.html</t>
  </si>
  <si>
    <t>https://www.santander.com/en/press-room/press-releases/2021/02/santander-group-sets-ambition-to-be-net-zero-by-2050-supported-by-first-decarbonization-targets</t>
  </si>
  <si>
    <t>the group</t>
  </si>
  <si>
    <t>https://www.intel.com/content/www/us/en/newsroom/news/net-zero-greenhouse-gas-emissions-operations.html#gs.5hra67</t>
  </si>
  <si>
    <t>https://calec.china-airlines.com/csr/en/news20211115.html</t>
  </si>
  <si>
    <t>https://www.pepsico.com/our-impact/sustainability/report-downloads</t>
  </si>
  <si>
    <t>across scopes 1+2, unclear on 3</t>
  </si>
  <si>
    <t>https://www.citigroup.com/citi/about/esg/download/2021/Global-ESG-Report-2021.pdf</t>
  </si>
  <si>
    <t>https://www.hd.eneos.co.jp/english/newsrelease/upload_pdf/20220615_02_01_0906370.pdf</t>
  </si>
  <si>
    <t>https://www.bgy.com.cn/upload/file/2022-05-31/1b083123-805b-447c-8f33-db44c07c7c38.pdf</t>
  </si>
  <si>
    <t>https://www.pfizer.co.uk/news-and-featured-stories/how-pfizer-is-fighting-climate-change</t>
  </si>
  <si>
    <t>https://s28.q4cdn.com/781576035/files/doc_downloads/Pfizer-ESG-Report-2020_2021-03-10.pdf</t>
  </si>
  <si>
    <t>https://sites.wf.com/co2emission/CO2eMission_Executive_Summary.pdf</t>
  </si>
  <si>
    <t>emissions and financed emissions</t>
  </si>
  <si>
    <t>https://www08.wellsfargomedia.com/assets/pdf/about/corporate-responsibility/goals-performance-data.pdf</t>
  </si>
  <si>
    <t>https://www.munichre.com/content/dam/munichre/contentlounge/website-pieces/documents/munich_re_sustainability_report_2021.pdf/_jcr_content/renditions/original./munich_re_sustainability_report_2021.pdf</t>
  </si>
  <si>
    <t>operational business + investments and (re)insurance business</t>
  </si>
  <si>
    <t>http://ar2020.chinatelecom-h.com/English/corporate-social-responsibility-report.pdf</t>
  </si>
  <si>
    <t>https://www.engie.com/sites/default/files/assets/documents/2021-05/RI-Engie2021-ENG-vdef.pdf, announcement:https://www.engieimpact.com/insights/decarbonization-energy-sector</t>
  </si>
  <si>
    <t>https://www.fedex.com/content/dam/fedex/us-united-states/sustainability/gcrs/FedEx_2022_ESG_Report.pdf</t>
  </si>
  <si>
    <t>within operations</t>
  </si>
  <si>
    <t>https://api.mziq.com/mzfilemanager/v2/d/25fdf098-34f5-4608-b7fa-17d60b2de47d/82b69c0b-4a43-b921-1d5c-2f53bd5bc196?origin=1</t>
  </si>
  <si>
    <t>operations under our control (scope 1 and 2)</t>
  </si>
  <si>
    <t>file:///Users/sarahkoopman/Downloads/52b3bca4943f481eb4180030db23a0fa.pdf</t>
  </si>
  <si>
    <t>COSCO Shipping</t>
  </si>
  <si>
    <t>https://www.tescoplc.com/news/2021/tesco-commits-to-net-zero-supply-chain-and-products-by-2050/</t>
  </si>
  <si>
    <t>2035 + 2050</t>
  </si>
  <si>
    <t>operations + supply chain and products</t>
  </si>
  <si>
    <t>https://group.bnpparibas/en/press-release/bnp-paribas-joins-net-zero-banking-alliance-launched-unep</t>
  </si>
  <si>
    <t>credit and investment activities</t>
  </si>
  <si>
    <t>operational scope (direct greenhouse gas emissions and indirect emissions linked to the purchase of energy and to business travels)</t>
  </si>
  <si>
    <t>https://www.tencent.com/en-us/esg/carbon-neutrality.html</t>
  </si>
  <si>
    <t>within operations + supply chain</t>
  </si>
  <si>
    <t>https://www.carrefour.com/en/csr/performance#:~:text=Carrefour%20set%20itself%20the%20goal,2019%2C%20ahead%20of%20the%20target.</t>
  </si>
  <si>
    <t>https://www.spglobal.com/commodityinsights/en/market-insights/latest-news/energy-transition/122121-rosneft-sets-net-zero-emissions-by-2050-target</t>
  </si>
  <si>
    <t>https://www.sk-inc.com/en/sv/sustainabilityReport.aspx</t>
  </si>
  <si>
    <t>across all companies</t>
  </si>
  <si>
    <t>SK Group</t>
  </si>
  <si>
    <t>https://www.sony.com/en/SonyInfo/News/Press/202205/22-022E/</t>
  </si>
  <si>
    <t>2030 + 2040</t>
  </si>
  <si>
    <t>Scope 1, 2 + Scope 1, 2, 3</t>
  </si>
  <si>
    <t>https://media.aholddelhaize.com/media/2zdi1gsi/aholddelhaize_ar21_interactive.pdf?t=637819090356130000</t>
  </si>
  <si>
    <t>own operations + supply chain, products and service</t>
  </si>
  <si>
    <t>https://www.equinor.com/news/archive/20201102-emissions</t>
  </si>
  <si>
    <t>scope 1, 2 and some of 3</t>
  </si>
  <si>
    <t>https://www.hitachi.eu/en/press/hitachi-sets-new-target-contribute-net-zero-society</t>
  </si>
  <si>
    <t>2020 + 2021</t>
  </si>
  <si>
    <t>factories and offices globally + entire value chain</t>
  </si>
  <si>
    <t>https://www.eni.com/assets/documents/eng/just-transition/2021/eni-for-2021-carbon-neutrality-2050-eng.pdf</t>
  </si>
  <si>
    <t>Scope 1 and 2 + Scope 3 emissions associated with Eni activities and products, along their value chain</t>
  </si>
  <si>
    <t>https://www.basf.com/global/en/who-we-are/sustainability/we-produce-safely-and-efficiently/energy-and-climate-protection/climate-protection-goal.html</t>
  </si>
  <si>
    <t>https://www.bosch.com/sustainability/environment/</t>
  </si>
  <si>
    <t>https://www.jnj.com/environmental-sustainability/climate-and-energy-action</t>
  </si>
  <si>
    <t>https://about.bankofamerica.com/en/making-an-impact/carbon-neutral-building-and-operations, https://about.bankofamerica.com/en/making-an-impact/environmental-sustainability</t>
  </si>
  <si>
    <t>financing activities, operations and supply chain</t>
  </si>
  <si>
    <t>announcement: https://about.bankofamerica.com/content/dam/about/report-center/esg/2016/BRO-02-17-0321_ADA.pdf info: https://about.bankofamerica.com/en/making-an-impact/carbon-neutral-building-and-operations</t>
  </si>
  <si>
    <t>https://www.nestle.com/sites/default/files/2022-03/creating-shared-value-sustainability-report-2021-en.pdf</t>
  </si>
  <si>
    <t>all scopes except "consumer use of sold products and purchased services, leased assets, capital goods, investments"</t>
  </si>
  <si>
    <t>https://www.citic.com/ar2021/pdf/11E-ESG.pdf</t>
  </si>
  <si>
    <t>https://corporate.lowes.com/sites/lowes-corp/files/CSR-reports/Lowes_2021_CSR_06.03.22.pdf</t>
  </si>
  <si>
    <t>https://www.dhl.com/discover/en-global/business/business-ethics/the-path-toward-zero-emissions</t>
  </si>
  <si>
    <t>Life Insurance Corp. of India</t>
  </si>
  <si>
    <t>https://investors.ups.com/_assets/ups/files/pages/ups/db/1149/description/UPS_ESG_Strategy_and_Progress.pdf</t>
  </si>
  <si>
    <t>https://www.edf.fr/en/the-edf-group/our-raison-d-etre</t>
  </si>
  <si>
    <t xml:space="preserve">reach net zero, or almost zero, direct CO2 emissions, reduce our indirect CO2 emissions </t>
  </si>
  <si>
    <t>https://www.japanpost.jp/en/sustainability/library/report/pdf/2021_en.pdf</t>
  </si>
  <si>
    <t>parts procurement, production, and vehicle operation</t>
  </si>
  <si>
    <t>https://www.enel.com/content/dam/enel-com/documenti/investitori/sostenibilita/2021/sustainability-report_2021.pdf</t>
  </si>
  <si>
    <t>direct (Scope 1) and indirect (Scope 2 and 3) emission</t>
  </si>
  <si>
    <t>https://www.mitsui.com/jp/en/sustainability/environment/climate_change/index.html</t>
  </si>
  <si>
    <t>Scope 1 and 2, and Scope 3 Category 15 (Investments)</t>
  </si>
  <si>
    <t>https://corporate.target.com/_media/TargetCorp/Sustainability-ESG/PDF/2021_Target_Corporate-Responsibility-Report.pdf</t>
  </si>
  <si>
    <t>https://www.dell.com/en-us/blog/getting-to-net-zero-it-takes-an-entire-company/</t>
  </si>
  <si>
    <t>https://group.ntt/en/csr/data/pdf/NTT%20Group%20Sustainability%20report%202021%20DataBook_220610.pdf</t>
  </si>
  <si>
    <t>https://www.valero.com/responsibility/environmental-stewardship</t>
  </si>
  <si>
    <t>https://www.psbc.com/en/investor_relations/social_responsibility/202203/P020220330801457436982.pdf</t>
  </si>
  <si>
    <t>data:https://www.itochu.co.jp/en/csr/pdf/21fulle-all.pdf announcement:https://www.itochu.co.jp/en/csr/environment/climate_change/index.html</t>
  </si>
  <si>
    <t>net zero</t>
  </si>
  <si>
    <t>https://www.itochu.co.jp/en/csr/pdf/21fulle-all.pdf</t>
  </si>
  <si>
    <t>http://static.sse.com.cn/disclosure/listedinfo/announcement/c/new/2021-04-20/600153_20210420_10.pdf</t>
  </si>
  <si>
    <t>https://corporate.comcast.com/stories/carbon-neutral-by-2035</t>
  </si>
  <si>
    <t>https://www.generali.com/our-responsibilities/our-commitment-to-the-environment-and-climate</t>
  </si>
  <si>
    <t>https://www.generali.com/media/press-releases/all/2021/Generali-updates-its-strategy-for-climate-protection</t>
  </si>
  <si>
    <t>2023 + 2050</t>
  </si>
  <si>
    <t>operations + investment and insurance portfolio</t>
  </si>
  <si>
    <t>https://sustainability.fb.com/2021-sustainability-report/</t>
  </si>
  <si>
    <t>Meta Platforms</t>
  </si>
  <si>
    <t>https://en.crc.com.cn/whatwebelieve/OurResponsibility_new/csrreports/202201/P020220121586918240174.pdf</t>
  </si>
  <si>
    <t>https://news.gm.com/newsroom.detail.html/Pages/news/us/en/2021/jan/0128-carbon.html</t>
  </si>
  <si>
    <t>https://www.jpmorganchase.com/impact/sustainability/es-commitments</t>
  </si>
  <si>
    <t>https://www.telekom.com/en/media/media-information/archive/deutsche-telekom-tightens-its-climate-targets-623582</t>
  </si>
  <si>
    <t>production stage to operation by the customer</t>
  </si>
  <si>
    <t>direct and indirect emissions (Scope 1 and 2)</t>
  </si>
  <si>
    <t>https://global.honda/sustainability/cq_img/report/pdf/2021/Honda-SR-2021-en-all.pdf</t>
  </si>
  <si>
    <t>https://report2020.bmwgroup.com/data/pdf/en/BMW-Group-Bericht-2020-EN.pdf</t>
  </si>
  <si>
    <t>2021 + 2020</t>
  </si>
  <si>
    <t>2021 + 2050</t>
  </si>
  <si>
    <t>sites + value chain</t>
  </si>
  <si>
    <t>https://www.fortum.com/sustainability</t>
  </si>
  <si>
    <t>https://www.reuters.com/business/sustainable-business/chinas-alibaba-pledges-carbon-neutrality-by-2030-2021-12-17/</t>
  </si>
  <si>
    <t>https://www.verizon.com/about/news/verizon-goes-carbon-neutral-2035
https://www.verizon.com/about/sites/default/files/Verizon-2021-ESG-Report.pdf</t>
  </si>
  <si>
    <t>vehicle use, its supply base and the company’s facilities</t>
  </si>
  <si>
    <t>Elevance Health</t>
  </si>
  <si>
    <t>https://www.allianz.com/en/press/news/commitment/environment/220429_Allianz-reinforces-its-commitment-to-net-zero-strategy.html</t>
  </si>
  <si>
    <t>operations + proprietary investment portfolio</t>
  </si>
  <si>
    <t>https://www.allianz.com/en/press/news/commitment/environment/news-2012-09-12.html</t>
  </si>
  <si>
    <t>data: https://ir.jd.com/system/files-encrypted/nasdaq_kms/assets/2022/05/23/14-48-50/2021%20JD.com%20Environmental%20Social%20and%20Governance%20Report%20-20MB.pdf Anouncement:https://jdcorporateblog.com/jd-logistics-aims-to-reduce-50-carbon-emissions-by-2030/</t>
  </si>
  <si>
    <t>https://www.walgreensbootsalliance.com/sites/www/files/asset/Walgreens-Boots-Alliance-2021-ESG-Report_2.pdf</t>
  </si>
  <si>
    <t>https://res.baowugroup.com/attach/2021/10/29/1a2ad022172a46f6b2f31b5377a07ea5.pdf</t>
  </si>
  <si>
    <t>https://pic.bankofchina.com/bocappd/report/202203/P020220329603102021431.pdf</t>
  </si>
  <si>
    <t>https://www.m-chemical.co.jp/en/news/2021/__icsFiles/afieldfile/2021/10/20/20211020cneng.pdf</t>
  </si>
  <si>
    <t>https://group-media.mercedes-benz.com/marsMediaSite/en/instance/ko/Next-Milestone-Ambition-2039-The-global-Mercedes-Benz-supply-chain-is-becoming-CO2-neutral.xhtml?oid=48369319&amp;ls=L2VuL2luc3RhbmNlL2tvLnhodG1sP29pZD00OTAwODU2NyZyZWxJZD02MDgyOSZmcm9tT2lkPTQ5MDA4NTY3JnJlc3VsdEluZm9UeXBlSWQ9NDA2MjYmdmlld1R5cGU9dGh1bWJzJnNvcnREZWZpbml0aW9uPVBVQkxJU0hFRF9BVC0yJnRodW1iU2NhbGVJbmRleD0xJnJvd0NvdW50c0luZGV4PTUmZnJvbUluZm9UeXBlSWQ9NDA2Mjg!&amp;rs=38</t>
  </si>
  <si>
    <t>2022 + 2039</t>
  </si>
  <si>
    <t>production + Scope 1, 2, 3</t>
  </si>
  <si>
    <t>Mercedes-Benz Group</t>
  </si>
  <si>
    <t>https://www.chevron.com/newsroom/2021/q4/chevron-sets-net-zero-aspiration-and-new-ghg-intensity-target</t>
  </si>
  <si>
    <t>https://www.bp.com/en/global/corporate/news-and-insights/press-releases/bernard-looney-announces-new-ambition-for-bp.html</t>
  </si>
  <si>
    <t>operations, production and sales</t>
  </si>
  <si>
    <t>direct emissions and for our entire supply and value chain</t>
  </si>
  <si>
    <t>https://blogs.microsoft.com/blog/2012/05/08/making-carbon-neutrality-everyones-responsibility-at-microsoft/</t>
  </si>
  <si>
    <t>our direct operations</t>
  </si>
  <si>
    <t>https://about.att.com/csr/home/environment/carbon-neutral.html</t>
  </si>
  <si>
    <t>https://www.sinochem.com/newen/s/17585-50448-158611.html</t>
  </si>
  <si>
    <t>Sinochem Holdings</t>
  </si>
  <si>
    <t>https://www.stellantis.com/en/news/insights/driving-toward-a-new-era-of-sustainable-mobility</t>
  </si>
  <si>
    <t>well to wheel and throughout the entire supply chain</t>
  </si>
  <si>
    <t>Stellantis</t>
  </si>
  <si>
    <t>https://totalenergies.com/system/files/documents/2022-03/Sustainability_Climate_2022_Progress_Report_EN_0.pdf</t>
  </si>
  <si>
    <t>operations (Scope 1+2) and the emissions generated by our customers’ use of our energy products (Scope 3)</t>
  </si>
  <si>
    <t>https://group.pingan.com/media/news/News-2021/Ping-An-to-achieve-operational-carbon-neutrality-in-2030.html</t>
  </si>
  <si>
    <t>https://www.glencore.com/sustainability/esg-a-z/climate-change https://www.glencore.com/dam/jcr:ad341247-c81e-45b4-899d-a7f32a9d69a0/2021-Climate-Change-Report-.pdf</t>
  </si>
  <si>
    <t>https://www.foxconn.com/s3/reports/CSR%E5%A0%B1%E5%91%8A%E6%9B%B8/%E8%8B%B1%E6%96%87%E7%89%88/2020%20Foxconn%20CSR%20Report_en.pdf</t>
  </si>
  <si>
    <t>https://www.gstatic.com/gumdrop/sustainability/alphabet-2021-cdp-climate-change-response.pdf</t>
  </si>
  <si>
    <t>https://www.gstatic.com/gumdrop/sustainability/google-2021-environmental-report.pdf</t>
  </si>
  <si>
    <t>https://www.mckesson.com/About-McKesson/Impact/</t>
  </si>
  <si>
    <t>McKesson Europe</t>
  </si>
  <si>
    <t>https://reports.shell.com/sustainability-report/2021/_assets/downloads/our-performance-data-shell-sr21.pdf</t>
  </si>
  <si>
    <t>from our operations and from the fuels and other energy products, such as electricity, that we sell to our customers</t>
  </si>
  <si>
    <t>Shell</t>
  </si>
  <si>
    <t>https://global.toyota/pages/global_toyota/ir/library/annual/2021_001_integrated_en.pdf</t>
  </si>
  <si>
    <t>https://corporate.exxonmobil.com/News/Newsroom/News-releases/2022/0118_ExxonMobil-announces-ambition-for-net-zero-greenhouse-gas-emissions-by-2050</t>
  </si>
  <si>
    <t>https://sustainability.uhg.com/content/dam/sustainability-report/2021/pdf/2021-sustainability-report.pdf</t>
  </si>
  <si>
    <t>https://www.cvshealth.com/sites/default/files/cvs-health-esg-report-2021.pdf</t>
  </si>
  <si>
    <t>https://www.volkswagenag.com/presence/nachhaltigkeit/documents/sustainability-report/2021/Nonfinancial_Report_2021_e.pdf</t>
  </si>
  <si>
    <t>2020 + 2030</t>
  </si>
  <si>
    <t>global corporate operations + supply chain</t>
  </si>
  <si>
    <t>https://www.aramco.com/-/media/downloads/sustainability-report/saudi-aramco-sustainability-report-2021-en.pdf?la=en&amp;hash=FBC097ED5D1F646B7847CFA03BEB5B2BF8D33293</t>
  </si>
  <si>
    <t xml:space="preserve">http://www.sinopec.com/listco/en/Resource/Pdf/2022032789.pdf </t>
  </si>
  <si>
    <t>http://news.cnpc.com.cn/cms_udf/2022/hjgb0531/index.shtml</t>
  </si>
  <si>
    <t>http://en.sasac.gov.cn/2021/03/09/c_6788.htm</t>
  </si>
  <si>
    <t>https://sustainability.aboutamazon.com/environment/sustainable-operations/carbon-footprint</t>
  </si>
  <si>
    <t>https://corporate.walmart.com/newsroom/2020/09/21/walmart-sets-goal-to-become-a-regenerative-company</t>
  </si>
  <si>
    <r>
      <t>Announced</t>
    </r>
    <r>
      <rPr>
        <sz val="11"/>
        <color theme="1"/>
        <rFont val="Aptos Narrow"/>
        <family val="2"/>
        <scheme val="minor"/>
      </rPr>
      <t xml:space="preserve">
+ = the date of the later target</t>
    </r>
  </si>
  <si>
    <r>
      <t xml:space="preserve">From </t>
    </r>
    <r>
      <rPr>
        <sz val="11"/>
        <color theme="1"/>
        <rFont val="Aptos Narrow"/>
        <family val="2"/>
        <scheme val="minor"/>
      </rPr>
      <t xml:space="preserve">
+ = the date of the later target</t>
    </r>
  </si>
  <si>
    <r>
      <t xml:space="preserve">Scope of target in their own words
</t>
    </r>
    <r>
      <rPr>
        <sz val="11"/>
        <color theme="1"/>
        <rFont val="Aptos Narrow"/>
        <family val="2"/>
        <scheme val="minor"/>
      </rPr>
      <t>+ = the scope of the later target</t>
    </r>
  </si>
  <si>
    <r>
      <t>Scope of target</t>
    </r>
    <r>
      <rPr>
        <sz val="11"/>
        <color theme="1"/>
        <rFont val="Aptos Narrow"/>
        <family val="2"/>
        <scheme val="minor"/>
      </rPr>
      <t xml:space="preserve">
V = value chain, C = company, S = subsidiary, U = unclear, x = less than 25% rev, + = the scope of the later target, SBTi = target approved under SBTi's Net Zero standard, SBTi? = have a net zero target listed by SBTi but unclear whether this is under the new standard</t>
    </r>
  </si>
  <si>
    <r>
      <t>Scope of target in their own words</t>
    </r>
    <r>
      <rPr>
        <sz val="11"/>
        <color theme="1"/>
        <rFont val="Aptos Narrow"/>
        <family val="2"/>
        <scheme val="minor"/>
      </rPr>
      <t xml:space="preserve">
+ = the scope of the later target</t>
    </r>
  </si>
  <si>
    <r>
      <t xml:space="preserve">Scope of target
</t>
    </r>
    <r>
      <rPr>
        <sz val="11"/>
        <color theme="1"/>
        <rFont val="Aptos Narrow"/>
        <family val="2"/>
        <scheme val="minor"/>
      </rPr>
      <t>C = company, V = value chain, G= government, S = subsidiary, U = unspecified, x = less than 25% of rev, + = the scope of the later target</t>
    </r>
  </si>
  <si>
    <t>From (earlier of the two dates if there were two near-term targets, where target status was committed we put 2030)</t>
  </si>
  <si>
    <r>
      <t>Net zero</t>
    </r>
    <r>
      <rPr>
        <sz val="11"/>
        <color theme="1"/>
        <rFont val="Aptos Narrow"/>
        <family val="2"/>
        <scheme val="minor"/>
      </rPr>
      <t xml:space="preserve"> - source: desk-based research undertaken by Climate Impact Partners conducted in July and August 2022. See methodology section of full report for more details. Download full report via https://ifnotnowwhen.climateimpact.com</t>
    </r>
  </si>
  <si>
    <r>
      <t xml:space="preserve">Carbon neutral </t>
    </r>
    <r>
      <rPr>
        <sz val="11"/>
        <color theme="1"/>
        <rFont val="Aptos Narrow"/>
        <family val="2"/>
        <scheme val="minor"/>
      </rPr>
      <t>- source: desk-based research undertaken by Climate Impact Partners conducted in July and August 2022. See methodology section of full report for more details. Download full report via https://ifnotnowwhen.climateimpact.com</t>
    </r>
  </si>
  <si>
    <r>
      <t xml:space="preserve">Science Based Targets </t>
    </r>
    <r>
      <rPr>
        <sz val="11"/>
        <color theme="1"/>
        <rFont val="Aptos Narrow"/>
        <family val="2"/>
        <scheme val="minor"/>
      </rPr>
      <t>- source: Science Based Targets initiative, accessed 10th July 2022 https://sciencebasedtargets.org/download/excel</t>
    </r>
  </si>
  <si>
    <r>
      <t xml:space="preserve">RE100  </t>
    </r>
    <r>
      <rPr>
        <sz val="11"/>
        <color theme="1"/>
        <rFont val="Aptos Narrow"/>
        <family val="2"/>
        <scheme val="minor"/>
      </rPr>
      <t>- source: RE100 (The Climate Group), 2021 Progress and Insights Annual Report https://www.there100.org/stepping-re100-gathers-speed-challenging-markets and member page https://www.there100.org/re100-members accessed on 15 August 2022</t>
    </r>
  </si>
  <si>
    <r>
      <t>Company information</t>
    </r>
    <r>
      <rPr>
        <sz val="11"/>
        <color theme="1"/>
        <rFont val="Aptos Narrow"/>
        <family val="2"/>
        <scheme val="minor"/>
      </rPr>
      <t xml:space="preserve"> - source: Fortune, accessed 5th August 2022 https://fortune.com/global500/</t>
    </r>
  </si>
  <si>
    <t>N</t>
  </si>
  <si>
    <t>$159</t>
  </si>
  <si>
    <t>$30,922</t>
  </si>
  <si>
    <t>https://www.mhi.com/finance/library/annual/pdf/report_2022_a3.pdf</t>
  </si>
  <si>
    <t>https://www.mhi.com/news/21100101.html#:~:text=The%20Sustainability%20Committee%20will%20be%20chaired%20by%20CSO%20Hitoshi%20Kaguchi,operations%20serving%20as%20committee%20members.</t>
  </si>
  <si>
    <t>CSO</t>
  </si>
  <si>
    <t xml:space="preserve"> entire value chain</t>
  </si>
  <si>
    <t>$964</t>
  </si>
  <si>
    <t>$31,050</t>
  </si>
  <si>
    <t>https://socialresponsibility.carmax.com/pdf-viewer-4/web/viewer.html
https://media.carmax.com/press-releases/news-release/2021/CarMax-Announces-Commitment-to-Net-Zero-Carbon-Emissions-by-2050/default.aspx#:~:text=(NYSE%3A%20KMX)%2C%20the,out%20by%20the%20Paris%20Agreement.</t>
  </si>
  <si>
    <t>1,2</t>
  </si>
  <si>
    <t>$485</t>
  </si>
  <si>
    <t>$31,126</t>
  </si>
  <si>
    <t>https://www.sumitomolife.co.jp/english/annual/pdf/sr2022.pdf</t>
  </si>
  <si>
    <t>CSO (GSO Group Sustainability Officer)</t>
  </si>
  <si>
    <t>$1,033</t>
  </si>
  <si>
    <t>$31,218</t>
  </si>
  <si>
    <t>https://www.samsunglife.com/dcms/upload/2022/08/11/Samsung%20Life%20Insurance%202022%20ESG%20Report.pdf</t>
  </si>
  <si>
    <t>F</t>
  </si>
  <si>
    <t>$1,227</t>
  </si>
  <si>
    <t>$31,243</t>
  </si>
  <si>
    <t>$84</t>
  </si>
  <si>
    <t>$31,263</t>
  </si>
  <si>
    <t>https://www.bridgestone.com/ir/library/integrated_report/pdf/2023/ir2023_spread.pdf</t>
  </si>
  <si>
    <t>$2,287</t>
  </si>
  <si>
    <t>$31,298</t>
  </si>
  <si>
    <t>$186</t>
  </si>
  <si>
    <t>$31,304</t>
  </si>
  <si>
    <t>https://www.paramount.com/files/documents/Paramount_ESG-report-2021-2022.pdf</t>
  </si>
  <si>
    <t>https://www.linkedin.com/in/jessicamthurston/</t>
  </si>
  <si>
    <t>Vice President, ESG Strategy</t>
  </si>
  <si>
    <t>$1,104</t>
  </si>
  <si>
    <t>$31,331</t>
  </si>
  <si>
    <t>https://stakeholderimpactreport.salesforce.com/esg-metrics-and-indicators</t>
  </si>
  <si>
    <t>https://www.salesforce.com/company/leadership/bios/bio-dibianca/</t>
  </si>
  <si>
    <t>Chief Impact Officer &amp; EVP</t>
  </si>
  <si>
    <t>https://www.salesforce.com/news/press-releases/2021/09/21/salesforce-achieves-net-zero-across-its-full-value-chain/</t>
  </si>
  <si>
    <t>$208</t>
  </si>
  <si>
    <t>$31,352</t>
  </si>
  <si>
    <t>Salesforce</t>
  </si>
  <si>
    <t>https://assets.siemens-energy.com/siemens/assets/api/uuid:49bc59fb-7af0-47fc-a764-a3550d4153dc/siemens-energy-sustainability-report-2022.pdf</t>
  </si>
  <si>
    <t>Chief Executive Officer and Chief Sustainability Officer</t>
  </si>
  <si>
    <t>https://www.energyglobal.com/special-reports/22042021/siemens-energys-decarbonisation-targets-confirmed/</t>
  </si>
  <si>
    <t>$-437</t>
  </si>
  <si>
    <t>$31,367</t>
  </si>
  <si>
    <t>https://filecache.investorroom.com/mr5ir_danaher/754/Danaher%202022%20Sustainability%20Report.pdf</t>
  </si>
  <si>
    <t>$7,209</t>
  </si>
  <si>
    <t>$31,471</t>
  </si>
  <si>
    <t>https://www.airliquide.com/sites/airliquide.com/files/2023-03/air-liquide-sustainability-report-2022.pdf</t>
  </si>
  <si>
    <t>https://www.linkedin.com/in/diana-schillag/</t>
  </si>
  <si>
    <t>Vice President supervising Sustainable Development</t>
  </si>
  <si>
    <t>https://www.airliquide.com/sites/airliquide.com/files/2023-03/air-liquide-sustainability-report-2022.pdf
https://www.airliquide.com/group/press-releases-news/2021-03-23/air-liquide-announces-ambitious-esg-objectives-act-sustainable-future</t>
  </si>
  <si>
    <t>$2,902</t>
  </si>
  <si>
    <t>$31,483</t>
  </si>
  <si>
    <t>https://www.mondelezinternational.com/-/media/Mondelez/Snacking-Made-Right/SMR-Report/2022/2022-MDLZ-Snacking-Made-Right-ESG-Report.pdf</t>
  </si>
  <si>
    <t>https://www.linkedin.com/in/christine-montenegro-mcgrath-11034546/</t>
  </si>
  <si>
    <t>https://ir.mondelezinternational.com/news-releases/news-release-details/mondelez-international-commits-2050-net-zero-emissions-target</t>
  </si>
  <si>
    <t>$2,717</t>
  </si>
  <si>
    <t>$31,496</t>
  </si>
  <si>
    <t>Food, Beverages &amp; Tobacco</t>
  </si>
  <si>
    <t>https://view.officeapps.live.com/op/view.aspx?src=https%3A%2F%2Fwww.nrg.com%2Fassets%2Fdocuments%2Fsustainability%2F2022_esg_data_download.xlsx&amp;wdOrigin=BROWSELINK</t>
  </si>
  <si>
    <t>https://www.nrg.com/authors/jeanne-mey-sun.html#:~:text=Jeanne%2DMey%20Sun%20serves%20as,leads%20the%20company%27s%20sustainability%20strategy.</t>
  </si>
  <si>
    <t>Vice President, Sustainability</t>
  </si>
  <si>
    <t>https://www.nrg.com/assets/documents/sustainability/2022-nrg-year-in-review.pdf</t>
  </si>
  <si>
    <t>1,2,3 partially</t>
  </si>
  <si>
    <t>$1,221</t>
  </si>
  <si>
    <t>$31,543</t>
  </si>
  <si>
    <t>NRG Energy</t>
  </si>
  <si>
    <t>https://corporate.migros.ch/de/nachhaltigkeit/klima-energie/unsere-fortschritte/klimaneutralitaet/klimaziele.html
https://report.migros.ch/2021/app/uploads/2021_in_Brief.pdf</t>
  </si>
  <si>
    <t>https://corporate.migros.ch/de/nachhaltigkeit/klima-energie/unsere-fortschritte/klimaneutralitaet.html</t>
  </si>
  <si>
    <t>$491</t>
  </si>
  <si>
    <t>$31,576</t>
  </si>
  <si>
    <t>https://downloads.ctfassets.net/4cd45et68cgf/7rnC6zK537cM8zAGrXA90E/3c654a2d0023a4dac26a20b2fff39855/Netflix_2022-ESG-Report-FINAL.pdf</t>
  </si>
  <si>
    <t>https://www.linkedin.com/in/emmastewart/</t>
  </si>
  <si>
    <t>business (SBTi net zero commited)</t>
  </si>
  <si>
    <t>across all 3 scopes</t>
  </si>
  <si>
    <t>$4,492</t>
  </si>
  <si>
    <t>$31,616</t>
  </si>
  <si>
    <t>$411</t>
  </si>
  <si>
    <t>$31,650</t>
  </si>
  <si>
    <t>https://www.medtronic.com/content/dam/medtronic-wide/public/brand-corporate-assets/resources/ERM-CVS-FY22-Assurance-Statement-Greenhouse-ISSUED.pdf
https://www.medtronic.com/content/dam/medtronic-wide/public/brand-corporate-assets/resources/2022-integrated-report_corpmark_mdt.pdf#page=101</t>
  </si>
  <si>
    <t>https://www.medtronic.com/content/dam/medtronic-wide/public/brand-corporate-assets/resources/2022-integrated-report_corpmark_mdt.pdf</t>
  </si>
  <si>
    <t>$5,039</t>
  </si>
  <si>
    <t>$31,686</t>
  </si>
  <si>
    <t>https://english.cj.net/download/esg/2021-ESG-Report-CJ-ENG.pdf</t>
  </si>
  <si>
    <t>$157</t>
  </si>
  <si>
    <t>$31,703</t>
  </si>
  <si>
    <t>https://www.pmi.com/resources/docs/default-source/pmi-sustainability/pmi-integrated-report-2022.pdf?sfvrsn=2619afb6_4</t>
  </si>
  <si>
    <t>SBTi</t>
  </si>
  <si>
    <t>https://www.pmi.com/sustainability/low-carbon-transition-plan/philip-morris-international-announces-low-carbon-transition-plan</t>
  </si>
  <si>
    <t>scope 1,2</t>
  </si>
  <si>
    <t>$9,048</t>
  </si>
  <si>
    <t>$31,762</t>
  </si>
  <si>
    <t>https://en.luxshare-ict.com/Upload/File/202012/20201203092750_7726.pdf</t>
  </si>
  <si>
    <t>https://www.luxshare-ict.com/Upload/File/201712/2021sren.pdf</t>
  </si>
  <si>
    <t>$1,362</t>
  </si>
  <si>
    <t>$31,817</t>
  </si>
  <si>
    <t>Luxshare Precision Industry</t>
  </si>
  <si>
    <t>https://static-cdn.newchinalife.com/ncl/pdf/20220330/1f9c8a8c-8b4a-471d-8a68-5a93f89ecd94.pdf</t>
  </si>
  <si>
    <t>undefined</t>
  </si>
  <si>
    <t>$1,460</t>
  </si>
  <si>
    <t>$31,861</t>
  </si>
  <si>
    <t>https://s23.q4cdn.com/407969754/files/doc_downloads/2023/04/Uber-2023-Environmental-Social-and-Governance-Report.pdf</t>
  </si>
  <si>
    <t>https://www.uber.com/newsroom/driving-a-green-recovery/
https://www.reuters.com/business/sustainable-business/with-limited-ev-options-uber-embraces-carbon-offsets-latin-america-2021-11-17/</t>
  </si>
  <si>
    <t>workplaces and data centers + value chain</t>
  </si>
  <si>
    <t>$-9,141</t>
  </si>
  <si>
    <t>$31,877</t>
  </si>
  <si>
    <t>Uber Technologies</t>
  </si>
  <si>
    <t>http://file.finance.sina.com.cn/211.154.219.97:9494/MRGG/CNSESH_STOCK/2023/2023-6/2023-06-27/9308733.PDF</t>
  </si>
  <si>
    <t>$1,637</t>
  </si>
  <si>
    <t>$31,944</t>
  </si>
  <si>
    <t>Tongwei Group</t>
  </si>
  <si>
    <t>https://investors.molinahealthcare.com/static-files/705636a8-7033-4e42-b95e-c9ebd6ce241b</t>
  </si>
  <si>
    <t>$792</t>
  </si>
  <si>
    <t>$31,974</t>
  </si>
  <si>
    <t>Molina Healthcare</t>
  </si>
  <si>
    <t>https://reports.metroag.de/corporate-responsibility-report/2021-2022/key-performance-indicators-and-targets/key-performance-indicators/climate-carbon.html?tabc=1e1</t>
  </si>
  <si>
    <t>https://newsroom.metroag.de/en/news/2021/07/05/metro-aims-to-be-climate-neutral-by-2040</t>
  </si>
  <si>
    <t>$-361</t>
  </si>
  <si>
    <t>$32,186</t>
  </si>
  <si>
    <t>https://stories.starbucks.com/uploads/2023/06/Starbucks-2022-Global-Environmental-and-Social-Impact-Report.pdf</t>
  </si>
  <si>
    <t>https://www.linkedin.com/in/michael-kobori-he-him-7a04b26/</t>
  </si>
  <si>
    <t>$3,282</t>
  </si>
  <si>
    <t>$32,250</t>
  </si>
  <si>
    <t>Hotels, Restaurants &amp; Leisure</t>
  </si>
  <si>
    <t>https://www.sap.com/integrated-reports/2022/en/finance-and-esg-data-environmental.html</t>
  </si>
  <si>
    <t>https://www.linkedin.com/in/daniel1schmid/?originalSubdomain=de</t>
  </si>
  <si>
    <t>https://www.sap.com/integrated-reports/2022/en.html?pdf-asset=8230868e-647e-0010-bca6-c68f7e60039b&amp;page=51</t>
  </si>
  <si>
    <t>$2,402</t>
  </si>
  <si>
    <t>$32,469</t>
  </si>
  <si>
    <t>https://www.cnrl.com/content/uploads/2023/08/Canadian_Natural_Resources_Limited-CDP_Climate_Change_Questionnaire_2023.pdf</t>
  </si>
  <si>
    <t>$8,404</t>
  </si>
  <si>
    <t>$32,503</t>
  </si>
  <si>
    <t>Canadian Natural Resources</t>
  </si>
  <si>
    <t>https://www.aisin.com/en/sustainability/report/pdf/aisin_ar2022_en_a3.pdf</t>
  </si>
  <si>
    <t>https://www.aisin.com/en/investors/settlement/uploads/ESG_presentation_Mizushima_en.pdf</t>
  </si>
  <si>
    <t>$278</t>
  </si>
  <si>
    <t>$32,528</t>
  </si>
  <si>
    <t>https://www.compass-group.com/content/dam/compass-group/corporate/sustainability/sustainability-updates-2023/reports---statements/Compass%20Group%20plc%202021-22%20Carbon%20Footprint%20Verification%20Statement_v1.0.pdf
https://www.compass-group.com/content/dam/compass-group/corporate/sustainability-updates-2022/com_sustainability_report_2021_Final.pdf</t>
  </si>
  <si>
    <t>https://www.compass-group.co.uk/media/news/compass-appoints-chief-climate-and-sustainability-advisor/</t>
  </si>
  <si>
    <t>Chief Climate and Sustainability Advisor</t>
  </si>
  <si>
    <t>https://www.compass-group.com/en/media/news/2021/global-commitment-to-reach-climate-net-zero-by-2050.html</t>
  </si>
  <si>
    <t>$1,421</t>
  </si>
  <si>
    <t>$32,564</t>
  </si>
  <si>
    <t>$88</t>
  </si>
  <si>
    <t>$32,596</t>
  </si>
  <si>
    <t xml:space="preserve">https://media-meituan.todayir.com/202304252152521735786604_en.pdf
</t>
  </si>
  <si>
    <t>$-994</t>
  </si>
  <si>
    <t>$32,699</t>
  </si>
  <si>
    <t>Meituan</t>
  </si>
  <si>
    <t>$1,176</t>
  </si>
  <si>
    <t>$32,723</t>
  </si>
  <si>
    <t>could not find</t>
  </si>
  <si>
    <t>https://global.chinadaily.com.cn/a/202205/19/WS62859765a310fd2b29e5d9f5.html</t>
  </si>
  <si>
    <t>$229</t>
  </si>
  <si>
    <t>$32,878</t>
  </si>
  <si>
    <t>http://english.anhuinews.com/enterprise/202304/t20230410_6786349.html</t>
  </si>
  <si>
    <t>$871</t>
  </si>
  <si>
    <t>$32,991</t>
  </si>
  <si>
    <t>https://esg.wistron.com/en/report-download/esg/xV0Dbaeb3KRd/2022SustainabilityReportEN.pdf</t>
  </si>
  <si>
    <t>https://esg.wistron.com/en/sustainability/metrics</t>
  </si>
  <si>
    <t>$375</t>
  </si>
  <si>
    <t>$33,064</t>
  </si>
  <si>
    <t>https://docs.broadcom.com/doc/environment-social-governance-report</t>
  </si>
  <si>
    <t>$11,495</t>
  </si>
  <si>
    <t>$33,203</t>
  </si>
  <si>
    <t>Broadcom</t>
  </si>
  <si>
    <t>https://docs.dsv.com/group/group-compliance/corporate-sustainability-report-2022/?page=46</t>
  </si>
  <si>
    <t>https://www.dsv.com/en/sustainability-esg/environment</t>
  </si>
  <si>
    <t>$2,484</t>
  </si>
  <si>
    <t>$33,321</t>
  </si>
  <si>
    <t>https://www.linde.com/-/media/linde/merger/documents/sustainable-development/2022-sustainable-development-report.pdf?la=en</t>
  </si>
  <si>
    <t>https://www.linde.com/about-linde/leadership</t>
  </si>
  <si>
    <t>Vice President Sustainability</t>
  </si>
  <si>
    <t>$33,364</t>
  </si>
  <si>
    <t>https://www.crh.com/media/4748/crh-2022-sustainability-performance-report_interactive.pdf</t>
  </si>
  <si>
    <t>https://www.crh.com/about-crh/leadership/executive-team/executive-team/juan-pablo-san-agustin</t>
  </si>
  <si>
    <t>Group Executive, Strategy, Sustainability &amp; Innovation</t>
  </si>
  <si>
    <t>$3,847</t>
  </si>
  <si>
    <t>$33,368</t>
  </si>
  <si>
    <t>https://cheniere.s3.amazonaws.com/media/2021-Corporate-Responsibility-Report-Final.pdf</t>
  </si>
  <si>
    <t>$1,428</t>
  </si>
  <si>
    <t>$33,428</t>
  </si>
  <si>
    <t>Cheniere Energy</t>
  </si>
  <si>
    <t>https://www.samsungcnt.com/eng/esg/resource/report/sustainability.do 2023 report</t>
  </si>
  <si>
    <t>$1,584</t>
  </si>
  <si>
    <t>$33,436</t>
  </si>
  <si>
    <t>https://www.jabil.com/dam/jcr:762c3941-bca3-4ef2-a648-d508e690c3c9/jabil-fy22-sustainability-report.pdf</t>
  </si>
  <si>
    <t>Vice President
Social and Environmental Responsibility</t>
  </si>
  <si>
    <t>https://www.jabil.com/about-us/sustainability/our-operations-and-resources.html</t>
  </si>
  <si>
    <t>$996</t>
  </si>
  <si>
    <t>$33,478</t>
  </si>
  <si>
    <t>https://investor.drhorton.com/~/media/Files/D/D-R-Horton-IR/documents/fy22-dr-horton-inc-esg-report-final.pdf</t>
  </si>
  <si>
    <t>$5,858</t>
  </si>
  <si>
    <t>$33,480</t>
  </si>
  <si>
    <t>D.R. Horton</t>
  </si>
  <si>
    <t>https://www.femsa.com/wp-content/uploads/2023/05/2022-Annual-Report.pdf</t>
  </si>
  <si>
    <t>$1,189</t>
  </si>
  <si>
    <t>$33,482</t>
  </si>
  <si>
    <t>https://doc.irasia.com/listco/hk/ckh/annual/2022/esr.pdf</t>
  </si>
  <si>
    <t>https://www.ckh.com.hk/en/esg/esg_message.php</t>
  </si>
  <si>
    <t>$4,684</t>
  </si>
  <si>
    <t>$33,523</t>
  </si>
  <si>
    <t>https://www.posteitaliane.it/files/1476584066849/Annual-Financial-Report-2022.pdf#page=417</t>
  </si>
  <si>
    <t>https://tgposte.poste.it/en/2022/04/14/corporate-sustainability-grow-poste/</t>
  </si>
  <si>
    <t>Head of CSR/Group Risk Management</t>
  </si>
  <si>
    <t>https://www.posteitaliane.it/files/1476590558490/Sintesi-Bilancio-Integrato-2022-ENG.pdf
https://tgposte.poste.it/en/2022/12/07/ceo-matteo-del-fante-how-can-the-postal-sector-achieve-long-term-growth/
https://www.posteitaliane.it/files/1476557513302/Annual-Financial-Report-2021-PDF.pdf</t>
  </si>
  <si>
    <t>$33,528</t>
  </si>
  <si>
    <t>$253</t>
  </si>
  <si>
    <t>$33,534</t>
  </si>
  <si>
    <t>https://investors.lennar.com/~/media/Files/L/Lennar-IR-V3/documents/governance-documents/lennar-2022-social-responsibility-report.pdf</t>
  </si>
  <si>
    <t>$4,614</t>
  </si>
  <si>
    <t>$33,671</t>
  </si>
  <si>
    <t>Lennar</t>
  </si>
  <si>
    <t>https://www.linkedin.com/in/stacey-hoppe-63b0121b/</t>
  </si>
  <si>
    <t>VP, Sustainability</t>
  </si>
  <si>
    <t>$-7,371</t>
  </si>
  <si>
    <t>$33,817</t>
  </si>
  <si>
    <t>Warner Bros. Discovery</t>
  </si>
  <si>
    <t>$402</t>
  </si>
  <si>
    <t>$33,849</t>
  </si>
  <si>
    <t>Magnit</t>
  </si>
  <si>
    <t>https://www.sompo-hd.com/-/media/hd/en/files/csr/communications/pdf/2022/e_report2022.pdf?la=en</t>
  </si>
  <si>
    <t>https://www.sompo-hd.com/en/company/summary/directors/</t>
  </si>
  <si>
    <t>Group CSuO, Senior Vice President and Executive Officer</t>
  </si>
  <si>
    <t>$673</t>
  </si>
  <si>
    <t>$34,037</t>
  </si>
  <si>
    <t>https://www.usfoods.com/content/dam/usf/pdf/dce/supporting_materials/US%20Foods%202022%20Corporate%20Social%20Responsibility%20Report.pdf
https://www.usfoods.com/content/dam/usf/pdf/dce/supporting_materials/2021-CSR-Report.pdf</t>
  </si>
  <si>
    <t>$265</t>
  </si>
  <si>
    <t>$34,057</t>
  </si>
  <si>
    <t>https://www.bat.com/group/sites/UK__9D9KCY.nsf/vwPagesWebLive/DOAWWEKR/$file/BAT_ESG_Performance_Data_Book.pdf</t>
  </si>
  <si>
    <t>https://www.bat.com/group/sites/UK__9D9KCY.nsf/vwPagesWebLive/DOCHSB3D</t>
  </si>
  <si>
    <t>https://www.google.com/url?sa=t&amp;rct=j&amp;q=&amp;esrc=s&amp;source=web&amp;cd=&amp;cad=rja&amp;uact=8&amp;ved=2ahUKEwi8zsqN75qAAxW4xQIHHROFCqMQFnoECA4QAQ&amp;url=https%3A%2F%2Fwww.bat.com%2Fgroup%2Fsites%2FUK__9D9KCY.nsf%2FvwPagesWebLive%2FDOC7SGL2&amp;usg=AOvVaw0JeIkEbGfGVHuGnopdy9Qx&amp;opi=89978449</t>
  </si>
  <si>
    <t>https://www.bat.com/group/sites/UK__9D9KCY.nsf/vwPagesWebLive/DOAWWGJT/$file/BAT_Annual_Report_Form_20-F_2022.pdf</t>
  </si>
  <si>
    <t>$8,219</t>
  </si>
  <si>
    <t>$34,096</t>
  </si>
  <si>
    <t>https://www.inditex.com/itxcomweb/api/media/cc6b203a-de08-4ff9-8989-e0ca52e03472/Statement-on-non-financial-information-2022.pdf?t=1680170754493</t>
  </si>
  <si>
    <t>https://static.inditex.com/annual_report_2022/pdf/GOVERNANCE-COMPLIANCE.pdf</t>
  </si>
  <si>
    <t>https://static.inditex.com/annual_report_2021/en/positive-impact/safeguard-planet.html</t>
  </si>
  <si>
    <t>$4,327</t>
  </si>
  <si>
    <t>$34,119</t>
  </si>
  <si>
    <t>https://multimedia.3m.com/mws/media/2292786O/3m-2023-global-impact-report.pdf
https://multimedia.3m.com/mws/media/2191432O/2022-global-impact-report.pdf</t>
  </si>
  <si>
    <t>https://multimedia.3m.com/mws/media/2292786O/3m-2023-global-impact-report.pdf</t>
  </si>
  <si>
    <t>$5,777</t>
  </si>
  <si>
    <t>$34,229</t>
  </si>
  <si>
    <t>throughout the value chain</t>
  </si>
  <si>
    <t>$710</t>
  </si>
  <si>
    <t>$34,239</t>
  </si>
  <si>
    <t xml:space="preserve">https://www.globalsuzuki.com/corporate/environmental/report/pdf/2021_enve_all.pdf
https://www.globalsuzuki.com/corporate/environmental/report/pdf/2022_enve_all.pdf
</t>
  </si>
  <si>
    <t>https://www.globalsuzuki.com/globalnews/2023/0126.html</t>
  </si>
  <si>
    <t>$1,634</t>
  </si>
  <si>
    <t>$34,292</t>
  </si>
  <si>
    <t>$445</t>
  </si>
  <si>
    <t>$34,455</t>
  </si>
  <si>
    <t>https://investor-relations.lufthansagroup.com/fileadmin/downloads/en/financial-reports/annual-reports/LH-AR-2022-e.pdf#page=94</t>
  </si>
  <si>
    <t>https://www.lufthansagroup.com/en/company/company-management.html</t>
  </si>
  <si>
    <t>Member of the Executive Board Brand &amp; Sustainability</t>
  </si>
  <si>
    <t>https://www.green.earth/news/lufthansa-launches-green-fares</t>
  </si>
  <si>
    <t>$832</t>
  </si>
  <si>
    <t>$34,466</t>
  </si>
  <si>
    <t>https://www1.hkexnews.hk/listedco/listconews/sehk/2022/0531/2022053100623.pdf</t>
  </si>
  <si>
    <t>$835</t>
  </si>
  <si>
    <t>$34,486</t>
  </si>
  <si>
    <t>https://mis-prod-koce-homepage-cdn-01-blob-ep.azureedge.net/web/attach/14780766740866796.pdf</t>
  </si>
  <si>
    <t>https://news.skhynix.com/caring-for-the-earth-sk-hynixs-green-2030/</t>
  </si>
  <si>
    <t>$1,727</t>
  </si>
  <si>
    <t>$34,567</t>
  </si>
  <si>
    <t>$5</t>
  </si>
  <si>
    <t>$34,590</t>
  </si>
  <si>
    <t>https://assets.ctfassets.net/5ywmq66472jr/5DRE1mfB6MtqZUj4k45AyC/2e10a54a4cef43785a55f50e1da7f025/Co-op_Annual_Report_and_Accounts_2022.pdf</t>
  </si>
  <si>
    <t>https://www.linkedin.com/in/stephenthomsonsustainability/</t>
  </si>
  <si>
    <t>Head of Sustainability</t>
  </si>
  <si>
    <t>https://assets.ctfassets.net/bffxiku554r1/65ssgCsL8g5lCWkM3MJOb9/a053160464d0a6c85ae18c5db3f9dd45/Climate_Plan.pdf</t>
  </si>
  <si>
    <t>operations + entire business</t>
  </si>
  <si>
    <t>$589</t>
  </si>
  <si>
    <t>$34,684</t>
  </si>
  <si>
    <t>https://www1.hkexnews.hk/listedco/listconews/sehk/2022/0419/2022041901692.pdf</t>
  </si>
  <si>
    <t>$902</t>
  </si>
  <si>
    <t>$34,697</t>
  </si>
  <si>
    <t>https://our-impact.bmo.com/us/wp-content/uploads/sites/4/2023/03/BMO_2022_DPG_EN.pdf</t>
  </si>
  <si>
    <t>https://capitalmarkets.bmo.com/en/our-bankers/michael-torrance/</t>
  </si>
  <si>
    <t>https://our-impact.bmo.com/wp-content/uploads/2023/03/BMO_2022_SR_EN.pdf</t>
  </si>
  <si>
    <t>portfolio (+ cn in operations)</t>
  </si>
  <si>
    <t>$10,513</t>
  </si>
  <si>
    <t>$34,730</t>
  </si>
  <si>
    <t>$391</t>
  </si>
  <si>
    <t>$34,735</t>
  </si>
  <si>
    <t>Shaanxi Construction Engineering Holding</t>
  </si>
  <si>
    <t>$1,615</t>
  </si>
  <si>
    <t>$34,837</t>
  </si>
  <si>
    <t>https://www.angloamerican.com/~/media/Files/A/Anglo-American-Group/PLC/investors/annual-reporting/2022/aa-sustainability-report-full-2021.pdf
https://www.angloamerican.com/~/media/Files/A/Anglo-American-Group-v5/PLC/investors/annual-reporting/2022/Sustainability-Report-2022.pdf</t>
  </si>
  <si>
    <t>https://www.angloamerican.com/media/press-releases/2020/30-10-2020</t>
  </si>
  <si>
    <t>$4,514</t>
  </si>
  <si>
    <t>$35,118</t>
  </si>
  <si>
    <t>https://www.vibraenergia.com.br/sites/default/files/2023-07/vibra_sustainability_report_2022.pdf</t>
  </si>
  <si>
    <t>https://ri.vibraenergia.com.br/corporate-governance/management/?lang=en</t>
  </si>
  <si>
    <t>Executive Vice President of Renewable Energy and ESG</t>
  </si>
  <si>
    <t>1,2 + 1,2,3</t>
  </si>
  <si>
    <t>$35,155</t>
  </si>
  <si>
    <t>Vibra Energia</t>
  </si>
  <si>
    <t>https://www.grupoacs.com/ficheros_editor/File/03_accionistas_inversores/03_informe_anual/INFORME%20INTEGRADO%202022_ENG.pdf</t>
  </si>
  <si>
    <t>$703</t>
  </si>
  <si>
    <t>$35,355</t>
  </si>
  <si>
    <t>$356</t>
  </si>
  <si>
    <t>$35,368</t>
  </si>
  <si>
    <t>Guangdong Guangxin Holdings</t>
  </si>
  <si>
    <t>$311</t>
  </si>
  <si>
    <t>$35,383</t>
  </si>
  <si>
    <t>https://www.honeywell.com/content/dam/honeywellbt/en/documents/downloads/Hon-CDP-Climate-Change-Questionnaire.pdf
https://www.honeywell.com/content/dam/honeywellbt/en/documents/downloads/hon-esg-report.pdf#page=28</t>
  </si>
  <si>
    <t>https://www.honeywell.com/content/dam/honeywellbt/en/documents/downloads/hon-esg-report.pdf#page=28</t>
  </si>
  <si>
    <t>facilities and operations</t>
  </si>
  <si>
    <t>$4,966</t>
  </si>
  <si>
    <t>$35,466</t>
  </si>
  <si>
    <t>https://stpropwebcorporativangy.blob.core.windows.net/uploads/2023/05/ISEINFF-2022_ENG.pdf</t>
  </si>
  <si>
    <t>$1,734</t>
  </si>
  <si>
    <t>$35,723</t>
  </si>
  <si>
    <t>https://groupe-elo.com/app/uploads/2023/03/AUC2022_RFA_EN_17-05-2023.pdf</t>
  </si>
  <si>
    <t>$35</t>
  </si>
  <si>
    <t>$35,799</t>
  </si>
  <si>
    <t>https://www.finatis.fr/load.php?fl=rapport_annuel_2022&amp;src=0ae2ec440d6c18cd36366ee938e952a0.pdf</t>
  </si>
  <si>
    <t>$-155</t>
  </si>
  <si>
    <t>$35,851</t>
  </si>
  <si>
    <t>https://www.se.com/ww/en/assets/564/document/396659/2022-sustainability-report.pdf</t>
  </si>
  <si>
    <t>https://www.linkedin.com/in/gwenaelle-avice-huet/
https://www.se.com/ww/en/about-us/newsroom/experts/details/gwenaelle-avice-huet-62178581f9c608446d2a9904#:~:text=Gwenaelle%20is%20Chief%20Strategy%20%26%20Sustainability,Committee%20since%20April%201%2C%202022.</t>
  </si>
  <si>
    <t>CSO (Chief Strategy &amp; Sustainability Officer)</t>
  </si>
  <si>
    <t>https://www.se.com/ww/en/about-us/newsroom/news/press-releases/schneider-electric-cuts-five-years-from-its-carbon-neutrality-goal-establishing-roadmap-for-the-carbon-neutral-world-5d91f90e8217ef36ea671d33</t>
  </si>
  <si>
    <t>https://www.se.com/ww/en/about-us/newsroom/news/press-releases/schneider-electric-cuts-five-years-from-its-carbon-neutrality-goal-establishing-roadmap-for-the-carbon-neutral-world-5d91f90e8217ef36ea671d33
https://www.se.com/ww/en/about-us/newsroom/news/press-releases/schneider-electric-gears-up-for-climate-week-nyc-by-launching-an-inspiring-new-program-for-un-sdgs-and-reinforcing-accelerating-its-commitments-for-a-carbon-neutral-world-sdg13-5f64b6c639d17f46594937ae</t>
  </si>
  <si>
    <t>$3,657</t>
  </si>
  <si>
    <t>$35,945</t>
  </si>
  <si>
    <t>https://www.compal.com/CSR/Upload/ReportImages/2023072417230131.pdf</t>
  </si>
  <si>
    <t>$245</t>
  </si>
  <si>
    <t>$36,040</t>
  </si>
  <si>
    <t>https://smart-home.haier.com/en/gpxx/esg/P020230427770685481498.pdf?appdesc=2022%20Environmental,%20Social%20and%20Governance%20Report</t>
  </si>
  <si>
    <t>https://www.just-drinks.com/data-insights/haier-smart-home-net-zero-targets/</t>
  </si>
  <si>
    <t>$2,187</t>
  </si>
  <si>
    <t>$36,201</t>
  </si>
  <si>
    <t>https://www.daiwahouse.co.jp/sustainable/csr/pdfs/2022/en_Sustainability_All.pdf</t>
  </si>
  <si>
    <t>1,2, 3 partially</t>
  </si>
  <si>
    <t>https://www.daiwahouse.co.jp/sustainable/csr/pdfs/2022/en_Sustainability_All.pdf
https://www.daiwahouse.com/English/sustainable/csr/commitment/</t>
  </si>
  <si>
    <t>housing, construction, community development and all facilities and business processes and supply chain</t>
  </si>
  <si>
    <t>$2,278</t>
  </si>
  <si>
    <t>$36,261</t>
  </si>
  <si>
    <t>https://www.prnewswire.com/news-releases/usaa-promotes-executives-to-lead-corporate-responsibility-dei-and-environmental-social-and-governance-301618823.html</t>
  </si>
  <si>
    <t>chief diversity and sustainability officer</t>
  </si>
  <si>
    <t>$-1,296</t>
  </si>
  <si>
    <t>$36,297</t>
  </si>
  <si>
    <t>https://www.hapag-lloyd.com/sustainability-report-2022/en/assets/downloads/HAPAG-LLOYD%20AG_Sustainability_Report_2022.pdf</t>
  </si>
  <si>
    <t>https://www.hapag-lloyd.com/en/company/about-us/newsletter/2018/04/20-percent-less-emissions-by-2020--interview-with-joerg-erdmann-.html</t>
  </si>
  <si>
    <t>Senior Director Sustainability Management</t>
  </si>
  <si>
    <t>https://www.hapag-lloyd.com/en/company/about-us/newsletter/2022/08/hapag-lloyd-on-the-path-to-co2-neutrality.html</t>
  </si>
  <si>
    <t>$17,912</t>
  </si>
  <si>
    <t>$36,331</t>
  </si>
  <si>
    <t>Hapag-Lloyd</t>
  </si>
  <si>
    <t>ESG Data Pack and Indices - https://www.scotiabank.com/content/dam/scotiabank/corporate/Documents/Scotiabank_2022_ESG_Report_Final.pdf</t>
  </si>
  <si>
    <t>https://www.scotiabank.com/content/dam/scotiabank/corporate/Documents/Scotiabank_2022_ESG_Report_Final.pdf</t>
  </si>
  <si>
    <t>C + F</t>
  </si>
  <si>
    <t>$7,701</t>
  </si>
  <si>
    <t>$36,390</t>
  </si>
  <si>
    <t>$234</t>
  </si>
  <si>
    <t>$36,589</t>
  </si>
  <si>
    <t>Guangzhou Industrial Investment Holdings</t>
  </si>
  <si>
    <t>https://www.northropgrumman.com/wp-content/uploads/2022-ESG-Report.pdf</t>
  </si>
  <si>
    <t>https://www.northropgrumman.com/who-we-are/leadership/company-leadership-mike-witt/</t>
  </si>
  <si>
    <t>https://news.northropgrumman.com/news/releases/northrop-grumman-sets-net-zero-goal-in-operations-by-2035</t>
  </si>
  <si>
    <t>$4,896</t>
  </si>
  <si>
    <t>$36,602</t>
  </si>
  <si>
    <t>Aerospace &amp; Defense</t>
  </si>
  <si>
    <t>$112</t>
  </si>
  <si>
    <t>$36,762</t>
  </si>
  <si>
    <t>$246</t>
  </si>
  <si>
    <t>$36,818</t>
  </si>
  <si>
    <t>http://file.finance.sina.com.cn/211.154.219.97:9494/MRGG/CNSESZ_STOCK/2023/2023-4/2023-04-21/9029799.PDF
https://q.stock.sohu.com/newpdf/202248850022.pdf</t>
  </si>
  <si>
    <t>http://file.finance.sina.com.cn/211.154.219.97:9494/MRGG/CNSESZ_STOCK/2023/2023-4/2023-04-21/9029799.PDF</t>
  </si>
  <si>
    <t>$189</t>
  </si>
  <si>
    <t>$36,853</t>
  </si>
  <si>
    <t>https://sustainability.travelers.com/iw-documents/sustainability/Travelers_ESGAnalystData2022.pdf</t>
  </si>
  <si>
    <t>https://www.travelers.com/iw-documents/travelers-institute/Yafit%20Cohn%20Bio_2.pdf</t>
  </si>
  <si>
    <t>https://investor.travelers.com/newsroom/press-releases/news-details/2021/Travelers-Makes-Earth-Day-Pledge-to-Become-Carbon-Neutral-by-2030/default.aspx#:~:text=Achieving%20Carbon%20Neutrality%20by%202030&amp;text=Over%20the%20next%20decade%2C%20Travelers,about%20125%20million%20vehicle%20miles.
https://sustainability.travelers.com/iw-documents/sustainability/Travelers_SustainabilityReport2022.pdf</t>
  </si>
  <si>
    <t>$2,842</t>
  </si>
  <si>
    <t>$36,884</t>
  </si>
  <si>
    <t>https://eu.jsonline.com/story/money/business/2023/06/28/northwestern-mutual-invests-3-million-to-reduce-homeownership-inequity/70345977007/#:~:text=%E2%80%9CWe%20think%20homeownership%20can%20really,impact%20officer%20at%20Northwestern%20Mutual.</t>
  </si>
  <si>
    <t>Chief Sustainability and Impact Officer</t>
  </si>
  <si>
    <t>$912</t>
  </si>
  <si>
    <t>$36,921</t>
  </si>
  <si>
    <t>https://www.mitsubishielectric.com/en/sustainability/reports/pdf/2022/Sustainability_report_2022_all.pdf</t>
  </si>
  <si>
    <t>https://www.mitsubishielectric.com/en/about/organization/management/index.html</t>
  </si>
  <si>
    <t>In charge of Auditing,
CSO (In charge of Corporate Strategic Planning, IR and SR, Operations of Associated Companies, Three Key Reforms, and Sustainability)</t>
  </si>
  <si>
    <t>$1,580</t>
  </si>
  <si>
    <t>$36,967</t>
  </si>
  <si>
    <t>$1,894</t>
  </si>
  <si>
    <t>$37,066</t>
  </si>
  <si>
    <t>https://www.oxy.com/siteassets/documents/publications/oxy-climate-report-2022.pdf</t>
  </si>
  <si>
    <t>https://www.oxy.com/about/leadership/</t>
  </si>
  <si>
    <t>Vice President, Environmental and Sustainability</t>
  </si>
  <si>
    <t>https://www.oxy.com/sustainability/planet/#:~:text=Cumulative%202022%2D24%20Short%2DTerm,compared%20to%20our%202021%20emissions.</t>
  </si>
  <si>
    <t>scope 1,2 + total carbon inventory</t>
  </si>
  <si>
    <t>$13,304</t>
  </si>
  <si>
    <t>$37,095</t>
  </si>
  <si>
    <t>Occidental Petroleum</t>
  </si>
  <si>
    <t>https://www.arrow.com/company/wp-content/uploads/2023/04/2022_Arrow_ESG_Report_lr.pdf</t>
  </si>
  <si>
    <t>https://investor.arrow.com/leadership-and-governance/executive-leadership/default.aspx</t>
  </si>
  <si>
    <t>Senior Vice President and Chief Governance, Sustainability, and Human Resources Officer</t>
  </si>
  <si>
    <t>$1,427</t>
  </si>
  <si>
    <t>$37,124</t>
  </si>
  <si>
    <t>https://le-groupe-laposte.cdn.prismic.io/le-groupe-laposte/5090f627-8b41-4f24-ae5d-97ba0941c6de_GLP2022_RSE_EN_23_07_04.pdf</t>
  </si>
  <si>
    <t>https://www.lapostegroupe.com/en/news/la-banque-postale-is-stepping-up-its-decarbonisation-strategy</t>
  </si>
  <si>
    <t>https://postandparcel.info/45592/news/la-poste-to-be-first-major-postal-operator-to-go-carbon-neutral/</t>
  </si>
  <si>
    <t>$1,265</t>
  </si>
  <si>
    <t>$37,224</t>
  </si>
  <si>
    <t>https://www.longfor.com/upload/file/2023-04-27/6b714f37-09d0-48e9-9961-3df517727a1b.pdf</t>
  </si>
  <si>
    <t>$3,622</t>
  </si>
  <si>
    <t>$37,249</t>
  </si>
  <si>
    <t>https://jaarverslag2022.gasterra.nl/uploads/fckconnector/c04a7b97-52dd-5e03-a2db-15a74b2fd0f8</t>
  </si>
  <si>
    <t>$38</t>
  </si>
  <si>
    <t>$37,338</t>
  </si>
  <si>
    <t>GasTerra</t>
  </si>
  <si>
    <t>$2,167</t>
  </si>
  <si>
    <t>$37,371</t>
  </si>
  <si>
    <t>https://www.powercorporationcsr.com/media/uploads/pdf/bpcc_-_2021_esg_data_supplement_-_final.pdf</t>
  </si>
  <si>
    <t>https://www.powercorporationcsr.com/en/environment/climate-change/</t>
  </si>
  <si>
    <t>$1,510</t>
  </si>
  <si>
    <t>$37,419</t>
  </si>
  <si>
    <t>https://www.x5.ru/en/investors/esg-reports/ - 2022 REPORT</t>
  </si>
  <si>
    <t>https://www.x5.ru/en/investors/esg-reports/ - 2020 report</t>
  </si>
  <si>
    <t>$651</t>
  </si>
  <si>
    <t>$37,494</t>
  </si>
  <si>
    <t>https://files.ecopetrol.com.co/web/esp/cargas/ecopetrol-rigs-2022-eng.pdf</t>
  </si>
  <si>
    <t>https://www.linkedin.com/in/santiago-mart%C3%ADnez-ochoa-0703b423?originalSubdomain=co</t>
  </si>
  <si>
    <t>Head of Sustainability and Decarbonization</t>
  </si>
  <si>
    <t>https://www.ecopetrol.com.co/wps/portal/Home/en/?1dmy&amp;page=detailNews&amp;urile=wcm:path:/ecopetrol_wcm_library/as_en/news/noticias-2021/emissions-reduction</t>
  </si>
  <si>
    <t>$7,435</t>
  </si>
  <si>
    <t>$37,547</t>
  </si>
  <si>
    <t>Colombia</t>
  </si>
  <si>
    <t>Ecopetrol</t>
  </si>
  <si>
    <t>https://ungc-production.s3.us-west-2.amazonaws.com/attachments/cop_2022/516279/original/20220726%202021%20.pdf?1659600179</t>
  </si>
  <si>
    <t>$182</t>
  </si>
  <si>
    <t>$37,606</t>
  </si>
  <si>
    <t>https://sustainability.jardines.com/2022/assets/pdf/Jardine_SR2022.pdf</t>
  </si>
  <si>
    <t>https://www.linkedin.com/in/nadiralamrad?originalSubdomain=hk</t>
  </si>
  <si>
    <t>https://sustainability.jardines.com/2021/assets/pdf/Jardine_SR2021.pdf</t>
  </si>
  <si>
    <t>$354</t>
  </si>
  <si>
    <t>$37,724</t>
  </si>
  <si>
    <t>https://www.magna.com/docs/default-source/financial-reports-public-filings/tax-other-reports/magna_sustainabilityreport2022_final.pdf?sfvrsn=96307419_11</t>
  </si>
  <si>
    <t>https://www.magna.com/docs/default-source/financial-reports-public-filings/tax-other-reports/magna_sustainabilityreport2022_final.pdf?sfvrsn=96307419_11
https://www.magna.com/company/newsroom/releases-archive/release/2021/04/22/news-release---magna-commits-to-carbon-neutrality-in-global-operations-by-2030</t>
  </si>
  <si>
    <t>$592</t>
  </si>
  <si>
    <t>$37,840</t>
  </si>
  <si>
    <t>https://www.dollargeneral.com/about-us/corporate-social-responsibility - 2022 ESG REPORT</t>
  </si>
  <si>
    <t>$2,416</t>
  </si>
  <si>
    <t>$37,845</t>
  </si>
  <si>
    <t>https://nutrien-prod-asset.s3.us-east-2.amazonaws.com/s3fs-public/uploads/2023-03/Nutrien%20ESG%20Report%202023_1.pdf</t>
  </si>
  <si>
    <t>https://www.nutrien.com/what-we-do/leadership/senior-management#:~:text=Mark%20Thompson&amp;text=Mark%20joined%20Nutrien%20in%202011,%2C%20Chief%20Strategy%20%26%20Sustainability%20Officer.</t>
  </si>
  <si>
    <t>Executive Vice President, External Affairs and Chief Sustainability and Legal Officer</t>
  </si>
  <si>
    <t>$7,660</t>
  </si>
  <si>
    <t>$37,884</t>
  </si>
  <si>
    <t>Nutrien</t>
  </si>
  <si>
    <t>$907</t>
  </si>
  <si>
    <t>$37,888</t>
  </si>
  <si>
    <t>https://www.about.sainsburys.co.uk/~/media/Files/S/Sainsburys/documents/reports-and-presentations/2023/annual-report-2023/annual-report-and-financial-statements-2023.pdf</t>
  </si>
  <si>
    <t>https://www.linkedin.com/in/celia-cole-7141331b?originalSubdomain=uk&amp;challengeId=AQGu1NHvHqV-cQAAAYlUqspmlToYh4HNCVljEXuEjKGKJBpWbRJ_PqCVdqfU9fNMQlY300nfKEiqp7whZhLQqn65XK9BTMR7bg&amp;submissionId=a3fafbf1-2ac0-7117-76ac-22799455031f&amp;challengeSource=AgGPaWf05ClV3QAAAYlUqxxhvT1vzGA5cBj85clCtRyb2ZBwe-_0WjKQ6qcsTNc&amp;challegeType=AgEcakcMLWGs_gAAAYlUqxxlmblFcUv7X20Gsv_uCx7mn10_awlrBT8&amp;memberId=AgF2vkqUQtSgFQAAAYlUqxxpoFdRtoGNpOdtTtewovYgFUk&amp;recognizeDevice=AgFFDafMU88-YQAAAYlUqxxsFiuk86O0_bmBtWimc3EaqjvyY8KN</t>
  </si>
  <si>
    <t>Group Head of Environmental Sustainability</t>
  </si>
  <si>
    <t>https://www.about.sainsburys.co.uk/news/latest-news/2021/26-10-2021-sainsburys-cuts-five-years-from-target-to-become-net-zero-by-2035-in-its-own-operations</t>
  </si>
  <si>
    <t>$249</t>
  </si>
  <si>
    <t>$37,910</t>
  </si>
  <si>
    <t>$646</t>
  </si>
  <si>
    <t>$38,019</t>
  </si>
  <si>
    <t>https://www.phoenixgroup.eu/fileadmin/media/Publications/annual_report/2022/PHOENIX_NHB_2021-22_EN_20220902_Final.pdf</t>
  </si>
  <si>
    <t>https://www.phoenixgroup.eu/en/about-phoenix/news/news/phoenix-group-adopts-climate-target-for-its-own-business-operations</t>
  </si>
  <si>
    <t>$252</t>
  </si>
  <si>
    <t>$38,045</t>
  </si>
  <si>
    <t>https://online.flippingbook.com/view/803670629/28/#zoom=true</t>
  </si>
  <si>
    <t>$2,923</t>
  </si>
  <si>
    <t>$38,205</t>
  </si>
  <si>
    <t>HF Sinclair</t>
  </si>
  <si>
    <t>https://ecm.capitalone.com/WCM/stories/pdfs/2022-capital-one-environmental-social-and-governance-report.pdf?external_id=Our-Commitments</t>
  </si>
  <si>
    <t>https://www.linkedin.com/in/ansusahoo/</t>
  </si>
  <si>
    <t>Head of Climate Strategy at Capital One</t>
  </si>
  <si>
    <t>https://www.capitalone.com/about/newsroom/climate-change-journey-2030/
https://ecm.capitalone.com/WCM/stories/pdfs/2022-capital-one-environmental-social-and-governance-report.pdf?external_id=Our-Commitments
any reduction target news item: https://www.capitalone.com/about/our-commitments/environment-sustainability-goals-and-reporting/</t>
  </si>
  <si>
    <t>1,2,3 (partially)</t>
  </si>
  <si>
    <t>$7,360</t>
  </si>
  <si>
    <t>$38,373</t>
  </si>
  <si>
    <t>http://www.cntaiping.com/upload/cms/ctih/202304/25204023li8k.pdf</t>
  </si>
  <si>
    <t>https://www.retailbankerinternational.com/data-insights/china-taiping-insurance-net-zero-targets/</t>
  </si>
  <si>
    <t>http://www.cntaiping.com/upload/cms/ctih/202304/25204023li8k.pdf
https://www.retailbankerinternational.com/data-insights/china-taiping-insurance-net-zero-targets/</t>
  </si>
  <si>
    <t>$116</t>
  </si>
  <si>
    <t>$38,706</t>
  </si>
  <si>
    <t>https://www.ms-ad-hd.com/en/csr/report/main/05/teaserItems1/0/linkList/0/link/sus_report2022.pdf</t>
  </si>
  <si>
    <t>https://www.ms-ad-hd.com/en/group/about/hd/organization.html</t>
  </si>
  <si>
    <t>Managing Executive Officer
Chief Sustainability Officer</t>
  </si>
  <si>
    <t>$1,193</t>
  </si>
  <si>
    <t>$38,796</t>
  </si>
  <si>
    <t>https://group.intesasanpaolo.com/content/dam/portalgroup/repository-documenti/sostenibilt%C3%A0/tcfd/tcfd-report-2022/TCFD%20Report%202022.pdf
https://group.intesasanpaolo.com/content/dam/portalgroup/repository-documenti/sostenibilt%C3%A0/dcnf/dcnf-2022/eng/CNFS%202022_EN.pdf</t>
  </si>
  <si>
    <t>https://group.intesasanpaolo.com/en/newsroom/news/all-news/2022/interview-with-elena-flor-esg-sustainability</t>
  </si>
  <si>
    <t>Head of ESG and Sustainability</t>
  </si>
  <si>
    <t>https://group.intesasanpaolo.com/en/sustainability
https://group.intesasanpaolo.com/content/dam/portalgroup/repository-documenti/sostenibilt%C3%A0/tcfd/tcfd-report-2022/TCFD%20Report%202022.pdf</t>
  </si>
  <si>
    <t xml:space="preserve"> own emissions and in terms of loan and investment portfolios, asset management and insurance by 2050</t>
  </si>
  <si>
    <t>https://group.intesasanpaolo.com/content/dam/portalgroup/repository-documenti/sostenibilt%C3%A0/tcfd/tcfd-report-2022/TCFD%20Report%202022.pdf</t>
  </si>
  <si>
    <t>$4,579</t>
  </si>
  <si>
    <t>$38,836</t>
  </si>
  <si>
    <t>https://www.jfe-holdings.co.jp/en/csr/pdf/2022/2022_09_01.pdf</t>
  </si>
  <si>
    <t>https://www.jfe-holdings.co.jp/en/csr/pdf/csr2022e.pdf</t>
  </si>
  <si>
    <t>$1,201</t>
  </si>
  <si>
    <t>$38,925</t>
  </si>
  <si>
    <t>https://regional.chinadaily.com.cn/pdf/2020ChinaNationalNuclearPowerCo.,Ltd.EnvironmentalSocialandGovernanceReport.pdf
https://en.cnnc.com.cn/CNNCcontributesreachingcarbonneutralitygoals.html</t>
  </si>
  <si>
    <t>$1,281</t>
  </si>
  <si>
    <t>$39,054</t>
  </si>
  <si>
    <t>$150</t>
  </si>
  <si>
    <t>$39,258</t>
  </si>
  <si>
    <t>https://www.gd.com/-/media/gd-corporate/responsibility/gd-2022-corporate-sustainability-report.ashx</t>
  </si>
  <si>
    <t>$39,407</t>
  </si>
  <si>
    <t>https://www.cpc.com.tw/csr/cp.aspx?n=2850</t>
  </si>
  <si>
    <t>$-6,299</t>
  </si>
  <si>
    <t>$39,427</t>
  </si>
  <si>
    <t>https://www.sf-express.com/uploads/2022_0f4ba3b56a.pdf</t>
  </si>
  <si>
    <t>$918</t>
  </si>
  <si>
    <t>$39,765</t>
  </si>
  <si>
    <t>https://www.olamgroup.com/content/dam/olamgroup/investor-relations/ir-library/annual-reports/annual-reports-pdfs/2022/olam_annual_report_2022.pdf#page=12
https://www.olamgroup.com/content/dam/olamgroup/investor-relations/ir-library/annual-reports/annual-reports-pdfs/2021/olam-annual-report-2021.pdf</t>
  </si>
  <si>
    <t>https://www.linkedin.com/in/julesgreene/?originalSubdomain=sg
https://www.olamagri.com/news/blog/levelling-the-playing-field-for-women-in-farming.html#:~:text=We%20sat%20down%20with%20Chief,to%20unlock%20their%20full%20potential.</t>
  </si>
  <si>
    <t>$457</t>
  </si>
  <si>
    <t>$39,836</t>
  </si>
  <si>
    <t>https://www.meijiyasuda.co.jp/english/sustainability/corporate-citizen/environmental_protection.html</t>
  </si>
  <si>
    <t>https://www.meijiyasuda.co.jp/english/newsroom/pdf/20210705_01.pdf</t>
  </si>
  <si>
    <t>1,2 + 4 (cat 1,3,4,5,6,7,8)</t>
  </si>
  <si>
    <t>$634</t>
  </si>
  <si>
    <t>$40,018</t>
  </si>
  <si>
    <t>https://www.kogas.or.kr/fileDownload.do?REAL_NAME=Sustainability_Report.pdf&amp;fileName=Sustainability_Report.pdf</t>
  </si>
  <si>
    <t>$1,157</t>
  </si>
  <si>
    <t>$40,069</t>
  </si>
  <si>
    <t>Korea Gas</t>
  </si>
  <si>
    <t>http://www.zijinmining.com/upload/file/2022/05/06/19456a9811b349408f8c4365972740a9.pdf</t>
  </si>
  <si>
    <t>https://www.zijinmining.com/sustainable/sustainable-development.htm</t>
  </si>
  <si>
    <t>Chairman and Chief Officer of the Strategic and Sustainable Development (ESG) Committee</t>
  </si>
  <si>
    <t>https://www.zijinmining.com/news/news-detail-119642.htm#:~:text=Reducing%20GHG%20per%20unit%20of,2020%20as%20the%20baseline%20year.&amp;text=As%20a%20global%20miner%2C%20Zijin,value%20of%20development%20for%20all.</t>
  </si>
  <si>
    <t>$2,979</t>
  </si>
  <si>
    <t>$40,187</t>
  </si>
  <si>
    <t>https://www.mobis.co.kr/upload/202307131157165410.pdf</t>
  </si>
  <si>
    <t>https://www.mobis.co.kr/resources/pdf/MOBIS_Net-Zero_Report_en.pdf
https://www.mobis.co.kr/upload/202307131157165410.pdf
https://www.prnewswire.com/news-releases/hyundai-mobis-announced-2045-net-zero-roadmap-301443791.html</t>
  </si>
  <si>
    <t>2040 + 2045</t>
  </si>
  <si>
    <t>operations + supply chain</t>
  </si>
  <si>
    <t>$1,925</t>
  </si>
  <si>
    <t>$40,210</t>
  </si>
  <si>
    <t>https://www.lgchem.com/upload/file/sustainability/2022_LGChem_Sustainability_Report_ENG.pdf</t>
  </si>
  <si>
    <t>Chief Sustainability and Strategy Officer</t>
  </si>
  <si>
    <t>$1,430</t>
  </si>
  <si>
    <t>$40,241</t>
  </si>
  <si>
    <t>https://www.loreal-finance.com/system/files/2023-03/LOREAL_2022_Universal_Registration_Document_en.pdf
https://www.loreal-finance.com/system/files/2023-03/LOREAL_2022_Universal_Registration_Document_en.pdf</t>
  </si>
  <si>
    <t>https://www.linkedin.com/in/alexandra-palt-953133a/?originalSubdomain=fr</t>
  </si>
  <si>
    <t>Chief Corporate Responsability Officer and Executive Vice-President of the Fondation L’Oréal</t>
  </si>
  <si>
    <t>https://www.loreal-finance.com/en/annual-report-2021/responsibility/loreal-goes-above-and-beyond-with-co2-reduction-goals/
https://www.loreal-finance.com/eng/news-events/loreal-recognized-global-compact-lead-united-nations-and-steps-its-climate-action</t>
  </si>
  <si>
    <t>https://www.loreal-finance.com/system/files/2023-03/LOREAL_2022_Universal_Registration_Document_en.pdf</t>
  </si>
  <si>
    <t>Scope 1,2</t>
  </si>
  <si>
    <t>$6,002</t>
  </si>
  <si>
    <t>https://www.massmutual.com/global/media/shared/doc/sustainability/2022sustainabilityreport</t>
  </si>
  <si>
    <t>https://www.massmutual.com/about-us/news-and-press-releases/press-releases/2021/06/massmutual-appoints-ying-yu-head-of-sustainability#:~:text=SPRINGFIELD%20and%20BOSTON%2C%20Mass.%2C,been%20named%20Head%20of%20Sustainability.</t>
  </si>
  <si>
    <t>https://www.massmutual.com/about-us/news-and-press-releases/press-releases/2021/04/massmutual-announces-new-net-zero-commitments-that-address-climate-change</t>
  </si>
  <si>
    <t>$1,485</t>
  </si>
  <si>
    <t>$40,281</t>
  </si>
  <si>
    <t>https://static2.17youhui.com.cn/uploads/sites/23/2021/09/8181b25463977cfb820d35163dd4ef7a.pdf
https://static2.17youhui.com.cn/uploads/sites/23/2021/09/1509bdfe5450c69d416bd44300af1bf0.pdf</t>
  </si>
  <si>
    <t>$-501</t>
  </si>
  <si>
    <t>$40,326</t>
  </si>
  <si>
    <t>https://www.rwe.com/-/media/RWE/documents/09-verantwortung-nachhaltigkeit/2021-rwe-response-to-cdp-climate-change.pdf</t>
  </si>
  <si>
    <t>https://www.rwe.com/en/responsibility-and-sustainability/sustainability-report/</t>
  </si>
  <si>
    <t>https://www.rwe.com/-/media/RWE/documents/09-verantwortung-nachhaltigkeit/cr-berichte/sustainability-strategy-report-2022.pdf</t>
  </si>
  <si>
    <t>$2,858</t>
  </si>
  <si>
    <t>$40,352</t>
  </si>
  <si>
    <t>https://www.tiaa.org/public/pdf/c/climate_report_2022.pdf?utm_source=linkedin&amp;utm_medium=social&amp;utm_content=83d681d9-13e0-43be-9e03-337489fb59ab&amp;utm_campaign=</t>
  </si>
  <si>
    <t>https://www.tiaa.org/public/about-tiaa/news-press/press-releases/2021/05-12
https://www.tiaa.org/public/pdf/c/climate_report_2022.pdf?utm_source=linkedin&amp;utm_medium=social&amp;utm_content=83d681d9-13e0-43be-9e03-337489fb59ab&amp;utm_campaign=</t>
  </si>
  <si>
    <t>operations+investments</t>
  </si>
  <si>
    <t>$494</t>
  </si>
  <si>
    <t>$40,911</t>
  </si>
  <si>
    <t>https://www.enbridge.com/~/media/Enb/Documents/Reports/Sustainability-Report-2022/Enbridge_ESG_Datasheet_2022.pdf</t>
  </si>
  <si>
    <t>https://www.enbridge.com/about-us/executive-leadership/officers-of-enbridge</t>
  </si>
  <si>
    <t>https://www.enbridge.com/~/media/Enb/Documents/About%20Us/Net_Zero_by_2050.pdf?la=en</t>
  </si>
  <si>
    <t>operating</t>
  </si>
  <si>
    <t>$2,308</t>
  </si>
  <si>
    <t>$40,964</t>
  </si>
  <si>
    <t>https://home.kuehne-nagel.com/documents/20124/11828151/Company-Kuehne-Nagel-Sustainability-Report-2022.pdf/6a934b10-c56a-95c5-0961-032b3fef9005?t=1680695637294</t>
  </si>
  <si>
    <t>https://www.worldclimatesummit.org/post/interview-with-andrea-debban%C3%A9-global-head-of-sustainability-kuehne-nagel</t>
  </si>
  <si>
    <t>Global Head of Sustainability</t>
  </si>
  <si>
    <t>https://uk.kuehne-nagel.com/documents/236865/0/Kuehne%2BNagel+UK+-+Carbon+Reduction+Plan+2022.pdf/7b5550f8-a3a1-9fae-907b-44b933c46a9b?t=1679304448314</t>
  </si>
  <si>
    <t>$2,770</t>
  </si>
  <si>
    <t>$41,278</t>
  </si>
  <si>
    <t>$8</t>
  </si>
  <si>
    <t>$41,426</t>
  </si>
  <si>
    <t>https://cdn.continental.com/fileadmin/__imported/sites/corporate/_international/english/hubpages/40_20sustainability/60_20reports_20_26_20principles/continental-sustainability-report-2022.pdf</t>
  </si>
  <si>
    <t>https://www.continental.com/en/press/studies-publications/technology-dossiers/sustainability/interview-steffen-schwartz-hoefler/#:~:text=Steffen%20Schwartz%2DH%C3%B6fler%20is%20head%20of%20Group%20Sustainability%20at%20Continental.</t>
  </si>
  <si>
    <t>head of Group Sustainability at Continental</t>
  </si>
  <si>
    <t>scope 1,2 + value chain</t>
  </si>
  <si>
    <t>$70</t>
  </si>
  <si>
    <t>$41,449</t>
  </si>
  <si>
    <t>https://indd.adobe.com/view/cfc4e669-fedb-4841-837a-3cf00b8d1204
https://assets.ctfassets.net/aax1cfbwhqog/5DZdatU1qFpeTeh43M2Hfn/bf4bbd4dccc8d9898832030def82981e/2021_Executive_Summary.pdf</t>
  </si>
  <si>
    <t>$7,607</t>
  </si>
  <si>
    <t>$41,513</t>
  </si>
  <si>
    <t>https://xiaomi.gcs-web.com/system/files-encrypted/nasdaq_kms/assets/2023/04/26/10-13-04/2022%20ESG%20Report_ENG.pdf</t>
  </si>
  <si>
    <t>$368</t>
  </si>
  <si>
    <t>$41,631</t>
  </si>
  <si>
    <t>$355</t>
  </si>
  <si>
    <t>$41,662</t>
  </si>
  <si>
    <t>https://www.zurich.com/en/sustainability</t>
  </si>
  <si>
    <t>Group Head of Sustainability</t>
  </si>
  <si>
    <t>https://www.zurich.com/en/sustainability/planet/net-zero-in-operations/carbon-neutrality</t>
  </si>
  <si>
    <t>$4,603</t>
  </si>
  <si>
    <t>$41,750</t>
  </si>
  <si>
    <t>https://www.kddi.com/extlib/files/english/corporate/ir/ir-library/sustainability-integrated-report/pdf/kddi_sir2022_e.pdf</t>
  </si>
  <si>
    <t>Executive Officer
The Deputy Executive Director, Corporate Sector and 
the General Manager of the Sustainability Management Division</t>
  </si>
  <si>
    <t>https://news.kddi.com/kddi/corporate/english/ir-news/2022/04/07/5992.html</t>
  </si>
  <si>
    <t>1,2 (SBTi net zero commited)</t>
  </si>
  <si>
    <t>$5,005</t>
  </si>
  <si>
    <t>$41,902</t>
  </si>
  <si>
    <t>$1,877</t>
  </si>
  <si>
    <t>$41,997</t>
  </si>
  <si>
    <t>https://www.telefonica.com/en/wp-content/uploads/sites/5/2023/03/management-and-sustainability-esg-report-2022.pdf</t>
  </si>
  <si>
    <t>https://www.telefonica.com/en/about-us/main-data/executive-team/</t>
  </si>
  <si>
    <t>Chief Corporate Affairs &amp; Sustainability Officer</t>
  </si>
  <si>
    <t>https://www.telefonica.com/en/communication-room/press-room/telefonica-moves-towards-net-zero-by-2040-through-energy-efficiency/</t>
  </si>
  <si>
    <t>$2,115</t>
  </si>
  <si>
    <t>$42,063</t>
  </si>
  <si>
    <t>https://agm.db.com/files/documents/2023/Non-Financial-Report-2022.pdf</t>
  </si>
  <si>
    <t>https://www.db.com/news/detail/20220720-deutsche-bank-bolsters-sustainability-activities-joerg-eigendorf-appointed-new-chief-sustainability-officer?language_id=1</t>
  </si>
  <si>
    <t>$5,701</t>
  </si>
  <si>
    <t>$42,285</t>
  </si>
  <si>
    <t>$178</t>
  </si>
  <si>
    <t>$42,306</t>
  </si>
  <si>
    <t>https://www.oracle.com/uk/a/ocom/docs/uk-carbon-reduction-plan.pdf</t>
  </si>
  <si>
    <t>https://www.oracle.com/corporate/executives/jon-chorley/</t>
  </si>
  <si>
    <t>$6,717</t>
  </si>
  <si>
    <t>$42,440</t>
  </si>
  <si>
    <t>$202</t>
  </si>
  <si>
    <t>$42,522</t>
  </si>
  <si>
    <t>https://www.mizuhogroup.com/binaries/content/assets/pdf/mizuhoglobal/investors/financial-information/annual/data2203/data2203_all_browsing.pdf</t>
  </si>
  <si>
    <t>https://www.mizuhogroup.com/binaries/content/assets/pdf/mizuhoglobal/investors/esg-milestones-2022.pdf</t>
  </si>
  <si>
    <t>https://www.mizuhogroup.com/binaries/content/assets/pdf/mizuhoglobal/news/2022/05/20220517release_eng.pdf</t>
  </si>
  <si>
    <t>1, 2 + fnance portfolio</t>
  </si>
  <si>
    <t>$4,104</t>
  </si>
  <si>
    <t>$42,693</t>
  </si>
  <si>
    <t>https://sustainability.americamovil.com/portal/su/pdf/2022-Sustainability-Report.pdf</t>
  </si>
  <si>
    <t>https://sustainability.americamovil.com/portal/su/pdf/2022-Sustainability-Report.pdf +sbti target</t>
  </si>
  <si>
    <t>$3,788</t>
  </si>
  <si>
    <t>$42,724</t>
  </si>
  <si>
    <t>http://www.shasteel.cn/uploadfiles/202306/25/2023062508461784185115.pdf</t>
  </si>
  <si>
    <t>$558</t>
  </si>
  <si>
    <t>$42,784</t>
  </si>
  <si>
    <t>https://www.ubs.com/global/en/sustainability-impact.html - sustainability report</t>
  </si>
  <si>
    <t>https://www.linkedin.com/in/michaelbaldinger/</t>
  </si>
  <si>
    <t>https://www.ubs.com/global/en/media/display-page-ndp/en-20210422-net-zero.html</t>
  </si>
  <si>
    <t>1, 2 + 1,2,3</t>
  </si>
  <si>
    <t>$7,630</t>
  </si>
  <si>
    <t>$42,950</t>
  </si>
  <si>
    <t>https://www.fresenius.com/sites/default/files/2023-03/Fresenius_Annual_Report_2022_3.pdf</t>
  </si>
  <si>
    <t>https://www.linkedin.com/in/markusgeorgi/en?originalSubdomain=de#:~:text=Markus%20Georgi%20is%20Senior%20Vice,Relations%20%26%20Sustainability%20at%20Fresenius%20Group.</t>
  </si>
  <si>
    <t>Head of Investor Relations &amp; Sustainability, SVP</t>
  </si>
  <si>
    <t>https://www.fresenius.com/node/6322
https://www.fresenius.com/sites/default/files/2022-05/20220222_FSE_Press%20Release_Climate%20Target_en.pdf
https://www.freseniusmedicalcare.co.uk/fileadmin/data/com/pdf/About_us/Sustainability/2021_FME_Sustainability_Highlights.pdf</t>
  </si>
  <si>
    <t>$1,443</t>
  </si>
  <si>
    <t>$42,954</t>
  </si>
  <si>
    <t>https://www.quantatw.com/Quanta/chinese/esg/promise.aspx</t>
  </si>
  <si>
    <t>$972</t>
  </si>
  <si>
    <t>$42,997</t>
  </si>
  <si>
    <t xml:space="preserve">https://www.coca-colacompany.com/content/dam/company/us/en/reports/coca-cola-business-and-sustainability-report-2022.pdf
https://www.coca-colacompany.com/content/dam/journey/us/en/policies/pdf/sustainability/2021-cdp-climate-response.pdf
</t>
  </si>
  <si>
    <t>https://www.coca-colacompany.com/about-us/leadership/bea-perez</t>
  </si>
  <si>
    <t>https://www.coca-colacompany.com/content/dam/company/us/en/reports/coca-cola-business-and-sustainability-report-2022.pdf</t>
  </si>
  <si>
    <t>$9,542</t>
  </si>
  <si>
    <t>$43,004</t>
  </si>
  <si>
    <t>https://www.gsk.com/media/9962/esg-performance-report-2022.pdf
https://www.gsk.com/media/9957/basis-of-reporting-environmental-data-2022.pdf</t>
  </si>
  <si>
    <t>not available yet</t>
  </si>
  <si>
    <t>https://www.gsk.com/media/9962/esg-performance-report-2022.pdf</t>
  </si>
  <si>
    <t>2030 + 2045</t>
  </si>
  <si>
    <t>$18,439</t>
  </si>
  <si>
    <t>$43,035</t>
  </si>
  <si>
    <t>https://s201.q4cdn.com/471466897/files/doc_downloads/annualmeetingmat/2023/Chubb-Limited-2022-Annual-Report.pdf</t>
  </si>
  <si>
    <t>https://about.chubb.com/who-we-are/leadership/margaret-peloso.html</t>
  </si>
  <si>
    <t>Global Climate Officer and Executive Director of the Chubb Charitable Foundation</t>
  </si>
  <si>
    <t>https://about.chubb.com/content/dam/chubb-sites/chubb/about-chubb/citizenship/environment/pdf/chubb_2022_climate-related_financial_disclosure_report.pdf</t>
  </si>
  <si>
    <t>$5,313</t>
  </si>
  <si>
    <t>$43,166</t>
  </si>
  <si>
    <t>$1,015</t>
  </si>
  <si>
    <t>$43,429</t>
  </si>
  <si>
    <t>https://medias.sncf.com/sncfcom/finances/Publications_Groupe/sncf-group-annual-financial-report-2022.pdf</t>
  </si>
  <si>
    <t>https://www.sncf.com/en/commitments/sustainable-development/how-taking-train-can-help-save-planet</t>
  </si>
  <si>
    <t>$2,551</t>
  </si>
  <si>
    <t>$43,594</t>
  </si>
  <si>
    <t>https://m.kbfg.com/Eng/about/management/management.jsp</t>
  </si>
  <si>
    <t>Head of ESG Division - Managing Director</t>
  </si>
  <si>
    <t>operational (1&amp;2) + financed emissions (3)</t>
  </si>
  <si>
    <t>$3,405</t>
  </si>
  <si>
    <t>$43,622</t>
  </si>
  <si>
    <t>https://dam.abbott.com/en-us/documents/pdfs/abbott-citizenship/Abbott-2022-Global-Sustainability-Report-June-2023.pdf</t>
  </si>
  <si>
    <t>$6,933</t>
  </si>
  <si>
    <t>$43,653</t>
  </si>
  <si>
    <t>https://www.tatamotors.com/wp-content/uploads/2022/12/Tata-Motors-Blackrock-meeting-ESG-presentation.pdf
https://www.tatamotors.com/wp-content/uploads/2022/12/Tata-Motors-Blackrock-meeting-ESG-presentation.pdf</t>
  </si>
  <si>
    <t>$301</t>
  </si>
  <si>
    <t>$43,661</t>
  </si>
  <si>
    <t>https://www.loblaw.ca/en/responsibility/ - 2022 ESG report</t>
  </si>
  <si>
    <t>https://www.weston.ca/en/pdf_en/GWL-ESG-Report-2022-EN.pdf
https://www.loblaw.ca/en/loblaw-takes-action-on-climate-change-with-net-zero-commitment/</t>
  </si>
  <si>
    <t>1,2 + 3</t>
  </si>
  <si>
    <t>$1,396</t>
  </si>
  <si>
    <t>$43,838</t>
  </si>
  <si>
    <t>https://www.woolworthsgroup.com.au/content/dam/wwg/investors/reports/2022/full-year/WOW%20SR22%20Appendix%20FINAL.pdf</t>
  </si>
  <si>
    <t>https://www.woolworthsgroup.com.au/au/en/about-us/our-leadership-team/management-board/alex-holt.html</t>
  </si>
  <si>
    <t>https://www.woolworthsgroup.com.au/au/en/sustainability/Planet/net-positive-carbon-emissions-by-2050.html</t>
  </si>
  <si>
    <t>$5,754</t>
  </si>
  <si>
    <t>$44,126</t>
  </si>
  <si>
    <t>https://www.qualcomm.com/content/dam/qcomm-martech/dm-assets/documents/2022-qualcomm-corporate-responsibility-report.pdf</t>
  </si>
  <si>
    <t>https://www.linkedin.com/in/angela-baker-ba7b772/</t>
  </si>
  <si>
    <t>1,2 and 3</t>
  </si>
  <si>
    <t>$12,936</t>
  </si>
  <si>
    <t>$44,200</t>
  </si>
  <si>
    <t>https://www.pegatroncorp.com/files/backend/csr_file/2021%E5%B9%B4%E6%B0%B8%E7%BA%8C%E5%A0%B1%E5%91%8A%E6%9B%B8_%E8%8B%B1%E6%96%87%E7%89%88_0922.PDF</t>
  </si>
  <si>
    <t>$507</t>
  </si>
  <si>
    <t>$44,273</t>
  </si>
  <si>
    <t>https://vale.com/documents/d/guest/vale_relatointegrado2022-en-final-1</t>
  </si>
  <si>
    <t>https://miningdigital.com/articles/vale-appoints-chief-sustainability-officer</t>
  </si>
  <si>
    <t>chief sustainability and corporate affairs officer</t>
  </si>
  <si>
    <t>https://www.vale.com/web/esg/indicators+BM233</t>
  </si>
  <si>
    <t>$18,788</t>
  </si>
  <si>
    <t>$44,287</t>
  </si>
  <si>
    <t>https://www.astrazeneca.com/content/dam/az/Sustainability/2023/pdf/Sustainability_Data_Summary_2022.pdf</t>
  </si>
  <si>
    <t>https://www.astrazeneca.com/our-company/leadership.html</t>
  </si>
  <si>
    <t>Executive Vice President, Global Operations, IT &amp; Chief Sustainability Officer</t>
  </si>
  <si>
    <t>https://www.astrazeneca.com/content/dam/az/Sustainability/2023/pdf/Sustainability_Report_2022.pdf
https://www.astrazeneca.com/media-centre/press-releases/2020/astrazenecas-ambition-zero-carbon-strategy-to-eliminate-emissions-by-2025-and-be-carbon-negative-across-the-entire-value-chain-by-2030-22012020.html#modal-historic-confirmation</t>
  </si>
  <si>
    <t>$3,288</t>
  </si>
  <si>
    <t>$44,351</t>
  </si>
  <si>
    <t>https://www.thyssenkrupp.com/en/company/sustainability/environment/energy</t>
  </si>
  <si>
    <t>$1,229</t>
  </si>
  <si>
    <t>$44,502</t>
  </si>
  <si>
    <t>https://www.marketscreener.com/quote/stock/CHINA-MINSHENG-BANKING-CO-6493874/news/China-Minsheng-Banking-2020-Environmental-Social-and-Governance-Report-32837696/
https://ir.cmbc.com.cn/media/whjnfss2/environmental-social-and-governance-report-2021.pdf</t>
  </si>
  <si>
    <t>https://ir.cmbc.com.cn/media/whjnfss2/environmental-social-and-governance-report-2021.pdf</t>
  </si>
  <si>
    <t>$5,243</t>
  </si>
  <si>
    <t>$44,582</t>
  </si>
  <si>
    <t>https://corporate.thermofisher.com/content/dam/tfcorpsite/documents/corporate-social-responsibility/2022%20Corporate%20Social%20Responsibility%20Report.pdf</t>
  </si>
  <si>
    <t>scope 1,2, and 3</t>
  </si>
  <si>
    <t>$6,950</t>
  </si>
  <si>
    <t>$44,915</t>
  </si>
  <si>
    <t>https://sustainability-prd-cdn.suncor.com/-/media/project/ros/shared/documents/climate-reports/2023-climate-report-en.pdf?modified=20230721151933</t>
  </si>
  <si>
    <t>https://globalnews.ca/news/7894645/suncor-energy-net-zero-emissions-target/</t>
  </si>
  <si>
    <t>$6,975</t>
  </si>
  <si>
    <t>$44,928</t>
  </si>
  <si>
    <t>https://crreport.united.com/documents/united-environment-data.pdf</t>
  </si>
  <si>
    <t>https://www.linkedin.com/in/lauren-riley2?original_referer=https%3A%2F%2Fwww.google.com%2F</t>
  </si>
  <si>
    <t>Chief Sustainability Officer and Managing Director, Global Environmental Affairs</t>
  </si>
  <si>
    <t>https://crreport.united.com/documents/United-Corporate-Responsibility-summary.pdf</t>
  </si>
  <si>
    <t>$737</t>
  </si>
  <si>
    <t>$44,955</t>
  </si>
  <si>
    <t>https://home.barclays/content/dam/home-barclays/documents/investor-relations/reports-and-events/annual-reports/2022/AR/Barclays-PLC-Annual-Report-2022.pdf</t>
  </si>
  <si>
    <t>https://home.barclays/who-we-are/structure-and-leadership/leadership/sasha-wiggins/</t>
  </si>
  <si>
    <t>Group Head of Public Policy and Corporate Responsibility</t>
  </si>
  <si>
    <t>https://home.barclays/sustainability/addressing-climate-change/financing-the-transition/net-zero-update/</t>
  </si>
  <si>
    <t>1,2 + 3 operational</t>
  </si>
  <si>
    <t>https://home.barclays/content/dam/home-barclays/documents/citizenship/ESG/2022/FY22-ESG-Investor-Presentation.pdf</t>
  </si>
  <si>
    <t>$7,309</t>
  </si>
  <si>
    <t>$45,023</t>
  </si>
  <si>
    <t>https://www.veolia.com/sites/g/files/dvc4206/files/document/2023/04/VE_URD_2022_EN.pdf</t>
  </si>
  <si>
    <t>https://sustainability.veolia.co.uk/achieving-net-zero/</t>
  </si>
  <si>
    <t>operations (SBTi net zero commited)</t>
  </si>
  <si>
    <t>$753</t>
  </si>
  <si>
    <t>$45,105</t>
  </si>
  <si>
    <t>https://www.chd.com.cn/site/2/list/f445b265d3e840558df35178a3e8ef96_1.html</t>
  </si>
  <si>
    <t>$1,021</t>
  </si>
  <si>
    <t>$45,113</t>
  </si>
  <si>
    <t>https://www.gscaltex.com/en/Sustainability/SustainabilityReport</t>
  </si>
  <si>
    <t>2022 REPORT: https://www.gscaltex.com/en/Sustainability/SustainabilityReport</t>
  </si>
  <si>
    <t>Chief Safety &amp; Environment Officer</t>
  </si>
  <si>
    <t>$2,161</t>
  </si>
  <si>
    <t>$45,343</t>
  </si>
  <si>
    <t>https://www.smfg.co.jp/sustainability/report/databook/pdf/SMFG_ESG_DATA_BOOK.pdf</t>
  </si>
  <si>
    <t>https://www.iif.com/Events/Speaker-Profile?spid=1a5fbacb-cdcf-ed11-b597-002248226dcd&amp;returnurl=/events/2023_SFS/meetingid/4aa41df8-866a-ed11-9562-002248226dcd#:~:text=Masayuki%20(Masa)%20Takanashi%20is%20the,of%20Sumitomo%20Mitsui%20Financial%20Group.</t>
  </si>
  <si>
    <t>https://www.smfg.co.jp/news_e/pdf/e20210831_02.pdf
https://www.smfg.co.jp/english/sustainability/common/pdf/2022/2022SustainabilityReportEN_all.pdf</t>
  </si>
  <si>
    <t>operations + portfolio</t>
  </si>
  <si>
    <t>$5,954</t>
  </si>
  <si>
    <t>$45,378</t>
  </si>
  <si>
    <t>https://news.metal.com/newscontent/101471613/jingye-group-actively-promotes-the-implementation-of-the-%22double-carbon%22-goal-and-formulates-a-carbon-reduction-action-plan</t>
  </si>
  <si>
    <t>$329</t>
  </si>
  <si>
    <t>$45,705</t>
  </si>
  <si>
    <t>https://rai2022.orange.com/wp-content/uploads/sites/53/2023/05/orange_integratedannualreport_2022_en.pdf#page=65</t>
  </si>
  <si>
    <t>https://www.orange.com/en/commitments/oranges-commitment/to-the-environment
https://newsroom.orange.com/environmental-policy/?lang=en</t>
  </si>
  <si>
    <t>$2,257</t>
  </si>
  <si>
    <t>$45,721</t>
  </si>
  <si>
    <t>https://shareholdersandinvestors.bbva.com/wp-content/uploads/2022/03/BBVA_TCFD_Report_December_2021_ENG.pdf</t>
  </si>
  <si>
    <t>https://www.bbva.com/en/biography/javier-rodriguez-soler/</t>
  </si>
  <si>
    <t>indirect emissions</t>
  </si>
  <si>
    <t>direct</t>
  </si>
  <si>
    <t>$6,752</t>
  </si>
  <si>
    <t>$45,766</t>
  </si>
  <si>
    <t>$4,446</t>
  </si>
  <si>
    <t>$45,977</t>
  </si>
  <si>
    <t>https://www.swissre.com/dam/jcr:5d88bdd8-8aa1-42da-ae69-028a45da60ae/2022-sustainability-report-doc-en.pdf</t>
  </si>
  <si>
    <t>https://www.swissre.com/profile/Martin_Weymann/ip_335efd</t>
  </si>
  <si>
    <t>Head Group Sustainability</t>
  </si>
  <si>
    <t xml:space="preserve"> Scope 1, 2 and selected categories in Scope 3</t>
  </si>
  <si>
    <t>1,2 and parts of upstream scope 3</t>
  </si>
  <si>
    <t>$472</t>
  </si>
  <si>
    <t>$45,998</t>
  </si>
  <si>
    <t>https://www.zf.com/master/media/en/corporate/m_zf_com/company/bonds_relations_/financial_reports/annual_report/2022_2/ZF_AnnualReport22.pdf</t>
  </si>
  <si>
    <t>Group Head of ESG and Sustainability</t>
  </si>
  <si>
    <t>scope 1,2,3</t>
  </si>
  <si>
    <t>$239</t>
  </si>
  <si>
    <t>$46,068</t>
  </si>
  <si>
    <t>https://www.ingka.com/static/ingka-group-annual-summary-and-sustainability-report-fy22.pdf</t>
  </si>
  <si>
    <t>https://www.ingka.com/bios/karen-pflug/</t>
  </si>
  <si>
    <t>$315</t>
  </si>
  <si>
    <t>$46,135</t>
  </si>
  <si>
    <t>$1,357</t>
  </si>
  <si>
    <t>$46,138</t>
  </si>
  <si>
    <t>https://www.bms.com/assets/bms/us/en-us/pdf/bmy-2021-esg-report.pdf</t>
  </si>
  <si>
    <t>not calc</t>
  </si>
  <si>
    <t>https://news.bms.com/news/corporate-financial/2020/Bristol-Myers-Squibb-Strengthens-its-Commitment-to-the-Environment-with-New-Corporate-Goals/default.aspx</t>
  </si>
  <si>
    <t>$6,327</t>
  </si>
  <si>
    <t>$46,159</t>
  </si>
  <si>
    <t>https://corporate.bestbuy.com/wp-content/uploads/2022/07/FY22-ESG-Report.pdf</t>
  </si>
  <si>
    <t>$1,419</t>
  </si>
  <si>
    <t>$46,298</t>
  </si>
  <si>
    <t>$859</t>
  </si>
  <si>
    <t>$46,617</t>
  </si>
  <si>
    <t>https://www.bouygues.com/wp-content/uploads/2023/03/bouygues-integrated-report-2022-en.pdf
https://www.bouygues.com/wp-content/uploads/2022/03/Rapport-Integre_2021_bouygues_EN.pdf</t>
  </si>
  <si>
    <t>https://www.bouygues.com/en/senior-executives/</t>
  </si>
  <si>
    <t>Deputy CEO
 Telecoms Development, CSR and Innovation</t>
  </si>
  <si>
    <t>$1,023</t>
  </si>
  <si>
    <t>$46,696</t>
  </si>
  <si>
    <t>https://about.nike.com/en/newsroom/reports/fy22-nike-inc-impact-report</t>
  </si>
  <si>
    <t>https://www.linkedin.com/in/noel-kinder-148b521b4/</t>
  </si>
  <si>
    <t>https://about.nike.com/en/newsroom/reports/fy22-nike-inc-impact-report - 2022 impact report</t>
  </si>
  <si>
    <t>$6,046</t>
  </si>
  <si>
    <t>$46,710</t>
  </si>
  <si>
    <t>https://www.volvogroup.com/content/dam/volvo-group/markets/master/investors/reports-and-presentations/annual-reports/AB-Volvo-Annual-Report-2022.pdf</t>
  </si>
  <si>
    <t>https://www.linkedin.com/in/karin-svensson-5798b319/?originalSubdomain=se</t>
  </si>
  <si>
    <t>https://www.volvogroup.com/en/news-and-media/news/2021/mar/making-the-volvo-group-climate-neutral.html</t>
  </si>
  <si>
    <t>manufacturing</t>
  </si>
  <si>
    <t>$3,236</t>
  </si>
  <si>
    <t>$46,828</t>
  </si>
  <si>
    <t>https://www.pbfenergy.com/wp-content/uploads/2022/12/PBF-ESG-Report-FINAL-113022-digital-compressed.pdf</t>
  </si>
  <si>
    <t>https://investors.pbfenergy.com/news/2023/06-28-2023-130401621</t>
  </si>
  <si>
    <t>entire products life cycle</t>
  </si>
  <si>
    <t>$2,877</t>
  </si>
  <si>
    <t>$46,830</t>
  </si>
  <si>
    <t>http://www.hd-hyundai.com/_docs/HDO_Integrated_Report_2021_EN.pdf</t>
  </si>
  <si>
    <t>$1,091</t>
  </si>
  <si>
    <t>$47,138</t>
  </si>
  <si>
    <t>HD Hyundai</t>
  </si>
  <si>
    <t>https://pfgc.com/-/media/PFGC/Files/ESG_CSR-Report-2022_Final.pdf</t>
  </si>
  <si>
    <t>$113</t>
  </si>
  <si>
    <t>$47,194</t>
  </si>
  <si>
    <t>https://www.denso.com/global/en/about-us/sustainability/library/environment-data/</t>
  </si>
  <si>
    <t>https://www.denso.com/global/en/news/newsroom/2023/20230519_g01/
https://www.denso.com/global/en/news/newsroom/2021/20210202-g02/</t>
  </si>
  <si>
    <t>$2,325</t>
  </si>
  <si>
    <t>$47,292</t>
  </si>
  <si>
    <t>https://investors.vodafone.com/sites/vodafone-ir/files/2023-05/vodafone-fy23-annual-report.pdf</t>
  </si>
  <si>
    <t>https://www.linkedin.com/in/nicki-lyons/</t>
  </si>
  <si>
    <t>our operations (Scope 1 
and 2) + full value chain</t>
  </si>
  <si>
    <t>$12,316</t>
  </si>
  <si>
    <t>$47,550</t>
  </si>
  <si>
    <t>https://www.raizen.com.br/relatorioanual/2022/en/pdf/RS2022_RAIZEN_EN.pdf</t>
  </si>
  <si>
    <t>$474</t>
  </si>
  <si>
    <t>$47,721</t>
  </si>
  <si>
    <t>https://groupebpce.com/en/content/download/33295/file/TCFD_RapportClimat2022_EN-01.pdf</t>
  </si>
  <si>
    <t>https://newsroom-en.groupebpce.fr/news/valerie-derambure-appointed-head-of-groupe-bpce-csr-a6fc-53927.html</t>
  </si>
  <si>
    <t>Groupe BPCE Head of CSR</t>
  </si>
  <si>
    <t>https://groupebpce.com/toute-l-actualite/actualites/2021/climat-vers-une-trajectoire-visant-la-neutralite-carbone-d-ici-a-2050</t>
  </si>
  <si>
    <t>2050 + 2050</t>
  </si>
  <si>
    <t>operational + financing portfolios</t>
  </si>
  <si>
    <t>$4,156</t>
  </si>
  <si>
    <t>$47,723</t>
  </si>
  <si>
    <t>https://www.sanofi.com/assets/dotcom/content-app/documents/climate-change-road-to-net-zero.pdf</t>
  </si>
  <si>
    <t>https://www.sanofi.com/assets/dotcom/pages/docs/our-company/social-impact/environmental-sustainability/220708_-_SANOFI_PLANET_CARE_INFOGRAPHIE_EN.pdf</t>
  </si>
  <si>
    <t>activities (SBTi net zero commited)</t>
  </si>
  <si>
    <t>activities</t>
  </si>
  <si>
    <t>$8,804</t>
  </si>
  <si>
    <t>$47,738</t>
  </si>
  <si>
    <t>https://www.chsinc.com/about-chs/news/news/2022/11/14/chs-names-megan-rock-chief-sustainability-officer</t>
  </si>
  <si>
    <t>$1,679</t>
  </si>
  <si>
    <t>$47,792</t>
  </si>
  <si>
    <t>https://www.ing.com/Sustainability/Performance-and-reporting/Reporting.htm - 2022 SUSTAINABILITY REPORT</t>
  </si>
  <si>
    <t>https://www.linkedin.com/in/anne-sophie-castelnau/?originalSubdomain=fr</t>
  </si>
  <si>
    <t>$12,754</t>
  </si>
  <si>
    <t>$48,062</t>
  </si>
  <si>
    <t>https://www.canneslions.com/awards/jury/jeeyoung-park-335595</t>
  </si>
  <si>
    <t>Senior EVP, Head of Brand and Sustainability Initiatives</t>
  </si>
  <si>
    <t>$1,017</t>
  </si>
  <si>
    <t>$48,245</t>
  </si>
  <si>
    <t>https://group.softbank/en/sustainability/esg_data#1</t>
  </si>
  <si>
    <t>https://group.softbank/en/news/press/20220624_0</t>
  </si>
  <si>
    <t>CSusO (Chief Sustainability Officer) - Head of Investor Relations Department &amp; Sustainability Department</t>
  </si>
  <si>
    <t>https://group.softbank/en/news/press/20220622_0</t>
  </si>
  <si>
    <t>$-7,167</t>
  </si>
  <si>
    <t>$48,542</t>
  </si>
  <si>
    <t>https://www.td.com/content/dam/tdcom/canada/about-td/pdf/esg/2022-esg-report.pdf#page=71</t>
  </si>
  <si>
    <t>https://www.td.com/document/PDF/mediaroom/Karen%20Clarke-Whistler-bio%20May%2014doc.pdf</t>
  </si>
  <si>
    <t>Chief Environmental Officer</t>
  </si>
  <si>
    <t>https://stories.td.com/ca/en/article/the-path-to-net-zero</t>
  </si>
  <si>
    <t>operations and financed emissions</t>
  </si>
  <si>
    <t>https://www.td.com/content/dam/tdcom/canada/about-td/pdf/esg/2022-esg-report.pdf</t>
  </si>
  <si>
    <t>1,2 and some 3</t>
  </si>
  <si>
    <t>$13,535</t>
  </si>
  <si>
    <t>$48,700</t>
  </si>
  <si>
    <t>https://www.energidanmark.dk/media/7383/energi-danmark-group-annual-report-2022.pdf
https://www.energidanmark.com/media/6730/energi-danmark-annual-report-2021.pdf</t>
  </si>
  <si>
    <t>https://www.energidanmark.dk/media/7383/energi-danmark-group-annual-report-2022.pdf</t>
  </si>
  <si>
    <t>$1,251</t>
  </si>
  <si>
    <t>$48,717</t>
  </si>
  <si>
    <t>Energi Danmark Group</t>
  </si>
  <si>
    <t>https://www.catl.com/en/uploads/1/file/public/202204/20220428220129_xn1h4ae31b.pdf#</t>
  </si>
  <si>
    <t>https://www.catl.com/en/uploads/1/file/public/202204/20220428220129_xn1h4ae31b.pdf</t>
  </si>
  <si>
    <t>$4,568</t>
  </si>
  <si>
    <t>$48,849</t>
  </si>
  <si>
    <t>Contemporary Amperex Technology</t>
  </si>
  <si>
    <t>https://s202.q4cdn.com/986123435/files/images/esg/aa-sustainability-report-2022.pdf</t>
  </si>
  <si>
    <t>https://www.linkedin.com/in/jillblickstein/</t>
  </si>
  <si>
    <t>Vice President, Sustainability at American Airlines</t>
  </si>
  <si>
    <t>https://news.aa.com/news/news-details/2021/American-Airlines-Commits-to-Setting-Science-Based-Target-for-Reducing-Greenhouse-Gas-Emissions-CORP-OTH-07/default.aspx</t>
  </si>
  <si>
    <t>direct emissions</t>
  </si>
  <si>
    <t>$127</t>
  </si>
  <si>
    <t>$48,971</t>
  </si>
  <si>
    <t>https://www.tokiomarinehd.com/en/sustainability/pdf/sustainability_web_2022.pdf</t>
  </si>
  <si>
    <t>Group CSO</t>
  </si>
  <si>
    <t>https://www.tokiomarinehd.com/en/release_topics/release/k82ffv000000bx6w-att/20220119_e.pdf</t>
  </si>
  <si>
    <t>for our own
 operations and
investees</t>
  </si>
  <si>
    <t>Scope 1, 2 and 3 partial</t>
  </si>
  <si>
    <t>$2,781</t>
  </si>
  <si>
    <t>$49,119</t>
  </si>
  <si>
    <t>$1,113</t>
  </si>
  <si>
    <t>$49,467</t>
  </si>
  <si>
    <t>https://verbund.edeka/verbund/edeka-group-company-report-2022-eng.pdf</t>
  </si>
  <si>
    <t>$416</t>
  </si>
  <si>
    <t>$49,481</t>
  </si>
  <si>
    <t>https://s24.q4cdn.com/447218525/files/doc_downloads/2022/10/17/Progressive_2021CorporateSustainabilityReport_A2.pdf</t>
  </si>
  <si>
    <t>$722</t>
  </si>
  <si>
    <t>$49,611</t>
  </si>
  <si>
    <t>https://www.smarttransport.org.uk/news/latest-news/renault-outlines-roadmap-for-carbon-neutrality</t>
  </si>
  <si>
    <t>$-356</t>
  </si>
  <si>
    <t>$49,924</t>
  </si>
  <si>
    <t>https://www.tjx.com/docs/default-source/corporate-responsibility/tjx-2022-global-corporate-responsibility-report.pdf</t>
  </si>
  <si>
    <t>https://www.linkedin.com/in/brenna-zimmer-4a1a7779?original_referer=https%3A%2F%2Fwww.google.com%2F</t>
  </si>
  <si>
    <t>$3,498</t>
  </si>
  <si>
    <t>$49,936</t>
  </si>
  <si>
    <t>https://www.libertymutualgroup.com/documents/lm-sustainability-review-2022-0.pdf</t>
  </si>
  <si>
    <t>$414</t>
  </si>
  <si>
    <t>$49,956</t>
  </si>
  <si>
    <t>http://en.ansteel.cn/upload/pdf/2021.pdf</t>
  </si>
  <si>
    <t>$608</t>
  </si>
  <si>
    <t>$50,041</t>
  </si>
  <si>
    <t>https://www.sumitomocorp.com/jp/-/media/Files/hq/sustainability/report/esg/esg-all.pdf?la=en</t>
  </si>
  <si>
    <t>$4,176</t>
  </si>
  <si>
    <t>$50,370</t>
  </si>
  <si>
    <t>https://www.lyondellbasell.com/498cad/globalassets/sustainability/2022-lyb-sustainability-report.pdf</t>
  </si>
  <si>
    <t>$3,882</t>
  </si>
  <si>
    <t>$50,451</t>
  </si>
  <si>
    <t>https://news.delta.com/sites/default/files/2023-04/delta_esgreport2022_0.pdf</t>
  </si>
  <si>
    <t>https://www.linkedin.com/in/pam-fletcher/</t>
  </si>
  <si>
    <t>SBTi net zero commited</t>
  </si>
  <si>
    <t>$1,318</t>
  </si>
  <si>
    <t>$50,582</t>
  </si>
  <si>
    <t>https://www.sinomach.com.cn/en/MediaCenter/News/202110/t20211028_319753.html</t>
  </si>
  <si>
    <t>$-409</t>
  </si>
  <si>
    <t>$51,126</t>
  </si>
  <si>
    <t>https://www.midea-group.com/content/dam/mideaco-aem/investors/financial-reports/Midea-Group---CSR-Report-2020---ENG---30Apr2021.pdf.coredownload.inline.pdf</t>
  </si>
  <si>
    <t>company-wide</t>
  </si>
  <si>
    <t>$4,393</t>
  </si>
  <si>
    <t>$51,393</t>
  </si>
  <si>
    <t>https://mc-ced23ebb-4707-4c95-9c94-3171-cdn-endpoint.azureedge.net/-/media/Project/WWW/docs/sustainability/2022/2022-esg-report.pdf?rev=2a2d6aaa25794d3390aa0cab6ab93797&amp;sc_lang=en&amp;hash=F227064DEC88E722D896CF70DD5D3536</t>
  </si>
  <si>
    <t>https://www.cbc.ca/news/canada/calgary/cenovus-oilsands-sustainability-strategy-1.5420652
https://www.cenovus.com/News-and-Stories/News-releases/2020/1968285</t>
  </si>
  <si>
    <t>$4,956</t>
  </si>
  <si>
    <t>$51,406</t>
  </si>
  <si>
    <t>https://www.allstatesustainability.com/content/documents/Allstate_ESG_Data_2023.pdf?v2023-04-18</t>
  </si>
  <si>
    <t>https://www.allstatenewsroom.com/news/allstate-appoints-chief-sustainability-officer/</t>
  </si>
  <si>
    <t>https://www.allstatecorporation.com/resources/allstate/attachments/annual-report/allstate-year-end-report-combo-2022.pdf</t>
  </si>
  <si>
    <t>$-1,311</t>
  </si>
  <si>
    <t>$51,412</t>
  </si>
  <si>
    <t>https://www.nationwide.co.uk/-/assets/nationwidecouk/documents/about/how-we-are-run/results-and-accounts/2022-2023/annual-report-and-accounts-2023.pdf?rev=c1007dbd9ee34d0abdd9fc3ad5d7ac64</t>
  </si>
  <si>
    <t>https://www.linkedin.com/in/claire-tracey-55b1aa3/?originalSubdomain=uk</t>
  </si>
  <si>
    <t>Chief Strategy and Sustainability Officer</t>
  </si>
  <si>
    <t>https://www.nationwide.co.uk/-/assets/nationwidecouk/documents/investor-relations/intermediate-net-zero-ambitions-2022--basis-of-preparation.pdf?rev=14fc62a26113432d9b9f7b1728cf6ba0</t>
  </si>
  <si>
    <t>$988</t>
  </si>
  <si>
    <t>$51,450</t>
  </si>
  <si>
    <t>https://www.cisco.com/c/m/en_us/about/csr/esg-hub/environment/goals.html#scope-1-3-emissions</t>
  </si>
  <si>
    <t>https://newsroom.cisco.com/c/r/newsroom/en/us/a/y2022/m12/driving-sustainability-from-the-highest-levels-at-cisco.html</t>
  </si>
  <si>
    <t>https://newsroom.cisco.com/c/r/newsroom/en/us/a/y2021/m09/cisco-commits-to-net-zero-greenhouse-gas-emissions-by-2040.html</t>
  </si>
  <si>
    <t>$11,812</t>
  </si>
  <si>
    <t>$51,557</t>
  </si>
  <si>
    <t>https://api.mziq.com/mzfilemanager/v2/d/80f2e993-0a30-421a-9470-a4d5c8ad5e9f/5a878306-1f11-92ad-e1c2-c1706aee734b?origin=2</t>
  </si>
  <si>
    <t>loan portfolio</t>
  </si>
  <si>
    <t xml:space="preserve">https://api.mziq.com/mzfilemanager/v2/d/80f2e993-0a30-421a-9470-a4d5c8ad5e9f/5a878306-1f11-92ad-e1c2-c1706aee734b?origin=2
https://banco.bradesco/assets/classic/pdf/sustentabilidade/Climate%20Change_Bradesco-1.pdf </t>
  </si>
  <si>
    <t>2006 + 2020</t>
  </si>
  <si>
    <t>scope1,2 + operations (scope 1, 2 and 3)</t>
  </si>
  <si>
    <t>$4,066</t>
  </si>
  <si>
    <t>$51,587</t>
  </si>
  <si>
    <t>http://www.cssc.net.cn/n8/n57/c26067/part/29330.pdf</t>
  </si>
  <si>
    <t>$2,710</t>
  </si>
  <si>
    <t>$51,799</t>
  </si>
  <si>
    <t>https://www.novartis.com/sites/novartiscom/files/novartis-integrated-report-2022.pdf</t>
  </si>
  <si>
    <t>https://www.novartis.com/about/executive-committee</t>
  </si>
  <si>
    <t>President, Global Health &amp; Sustainability</t>
  </si>
  <si>
    <t>https://www.novartis.com/news/media-releases/novartis-accelerates-efforts-toward-esg-targets-increase-access-medicines-improve-health-equity-and-achieve-net-zero-carbon-emissions</t>
  </si>
  <si>
    <t xml:space="preserve">own operations + 1,2,3 </t>
  </si>
  <si>
    <t>$6,955</t>
  </si>
  <si>
    <t>$51,828</t>
  </si>
  <si>
    <t>https://www.rbc.com/community-social-impact/_assets-custom/pdf/2022-ESG-Report.PDF</t>
  </si>
  <si>
    <t>https://www.nasdaq.com/articles/royal-bank-of-canada-commits-to-net-zero-emissions-by-2050-in-its-lending-2021-02-25
https://www.rbc.com/community-social-impact/_assets-custom/pdf/2022-net-zero-report.PDF</t>
  </si>
  <si>
    <t>lending</t>
  </si>
  <si>
    <t>$12,265</t>
  </si>
  <si>
    <t>$52,062</t>
  </si>
  <si>
    <t>$870</t>
  </si>
  <si>
    <t>$52,224</t>
  </si>
  <si>
    <t>https://www.deere.com/assets/pdfs/common/our-company/sustainability/sustainability-report-2022.pdf</t>
  </si>
  <si>
    <t>$7,131</t>
  </si>
  <si>
    <t>$52,577</t>
  </si>
  <si>
    <t>http://www.chinaunicom.com/resource/group1/M01/00/40/wKjcAmQ5OZSAVQn3AMV_iRMwCHE003.pdf</t>
  </si>
  <si>
    <t>$1,085</t>
  </si>
  <si>
    <t>$52,766</t>
  </si>
  <si>
    <t>https://www.tysonsustainability.com/downloads/Tyson_2021_Sustainability_Report.pdf</t>
  </si>
  <si>
    <t>https://www.tysonfoods.com/who-we-are/our-people/leadership/john-r-tyson</t>
  </si>
  <si>
    <t>CSO (and CFO)</t>
  </si>
  <si>
    <t>https://www.tysonsustainability.com/downloads/Tyson_2021_Sustainability_Report.pdf
https://www.tysonsustainability.com/cdp/CDP_Climate_Change_2022.pdf</t>
  </si>
  <si>
    <t>$3,238</t>
  </si>
  <si>
    <t>$53,282</t>
  </si>
  <si>
    <t>https://www.bayer.com/sites/default/files/2023-02/Bayer-Sustainability-Report-2022.pdf</t>
  </si>
  <si>
    <t>https://www.bayer.com/sites/default/files/2023-02/Bayer-Sustainability-Report-2022.pdf
https://www.bayer.com/sites/default/files/2023-02-01-com-offsetting-publicationv4.pdf</t>
  </si>
  <si>
    <t>https://www.bayer.com/sites/default/files/2023-02/Bayer-Sustainability-Report-2022.pdf
https://phys.org/news/2019-12-bayer-climate-neutral-business.html</t>
  </si>
  <si>
    <t>$4,365</t>
  </si>
  <si>
    <t>$53,365</t>
  </si>
  <si>
    <t>https://www.daimlertruck.com/fileadmin/user_upload/documents/sustainability/daimler-truck-sustainability-report-2021.pdf</t>
  </si>
  <si>
    <t>https://www.daimlertruck.com/fileadmin/user_upload/documents/investors/reports/annual-reports/daimler-truck-ir-annual-report-2021-incl-combined-management-report-dth-ag.pdf</t>
  </si>
  <si>
    <t>$2,803</t>
  </si>
  <si>
    <t>$53,582</t>
  </si>
  <si>
    <t>Daimler Truck Holding</t>
  </si>
  <si>
    <t>https://www.saint-gobain.com/sites/saint-gobain.com/files/media/document/RAI-Saint-Gobain-2022-2023-ENG.pdf</t>
  </si>
  <si>
    <t>https://www.saint-gobain.com/en/group/corporate-governance/executive-committee</t>
  </si>
  <si>
    <t>Senior Vice-president, human resources and corporate social responsibility</t>
  </si>
  <si>
    <t>https://www.saint-gobain.com/sites/saint-gobain.com/files/media/document/RAI-Saint-Gobain-2022-2023-ENG.pdf
https://www.saint-gobain.com/sites/saint-gobain.com/files/media/document/20220902_SBTi_VA.pdf</t>
  </si>
  <si>
    <t>$3,158</t>
  </si>
  <si>
    <t>$53,847</t>
  </si>
  <si>
    <t>http://eng.spic.com.cn/2021/sustainability/sustainabilityreport/202107/P020210714614244189546.pdf</t>
  </si>
  <si>
    <t>$744</t>
  </si>
  <si>
    <t>$54,022</t>
  </si>
  <si>
    <t>$5,055</t>
  </si>
  <si>
    <t>https://eng.spdb.com.cn/investor_relations/annual_report/202306/P020230629381326230656.pdf</t>
  </si>
  <si>
    <t>$54,028</t>
  </si>
  <si>
    <t>https://cdn.koc.com.tr/cmscontainer/kocholding/media/koc/05surdurulebilirlik/raporlar/surdurebilirlik-raporu-en/koc-group-sustainability-report-2021-v1.pdf</t>
  </si>
  <si>
    <t>$4,216</t>
  </si>
  <si>
    <t>$54,467</t>
  </si>
  <si>
    <t>https://home.kepco.co.kr/kepco/EN/ntcob/list.do?pageIndex=2&amp;boardSeq=0&amp;boardCd=BRD_000511&amp;menuCd=EN04010903&amp;parnScrpSeq=0&amp;searchCondition=title&amp;searchKeyword=  - sustainability report
https://www.climateaction100.org/news/kepco-commits-to-carbon-neutrality-and-coal-phase-out-by-2050/</t>
  </si>
  <si>
    <t>whole value chain</t>
  </si>
  <si>
    <t>$-18,954</t>
  </si>
  <si>
    <t>$54,650</t>
  </si>
  <si>
    <t>$1,457</t>
  </si>
  <si>
    <t>$54,711</t>
  </si>
  <si>
    <t>http://en.sasac.gov.cn/2021/11/22/c_11142.htm</t>
  </si>
  <si>
    <t>$545</t>
  </si>
  <si>
    <t>$54,890</t>
  </si>
  <si>
    <t>$2,918</t>
  </si>
  <si>
    <t>$54,942</t>
  </si>
  <si>
    <t>https://www.riotinto.com/en/invest/reports/climate-change-report</t>
  </si>
  <si>
    <t>https://www.riotinto.com/en/invest/reports/climate-change-report
https://www.riotinto.com/news/releases/2020/Rio-Tinto-to-invest-1-billion-to-help-meet-new-climate-change-targets</t>
  </si>
  <si>
    <t>$12,420</t>
  </si>
  <si>
    <t>$55,554</t>
  </si>
  <si>
    <t>https://www.americanexpress.com/content/dam/amex/en-us/newsroom/pdfs/AXP_2022-2023_ESG_Report.pdf</t>
  </si>
  <si>
    <t>https://ir.americanexpress.com/governance-and-corporate-responsibility/executive-committee-and-directors/person-details/default.aspx?ItemId=0dd1bc44-ee1e-41ab-879e-2faf706cae45</t>
  </si>
  <si>
    <t>Head of Corporate Sustainability</t>
  </si>
  <si>
    <t>https://about.americanexpress.com/newsroom/press-releases/news-details/2021/American-Express-Commits-to-Net-Zero-Emissions-Globally-By-2035/default.aspx</t>
  </si>
  <si>
    <t>https://about.americanexpress.com/newsroom/press-releases/news-details/2022/American-Express-Moves-Toward-a-Low-Carbon-Future/default.aspx#:~:text=MT%3A%20Since%202018%2C%20American%20Express,electricity%20across%20our%20global%20operations.</t>
  </si>
  <si>
    <t>scope 1, 2 , 3 (Cat 5,6)</t>
  </si>
  <si>
    <t>$7,514</t>
  </si>
  <si>
    <t>$55,625</t>
  </si>
  <si>
    <t>$2,665</t>
  </si>
  <si>
    <t>$55,848</t>
  </si>
  <si>
    <t>https://api.mziq.com/mzfilemanager/v2/d/5760dff3-15e1-4962-9e81-322a0b3d0bbd/66f2f2f6-4287-5543-e6ae-609fac4d2464?origin=2</t>
  </si>
  <si>
    <t>https://ri.bb.com.br/en/corporate-governance-and-sustainability/executive-board/</t>
  </si>
  <si>
    <t>CHIEF GOVERNMENT AFFAIRS AND SUSTAINABILITY OFFICER</t>
  </si>
  <si>
    <t>https://api.mziq.com/mzfilemanager/v2/d/0501147c-6489-4fc5-8ac2-a39baa2721b9/1be25d6f-729c-bca2-384b-c5325a90352a?origin=1</t>
  </si>
  <si>
    <t>scope 1 and 2 + value chain</t>
  </si>
  <si>
    <t>$5,353</t>
  </si>
  <si>
    <t>$55,870</t>
  </si>
  <si>
    <t>https://www.sberbank.com/common/img/uploaded/_new_site/com/gosa2023/sber-ar-2022-en.pdf</t>
  </si>
  <si>
    <t>$3,959</t>
  </si>
  <si>
    <t>$55,877</t>
  </si>
  <si>
    <t>https://www.talanx.com/media/Files/talanx-gruppe/nachhaltigkeitsberichte/230502_Talanx_Group_Sustainability_Report_2022.pdf</t>
  </si>
  <si>
    <t>https://www.talanx.com/en/talanx-group/sustainability/sustainability_team</t>
  </si>
  <si>
    <t>Head of Group Strategy &amp; Sustainability</t>
  </si>
  <si>
    <t xml:space="preserve">scope 1,2,3 </t>
  </si>
  <si>
    <t>$1,233</t>
  </si>
  <si>
    <t>$56,029</t>
  </si>
  <si>
    <t>https://www.aig.com/content/dam/aig/america-canada/us/documents/about-us/report/aig-esg-report_2022.pdf</t>
  </si>
  <si>
    <t>https://www.linkedin.com/in/jenwaldner/</t>
  </si>
  <si>
    <t>https://aig.gcs-web.com/node/53226/pdf
https://www.aig.com/content/dam/aig/america-canada/us/documents/about-us/report/aig-esg-report_2022.pdf</t>
  </si>
  <si>
    <t>operations and underwriting and investment portfolios</t>
  </si>
  <si>
    <t>$10,276</t>
  </si>
  <si>
    <t>$56,437</t>
  </si>
  <si>
    <t>https://www.cnbm.com.cn/upload/files/2023/2/2cf32330a5eefdd.pdf</t>
  </si>
  <si>
    <t>$629</t>
  </si>
  <si>
    <t>$56,514</t>
  </si>
  <si>
    <t>https://www.iberdrola.com/sustainability/sustainable-management/indexes-data-sustainability</t>
  </si>
  <si>
    <t>https://www.weforum.org/people/agustin-delgado#:~:text=Agustin%20Delgado%20%7C%20World%20Economic%20Forum&amp;text=Chief%20Innovation%20and%20Sustainability%20Officer%20at%20Iberdrola.,venture%20capital%20company%20of%20Iberdrola.</t>
  </si>
  <si>
    <t>Chief Innovation and Sustainability Officer</t>
  </si>
  <si>
    <t>https://www.iberdrola.com/press-room/news/detail/iberdrola-presents-its-accelerated-climate-transition-plan-to-the-united-nations#:~:text=Iberdrola%20has%20presented%20its%20Climate,realistic%2C%20ambitious%20and%20responsible%20line.</t>
  </si>
  <si>
    <t>across our entire business
entire value chain by 2040</t>
  </si>
  <si>
    <t>https://www.iberdrola.com/press-room/news/detail/we-present-the-most-ambitious-climate-action-plan-of-cop27</t>
  </si>
  <si>
    <t>$4,564</t>
  </si>
  <si>
    <t>$56,741</t>
  </si>
  <si>
    <t>https://corporate.dow.com/content/dam/corp/documents/about/066-00432-01-2022-progress-report.pdf</t>
  </si>
  <si>
    <t>https://www.linkedin.com/in/andre-argenton/</t>
  </si>
  <si>
    <t>https://cen.acs.org/environment/greenhouse-gases/Dow-targets-carbon-neutrality-2050/98/i24</t>
  </si>
  <si>
    <t>Scopes 1+2+3 plus product benefits</t>
  </si>
  <si>
    <t>$4,582</t>
  </si>
  <si>
    <t>$56,902</t>
  </si>
  <si>
    <t>http://notice.10jqka.com.cn/api/pdf/55528118c4e319c4.pdf</t>
  </si>
  <si>
    <t>https://pdf.dfcfw.com/pdf/H2_AN202305181586757157_1.pdf
http://notice.10jqka.com.cn/api/pdf/55528118c4e319c4.pdf</t>
  </si>
  <si>
    <t>$-153</t>
  </si>
  <si>
    <t>$57,332</t>
  </si>
  <si>
    <t>https://paalp.s3.amazonaws.com/plains/media/documents/sustainability/2021_plains_sustainability_report.pdf</t>
  </si>
  <si>
    <t>$168</t>
  </si>
  <si>
    <t>$57,342</t>
  </si>
  <si>
    <t>https://www.tepco.co.jp/en/hd/about/ir/library/integratedreport/pdf/TP2022_en_web.pdf</t>
  </si>
  <si>
    <t>Managing Executive Officer, Chief Marketing Officer, ESG Officer Chief Spokesperson/Area Energy Innovation Office General Manager</t>
  </si>
  <si>
    <t>supply of energy</t>
  </si>
  <si>
    <t>$-913</t>
  </si>
  <si>
    <t>$57,616</t>
  </si>
  <si>
    <t>https://www.ab-inbev.com/assets/pressreleases/2023/AB%20InBev_2022%20ESG%20Report_FINAL.pdf</t>
  </si>
  <si>
    <t>https://www.linkedin.com/in/ezgibarcenas/</t>
  </si>
  <si>
    <t>https://ab-inbev.eu/news/new-ambition-to-achieve-net-zero-by-2040/</t>
  </si>
  <si>
    <t>$5,969</t>
  </si>
  <si>
    <t>$57,786</t>
  </si>
  <si>
    <t>https://www.abbvie.com/content/dam/abbvie-com2/pdfs/abbvie-esg-action-report.pdf
https://www.abbvie.co.uk/content/dam/abbvie-dotcom/gb/documents/Carbon%20Reduction%20Plan.pdf</t>
  </si>
  <si>
    <t>$11,836</t>
  </si>
  <si>
    <t>$58,054</t>
  </si>
  <si>
    <t>https://www.enterpriseproducts.com/media-library/epd/7d519d00-7cbb-484e-9af0-50e2f2f26831.pdf</t>
  </si>
  <si>
    <t>https://enterpriseproducts.com/about-us/leadership/</t>
  </si>
  <si>
    <t>Vice President - Finance and Sustainability and Treasurer</t>
  </si>
  <si>
    <t>$5,490</t>
  </si>
  <si>
    <t>$58,186</t>
  </si>
  <si>
    <t>https://www.newyorklife.com/assets/foundation/docs/pdfs/Corporate-Responsibility-Report.pdf</t>
  </si>
  <si>
    <t>insurance and reinsurance underwriting portfolios</t>
  </si>
  <si>
    <t>$-1,127</t>
  </si>
  <si>
    <t>$58,445</t>
  </si>
  <si>
    <t>https://www.enbw.com/integrated-annual-report-2022/</t>
  </si>
  <si>
    <t>https://www.enbw.com/company/sustainability/</t>
  </si>
  <si>
    <t>https://www.enbw.com/integrated-annual-report-2022/
https://www.enbw.com/company/press/enbw-becomes-climate-neutral.html</t>
  </si>
  <si>
    <t>$1,828</t>
  </si>
  <si>
    <t>$58,901</t>
  </si>
  <si>
    <t>https://www.nipponsteel.com/en/csr/report/pdf/report2022en.pdf</t>
  </si>
  <si>
    <t>$5,127</t>
  </si>
  <si>
    <t>$58,923</t>
  </si>
  <si>
    <t>https://sbi.co.in/documents/17826/35696/260623-SBI+Sustainability+Report+FY+23.pdf/40338c45-7ebf-de5e-64d2-b88d4a05b2b7?t=1687769741917</t>
  </si>
  <si>
    <t>https://economictimes.indiatimes.com/industry/banking/finance/banking/sbi-announces-steps-to-go-carbon-neutral-by-2030/articleshow/65855255.cms</t>
  </si>
  <si>
    <t xml:space="preserve">operations  </t>
  </si>
  <si>
    <t>$6,930</t>
  </si>
  <si>
    <t>$58,951</t>
  </si>
  <si>
    <t>https://ir.wfscorp.com/static-files/f5a1009c-01cb-44a8-9ad1-27cb669ed27d</t>
  </si>
  <si>
    <t>https://wfscorp.gcs-web.com/static-files/317beeea-d785-4e30-af1f-ed91d9397374#:~:text=Amy%20Quintana%20Avalos%20is%20Senior,responsibility%20efforts%20throughout%20the%20organization.</t>
  </si>
  <si>
    <t>Senior Vice President, Chief Sustainability Business Officer and Corporate Secretary</t>
  </si>
  <si>
    <t>$114</t>
  </si>
  <si>
    <t>$59,043</t>
  </si>
  <si>
    <t>World Kinect</t>
  </si>
  <si>
    <t>https://www.bharatpetroleum.in/images/files/SustainabilityReport21-22.pdf</t>
  </si>
  <si>
    <t>$59,114</t>
  </si>
  <si>
    <t>https://ibir.deutschebahn.com/2022/fileadmin/pdf/db_ib22_e_web.pdf</t>
  </si>
  <si>
    <t>https://ibir.deutschebahn.com/2022/en/group-management-report/green-transformation/climate-protection/management-approach-and-climate-protection-target/
https://www.railtech.com/infrastructure/2021/06/17/deutsche-bahn-sets-climate-neutral-target-10-years-earlier/</t>
  </si>
  <si>
    <t>$-262</t>
  </si>
  <si>
    <t>$59,210</t>
  </si>
  <si>
    <t>https://www.merckgroup.com/en/sustainability-report/2022/_assets/downloads/entire-merck-sr22.pdf#</t>
  </si>
  <si>
    <t>https://www.linkedin.com/in/petra-wicklandt-phd-b3126281?originalSubdomain=de</t>
  </si>
  <si>
    <t>Head of Corporate Sustainability, Quality and Trade Compliance</t>
  </si>
  <si>
    <t>https://www.merckgroup.com/en/sustainability-report/2022/_assets/downloads/entire-merck-sr22.pdf
https://www.bloomberg.com/press-releases/2021-04-26/merck-accelerates-climate-goals-announces-carbon-neutrality-in-operations-by-2025</t>
  </si>
  <si>
    <t>$14,519</t>
  </si>
  <si>
    <t>$59,283</t>
  </si>
  <si>
    <t>https://s7d2.scene7.com/is/content/Caterpillar/CM20230428-315ef-024e2</t>
  </si>
  <si>
    <t>https://www.linkedin.com/in/julie-lagacy-39227a11b/</t>
  </si>
  <si>
    <t>$6,705</t>
  </si>
  <si>
    <t>$59,427</t>
  </si>
  <si>
    <t>https://www.hbisco.com/site/en/groupnewssub/info/2021/15999.html</t>
  </si>
  <si>
    <t>$50</t>
  </si>
  <si>
    <t>$59,563</t>
  </si>
  <si>
    <t>https://www.ldc.com/wp-content/uploads/LDC-2022-Sustainability-Report_protected.pdf</t>
  </si>
  <si>
    <t>$1,006</t>
  </si>
  <si>
    <t>$59,931</t>
  </si>
  <si>
    <t>https://www.prudentialplc.com/~/media/Files/P/Prudential-V13/reports/2022/esg-report-2022.pdf</t>
  </si>
  <si>
    <t>https://www.linkedin.com/search/results/all/?fetchDeterministicClustersOnly=true&amp;heroEntityKey=urn%3Ali%3Afsd_profile%3AACoAAAAyk-AB2_YQlsfO17rmJ_evnJ-l-g9CUcs&amp;keywords=margaret%20coady&amp;origin=RICH_QUERY_TYPEAHEAD_HISTORY&amp;position=0&amp;searchId=42655a40-a779-47cc-adaa-c51618a26fd9&amp;sid=Q5u</t>
  </si>
  <si>
    <t>VP &amp; Head of Sustainability</t>
  </si>
  <si>
    <t>https://www.news.prudential.com/prudential-financial-commits-to-net-zero-emissions-by-2050.htm</t>
  </si>
  <si>
    <t>primary domestic and international home office operations</t>
  </si>
  <si>
    <t>Scope 1 and 2 (market-based) emissions</t>
  </si>
  <si>
    <t>$-1,438</t>
  </si>
  <si>
    <t>$60,050</t>
  </si>
  <si>
    <t>https://hcahealthcare.com/util/documents/2021/Annual-Sustainability-Report.pdf</t>
  </si>
  <si>
    <t>$5,643</t>
  </si>
  <si>
    <t>$60,233</t>
  </si>
  <si>
    <t>https://zgh.com/wp-content/uploads/Geely-Holding-Group-Sustainability-Report-2022-EN.pdf</t>
  </si>
  <si>
    <t>https://www.geely.com/en/news/2022/geely-holding-targets-carbon-neutrality</t>
  </si>
  <si>
    <t>operations + entire value chain</t>
  </si>
  <si>
    <t>$945</t>
  </si>
  <si>
    <t>$60,396</t>
  </si>
  <si>
    <t>https://www.ibm.com/impact/files/reports-policies/2022/IBM_2022_ESG_Report_and_Addendum.pdf</t>
  </si>
  <si>
    <t>https://www.ibm.com/blog/author/wayne-balta/</t>
  </si>
  <si>
    <t>Vice President for Environmental Affairs and Product Safety</t>
  </si>
  <si>
    <t>https://newsroom.ibm.com/2021-02-16-IBM-Commits-To-Net-Zero-Greenhouse-Gas-Emissions-By-2030</t>
  </si>
  <si>
    <t>1,2 + 3 partially (notes)</t>
  </si>
  <si>
    <t>$1,639</t>
  </si>
  <si>
    <t>$60,530</t>
  </si>
  <si>
    <t>https://download.cib.com.cn/netbank/download/cn/Sustainable_Finance/report_2021en.pdf</t>
  </si>
  <si>
    <t>https://www.linkedin.com/in/biying-lu-bbb38775?originalSubdomain=cn</t>
  </si>
  <si>
    <t>Senior Vice Manager and Head of CSR</t>
  </si>
  <si>
    <t>$13,584</t>
  </si>
  <si>
    <t>$60,962</t>
  </si>
  <si>
    <t>$428</t>
  </si>
  <si>
    <t>$61,251</t>
  </si>
  <si>
    <t>https://sustainability.idemitsu.com/pdf/en/2022_integrated/idemitsu_ir_2022_e_a3.pdf</t>
  </si>
  <si>
    <t>$1,874</t>
  </si>
  <si>
    <t>$61,424</t>
  </si>
  <si>
    <t>https://www.accenture.com/content/dam/accenture/final/corporate/corporate-initiatives/sustainability/document/360-Value-Report-2022.pdf</t>
  </si>
  <si>
    <t>https://www.accenture.com/gb-en/about/leadership/peter-lacy#:~:text=Peter%20Lacy%20is%20Global%20Sustainability,of%20Accenture%27s%20Global%20Management%20Committee.</t>
  </si>
  <si>
    <t>Global Sustainability Services Lead &amp; Chief Responsibility Officer</t>
  </si>
  <si>
    <t>https://www.accenture.com/content/dam/accenture/final/corporate/corporate-initiatives/sustainability/document/360-Value-Report-2022.pdf
https://newsroom.accenture.com/news/accenture-sets-industry-leading-net-zero-waste-and-water-goals.htm</t>
  </si>
  <si>
    <t>$6,877</t>
  </si>
  <si>
    <t>$61,594</t>
  </si>
  <si>
    <t>https://www.airbus.com/sites/g/files/jlcbta136/files/2023-05/Airbus_SE_2022_Annual_Report.pdf</t>
  </si>
  <si>
    <t>https://www.airbus.com/en/our-governance/johannes-muller</t>
  </si>
  <si>
    <t>Head of Environment, Social and Governance (ESG) for Airbus Defence and Space</t>
  </si>
  <si>
    <t>https://www.airbus.com/en/sustainability</t>
  </si>
  <si>
    <t>$4,467</t>
  </si>
  <si>
    <t>$61,805</t>
  </si>
  <si>
    <t>https://holdings.panasonic/global/corporate/sustainability/pdf/sdb2022e.pdf</t>
  </si>
  <si>
    <t>$1,962</t>
  </si>
  <si>
    <t>$61,903</t>
  </si>
  <si>
    <t>https://investor.lenovo.com/en/sustainability/reports/FY2023-lenovo-sustainability-report.pdf</t>
  </si>
  <si>
    <t>Chief Legal &amp; Corporate 
Responsibility Officer</t>
  </si>
  <si>
    <t>$1,608</t>
  </si>
  <si>
    <t>$61,947</t>
  </si>
  <si>
    <t>https://raportzintegrowany2021.orlen.pl/en/wp-content/uploads/sites/2/2022/07/ORLEN221IntegratedReport.pdf</t>
  </si>
  <si>
    <t>https://www.orlen.pl/content/dam/internet/orlen/pl/en/investor-relations/regulatory-announcements/2023/Report_10_2023_Strategy_2030.pdf.coredownload.pdf</t>
  </si>
  <si>
    <t>$7,520</t>
  </si>
  <si>
    <t>$62,326</t>
  </si>
  <si>
    <t>https://www.tdsynnex.com/content/dam/tds-site/tds-site-shared/docs/corporate-citizenship/td-synnex-2022-corporate-citizenship-report.pdf</t>
  </si>
  <si>
    <t>$62,344</t>
  </si>
  <si>
    <t>https://corpo.couche-tard.com/wp-content/uploads/2023/07/ACT_Sustainability_Report_2023.pdf</t>
  </si>
  <si>
    <t>https://corpo.couche-tard.com/en/pillar/people/</t>
  </si>
  <si>
    <t>Chief People Officer and Leader of Couche-Tard’s sustainability efforts</t>
  </si>
  <si>
    <t>$2,683</t>
  </si>
  <si>
    <t>$62,810</t>
  </si>
  <si>
    <t>https://www8.hp.com/h20195/v2/GetPDF.aspx/c08228880.pdf
https://press.hp.com/content/dam/sites/garage-press/press/press-kits/2023/amplify-impact-awards/James%20McCall%20-%20HP%20Bio%20-%202022.pdf</t>
  </si>
  <si>
    <t>value chain GHG emissions</t>
  </si>
  <si>
    <t>https://press.hp.com/us/en/press-releases/2021/hp-inc-announces-ambitious-climate-action-goals.html
https://www.hp.com/us-en/services/carbon-neutral-computing-services.html#:~:text=HP%20then%20purchases%20and%20retires,the%2Dcarbonneutral%2Dprotocol).</t>
  </si>
  <si>
    <t>Reach carbon neutrality and zero waste in HP operations by 2025
Achieve net zero greenhouse gas (GHG) emissions across HP value chain by 2040, beginning with Supplies business achieving carbon neutrality by 2030
Reduce HP value chain GHG emissions 50% by 2030</t>
  </si>
  <si>
    <t>$3,203</t>
  </si>
  <si>
    <t>$62,983</t>
  </si>
  <si>
    <t>https://www1.hkexnews.hk/listedco/listconews/sehk/2023/0328/2023032801987.pdf</t>
  </si>
  <si>
    <t>$2,471</t>
  </si>
  <si>
    <t>$63,041</t>
  </si>
  <si>
    <t>https://csrreportbuilder.intel.com/pdfbuilder/pdfs/CSR-2022-23-Full-Report.pdf
https://csrreportbuilder.intel.com/pdfbuilder/pdfs/CSR-2021-22-Full-Report.pdf</t>
  </si>
  <si>
    <t>https://csrreportbuilder.intel.com/pdfbuilder/pdfs/CSR-2022-23-Full-Report.pdf</t>
  </si>
  <si>
    <t>As Chief People Officer, I lead our integrated approach to environment, social, and governance (ESG)</t>
  </si>
  <si>
    <t>$8,014</t>
  </si>
  <si>
    <t>$63,054</t>
  </si>
  <si>
    <t>https://www.unilever.com/planet-and-society/sustainability-reporting-centre/sustainability-performance-data/</t>
  </si>
  <si>
    <t>https://www.linkedin.com/in/rebecca-marmot-742a31130/</t>
  </si>
  <si>
    <t>https://www.unilever.com/news/press-and-media/press-releases/2020/unilever-sets-out-new-actions-to-fight-climate-change-and-protect-and-regenerate-nature-to-preserve-resources-for-future-generations/</t>
  </si>
  <si>
    <t>2030 + 2039</t>
  </si>
  <si>
    <t>$8,038</t>
  </si>
  <si>
    <t>$63,182</t>
  </si>
  <si>
    <t>https://www.chng.com.cn/en/documents/816545/837789/3cdbdd89-c975-457e-9f6f-76d370e1e855.pdf</t>
  </si>
  <si>
    <t>$1,125</t>
  </si>
  <si>
    <t>$63,284</t>
  </si>
  <si>
    <t>https://view.officeapps.live.com/op/view.aspx?src=https%3A%2F%2Fwww.societegenerale.com%2Fsites%2Fdefault%2Ffiles%2Fdocuments%2FCSR%2FCorporate-social-responsibility-Group-key-figures.xlsx&amp;wdOrigin=BROWSELINK</t>
  </si>
  <si>
    <t>https://www.societegenerale.com/en/news/press-release/appointment-group-csr-head#:~:text=01%2F10%2F2021-,Hacina%20Py%20appointed%20Societe%20Generale%20Group%27s%20Chief%20Sustainability%20Officer,join%20the%20Group%20Management%20Committee.</t>
  </si>
  <si>
    <t>https://www.societegenerale.com/sites/default/files/documents/2023-05/Integrated-Report-2022-2023.pdf</t>
  </si>
  <si>
    <t>portfolios</t>
  </si>
  <si>
    <t>$2,122</t>
  </si>
  <si>
    <t>$63,417</t>
  </si>
  <si>
    <t>https://www.itau.com.br/download-file/v2/d/42787847-4cf6-4461-94a5-40ed237dca33/808d64f4-b6a6-647a-77d8-5d2bbdee03a7?origin=2</t>
  </si>
  <si>
    <t>nero net emissions from our credit portfolio</t>
  </si>
  <si>
    <t>$5,755</t>
  </si>
  <si>
    <t>$63,884</t>
  </si>
  <si>
    <t>https://en.bgy.com.cn/upload/file/2023-04-21/210b8649-7e8b-4ebc-a48c-80442cd6ad8f.pdf</t>
  </si>
  <si>
    <t>https://www.bgy.com.cn/upload/file/2021-06-28/a707bad5-32db-4594-8e5b-873dc22554be.pdf</t>
  </si>
  <si>
    <t>$-900</t>
  </si>
  <si>
    <t>$63,979</t>
  </si>
  <si>
    <t>$64,802</t>
  </si>
  <si>
    <t>https://www.lg.com/global/sustainability/img/reports/down/2021-2022_LGE_SR_FACT_BOOK(EN).pdf</t>
  </si>
  <si>
    <t>https://www.lg.com/uk/about-lg/press-media/lg-commits-to-carbon-neutrality-by-2030/</t>
  </si>
  <si>
    <t>$927</t>
  </si>
  <si>
    <t>$64,953</t>
  </si>
  <si>
    <t>https://reports.omv.com/en/sustainability-report/2022/servicepages/downloads/files/entire-omv-sr22.pdf</t>
  </si>
  <si>
    <t>https://www.omv.com/en/news/220316-omv-strategy-2030</t>
  </si>
  <si>
    <t>$65,523</t>
  </si>
  <si>
    <t>https://www.vinci.com/publi/vinci/extract/2022_workforce_related_environmental_and_social_information.pdf</t>
  </si>
  <si>
    <t>https://www.vinci.com/vinci.nsf/en/press-releases/pages/20191010-1745.htm</t>
  </si>
  <si>
    <t>Global Head of Environment</t>
  </si>
  <si>
    <t>https://www.vinci.com/publi/vinci/extract/2022_workforce_related_environmental_and_social_information.pdf
https://www.vinci.com/publi/vinci/extract/2021_workforce_related_environmental_and_social_information.pdf</t>
  </si>
  <si>
    <t>$4,479</t>
  </si>
  <si>
    <t>$65,750</t>
  </si>
  <si>
    <t>https://www.posco.co.kr/docs/eng6/jsp/dn/irinfo/posco_report_2021.pdf#page=1</t>
  </si>
  <si>
    <t>$2,446</t>
  </si>
  <si>
    <t>$65,850</t>
  </si>
  <si>
    <t>https://www.morganstanley.com/content/dam/msdotcom/en/assets/pdfs/Morgan_Stanley_2021_Climate_Report.pdf</t>
  </si>
  <si>
    <t>https://www.morganstanley.com/about-us/corp-sustainability/</t>
  </si>
  <si>
    <t>https://www.morganstanley.com/im/publication/resources/msim_climate_report_2022.pdf</t>
  </si>
  <si>
    <t>https://www.morganstanley.com/im/publication/resources/msim_climate_report_2022.pdf
https://www.morganstanley.com/press-releases/morgan-stanley-announces-new-goal-of-carbon-neutrality-for-globa</t>
  </si>
  <si>
    <t>1,2 and 3 partially</t>
  </si>
  <si>
    <t>$11,029</t>
  </si>
  <si>
    <t>$65,936</t>
  </si>
  <si>
    <t>https://sustainability.lockheedmartin.com/sustainability/2022-esg-performance-index/</t>
  </si>
  <si>
    <t>https://sustainability.lockheedmartin.com/sustainability/esg-governance/</t>
  </si>
  <si>
    <t>Senior Vice President, Ethics and Enterprise Assurance</t>
  </si>
  <si>
    <t>$5,732</t>
  </si>
  <si>
    <t>$65,984</t>
  </si>
  <si>
    <t>$207</t>
  </si>
  <si>
    <t>$66,036</t>
  </si>
  <si>
    <t>https://www.boeing.com/resources/boeingdotcom/principles/sustainability/sustainability-report/2023/assets/2023-Boeing-Sustainability-Report.pdf#page=1</t>
  </si>
  <si>
    <t>https://www.boeing.com/principles/sustainability/annual-report/index.page</t>
  </si>
  <si>
    <t>manufacturing and worksites</t>
  </si>
  <si>
    <t>$-4,935</t>
  </si>
  <si>
    <t>$66,608</t>
  </si>
  <si>
    <t>https://worldwide.kia.com/int/files/company/sr/sustainability-report/sustainability-report-2022-int.pdf
https://worldwide.kia.com/int/company/sustainability/sustainability-report/download/99787218-750f-47fd-9dc2-810e1f81c3cf/12a75990-59d3-4855-93f6-585b71fdd21c</t>
  </si>
  <si>
    <t>https://worldwide.kia.com/int/files/company/sr/sustainability-report/sustainability-report-2022-int.pdf
https://press.kia.com/eu/en/home/media-resouces/press-releases/2021/Sustainable-Mobility-Solutions-Provider.html</t>
  </si>
  <si>
    <t>$4,191</t>
  </si>
  <si>
    <t>$67,055</t>
  </si>
  <si>
    <t>https://prd-sc101-cdn.rtx.com/-/media/rtx/social-impact/our-esg-vision/esg-2023/report/2022-rtx-esg-report.pdf?rev=cae27cddad6c4202881503cc9aab57bb</t>
  </si>
  <si>
    <t>$5,197</t>
  </si>
  <si>
    <t>$67,074</t>
  </si>
  <si>
    <t>RTX</t>
  </si>
  <si>
    <t>https://delivery.bunge.com/-/media/2023-Bunge-Sustainability-Report.ashx
https://delivery.bunge.com/-/media/Files/2022/pdf/2022_global_sustainability_report.ashx</t>
  </si>
  <si>
    <t>https://www.bunge.com/We-are-Bunge/Executive-Leadership-Team/Robert-Coviello</t>
  </si>
  <si>
    <t>Chief Sustainability Officer and Government Affairs</t>
  </si>
  <si>
    <t>$1,610</t>
  </si>
  <si>
    <t>$67,232</t>
  </si>
  <si>
    <t>http://www.baicmotor.com/Uploads/file/20230425/20230425193855_30494.pdf</t>
  </si>
  <si>
    <t>https://www.baicgroup.com.cn/uploadfile/shezebaogao/szbg2022.pdf
https://www.greenpeace.org/eastasia/press/7793/despite-beijings-net-zero-pledge-and-byds-success-chinas-big-carmakers-delay-decarbonization/</t>
  </si>
  <si>
    <t>operate</t>
  </si>
  <si>
    <t>$296</t>
  </si>
  <si>
    <t>$67,282</t>
  </si>
  <si>
    <t>https://www1.hkexnews.hk/listedco/listconews/sehk/2023/0421/2023042101713.pdf</t>
  </si>
  <si>
    <t>$3,658</t>
  </si>
  <si>
    <t>$67,696</t>
  </si>
  <si>
    <t>Insurance: Life, Health (Stock)</t>
  </si>
  <si>
    <t>$1,288</t>
  </si>
  <si>
    <t>https://marubeni.disclosure.site/en/themes/19/?id=anc_02</t>
  </si>
  <si>
    <t>https://www.marubeni.com/en/company/officer/</t>
  </si>
  <si>
    <t>Chief Sustainable Development Officer</t>
  </si>
  <si>
    <t>https://marubeni.disclosure.site/en/sustainability/pdf/report/sdr2022_en_all.pdf</t>
  </si>
  <si>
    <t>scope 1, 2 and 3,category 15</t>
  </si>
  <si>
    <t>$4,012</t>
  </si>
  <si>
    <t>$67,898</t>
  </si>
  <si>
    <t>https://www.aeon.info/en/wp-content/uploads/sustainability/images/report/2022/c-p126_sustainability_all_20230213_webguard.pdf</t>
  </si>
  <si>
    <t>https://ssl4.eir-parts.net/doc/8267/ir_material_for_fiscal_ym23/128022/00.pdf</t>
  </si>
  <si>
    <t>https://www.aeon.info/en/wp-content/uploads/sustainability/images/report/2022/c-p126_sustainability_all_20230213_webguard.pdf
https://ssl4.eir-parts.net/doc/8267/ir_material_for_fiscal_ym23/116815/00.pdf</t>
  </si>
  <si>
    <t>our stores</t>
  </si>
  <si>
    <t>$67,985</t>
  </si>
  <si>
    <t>http://iis.aastocks.com/20230428/10719214-0.PDF</t>
  </si>
  <si>
    <t>$1,211</t>
  </si>
  <si>
    <t>$68,416</t>
  </si>
  <si>
    <t>https://www.mufg.jp/dam/csr/report/2022/sr2022_en.pdf</t>
  </si>
  <si>
    <t>https://project.nikkeibp.co.jp/ESG/atcl/eng/sdgf/56/#:~:text=During%20that%20day%27s%20proceedings%2C%20Miyuki,net%20zero%20greenhouse%20gas%20emissions.</t>
  </si>
  <si>
    <t>https://www.mufg.jp/dam/pressrelease/2021/pdf/news-20210517-003_en.pdf</t>
  </si>
  <si>
    <t>own operations + finance portfolio</t>
  </si>
  <si>
    <t>$8,249</t>
  </si>
  <si>
    <t>$68,567</t>
  </si>
  <si>
    <t>https://sysco.com/dam/jcr:73f5f659-fce5-4d4c-a4b4-3e38142b423f/CY2021%20Sysco%20Climate%20Change%20Response.pdf
https://sysco.com/dam/jcr:edca1cd2-2472-404f-a1ba-c131d5988279/SYY%20CDP%20Climate%20Change_2021%20Submission2.pdf</t>
  </si>
  <si>
    <t>$1,359</t>
  </si>
  <si>
    <t>$68,636</t>
  </si>
  <si>
    <t>https://www.goldmansachs.com/our-commitments/sustainability/2022-sustainability-report/multimedia/report.pdf</t>
  </si>
  <si>
    <t>https://www.goldmansachs.com/media-relations/press-releases/2021/announcement-04-mar-2021.html</t>
  </si>
  <si>
    <t>$11,261</t>
  </si>
  <si>
    <t>$68,711</t>
  </si>
  <si>
    <t>https://assets.cwp.roche.com/f/126832/x/7cd4e2ba4c/ar22e.pdf</t>
  </si>
  <si>
    <t>https://www.wec.org/wec-president-ceo-glenn-prickett-interview-with-peter-schnurrenberger-chief-she-officer-at-roche/</t>
  </si>
  <si>
    <t>Chief Safety, Health, and Environment Officer</t>
  </si>
  <si>
    <t>https://assets.cwp.roche.com/f/126832/x/fe5f216f5c/17112022_media_statement_sbti_smi.pdf</t>
  </si>
  <si>
    <t>$13,014</t>
  </si>
  <si>
    <t>$69,596</t>
  </si>
  <si>
    <t>https://sustainabilityreport.metlife.com/content/dam/metlifecom/us/sustainability/Sustainability-2023/sustainability-report-site/pdf/2022-sustainability-report.pdf</t>
  </si>
  <si>
    <t>https://www.linkedin.com/in/jon-richter-75ab6a3/</t>
  </si>
  <si>
    <t>global operations and General Account investment portfolio</t>
  </si>
  <si>
    <t xml:space="preserve">1,2, 3 parital </t>
  </si>
  <si>
    <t>$2,539</t>
  </si>
  <si>
    <t>$69,898</t>
  </si>
  <si>
    <t>https://www.dai-ichi-life-hd.com/en/sustainability/data/index.html</t>
  </si>
  <si>
    <t>https://www.dai-ichi-life-hd.com/en/about/company/executives/index.html</t>
  </si>
  <si>
    <t>https://www.dai-ichi-life-hd.com/en/sustainability/environment/climate.html</t>
  </si>
  <si>
    <t>$70,329</t>
  </si>
  <si>
    <t>https://www.nissay.co.jp/english/annual/sustainability/pdf/2022.pdf</t>
  </si>
  <si>
    <t>https://www.nissay.co.jp/global/about/leaders-board.html</t>
  </si>
  <si>
    <t>Head of Sustainability Planning Office, Executive Officer</t>
  </si>
  <si>
    <t>own CO2 emissions and greenhouse gas emissions of its investees</t>
  </si>
  <si>
    <t>$873</t>
  </si>
  <si>
    <t>$71,213</t>
  </si>
  <si>
    <t>https://www.bhp.com/sustainability/community-sustainability-reports/sustainability-reporting - bhp annual report 2022</t>
  </si>
  <si>
    <t>https://www.bhp.com/-/media/documents/investors/annual-reports/2021/210914_bhpclimatetransitionactionplan2021.pdf?sc_lang=en&amp;hash=EB11097F5500602D2928F09D4EF081DB</t>
  </si>
  <si>
    <t>our operations, shipping, and operational emissions of direct suppliers</t>
  </si>
  <si>
    <t>$30,900</t>
  </si>
  <si>
    <t>$71,502</t>
  </si>
  <si>
    <t>http://s3gw.cmbchina.com/lb50.01-cmbweb-prd/CIOAMananger/20230330/fac5bf4d-1c3d-4922-a107-8f7b266bdfaa.pdf</t>
  </si>
  <si>
    <t>$20,517</t>
  </si>
  <si>
    <t>$72,317</t>
  </si>
  <si>
    <t>https://www.repsol.com/content/dam/repsol-corporate/en_gb/accionistas-e-inversores/resultados/2022/q4/integrated-management-report-2022.pdf</t>
  </si>
  <si>
    <t>https://www.repsol.com/en/sustainability/climate-change/net-zero-emissions-2050/index.cshtml</t>
  </si>
  <si>
    <t>Executive Managing DIrector of Energy Transition, Sustainability, and Technology</t>
  </si>
  <si>
    <t>$4,471</t>
  </si>
  <si>
    <t>$72,536</t>
  </si>
  <si>
    <t>https://jbs.com.br/storage/2022/08/-sustainability-in-report-jbs-2021.pdf</t>
  </si>
  <si>
    <t>https://jbsfoodsgroup.com/articles/jbs-appoints-jason-weller-as-global-chief-sustainability-officer</t>
  </si>
  <si>
    <t>https://jbs.com.br/netzero/en/
https://jbs.com.br/netzero/en/</t>
  </si>
  <si>
    <t>$2,995</t>
  </si>
  <si>
    <t>$72,626</t>
  </si>
  <si>
    <t>https://www.toyota-tsusho.com/english/ir/library/integrated-report/pdf/ar2022e_all.pdf</t>
  </si>
  <si>
    <t>https://www.toyota-tsusho.com/english/ir/library/integrated-report/pdf/ar2022e_all.pdf
https://www.toyota-tsusho.com/english/press/detail/210708_004862.html</t>
  </si>
  <si>
    <t>$2,099</t>
  </si>
  <si>
    <t>$72,760</t>
  </si>
  <si>
    <t>https://www.cmport.com.hk/UpFiles/bpic/2023-04/20230427020402849.pdf</t>
  </si>
  <si>
    <t>$8,474</t>
  </si>
  <si>
    <t>$73,283</t>
  </si>
  <si>
    <t>https://ir-media.wilmar-international.com/app/uploads/2023/05/sustainability-report-2022.pdf</t>
  </si>
  <si>
    <t>https://www.wilmar-international.com/about-us/leadership#:~:text=and%20Independent%20Director-,Mr%20Kishore%20Mahbubani%2C%2074%2C%20is%20the%20Chairman%20of%20the%20Board,namely%20Zurich%20Insurance%20Group%20Ltd.</t>
  </si>
  <si>
    <t>$2,403</t>
  </si>
  <si>
    <t>$73,399</t>
  </si>
  <si>
    <t>https://www.vanke.com/upload/file/2023-04-21/5fc97eca-8895-4939-8c1f-d22e5cfd92f9.pdf
https://vanke.com/upload/file/2022-05-30/785ada66-49fd-43b5-a5e9-67ca9e99aa3b.pdf</t>
  </si>
  <si>
    <t>u</t>
  </si>
  <si>
    <t>https://vanke.com/upload/file/2022-05-30/785ada66-49fd-43b5-a5e9-67ca9e99aa3b.pdf</t>
  </si>
  <si>
    <t>$3,362</t>
  </si>
  <si>
    <t>$74,901</t>
  </si>
  <si>
    <t>$931</t>
  </si>
  <si>
    <t>$74,923</t>
  </si>
  <si>
    <t>http://iis.aastocks.com/20230324/10645339-0.PDF</t>
  </si>
  <si>
    <t>$464</t>
  </si>
  <si>
    <t>$74,927</t>
  </si>
  <si>
    <t>https://www.munichre.com/content/dam/munichre/contentlounge/website-pieces/documents/MunichRe-Sustainability-Report_2022.pdf/_jcr_content/renditions/original./MunichRe-Sustainability-Report_2022.pdf</t>
  </si>
  <si>
    <t>company +  asset portfolio</t>
  </si>
  <si>
    <t>$3,610</t>
  </si>
  <si>
    <t>$75,747</t>
  </si>
  <si>
    <t>http://www.shccig.com/kind/attached/file/20220920/20220920111551_51807.pdf</t>
  </si>
  <si>
    <t>$1,386</t>
  </si>
  <si>
    <t>$75,871</t>
  </si>
  <si>
    <t>https://esg.tsmc.com/download/file/2021_sustainabilityReport/english/e-all.pdf</t>
  </si>
  <si>
    <t>company and value chain</t>
  </si>
  <si>
    <t>$33,343</t>
  </si>
  <si>
    <t>$76,022</t>
  </si>
  <si>
    <t>https://www.ge.com/sites/default/files/ge2022_sustainability_report.pdf</t>
  </si>
  <si>
    <t>https://www.linkedin.com/in/roger-martella/</t>
  </si>
  <si>
    <t>company +  Scope 3 emissions from the use 
of sold products</t>
  </si>
  <si>
    <t>own operations (scope 1 and 2)</t>
  </si>
  <si>
    <t>$225</t>
  </si>
  <si>
    <t>$76,555</t>
  </si>
  <si>
    <t>https://www.chinalco.com.cn/shzr/shzr_zrbg/202206/P020220627569491774688.pdf</t>
  </si>
  <si>
    <t>$1,698</t>
  </si>
  <si>
    <t>$76,946</t>
  </si>
  <si>
    <t>https://www.gac-motor.com/static/en/model/about/2022_ESG_REPOT_OF_GAC_GROUP.pdf</t>
  </si>
  <si>
    <t>https://www.gac-motor.com/static/en/model/about/2022_ESG_REPOT_OF_GAC_GROUP.pdf
https://www.laitimes.com/en/article/17h7i_18otu.html</t>
  </si>
  <si>
    <t>product life cycle</t>
  </si>
  <si>
    <t>$623</t>
  </si>
  <si>
    <t>$77,345</t>
  </si>
  <si>
    <t>https://s29.q4cdn.com/239956855/files/our_impact/sustainability_doc/ALBCIV193285_CORP_ESG_Report_Update_October2022-(2).pdf</t>
  </si>
  <si>
    <t>https://albertsonscompanies.com/newsroom/press-releases/news-details/2022/Albertsons-Companies-Announces-ESG-Goals-and-Long-Term-Strategies-to-Support-a-More-Sustainable-Future/default.aspx</t>
  </si>
  <si>
    <t>$1,514</t>
  </si>
  <si>
    <t>$77,650</t>
  </si>
  <si>
    <t>$359</t>
  </si>
  <si>
    <t>$77,761</t>
  </si>
  <si>
    <t>https://assets.new.siemens.com/siemens/assets/api/uuid:c1088e4f-4d7f-4fa5-8e8e-33398ecf5361/sustainability-report-fy2022.pdf</t>
  </si>
  <si>
    <t>https://www.siemens.com/global/en/company/about/leadership/management/judith-wiese.html</t>
  </si>
  <si>
    <t>Chief People and Sustainability Officer (CPSO)</t>
  </si>
  <si>
    <t>https://press.siemens.com/global/en/pressrelease/siemens-increases-and-accelerates-sustainability-targets-and-investments</t>
  </si>
  <si>
    <t>$4,027</t>
  </si>
  <si>
    <t>$77,860</t>
  </si>
  <si>
    <t xml:space="preserve">http://www.bankcomm.com/BankCommSite/shtml/jyjr/en/2600223/2600642/2656333.shtml?channelId=2600642
</t>
  </si>
  <si>
    <t>http://www.bankcomm.com/BankCommSite/shtml/jyjr/en/2600223/2600236/2600243/2656128.shtml</t>
  </si>
  <si>
    <t>$13,699</t>
  </si>
  <si>
    <t>$78,213</t>
  </si>
  <si>
    <t>https://www.nissan-global.com/EN/SUSTAINABILITY/LIBRARY/SR/2022/ASSETS/PDF/SR22_E_All.pdf</t>
  </si>
  <si>
    <t>https://www.nissan-global.com/EN/COMPANY/PROFILE/EXECUTIVE/</t>
  </si>
  <si>
    <t>company's operations and the life cycle of its products</t>
  </si>
  <si>
    <t>$78,287</t>
  </si>
  <si>
    <t>https://about.usps.com/what/corporate-social-responsibility/sustainability/report/2022/usps-annual-sustainability-report.pdf
https://about.usps.com/what/corporate-social-responsibility/sustainability/report/2021/usps-annual-sustainability-report.pdf</t>
  </si>
  <si>
    <t>$56,046</t>
  </si>
  <si>
    <t>$78,620</t>
  </si>
  <si>
    <t>https://ongcindia.com/web/eng/sustainability/sustainability-reports</t>
  </si>
  <si>
    <t>$4,414</t>
  </si>
  <si>
    <t>$78,746</t>
  </si>
  <si>
    <t>$5,188</t>
  </si>
  <si>
    <t>$79,478</t>
  </si>
  <si>
    <t>https://www.tescoplc.com/media/u1wlq2qf/tesco-plc-annual-report-2023.pdf</t>
  </si>
  <si>
    <t>https://www.linkedin.com/in/anna-turrell-57b4779/</t>
  </si>
  <si>
    <t>Group Sustainability Director at Tesco</t>
  </si>
  <si>
    <t>https://www.tescoplc.com/media/u1wlq2qf/tesco-plc-annual-report-2023.pdf
https://www.tescoplc.com/sustainability/planet/climate-change#:~:text=We%27re%20taking%20strong%20action,our%20whole%20footprint%20by%202050.</t>
  </si>
  <si>
    <t>$903</t>
  </si>
  <si>
    <t>$79,687</t>
  </si>
  <si>
    <t>Europe operations</t>
  </si>
  <si>
    <t>$9,302</t>
  </si>
  <si>
    <t>$79,844</t>
  </si>
  <si>
    <t>https://s1.q4cdn.com/695946674/files/doc_downloads/2022/12/Environmental-Footprint-Metrics-for-PG-Operations_2022.pdf
https://www.pginvestor.com/esg/environmental/climate/default.aspx#climate_scope_1_2</t>
  </si>
  <si>
    <t>https://us.pg.com/citizenship-report-2022/environmental-sustainability/</t>
  </si>
  <si>
    <t>https://downloads.ctfassets.net/oggad6svuzkv/6c8spc91y3m5xLRvGfU4Al/630a468e13377bf4892ad72d8a59e315/PG_CTAP.pdf
https://us.pg.com/blogs/net-zero-by-2040/</t>
  </si>
  <si>
    <t>across operations and supply chain emissions</t>
  </si>
  <si>
    <t>https://us.pg.com/citizenship-report-2022/environmental-sustainability/
https://news.pg.com/news-releases/news-details/2020/PG-Embraces-Natural-Climate-Solutions-to-Accelerate-Progress-on-Climate-Change-and-Will-Make-Operations-Carbon-Neutral-for-the-Decade/</t>
  </si>
  <si>
    <t>scope 1 and scope 2 emissions</t>
  </si>
  <si>
    <t>$14,742</t>
  </si>
  <si>
    <t>$80,187</t>
  </si>
  <si>
    <t xml:space="preserve">https://www.hitachi.com/sustainability/download/pdf/en_sustainability2021.pdf
https://www.hitachi.com/sustainability/download/pdf/en_sustainability2022_20.pdf
</t>
  </si>
  <si>
    <t>https://www.hitachi.com/sustainability/download/pdf/en_sustainability2022.pdf</t>
  </si>
  <si>
    <t>factories, offices + value chain</t>
  </si>
  <si>
    <t>$4,796</t>
  </si>
  <si>
    <t>$80,389</t>
  </si>
  <si>
    <t>https://www.tesla.com/ns_videos/2022-tesla-impact-report.pdf</t>
  </si>
  <si>
    <t>$12,556</t>
  </si>
  <si>
    <t>$81,462</t>
  </si>
  <si>
    <t>https://www.maersk.com/~/media_sc9/maersk/corporate/sustainability/files/resources/2022/maersk-sustainability-yearly-report_2022.pdf?la=en&amp;hash=CF327884FAD1B65ABB57607BA9B721CA</t>
  </si>
  <si>
    <t>https://www.crunchbase.com/person/lene-serpa</t>
  </si>
  <si>
    <t>Director, Head of Corporate Sustainability</t>
  </si>
  <si>
    <t xml:space="preserve"> all three emission scopes</t>
  </si>
  <si>
    <t>$29,198</t>
  </si>
  <si>
    <t>$81,529</t>
  </si>
  <si>
    <t>https://www.avic.com/upload/resources/file/2023/06/30/128673.pdf</t>
  </si>
  <si>
    <t>$1,528</t>
  </si>
  <si>
    <t>$81,671</t>
  </si>
  <si>
    <t>https://static.conocophillips.com/files/resources/conocophillips-2022-sustainability-report.pdf</t>
  </si>
  <si>
    <t>https://www.conocophillips.com/about-us/leadership/</t>
  </si>
  <si>
    <t>Executive Vice President, Strategy, Sustainability and Technology</t>
  </si>
  <si>
    <t>$18,680</t>
  </si>
  <si>
    <t>$82,156</t>
  </si>
  <si>
    <t>https://www.japanpost.jp/sustainability/library/data/</t>
  </si>
  <si>
    <t>$3,185</t>
  </si>
  <si>
    <t>$82,291</t>
  </si>
  <si>
    <t>https://static.www.tencent.com/uploads/2023/04/06/2efdae398c746523320cbb7660e5fafa.pdf</t>
  </si>
  <si>
    <t>https://www.tencent.com/en-us/articles/2201287.html</t>
  </si>
  <si>
    <t>own operations and across its supply chain</t>
  </si>
  <si>
    <t>$27,984</t>
  </si>
  <si>
    <t>$82,440</t>
  </si>
  <si>
    <t>$1,788</t>
  </si>
  <si>
    <t>$82,689</t>
  </si>
  <si>
    <t>https://impact.disney.com/app/uploads/2023/06/2022-CSR-Report.pdf</t>
  </si>
  <si>
    <t>Executive Vice President, 
Corporate Social 
Responsibility</t>
  </si>
  <si>
    <t>https://impact.disney.com/app/uploads/2023/06/2030-Environmental-Goals-White-Paper.pdf</t>
  </si>
  <si>
    <t>$3,145</t>
  </si>
  <si>
    <t>$82,722</t>
  </si>
  <si>
    <t>https://newsroom.wf.com/English/news-releases/news-release-details/2022/Wells-Fargo-Appoints-Robyn-Luhning-as-Chief-Sustainability-Officer/default.aspx</t>
  </si>
  <si>
    <t>https://sites.wf.com/co2emission/CO2eMission_Methodology.pdf</t>
  </si>
  <si>
    <t>1, 2 + scope 3 category 15</t>
  </si>
  <si>
    <t>$13,182</t>
  </si>
  <si>
    <t>$82,859</t>
  </si>
  <si>
    <t>$6,097</t>
  </si>
  <si>
    <t>$83,283</t>
  </si>
  <si>
    <t>https://www.xiangyu-group.com/en/responsibility/practice</t>
  </si>
  <si>
    <t>$300</t>
  </si>
  <si>
    <t>$83,639</t>
  </si>
  <si>
    <t>https://pertamina.com///Media/File/Pertamina_Sustainability%20Report%202022_080623.pdf</t>
  </si>
  <si>
    <t>https://pertamina.com/en/news-room/news-release/this-is-pertamina.s-effort-to-reach-2060-net-zero-emissions-target</t>
  </si>
  <si>
    <t>$3,807</t>
  </si>
  <si>
    <t>$84,888</t>
  </si>
  <si>
    <t>https://www.sony.com/en/SonyInfo/csr/library/reports/SustainabilityReport2022_E.pdf</t>
  </si>
  <si>
    <t>Senior Executive Vice President, Corporate Executive Officer, Officer in charge of Sustainability</t>
  </si>
  <si>
    <t>$6,923</t>
  </si>
  <si>
    <t>$85,255</t>
  </si>
  <si>
    <t>https://www.petronas.com/pcg/sites/default/files/2023-03/PCG%20SR22_FULL%20DRAFT_WEBSITE.pdf</t>
  </si>
  <si>
    <t>https://lesa2023.asb.edu.my/speaker/charlotte-wolff-bye/#:~:text=Charlotte%20serves%20as%20the%20Chief,drive%20decarbonization%20and%20social%20progress.</t>
  </si>
  <si>
    <t>CSO - Vice President &amp; Chief Sustainability Officer</t>
  </si>
  <si>
    <t>https://www.petronas.com/sites/default/files/uploads/downloads/PDF%20Files/PETRONAS%20Pathway%20to%20Net%20Zero%20Carbon%20Emissions%202050%20Booklet_2022.pdf
https://www.petronas.com/pcg/sites/pcg/files/2022-03/PCG%20Sustainability%20Report%202021%20%E2%80%93%C2%A0Website.pdf</t>
  </si>
  <si>
    <t xml:space="preserve">scope 1,2 </t>
  </si>
  <si>
    <t>$20,999</t>
  </si>
  <si>
    <t>$85,365</t>
  </si>
  <si>
    <t>http://www.wzgroup.cn/pdfview/index/2391.html?type=do</t>
  </si>
  <si>
    <t>$581</t>
  </si>
  <si>
    <t>$85,710</t>
  </si>
  <si>
    <t>https://www.generali.com/doc/jcr:4c783ff4-619b-47ac-b3b5-231c27e5c8b1/Group%20Annual%20Integrated%20Report%202022_Generali%20Group_final_interactive.pdf/lang:en/Group_Annual_Integrated_Report_2022_Generali_Group_final_interactive.pdf</t>
  </si>
  <si>
    <t>https://www.generali.com/governance/committees/Innovation-and-Sustainability</t>
  </si>
  <si>
    <t>https://www.generali.com/doc/jcr:4c783ff4-619b-47ac-b3b5-231c27e5c8b1/Group%20Annual%20Integrated%20Report%202022_Generali%20Group_final_interactive.pdf/lang:en/Group_Annual_Integrated_Report_2022_Generali_Group_final_interactive.pdf
https://www.generalicee.com/article/news/generali-updates-its-strategy-for-climate-protection</t>
  </si>
  <si>
    <t>$3,063</t>
  </si>
  <si>
    <t>$85,750</t>
  </si>
  <si>
    <t>$170</t>
  </si>
  <si>
    <t>$86,166</t>
  </si>
  <si>
    <t xml:space="preserve">https://www.pepsico.com/our-impact/esg-topics-a-z/climate-change
and last years data - could no find 2021 emissions data </t>
  </si>
  <si>
    <t>https://www.pepsico.com/docs/default-source/sustainability-and-esg-topics/2022-esg-summary/overview-of-pepsico's-2022-esg-summary.pdf?sfvrsn=4034ab02_3</t>
  </si>
  <si>
    <t>https://www.bloomberg.com/news/articles/2021-01-14/pepsico-pledges-to-achieve-net-zero-carbon-emissions-by-2040#xj4y7vzkg</t>
  </si>
  <si>
    <t>$8,910</t>
  </si>
  <si>
    <t>$86,392</t>
  </si>
  <si>
    <t>https://rapport-integre.credit-agricole.com/wp-content/uploads/2023/06/CA-S.A.-Integrated-report-2022.pdf</t>
  </si>
  <si>
    <t>$5,718</t>
  </si>
  <si>
    <t>$86,471</t>
  </si>
  <si>
    <t>$9,327</t>
  </si>
  <si>
    <t>$86,717</t>
  </si>
  <si>
    <t>https://www.chinatelecom-h.com/en/ir/report/csr2021.pdf
https://www.chinatelecom-h.com/en/ir/report/csr2022.pdf</t>
  </si>
  <si>
    <t>https://www.chinatelecom-h.com/en/ir/report/csr2021.pdf
http://ar2020.chinatelecom-h.com/English/corporate-social-responsibility-report.pdf</t>
  </si>
  <si>
    <t>$2,061</t>
  </si>
  <si>
    <t>$87,166</t>
  </si>
  <si>
    <t>$3,846</t>
  </si>
  <si>
    <t>$87,679</t>
  </si>
  <si>
    <t>https://www.hsbc.com/who-we-are/esg-and-responsible-business/esg-reporting-centre?tab=Latest%20reports 
ESG Datapack</t>
  </si>
  <si>
    <t>https://www.hsbc.com/who-we-are/leadership-and-governance/senior-management/celine-herweijer</t>
  </si>
  <si>
    <t>https://www.hsbc.com/who-we-are/our-climate-strategy</t>
  </si>
  <si>
    <t>our operations and supply chain + financing portfolio</t>
  </si>
  <si>
    <t>$16,035</t>
  </si>
  <si>
    <t>$87,807</t>
  </si>
  <si>
    <t>https://www.7andi.com/library/dbps_data/_template_/_res/en/sustainability/sustainabilityreport/2022/pdf/2022_all_01.pdf
https://www.7andi.com/library/dbps_data/_template_/_res/en/csr/csrreport/2020/pdf/2020_1.pdf</t>
  </si>
  <si>
    <t>https://asia.nikkei.com/Spotlight/Environment/7-Eleven-parent-eyes-net-zero-emissions-by-2050-in-Japan-and-US</t>
  </si>
  <si>
    <t>$2,095</t>
  </si>
  <si>
    <t>$88,078</t>
  </si>
  <si>
    <t>https://esg.statefarm.com/data/docs/2022/2022_Impact_Report.pdf</t>
  </si>
  <si>
    <t>n</t>
  </si>
  <si>
    <t>$-6,654</t>
  </si>
  <si>
    <t>$89,328</t>
  </si>
  <si>
    <t>https://www.linkedin.com/in/cecilemoitry/</t>
  </si>
  <si>
    <t>Chief Sustainability Officer - Global Banking EMEA - BNP Paribas CIB</t>
  </si>
  <si>
    <t>https://group.bnpparibas/en/news/net-zero-announcing-intentions-is-not-enough-actual-commitments-are-needed-with-figures-and-milestones</t>
  </si>
  <si>
    <t>proprietary credit and investment activities</t>
  </si>
  <si>
    <t>$10,724</t>
  </si>
  <si>
    <t>$89,564</t>
  </si>
  <si>
    <t>https://energytransfer.com/wp-content/uploads/2021/10/Energy_Transfer_Midstream_ESG_Reporting_v3.pdf</t>
  </si>
  <si>
    <t>$4,756</t>
  </si>
  <si>
    <t>$89,876</t>
  </si>
  <si>
    <t>https://www.carrefour.com/sites/default/files/2022-07/Carrefour%20Group%20Climate%20Plan_2021_0.pdf</t>
  </si>
  <si>
    <t>https://www.oneplanetnetwork.org/news-and-events/news/plastics-discussion-bertrand-swiderski-chief-sustainability-officer-carrefour#:~:text=Bertrand%20Swiderski%20currently%20serves%20as,the%20food%20transition%20for%20all.</t>
  </si>
  <si>
    <t>https://www.carrefour.com/en/news/engagementneutralitecarbonne2040</t>
  </si>
  <si>
    <t>$1,418</t>
  </si>
  <si>
    <t>$90,062</t>
  </si>
  <si>
    <t>$1,497</t>
  </si>
  <si>
    <t>$90,498</t>
  </si>
  <si>
    <t>https://www.hengli.com.sg/wp-content/uploads/2022/07/Hengli-Social-Responsibility-Report-2021.pdf</t>
  </si>
  <si>
    <t>$90,944</t>
  </si>
  <si>
    <t>https://www.hd.eneos.co.jp/english/csr/report/pdf/eneos_en_2021_f.pdf</t>
  </si>
  <si>
    <t>https://ssl4.eir-parts.net/doc/5020/ir_material_for_fiscal_ym9/125542/00.pdf
https://www.hd.eneos.co.jp/english/newsrelease/upload_pdf/20230601_01_01_1040009.pdf</t>
  </si>
  <si>
    <t>1,2 by 2040 (3 by 2050)</t>
  </si>
  <si>
    <t>$1,062</t>
  </si>
  <si>
    <t>$91,437</t>
  </si>
  <si>
    <t>https://www.aholddelhaize.com/sustainability/climate-impact/</t>
  </si>
  <si>
    <t>https://www.aholddelhaize.com/about/leadership/jan-ernst-de-groot/</t>
  </si>
  <si>
    <t>https://www.aholddelhaize.com/news/ahold-delhaize-brings-net-zero-target-forward-to-2040-for-direct-carbon-emissions/</t>
  </si>
  <si>
    <t>$2,678</t>
  </si>
  <si>
    <t>$91,486</t>
  </si>
  <si>
    <t>https://property.picc.com/cx_gywm/shzr/shzrbg/202304/P020230410666400182301.pdf</t>
  </si>
  <si>
    <t>$3,639</t>
  </si>
  <si>
    <t>$91,535</t>
  </si>
  <si>
    <t>https://report.basf.com/2022/en/_assets/downloads/entire-basf-ar22.pdf</t>
  </si>
  <si>
    <t>https://report.basf.com/2022/en/_assets/downloads/str-strategy-basf-ar22.pdf</t>
  </si>
  <si>
    <t>$-660</t>
  </si>
  <si>
    <t>$91,847</t>
  </si>
  <si>
    <t>https://www.bosch.com/sustainability/sustainability-reports-and-figures/#sustainability-figures</t>
  </si>
  <si>
    <t>https://assets.bosch.com/media/global/sustainability/reporting_and_data/2022/bosch-sustainability-report-2022.pdf
https://www.bosch-presse.de/pressportal/de/en/climate-action-bosch-to-be-carbon-neutral-world-wide-by-2020-188800.html</t>
  </si>
  <si>
    <t>$1,367</t>
  </si>
  <si>
    <t>$92,766</t>
  </si>
  <si>
    <t>https://www.brookfield.com/responsibility/2022-sustainability-report
https://www.brookfield.com/news-insights/insights/making-leap-clean-energy-and-net-zero</t>
  </si>
  <si>
    <t>across all assets under management</t>
  </si>
  <si>
    <t>$2,056</t>
  </si>
  <si>
    <t>$92,769</t>
  </si>
  <si>
    <t>https://docushare-web.apps.external.pioneer.humana.com/Marketing/docushare-app?file=5118217</t>
  </si>
  <si>
    <t>$2,806</t>
  </si>
  <si>
    <t>$92,870</t>
  </si>
  <si>
    <t>https://lines.coscoshipping.com/lines_resource/pdf/quality2022en.pdf</t>
  </si>
  <si>
    <t>https://www.porttechnology.org/news/cosco-aims-to-be-carbon-neutral-by-2060/</t>
  </si>
  <si>
    <t>$6,233</t>
  </si>
  <si>
    <t>$93,181</t>
  </si>
  <si>
    <t>https://www.fedex.com/content/dam/fedex/us-united-states/sustainability/gcrs/FedEx_2023_ESG_Report.pdf</t>
  </si>
  <si>
    <t>https://www.linkedin.com/in/mitch-jackson-1a349814/</t>
  </si>
  <si>
    <t>https://newsroom.fedex.com/newsroom/asia-english/sustainability2021</t>
  </si>
  <si>
    <t>$3,826</t>
  </si>
  <si>
    <t>$93,512</t>
  </si>
  <si>
    <t>http://ir.sinopharmgroup.com.cn/pdf/2022sr_en.pdf</t>
  </si>
  <si>
    <t>$1,101</t>
  </si>
  <si>
    <t>$94,075</t>
  </si>
  <si>
    <t>https://view.officeapps.live.com/op/view.aspx?src=https%3A%2F%2Fhealthforhumanityreport.jnj.com%2F2022%2F_assets%2Fdownloads%2Fesg-performance-data.xlsx&amp;wdOrigin=BROWSELINK</t>
  </si>
  <si>
    <t>https://www.linkedin.com/in/paulette-frank/</t>
  </si>
  <si>
    <t>across our value chain</t>
  </si>
  <si>
    <t>$17,941</t>
  </si>
  <si>
    <t>$94,943</t>
  </si>
  <si>
    <t>https://www-file.huawei.com/-/media/corp2020/pdf/sustainability/sustainability-report-2020-en.pdf</t>
  </si>
  <si>
    <t>https://www-file.huawei.com/-/media/corp2020/pdf/sustainability/sustainability-report-2021-en.pdf</t>
  </si>
  <si>
    <t>$5,283</t>
  </si>
  <si>
    <t>$95,490</t>
  </si>
  <si>
    <t>https://sustainability.pttgcgroup.com/storage/document/climate-change-strategy-and-target/gc-greenhouse-gas-report.pdf</t>
  </si>
  <si>
    <t>https://www.pttplc.com/th/Sustainability/SustainabilityGovernance/Sustainabilitystrategy.aspx</t>
  </si>
  <si>
    <t>PTT Group's greenhouse gas emissions</t>
  </si>
  <si>
    <t>$2,604</t>
  </si>
  <si>
    <t>$96,162</t>
  </si>
  <si>
    <t>https://group.ntt/en/csr/data/pdf/sustainability_report_2022_databook_all.pdf</t>
  </si>
  <si>
    <t xml:space="preserve"> business activities </t>
  </si>
  <si>
    <t>$8,962</t>
  </si>
  <si>
    <t>$97,049</t>
  </si>
  <si>
    <t>https://corporate.lowes.com/sites/lowes-corp/files/2023-07/lowes-2022-crr.pdf</t>
  </si>
  <si>
    <t>https://www.linkedin.com/in/christopherlanecassell?original_referer=https%3A%2F%2Fwww.google.com%2F</t>
  </si>
  <si>
    <t>Vice President of Corporate Sustainability</t>
  </si>
  <si>
    <t>$6,437</t>
  </si>
  <si>
    <t>$97,059</t>
  </si>
  <si>
    <t>https://licindia.in/documents/20121/92529/LIC-Annual-Report-2021-22-%282%29.pdf/76ce5926-b78f-19c6-3e3e-ccde656b9f71?t=1668579053978</t>
  </si>
  <si>
    <t>$4,483</t>
  </si>
  <si>
    <t>$98,535</t>
  </si>
  <si>
    <t>https://www.nestle.com/sites/default/files/2023-03/creating-shared-value-sustainability-report-2022-en.pdf</t>
  </si>
  <si>
    <t>https://www.nestle.co.uk/en-gb/media/pressreleases/allpressreleases/nestle-global-roadmap-to-achieve-net-zero</t>
  </si>
  <si>
    <t xml:space="preserve"> business and supply chains</t>
  </si>
  <si>
    <t>$9,712</t>
  </si>
  <si>
    <t>$98,931</t>
  </si>
  <si>
    <t>http://www.chinadaily.com.cn/specials/2021ENVIRONMENTALSOCIALANDGOVERNANCEREPORT.pdf</t>
  </si>
  <si>
    <t>$621</t>
  </si>
  <si>
    <t>$99,020</t>
  </si>
  <si>
    <t>https://www.santandersustainability.co.uk/sites/default/files/2023-03/Santander-ESG-2022-Final.pdf</t>
  </si>
  <si>
    <t>https://www.santander.com/content/dam/santander-com/en/documentos/informe-financiero-anual/2022/ifa-2022-consolidated-annual-financial-report-en.pdf</t>
  </si>
  <si>
    <t>net zero emissions by 2050</t>
  </si>
  <si>
    <t>$10,102</t>
  </si>
  <si>
    <t>$99,231</t>
  </si>
  <si>
    <t>https://www.dpdhl.com/content/dam/dpdhl/en/media-center/investors/documents/presentations/2022/DPDHL-2022-ESG-Presentation.pdf</t>
  </si>
  <si>
    <t>https://www.dhl.com/global-en/delivered/sustainability/zero-emissions-by-2050.html</t>
  </si>
  <si>
    <t>logistics-related emissions, including those of our suppliers 
and subcontractors</t>
  </si>
  <si>
    <t>$5,636</t>
  </si>
  <si>
    <t>$99,324</t>
  </si>
  <si>
    <t>https://www.pfizer.com/sites/default/files/investors/financial_reports/annual_reports/2022/files/Pfizer_ESG_Report.pdf</t>
  </si>
  <si>
    <t>https://www.linkedin.com/in/carolineroan/</t>
  </si>
  <si>
    <t>https://www.pfizer.com/news/announcements/pfizer-announces-commitment-accelerate-climate-action-and-achieve-net-zero</t>
  </si>
  <si>
    <t>achieve the voluntary Net-Zero Standard</t>
  </si>
  <si>
    <t>$31,372</t>
  </si>
  <si>
    <t>$100,330</t>
  </si>
  <si>
    <t>https://about.ups.com/content/dam/upsstories/images/social-impact/reporting/2022-reporting/2022%20UPS%20GRI%20Report.pdf</t>
  </si>
  <si>
    <t>https://about.ups.com/us/en/our-company/leadership.html</t>
  </si>
  <si>
    <t>Scope	1,	2,	and	3	emissions	(as	measured	in	
CO2e	and	using	market-based	Scope	2	emissions)</t>
  </si>
  <si>
    <t>$11,548</t>
  </si>
  <si>
    <t>$100,338</t>
  </si>
  <si>
    <t>https://www1.hkexnews.hk/listedco/listconews/sehk/2023/0323/2023032301096.pdf</t>
  </si>
  <si>
    <t>$3,904</t>
  </si>
  <si>
    <t>$100,769</t>
  </si>
  <si>
    <t>https://www.citigroup.com/rcs/citigpa/storage/public/Global-ESG-Report-2022.pdf</t>
  </si>
  <si>
    <t>https://www.linkedin.com/in/valerie-smith-98aa326/</t>
  </si>
  <si>
    <t>operations + financing</t>
  </si>
  <si>
    <t>$14,845</t>
  </si>
  <si>
    <t>$101,078</t>
  </si>
  <si>
    <t>https://www.adm.com/globalassets/sustainability/sustainability-reports/2022-reports/adm-2022-corporate-sustainability-report_final.pdf
https://www.adm.com/globalassets/sustainability/sustainability-reports/pdfs/4019111_11_archer-daniels-midland_esg_clean-compressed.pdf</t>
  </si>
  <si>
    <t>https://www.adm.com/en-us/news/adm-stories/five-things-adm-chief-sustainability-officer-alison-taylor-wishes-she-knew-when-she-started/</t>
  </si>
  <si>
    <t>$4,340</t>
  </si>
  <si>
    <t>$101,556</t>
  </si>
  <si>
    <t>https://www.dell.com/en-uk/dt/corporate/social-impact/esg-resources/reports/fy22-esg-report.htm#pdf-overlay=//www.delltechnologies.com/asset/en-uk/solutions/business-solutions/briefs-summaries/delltechnologies-fy22-esg-report.pdf</t>
  </si>
  <si>
    <t>https://www.dell.com/en-us/blog/authors/david-lear/#:~:text=Vice%20President%2C%20Corporate%20Sustainability,into%20Dell%27s%20core%20business%20strategies.</t>
  </si>
  <si>
    <t>Vice President, Corporate Sustainability</t>
  </si>
  <si>
    <t>https://www.dell.com/en-uk/blog/getting-to-net-zero-it-takes-an-entire-company/</t>
  </si>
  <si>
    <t>$2,442</t>
  </si>
  <si>
    <t>$102,301</t>
  </si>
  <si>
    <t>https://www.itochu.co.jp/en/csr/pdf/22fulle-all.pdf?221102</t>
  </si>
  <si>
    <t>https://www.itochu.co.jp/en/csr/pdf/22fulle-all.pdf?221102
https://www.itochu.co.jp/en/csr/environment/climate_change/index.html</t>
  </si>
  <si>
    <t>$5,914</t>
  </si>
  <si>
    <t>$103,029</t>
  </si>
  <si>
    <t>http://static.sse.com.cn/disclosure/listedinfo/announcement/c/new/2022-04-21/600755_20220421_12_Pm5BgSQ6.pdf</t>
  </si>
  <si>
    <t>$290</t>
  </si>
  <si>
    <t>$103,090</t>
  </si>
  <si>
    <t>https://iocl.com/uploads/IOCL-Sustainability-Report-2021-22.pdf</t>
  </si>
  <si>
    <t>https://iocl.com/uploads/IOCL-Sustainability-Report-2021-22.pdf
https://iocl.com/pages/NetZeroone
https://www.autocarpro.in/news-national/indian-oil-sets-ambition-for-net-zero-by-2046-92628</t>
  </si>
  <si>
    <t>$1,219</t>
  </si>
  <si>
    <t>$105,349</t>
  </si>
  <si>
    <t>https://www.mitsui.com/jp/en/sustainability/sustainabilityreport/2022/pdf/en_sustainability_2022.pdf</t>
  </si>
  <si>
    <t>https://www.mitsui.com/jp/en/sustainability/sustainabilityreport/2022/pdf/en_sustainability_2022.pdf
https://www.mitsui.com/jp/en/sustainability/sustainabilityreport/2020/pdf/en_sustainability_2020-12.pdf</t>
  </si>
  <si>
    <t>1,2, scope 3 category 15</t>
  </si>
  <si>
    <t>$8,353</t>
  </si>
  <si>
    <t>$105,694</t>
  </si>
  <si>
    <t>https://koreajoongangdaily.joins.com/2021/06/23/business/industry/SK-Chey-Taewon-carbon-neutral/20210623190807258.html</t>
  </si>
  <si>
    <t>across all businesses</t>
  </si>
  <si>
    <t>$851</t>
  </si>
  <si>
    <t>$105,959</t>
  </si>
  <si>
    <t>https://www-axa-com.cdn.axa-contento-118412.eu/www-axa-com/83f21a68-30a9-47ef-938b-a8b2519c4ae8_axa_urd2022_accessibleb_va.pdf</t>
  </si>
  <si>
    <t>https://www.cdp.net/en/formatted_responses/responses?campaign_id=79520704&amp;discloser_id=943925&amp;locale=en&amp;organization_name=AXA+Group&amp;organization_number=1287&amp;program=Investor&amp;project_year=2022&amp;redirect=https%3A%2F%2Fcdp.credit360.com%2Fsurveys%2F2022%2F6wz4wms4%2F219018&amp;survey_id=78646008</t>
  </si>
  <si>
    <t>https://www.axa.co.uk/about/inside-axa/future-of-climate/
https://www-axa-com.cdn.axa-contento-118412.eu/www-axa-com/109c504e-bc3f-4e3a-bca0-5c3e1ccb65bb_AXA2022_Climate_and_Biodiversity-Report_Final_22_07_19.pdf</t>
  </si>
  <si>
    <t>https://www-axa-com.cdn.axa-contento-118412.eu/www-axa-com/109c504e-bc3f-4e3a-bca0-5c3e1ccb65bb_AXA2022_Climate_and_Biodiversity-Report_Final_22_07_19.pdf</t>
  </si>
  <si>
    <t>$7,021</t>
  </si>
  <si>
    <t>$109,067</t>
  </si>
  <si>
    <t>https://corporate.target.com/_media/TargetCorp/Sustainability-ESG/PDF/2022_Target_ESG_Report.pdf</t>
  </si>
  <si>
    <t>https://www.linkedin.com/in/agataramallogarcia/
https://corporate.target.com/_media/TargetCorp/Sustainability-ESG/PDF/2022-CDP-Climate-Response.pdf</t>
  </si>
  <si>
    <t>$2,780</t>
  </si>
  <si>
    <t>$109,120</t>
  </si>
  <si>
    <t>https://www.engie.com/sites/default/files/assets/documents/2023-05/ENGIE_RI_2023_EN-1605.pdf</t>
  </si>
  <si>
    <t>https://www.engie.com/sites/default/files/assets/documents/2023-05/ENGIE_RI_2023_EN-1605.pdf
https://www.engie.com/en/news/client-decarbonization-approach</t>
  </si>
  <si>
    <t>$227</t>
  </si>
  <si>
    <t>$109,175</t>
  </si>
  <si>
    <t>https://www.ril.com/ar2021-22/pdf/RIL_Integrated%20Annual%20Report%202022_06.08.2022_Web_Final_10MB.pdf</t>
  </si>
  <si>
    <t>https://www.ril.com/DownloadFiles/BRR202122.pdf
https://www.business-standard.com/article/companies/mukesh-ambani-s-net-zero-plan-inside-ril-s-unique-energy-transition-story-122041100602_1.html</t>
  </si>
  <si>
    <t>itself (nothing more specified)</t>
  </si>
  <si>
    <t>$8,307</t>
  </si>
  <si>
    <t>$109,523</t>
  </si>
  <si>
    <t>http://www.cofco.com/cn/CSR/ContributingtoIndustryDevelopment/</t>
  </si>
  <si>
    <t>$1,766</t>
  </si>
  <si>
    <t>$110,222</t>
  </si>
  <si>
    <t>http://english.chinapost.com.cn/html1/folder/22102/7262-1.htm</t>
  </si>
  <si>
    <t>$4,897</t>
  </si>
  <si>
    <t>$110,271</t>
  </si>
  <si>
    <t>https://www.hyundai.com/content/hyundai/ww/data/csr/data/0000000050/attach/english/hmc-2022-sustainability-report-en-v9.pdf</t>
  </si>
  <si>
    <t>https://www.hyundai.com/content/hyundai/ww/data/csr/data/0000000050/attach/english/hmc-2022-sustainability-report-en-v9.pdf
https://www.hyundai.com/worldwide/en/brand-journal/sustainable-vision/iaa2021-carbon-neutrality</t>
  </si>
  <si>
    <t>all stages of its value chain</t>
  </si>
  <si>
    <t>$5,705</t>
  </si>
  <si>
    <t>$110,412</t>
  </si>
  <si>
    <t>https://www.saic.com/sites/default/files/2021-07/2021%20SAIC%20Corporate%20Responsibility%20Report.pdf</t>
  </si>
  <si>
    <t>$2,396</t>
  </si>
  <si>
    <t>$110,612</t>
  </si>
  <si>
    <t>http://en.sasac.gov.cn/2021/03/23/c_6843.htm</t>
  </si>
  <si>
    <t>$1,516</t>
  </si>
  <si>
    <t>$113,674</t>
  </si>
  <si>
    <t>https://about.bankofamerica.com/content/dam/about/pdfs/BofA_2023_PDS_GRI_secured.pdf</t>
  </si>
  <si>
    <t>https://www.linkedin.com/in/andrea-sullivan-b9a9565/?originalSubdomain=uk</t>
  </si>
  <si>
    <t>Head of Environment, Social &amp; Governance - International</t>
  </si>
  <si>
    <t>https://about.bankofamerica.com/en/making-an-impact/our-net-zero-strategy-and-targets-to-reduce-emissions</t>
  </si>
  <si>
    <t>https://about.bankofamerica.com/content/dam/about/pdfs/approach-to-zero-2022.pdf</t>
  </si>
  <si>
    <t>$27,528</t>
  </si>
  <si>
    <t>$115,053</t>
  </si>
  <si>
    <t>https://sustainability.fb.com/wp-content/uploads/2022/06/Meta-2021-Sustainability-Report.pdf</t>
  </si>
  <si>
    <t>$23,200</t>
  </si>
  <si>
    <t>$116,609</t>
  </si>
  <si>
    <t>https://www.pemex.com/etica_y_transparencia/transparencia/informes/Documents/sustainabilityreport_2021_eng.pdf</t>
  </si>
  <si>
    <t>$4,994</t>
  </si>
  <si>
    <t>$118,537</t>
  </si>
  <si>
    <t>https://www.cr-report.telekom.com/2022/management-facts/environment/co2e-emissions#atn-19711-19712,atn-19711-19713,atn-19711-19714,atn-19711-19715,atn-19711-19716,atn-19711-19717,atn-19711-19718,atn-19711-19719</t>
  </si>
  <si>
    <t>https://www.cr-report.telekom.com/2022/management-facts/strategy/cr-strategy-management#atn-19487-19979
https://www.telekom.com/en/blog/melanie-kubin-hardewig-629178#:~:text=Melanie%20Kubin%2DHardewig%20%7C%20Deutsche%20Telekom</t>
  </si>
  <si>
    <t>Vice President Group Corporate Responsibility Deutsche Telekom AG</t>
  </si>
  <si>
    <t>https://www.cr-report.telekom.com/2022/management-facts/environment/co2e-emissions#atn-19711-19712,atn-19711-19713,atn-19711-19714,atn-19711-19715,atn-19711-19716,atn-19711-19717,atn-19711-19718,atn-19711-19719
https://www.telekom.com/en/media/media-information/archive/deutsche-telekom-tightens-its-climate-targets-623582</t>
  </si>
  <si>
    <t>$8,415</t>
  </si>
  <si>
    <t>$120,108</t>
  </si>
  <si>
    <t>https://sustainability.att.com/progress/esg-data</t>
  </si>
  <si>
    <t>https://about.att.com/story/2022/corporate-sustainability-leadership.html#:~:text=%E2%80%9CWe%20are%20proud%20and%20motivated,Social%20Responsibility%2C%20ESG%20at%20AT%26T.</t>
  </si>
  <si>
    <t>https://about.att.com/story/2020/att_carbon_neutral.html
https://about.att.com/ecms/dam/csr/2023/ESG/ATT-Sustainability-Summary.pdf</t>
  </si>
  <si>
    <t>scope 1,2 for our operations</t>
  </si>
  <si>
    <t>$-8,524</t>
  </si>
  <si>
    <t>$120,741</t>
  </si>
  <si>
    <t>https://update.comcast.com/wp-content/uploads/sites/33/dlm_uploads/2023/05/2023-Comcast-Carbon-Footprint-Data-Report.pdf</t>
  </si>
  <si>
    <t>https://corporate.comcast.com/news-information/leadership-overview/sara-cronenwett</t>
  </si>
  <si>
    <t>Senior Vice President, Corporate Strategy and Environmental Sustainability</t>
  </si>
  <si>
    <t>$5,370</t>
  </si>
  <si>
    <t>$121,427</t>
  </si>
  <si>
    <t>https://www.ceic.com/gjnyjtww/jtgsbg/chnlist_shzr.shtml - 2021 CEG report</t>
  </si>
  <si>
    <t>$5,699</t>
  </si>
  <si>
    <t>$121,584</t>
  </si>
  <si>
    <t>https://www.fanniemae.com/media/48156/display</t>
  </si>
  <si>
    <t xml:space="preserve"> Chief Climate Officer, who reports to the Chief 
Financial Officer
Chair, Community Responsibility &amp; Sustainability</t>
  </si>
  <si>
    <t>$12,923</t>
  </si>
  <si>
    <t>$121,596</t>
  </si>
  <si>
    <t>https://en.crc.com.cn/whatwebelieve/OurResponsibility_new/csrreports/202301/P020230113663562240995.pdf</t>
  </si>
  <si>
    <t>$4,662</t>
  </si>
  <si>
    <t>$121,643</t>
  </si>
  <si>
    <t>https://www.eon.com/content/dam/eon/eon-com/eon-com-assets/documents/investor-relations/en/annual-report/GB2022_gesamt_EN_final.pdf</t>
  </si>
  <si>
    <t>https://www.eon.com/en/about-us/sustainability/organisation.html</t>
  </si>
  <si>
    <t>https://www.eon.com/content/dam/eon/eon-com/eon-com-assets/documents/investor-relations/en/annual-report/GB2022_gesamt_EN_final.pdf
https://www.eon.com/content/dam/eon/eon-com/eon-com-assets/documents/sustainability/en/climate-related-disclosures/EON_2023_On_course_for_net_zero.pdf
https://www.eon.com/en/about-us/media/press-release/2021/eon-commits-to-sbti-business-ambition-for-1-5-C.html</t>
  </si>
  <si>
    <t>1,2 + scope 3 by 2050</t>
  </si>
  <si>
    <t>$1,926</t>
  </si>
  <si>
    <t>$121,646</t>
  </si>
  <si>
    <t>https://www.reuters.com/business/sustainable-business/chinas-shandong-limit-carbon-emission-new-industrial-projects-2021-06-22/</t>
  </si>
  <si>
    <t>$33</t>
  </si>
  <si>
    <t>$124,089</t>
  </si>
  <si>
    <t>https://sustentabilidade.petrobras.com.br/documents/1449993/c225568a-a9bc-677f-219d-0e41cadf5e29</t>
  </si>
  <si>
    <t>https://petrobras.com.br/en/about-us/organization-chart/our-executive-board/#:~:text=Maur%C3%ADcio%20Tolmasquim%20%2D%20Chief%20Energy%20Transition%20and%20Sustainability%20Officer</t>
  </si>
  <si>
    <t>CSO -  Chief Energy Transition and Sustainability Officer</t>
  </si>
  <si>
    <t>https://petrobras.com.br/data/files/E8/97/B4/61/5E56F7105FC7BCD7E9E99EA8/11_PET_clima_ingles_2022_fz.pdf
https://tankterminals.com/news/petrobras-commits-to-net-zero-carbon-emissions/</t>
  </si>
  <si>
    <t>$36,623</t>
  </si>
  <si>
    <t>$124,474</t>
  </si>
  <si>
    <t>https://global.honda/sustainability/cq_img/report/pdf/2022/Honda-SR-2022-en-055-078.pdf</t>
  </si>
  <si>
    <t>https://www.linkedin.com/in/jay-joseph-b830813/</t>
  </si>
  <si>
    <t>Vice President, Sustainability &amp; Business Development, American Honda Motor Co., Inc.</t>
  </si>
  <si>
    <t>https://hondanews.com/en-US/releases/summary-of-briefing-on-honda-motorcycle-business?utm_medium=email&amp;utm_campaign=Summary%20of%20Briefing%20on%20Honda%20Motorcycle%20Business&amp;utm_content=Summary%20of%20Briefing%20on%20Honda%20Motorcycle%20Business+CID_5ba6abf6e552c4ea271918182c957f4a&amp;utm_source=Honda%20Campaign%20Monitor</t>
  </si>
  <si>
    <t>products and corporate activities or 'throughout the entire product life cycle'</t>
  </si>
  <si>
    <t>$4,813</t>
  </si>
  <si>
    <t>$124,912</t>
  </si>
  <si>
    <t>https://www.chinacnd.com/upfiles/policy/202303/1680246207696.%202022%20Environmental,%20Social%20and%20Governance%20Report.pdf
https://www.chinacnd.com/upfiles/policy/202303/1678936001747.%202021%20Corporate%20Social%20Responsibility%20Report_ESGReport.pdf</t>
  </si>
  <si>
    <t>https://www.pv-magazine.com/press-releases/joint-venture-by-clenergy-and-cd-inc-for-a-carbon-neutral-world/</t>
  </si>
  <si>
    <t>$454</t>
  </si>
  <si>
    <t>$125,971</t>
  </si>
  <si>
    <t>https://data.alibabagroup.com/ecms-files/1452422558/228cb136-d0a9-4ada-b7da-5d9a49e5eb7e.pdf
https://data.alibabagroup.com/ecms-files/1452422558/5feb0e46-f04b-4d9c-9568-e4a5912db37e.pdf</t>
  </si>
  <si>
    <t>$10,625</t>
  </si>
  <si>
    <t>$126,813</t>
  </si>
  <si>
    <t>https://www.allianz.com/content/dam/onemarketing/azcom/Allianz_com/sustainability/documents/Allianz_Group_Sustainability_Report_2022-web.pdf</t>
  </si>
  <si>
    <t>https://www.allianz.com/en/about-us/corporate-management/board-of-management/sustainability-board.html</t>
  </si>
  <si>
    <t>our own operations + investments</t>
  </si>
  <si>
    <t>$7,087</t>
  </si>
  <si>
    <t>$129,059</t>
  </si>
  <si>
    <t>https://www.walgreensbootsalliance.com/sites/www/files/asset/2022-esg-report_0.pdf</t>
  </si>
  <si>
    <t>$4,337</t>
  </si>
  <si>
    <t>$132,703</t>
  </si>
  <si>
    <t>http://www.minmetals.com/english/sustainabledevelopment/sustainabilityreport/202206/P020221203630542453904.pdf</t>
  </si>
  <si>
    <t>$877</t>
  </si>
  <si>
    <t>$133,541</t>
  </si>
  <si>
    <t>https://www.verizon.com/about/investors/verizon-emissions-and-energy-data</t>
  </si>
  <si>
    <t>https://www.cdp.net/en/formatted_responses/responses?campaign_id=74241094&amp;discloser_id=895415&amp;locale=en&amp;organization_name=Verizon+Communications+Inc.&amp;organization_number=20175&amp;program=Investor&amp;project_year=2021&amp;redirect=https%3A%2F%2Fcdp.credit360.com%2Fsurveys%2F2021%2Fdbbr64mv%2F142611&amp;survey_id=73557641</t>
  </si>
  <si>
    <t>Latest report: https://www.verizon.com/about/sites/default/files/Verizon-2022-ESG-Report.pdf
news item 2019: https://www.verizon.com/about/news/verizon-goes-carbon-neutral-2035
Website: https://www.verizon.com/about/responsibility/sustainability</t>
  </si>
  <si>
    <t>$21,256</t>
  </si>
  <si>
    <t>$136,835</t>
  </si>
  <si>
    <t>$1,255</t>
  </si>
  <si>
    <t>$138,270</t>
  </si>
  <si>
    <t>https://www.chinamobileltd.com/en/ir/reports/ar2022/sd2022.pdf</t>
  </si>
  <si>
    <t>$14,718</t>
  </si>
  <si>
    <t>$139,597</t>
  </si>
  <si>
    <t>https://www.eni.com/assets/documents/eng/just-transition/2022/eni-for-2022-sustainability-performance-eng.pdf</t>
  </si>
  <si>
    <t>https://www.eni.com/static/en-IT/infographics/eni-for-2022/home
https://www.eni.com/assets/documents/eng/just-transition/2022/eni-for-2022-just-transition-eng.pdf</t>
  </si>
  <si>
    <t>1,2 + processes and products</t>
  </si>
  <si>
    <t>$14,606</t>
  </si>
  <si>
    <t>$140,607</t>
  </si>
  <si>
    <t>https://www.centene.com/content/dam/centenedotcom/investor_docs/Centene_2022_ESHG_Report.pdf</t>
  </si>
  <si>
    <t>$1,202</t>
  </si>
  <si>
    <t>$144,547</t>
  </si>
  <si>
    <t>https://www.enel.com/content/dam/enel-com/documenti/investitori/sostenibilita/2022/sustainability-report_2022.pdf</t>
  </si>
  <si>
    <t>https://www.enel.com/company/about-us/chairman-management-team</t>
  </si>
  <si>
    <t>Chief Innovability® Officer (Innovation and Sustainability)</t>
  </si>
  <si>
    <t>https://www.enel.com/content/dam/enel-com/documenti/investitori/sostenibilita/2021/net-zero_en.pdf
https://www.enel.com/content/dam/enel-com/documenti/investitori/sostenibilita/2022/sustainability-report_2022.pdf
https://www.enel.com/content/dam/enel-com/documenti/investitori/sostenibilita/zero-emissions-ambition-report.pdf</t>
  </si>
  <si>
    <t>across the value chain</t>
  </si>
  <si>
    <t>$1,769</t>
  </si>
  <si>
    <t>$147,790</t>
  </si>
  <si>
    <t>https://www.thekrogerco.com/wp-content/uploads/2022/08/Kroger-Co-2022-ESG-Report.pdf</t>
  </si>
  <si>
    <t>https://www.linkedin.com/in/keithdailey/</t>
  </si>
  <si>
    <t>group vice president of Corporate Affairs,
who serves as chief sustainability officer</t>
  </si>
  <si>
    <t>$2,244</t>
  </si>
  <si>
    <t>$148,258</t>
  </si>
  <si>
    <t>https://www.bmwgroup.com/content/dam/grpw/websites/bmwgroup_com/ir/downloads/en/2023/bericht/BMW-Group-Report-2022-en.pdf</t>
  </si>
  <si>
    <t>https://www.bmwgroup.com/content/dam/grpw/websites/bmwgroup_com/ir/downloads/en/2023/bericht/BMW-Group-CDP-2022.pdf</t>
  </si>
  <si>
    <t>Head of Sustainability, Mobility</t>
  </si>
  <si>
    <t>https://www.bmwgroup.com/en/report/2022/bmw-group-report/next-level-sustainability/index.html</t>
  </si>
  <si>
    <t>asset portfolio</t>
  </si>
  <si>
    <t>$18,870</t>
  </si>
  <si>
    <t>$149,991</t>
  </si>
  <si>
    <t>https://cdn.equinor.com/files/h61q9gi9/global/03d92ebc1ab4f124aabe4fa5be40da3dec6e24b4.pdf?2022-annual-report-equinor.pdf</t>
  </si>
  <si>
    <t>https://www.equinor.com/about-us/corporate-executive-committee</t>
  </si>
  <si>
    <t>Executive Vice President Safety, Security &amp; Sustainability</t>
  </si>
  <si>
    <t>https://cdn.equinor.com/files/h61q9gi9/global/6a64fb766c58f70ef37807deca2ee036a3f4096b.pdf?energy-transition-plan-2022-equinor.pdf
https://www.equinor.com/news/archive/20201102-emissions</t>
  </si>
  <si>
    <t>SCOPE 1, 2 AND 3</t>
  </si>
  <si>
    <t>$28,746</t>
  </si>
  <si>
    <t>$150,806</t>
  </si>
  <si>
    <t>https://www.edf.fr/en/the-edf-group/taking-action-as-a-responsible-company/corporate-social-responsibility/reports-and-indicators/greenhouse-effect-gas-emissions</t>
  </si>
  <si>
    <t>https://www.edf.fr/sites/groupe/files/contrib/groupe-edf/engagements/2021/impact/edfgroup_impact2021-rapport_va.pdf</t>
  </si>
  <si>
    <t>https://www.edf.fr/en/the-edf-group/taking-action-as-a-responsible-company/corporate-social-responsibility/doing-even-more-to-reduce-co2-emissions</t>
  </si>
  <si>
    <t>$-18,869</t>
  </si>
  <si>
    <t>$150,902</t>
  </si>
  <si>
    <t>https://www.e-chinalife.com/c/2023-03-29/9360c73a-1490-4c4d-b3b4-b2a6c9cd5cf2.shtml</t>
  </si>
  <si>
    <t>$6,859</t>
  </si>
  <si>
    <t>$151,487</t>
  </si>
  <si>
    <t>https://www.jpmorganchase.com/content/dam/jpmc/jpmorgan-chase-and-co/documents/esg-environmental-data-table-ada-1.pdf</t>
  </si>
  <si>
    <t>https://www.jpmorganchase.com/content/dam/jpmc/jpmorgan-chase-and-co/documents/Climate-Report-2022.pdf</t>
  </si>
  <si>
    <t>lending and investment portfolios</t>
  </si>
  <si>
    <t>$37,676</t>
  </si>
  <si>
    <t>$154,792</t>
  </si>
  <si>
    <t>https://ir.jd.com/system/files-encrypted/nasdaq_kms/assets/2023/06/20/18-39-49/JD.com%2C%20Inc.%202022%20Environmental%2C%20Social%20and%20Governance%20Report.pdf
https://ir.jd.com/system/files-encrypted/nasdaq_kms/assets/2022/05/24/11-43-02/2021%20JD.com%20Environmental%20Social%20and%20Governance%20Report.pdf</t>
  </si>
  <si>
    <t>https://ir.jd.com/system/files-encrypted/nasdaq_kms/assets/2023/06/20/18-39-49/JD.com%2C%20Inc.%202022%20Environmental%2C%20Social%20and%20Governance%20Report.pdf</t>
  </si>
  <si>
    <t>$1,543</t>
  </si>
  <si>
    <t>$155,533</t>
  </si>
  <si>
    <t>https://www.elevancehealth.com/annual-report/2022/Elevance_Health_Impact_Report_2022.pdf</t>
  </si>
  <si>
    <t>https://www.elevancehealth.com/who-we-are/senior-leadership/hakon-mattson#:~:text=Hakon%20Mattson%20serves%20as%20chief,whole%20health%20and%20health%20equity.</t>
  </si>
  <si>
    <t>https://www.elevancehealth.com/annual-report/2022/Elevance_Health_Impact_Report_2022.pdf
https://www.elevancehealth.com/who-we-are/corporate-responsibility/environmental-sustainability
https://www.elevancehealth.com/our-approach-to-health/whole-health/addressing-the-whole-health-effects-of-climate-change</t>
  </si>
  <si>
    <t>$6,025</t>
  </si>
  <si>
    <t>$156,595</t>
  </si>
  <si>
    <t>https://www.gmsustainability.com/_pdf/resources-and-downloads/GM_ESG_Data_2022.pdf</t>
  </si>
  <si>
    <t>https://www.gmsustainability.com/_pdf/cdp/Climate_Change_2022_Information_Request-General_Motors_Company.pdf</t>
  </si>
  <si>
    <t>https://www.gmsustainability.com/_pdf/resources-and-downloads/GM_2022_SR.pdf
https://news.gm.com/newsroom.detail.html/Pages/news/us/en/2021/jan/0128-carbon.html</t>
  </si>
  <si>
    <t>$9,934</t>
  </si>
  <si>
    <t>$156,735</t>
  </si>
  <si>
    <t>https://www.bochk.com/dam/bochk/desktop/top/aboutus/esg/report/SustainabilityReport2022_en.pdf
https://www.bochk.com/dam/bochk/desktop/top/aboutus/esg/report/SustainabilityReport2019_en.pdf</t>
  </si>
  <si>
    <t>https://www.bochk.com/dam/bochk/desktop/top/aboutus/esg/report/SustainabilityReport2022_en.pdf</t>
  </si>
  <si>
    <t>$33,811</t>
  </si>
  <si>
    <t>$156,924</t>
  </si>
  <si>
    <t>https://corporate.homedepot.com/sites/default/files/2022-10/2022_ESG_Report_final_4.pdf</t>
  </si>
  <si>
    <t>$17,105</t>
  </si>
  <si>
    <t>$157,403</t>
  </si>
  <si>
    <t>https://sustainabilityreport.mercedes-benz.com/2022/_assets/downloads/entire-mercedes-benz-sr22.pdf</t>
  </si>
  <si>
    <t>https://group.mercedes-benz.com/sustainability/climate/ambition-2039-our-path-to-co2-neutrality.html
https://www.businesswire.com/news/home/20220411005483/en/Mercedes-Benz-Cars-Aims-to-Slash-CO2-Emissions-by-More-Than-50-Percent-by-End-of-This-Decade</t>
  </si>
  <si>
    <t>production + along the entire value chain and over the vehicles' entire life cycle</t>
  </si>
  <si>
    <t>$15,252</t>
  </si>
  <si>
    <t>$157,782</t>
  </si>
  <si>
    <t>https://corporate.ford.com/content/dam/corporate/us/en-us/documents/reports/2023-integrated-sustainability-and-financial-report.pdf</t>
  </si>
  <si>
    <t>https://corporate.ford.com/content/dam/corporate/us/en-us/documents/reports/ford-cdp-climate-report.pdf
https://www.linkedin.com/in/bob-holycross-9316669/</t>
  </si>
  <si>
    <t>Vice President, Chief Sustainability, Environment and Safety Officer</t>
  </si>
  <si>
    <t>https://abcnews.go.com/Business/ford-announces-carbon-neutral-targets/story?id=76796290</t>
  </si>
  <si>
    <t>our vehicles, our operations and our supply chain.</t>
  </si>
  <si>
    <t>$-1,981</t>
  </si>
  <si>
    <t>$158,057</t>
  </si>
  <si>
    <t>https://mitsubishicorp.disclosure.site/pdf/202303en.pdf</t>
  </si>
  <si>
    <t>Group Chief Sustainability Officer</t>
  </si>
  <si>
    <t>https://www.mitsubishicorp.com/jp/en/carbon-neutral/pdf/20211018.pdf</t>
  </si>
  <si>
    <t>$8,723</t>
  </si>
  <si>
    <t>$159,371</t>
  </si>
  <si>
    <t>https://res.baowugroup.com/attach/2022/08/08/b54e4736c3a3439a956a03aae9095980.pdf</t>
  </si>
  <si>
    <t>$2,493</t>
  </si>
  <si>
    <t>$161,698</t>
  </si>
  <si>
    <t>https://ungc-production.s3.us-west-2.amazonaws.com/attachments/cop_2022/516283/original/2021.pdf?1659602124</t>
  </si>
  <si>
    <t>$1,800</t>
  </si>
  <si>
    <t>$163,037</t>
  </si>
  <si>
    <t>https://mp.weixin.qq.com/s?__biz=MzU1MTkwNDAwOA==&amp;mid=2247531492&amp;idx=1&amp;sn=fc594f697ff3aa99856976f605eaff87&amp;chksm=fb880d83ccff8495fb120d2d9ed6f5a04b5cca7c611d5b8d1f0d472ad94c0f3f76fc7037c705&amp;mpshare=1&amp;scene=1&amp;srcid=0629jqunGl2NGML27nEo8XmI&amp;sharer_sharetime=1656481757160&amp;sharer_shareid=cb4aaad979aabdeb9f4ca214e36659b8&amp;exportkey=AWne%2FH1yY11C0e6pgMLIpJI%3D&amp;acctmode=0&amp;pass_ticket=hQkF6tsH5kja6osjdyRoAMZXZs3PuEEHlTh2mZ0ErwnKU5uo56r830IVyKii4bwe&amp;wx_header=0#rd</t>
  </si>
  <si>
    <t>$16,988</t>
  </si>
  <si>
    <t>$164,762</t>
  </si>
  <si>
    <t>https://sustainability.gazpromreport.ru/fileadmin/f/2021/sustainability-report-en-2021.pdf</t>
  </si>
  <si>
    <t>$17,641</t>
  </si>
  <si>
    <t>$167,832</t>
  </si>
  <si>
    <t>https://www.valero.com/sites/default/files/valero-documents/ESG_Report%20_August_2022_FINAL_SinglePages.pdf</t>
  </si>
  <si>
    <t>$11,528</t>
  </si>
  <si>
    <t>$171,189</t>
  </si>
  <si>
    <t>http://www.crecg.com/zgztywz/resource/cms/article/10203385/10247107/23-07%20Environment,%20Social%20and%20Governance%20Report%20and%20Social%20Responsibility%20Report%20of%20CREC.pdf</t>
  </si>
  <si>
    <t>http://www.crecg.com/eportal/fileDir/zgztywz/resource/cms/article/10212924/10248937/2022%20Annual%20Report.pdf
http://www.crecg.com/zgztywz/resource/cms/article/10203385/10247107/23-07%20Environment,%20Social%20and%20Governance%20Report%20and%20Social%20Responsibility%20Report%20of%20CREC.pdf</t>
  </si>
  <si>
    <t>$2,035</t>
  </si>
  <si>
    <t>$171,669</t>
  </si>
  <si>
    <t>https://www.sinochem.com/Portals/137/Uploads/Files/2022/9-16/637989499685024191.pdf</t>
  </si>
  <si>
    <t>$-1</t>
  </si>
  <si>
    <t>$173,834</t>
  </si>
  <si>
    <t>https://issuu.com/phillips66co/docs/2022sustainabilityreport?fr=sYTYwYzUxMzk1MDc</t>
  </si>
  <si>
    <t>https://investor.phillips66.com/corporate-governance/person-details/default.aspx?ItemId=5ba02a9c-ee9a-4fb0-93b1-34ea30c859c6</t>
  </si>
  <si>
    <t>Executive Vice President, Emerging Energy and Sustainability</t>
  </si>
  <si>
    <t>$11,024</t>
  </si>
  <si>
    <t>$175,702</t>
  </si>
  <si>
    <t>https://www.marathonpetroleum.com/content/documents/Responsibility/DOWNLOAD%20MPC_MPLX%202021%20Sustainability%20Report.pdf</t>
  </si>
  <si>
    <t>https://www.marathonpetroleum.com/About/Leadership/#james-r-wilkins</t>
  </si>
  <si>
    <t>senior vice president, Health, Environment, Safety and Security of Marathon Petroleum Corporation</t>
  </si>
  <si>
    <t>$14,516</t>
  </si>
  <si>
    <t>$180,012</t>
  </si>
  <si>
    <t>https://www.cigna.com/static/www-cigna-com/docs/cigna-connects-2021-corporate-responsibility-report.pdf</t>
  </si>
  <si>
    <t>$6,668</t>
  </si>
  <si>
    <t>$180,516</t>
  </si>
  <si>
    <t>https://www.cardinalhealth.com/content/dam/corp/web/documents/Report/cardinal-health-fy22-ESG-report.pdf</t>
  </si>
  <si>
    <t>https://newsroom.cardinalhealth.com/2022-04-18-Cardinal-Health-names-Megan-Maltenfort-to-lead-Environmental,-Social-and-Governance</t>
  </si>
  <si>
    <t>Vice President, Environmental, Social and Governance (ESG)</t>
  </si>
  <si>
    <t>$-933</t>
  </si>
  <si>
    <t>$181,364</t>
  </si>
  <si>
    <t>https://group.pingan.com/resource/pingan/ESG/Report/pingan-sustainability-report-22.pdf</t>
  </si>
  <si>
    <t>$12,454</t>
  </si>
  <si>
    <t>$181,566</t>
  </si>
  <si>
    <t>https://www.abchina.com/en/aboutus/csr-report/202303/P020230331664255776160.pdf
https://www.abchina.com/en/aboutus/csr-report/202203/P020220507559489867566.pdf</t>
  </si>
  <si>
    <t>$38,524</t>
  </si>
  <si>
    <t>$187,061</t>
  </si>
  <si>
    <t>https://www.stellantis.com/content/dam/stellantis-corporate/sustainability/csr-disclosure/stellantis/2022/Stellantis-2022-CSR-Report.pdf</t>
  </si>
  <si>
    <t>https://www.stellantis.com/en/company/governance/top-executive-team</t>
  </si>
  <si>
    <t>Chief Communication &amp; CSR Officer</t>
  </si>
  <si>
    <t>$17,669</t>
  </si>
  <si>
    <t>$188,888</t>
  </si>
  <si>
    <t>https://query.prod.cms.rt.microsoft.com/cms/api/am/binary/RW15mgm</t>
  </si>
  <si>
    <t>company, supply and value chan</t>
  </si>
  <si>
    <t>https://www.microsoft.com/en-gb/store/b/sustainability</t>
  </si>
  <si>
    <t>$72,738</t>
  </si>
  <si>
    <t>$198,270</t>
  </si>
  <si>
    <t>http://en.ccb.com/eng/attachDir/2023/07/2023071716521332187.pdf</t>
  </si>
  <si>
    <t>$48,145</t>
  </si>
  <si>
    <t>$202,753</t>
  </si>
  <si>
    <t>https://v.icbc.com.cn/userfiles/Resources/ICBCLTD/download/2023/2022ESGen202303.pdf</t>
  </si>
  <si>
    <t>$53,589</t>
  </si>
  <si>
    <t>$214,766</t>
  </si>
  <si>
    <t>https://www.honhai.com/s3/reports/CSR/EN/2020/2020%E9%B4%BB%E6%B5%B7%20CSR%20report-%E8%8B%B1%E6%96%87%E7%89%88.pdf
https://www.honhai.com/s3/reports/CSR/EN/2021/HonHai_2021_Sustainability%20Report_EN.pdf</t>
  </si>
  <si>
    <t>https://www.honhai.com/s3/reports/CSR/EN/2021/HonHai_2021_Sustainability%20Report_EN.pdf</t>
  </si>
  <si>
    <t>suppy chain</t>
  </si>
  <si>
    <t>$4,751</t>
  </si>
  <si>
    <t>$222,535</t>
  </si>
  <si>
    <t>https://mobilecontent.costco.com/live/resource/img/static-us-landing-pages/5aClimate-Action-Plan.pdf</t>
  </si>
  <si>
    <t>$5,844</t>
  </si>
  <si>
    <t>$226,954</t>
  </si>
  <si>
    <t>https://images.samsung.com/is/content/samsung/assets/uk/sustainability/overview/Samsung_Electronics_Sustainability_Report_2022.pdf</t>
  </si>
  <si>
    <t>https://www.cdp.net/en/formatted_responses/responses?campaign_id=79520704&amp;discloser_id=966788&amp;locale=en&amp;organization_name=Samsung+Electronics&amp;organization_number=16191&amp;program=Investor&amp;project_year=2022&amp;redirect=https%3A%2F%2Fcdp.credit360.com%2Fsurveys%2F2022%2F6wz4wms4%2F186996&amp;survey_id=78646008</t>
  </si>
  <si>
    <t>Corporate Sustainability Vice President</t>
  </si>
  <si>
    <t>https://news.samsung.com/global/samsung-electronics-announces-new-environmental-strategy
https://www.samsung.com/levant/sustainability/environment/climate-action/</t>
  </si>
  <si>
    <t>$42,398</t>
  </si>
  <si>
    <t>$234,129</t>
  </si>
  <si>
    <t>https://www.amerisourcebergen.com/-/media/assets/amerisourcebergen/pdf/ab-fy22-esg-summary-report.pdf
https://www.amerisourcebergen.com/-/media/assets/amerisourcebergen/pdf/AmerisourceBergen_2021_GS_summaryreport.pdf</t>
  </si>
  <si>
    <t>https://www.amerisourcebergen.com/-/media/assets/amerisourcebergen/pdf/ab-fy22-esg-summary-report.pdf</t>
  </si>
  <si>
    <t>Senior Vice President, Global Sustainability &amp; ESG Integration
 Program Officer,</t>
  </si>
  <si>
    <t>$1,699</t>
  </si>
  <si>
    <t>$238,587</t>
  </si>
  <si>
    <t>https://www.chevron.com/-/media/shared-media/documents/chevron-sustainability-report-2022.pdf</t>
  </si>
  <si>
    <t>https://www.reuters.com/business/sustainable-business/chevron-commits-net-zero-emissions-by-2050-2021-10-11/</t>
  </si>
  <si>
    <t>$35,465</t>
  </si>
  <si>
    <t>$246,252</t>
  </si>
  <si>
    <t>https://www.bp.com/content/dam/bp/business-sites/en/global/corporate/pdfs/sustainability/group-reports/bp-sustainability-report-2022.pdf</t>
  </si>
  <si>
    <t>https://www.bp.com/en/global/corporate/who-we-are/board-and-executive-management/leadership-team/giulia-chierchia.html</t>
  </si>
  <si>
    <t>EVP, strategy, sustainability &amp; ventures</t>
  </si>
  <si>
    <t>https://www.bp.com/en/global/corporate/sustainability/getting-to-net-zero.html</t>
  </si>
  <si>
    <t>entire operations on an absolute basis</t>
  </si>
  <si>
    <t>$-2,487</t>
  </si>
  <si>
    <t>$248,891</t>
  </si>
  <si>
    <t>https://www.glencore.com/.rest/api/v1/documents/static/63d21a4e-30f6-40ca-b0f6-00ec64a718cf/GLEN_2022_sustainability_report.pdf</t>
  </si>
  <si>
    <t>https://www.weforum.org/people/anna-krutikov</t>
  </si>
  <si>
    <t>Head, Sustainable Development</t>
  </si>
  <si>
    <t>https://www.glencore.com/media-and-insights/news/Climate-Report-2020--Pathway-to-Net-Zero</t>
  </si>
  <si>
    <t xml:space="preserve"> total emissions footprint</t>
  </si>
  <si>
    <t>$17,320</t>
  </si>
  <si>
    <t>$255,984</t>
  </si>
  <si>
    <t>https://totalenergies.com/system/files/documents/2023-03/Sustainability_Climate_2023_Progress_Report_EN.pdf</t>
  </si>
  <si>
    <t>https://totalenergies.com/group/identity/governance/biographies/executive-committee-members</t>
  </si>
  <si>
    <t>President, Strategy &amp; Sustainability</t>
  </si>
  <si>
    <t>https://gasmobility.totalenergies.com/total-adopts-new-climate-ambition-get-net-zero-2050</t>
  </si>
  <si>
    <t>$20,526</t>
  </si>
  <si>
    <t>$263,310</t>
  </si>
  <si>
    <t>https://global.toyota/pages/global_toyota/ir/library/annual/2022_001_integrated_en.pdf</t>
  </si>
  <si>
    <t>https://www.reuters.com/business/sustainable-business/toyota-will-aim-make-its-factories-carbon-neutral-by-2035-says-exec-2021-06-11/</t>
  </si>
  <si>
    <t>factories+
company and value chain (1,2,3)</t>
  </si>
  <si>
    <t>$18,110</t>
  </si>
  <si>
    <t>$274,491</t>
  </si>
  <si>
    <t>https://www.mckesson.com/uploadedFiles/McKessoncom/Content/_Documents/About_McKesson/McKesson%20FY22%20FY23%20Impact%20Report.pdf</t>
  </si>
  <si>
    <t>https://www.mckesson.com/About-McKesson/Executive-Team/</t>
  </si>
  <si>
    <t>Executive Vice President &amp; Chief Impact Officer</t>
  </si>
  <si>
    <t>$3,560</t>
  </si>
  <si>
    <t>$276,711</t>
  </si>
  <si>
    <t>https://www.gstatic.com/gumdrop/sustainability/google-2022-environmental-report.pdf</t>
  </si>
  <si>
    <t>https://www.linkedin.com/in/katebrandt/</t>
  </si>
  <si>
    <t>all of our operations and value chain</t>
  </si>
  <si>
    <t>$59,972</t>
  </si>
  <si>
    <t>$282,836</t>
  </si>
  <si>
    <t>https://www.uniper.energy/sites/default/files/2023-04/2023_04_FY_2022_Uniper_Sustainability_Report.pdf</t>
  </si>
  <si>
    <t>Chief Operating Officer and Chief Sustainability Officer</t>
  </si>
  <si>
    <t>https://www.uniper.energy/news/uniper-accelerates-the-green-transformation-and-posts-exceptionally-strong-first-half-earnings#:~:text=It%20will%20end%20coal%2Dfired,and%202%20emissions%20by%202035.</t>
  </si>
  <si>
    <t>$-19,961</t>
  </si>
  <si>
    <t>$288,309</t>
  </si>
  <si>
    <t>https://www.volkswagen-group.com/en/reporting-15808</t>
  </si>
  <si>
    <t>https://www.cdp.net/en/formatted_responses/responses?campaign_id=79520704&amp;discloser_id=978558&amp;locale=en&amp;organization_name=Volkswagen+AG&amp;organization_number=20309&amp;program=Investor&amp;project_year=2022&amp;redirect=https%3A%2F%2Fcdp.credit360.com%2Fsurveys%2F2022%2F6wz4wms4%2F193352&amp;survey_id=78646008</t>
  </si>
  <si>
    <t>includes our supply chains, plants and business divisions and our customers’ use of the vehicles</t>
  </si>
  <si>
    <t>$15,223</t>
  </si>
  <si>
    <t>$293,685</t>
  </si>
  <si>
    <t>https://www.berkshirehathaway.com/2022ar/2022ar.pdf
https://www.berkshirehathaway.com/2021ar/2021ar.pdf</t>
  </si>
  <si>
    <t>https://www.brkenergy.com/about-us/leadership/cathy-s-woollums#:~:text=Woollums%20is%20responsible%20for%20developing,sustainability%20strategy%20throughout%20the%20company.</t>
  </si>
  <si>
    <t>$-22,819</t>
  </si>
  <si>
    <t>$302,089</t>
  </si>
  <si>
    <t>https://manager.wisdomir.com/files/409/2023/0427/20230427170001_82663644_en.pdf</t>
  </si>
  <si>
    <t>https://english.cscec.com/tzgx/reports/202206/P020220617672797745003.pdf
https://manager.wisdomir.com/files/409/2023/0427/20230427170001_82663644_en.pdf</t>
  </si>
  <si>
    <t>$4,234</t>
  </si>
  <si>
    <t>$305,885</t>
  </si>
  <si>
    <t>https://www.trafigura.com/media/3581/2022_trafigura_sustainability_report.pdf</t>
  </si>
  <si>
    <t>$6,994</t>
  </si>
  <si>
    <t>$318,476</t>
  </si>
  <si>
    <t>https://www.cvshealth.com/content/dam/enterprise/cvs-enterprise/pdfs/2021/cvs-health-ghg-verification-statement-2021.pdf
https://www.cvshealth.com/content/dam/enterprise/cvs-enterprise/pdfs/2019/cvs-health-ghg-verification-statement-2019.pdf</t>
  </si>
  <si>
    <t>https://investors.cvshealth.com/investors/corporate-governance/board-of-directors/person-details/default.aspx?ItemId=74af3569-8539-4123-90b3-b36530a28eb9</t>
  </si>
  <si>
    <t>https://www.cvshealth.com/content/dam/enterprise/cvs-enterprise/pdfs/2022/2022-ESGReport.pdf</t>
  </si>
  <si>
    <t>https://www.cvshealth.com/content/dam/enterprise/cvs-enterprise/pdfs/2022/2022-ESGReport.pdf
https://www.cvshealth.com/content/dam/enterprise/cvs-enterprise/pdfs/2022/2022-ESGReport-appendix.pdf</t>
  </si>
  <si>
    <t>$4,149</t>
  </si>
  <si>
    <t>$322,467</t>
  </si>
  <si>
    <t>https://sustainability.uhg.com/content/dam/sustainability-report/2022/pdf/2022-sustainability-report.pdf</t>
  </si>
  <si>
    <t>https://www.beckerspayer.com/payer/unitedhealth-group-commits-to-net-zero-carbon-emissions-going-paperless.html
https://sustainability.uhg.com/content/dam/sustainability-report/2022/pdf/2022-sustainability-report-Commitments.pdf</t>
  </si>
  <si>
    <t>$20,120</t>
  </si>
  <si>
    <t>$324,162</t>
  </si>
  <si>
    <t>https://reports.shell.com/sustainability-report/2022/_assets/downloads/shell-sustainability-report-2022.pdf</t>
  </si>
  <si>
    <t>https://www.shell.com/powering-progress/achieving-net-zero-emissions.html</t>
  </si>
  <si>
    <t>$42,309</t>
  </si>
  <si>
    <t>$386,201</t>
  </si>
  <si>
    <t>https://www.apple.com/environment/pdf/Apple_Environmental_Progress_Report_2023.pdf</t>
  </si>
  <si>
    <t>Vice President Environment, Policy and Social Initiatives -  In this capacity, her responsibilities include those of a Chief Sustainability Officer for Apple, reporting directly to Apple‘s CEO, Tim Cook</t>
  </si>
  <si>
    <t>https://www.apple.com/environment/pdf/Apple_Environmental_Progress_Report_2023.pdf
https://www.apple.com/newsroom/2020/07/apple-commits-to-be-100-percent-carbon-neutral-for-its-supply-chain-and-products-by-2030/
https://www.apple.com/newsroom/2020/07/apple-commits-to-be-100-percent-carbon-neutral-for-its-supply-chain-and-products-by-2030/</t>
  </si>
  <si>
    <t>2021 + 2030</t>
  </si>
  <si>
    <t>operations + entire product footprint</t>
  </si>
  <si>
    <t>$99,803</t>
  </si>
  <si>
    <t>$394,328</t>
  </si>
  <si>
    <t>https://corporate.exxonmobil.com/-/media/global/files/advancing-climate-solutions-progress-report/2023/2023-acs-ghg-data-supplement.pdf</t>
  </si>
  <si>
    <t>https://corporate.exxonmobil.com/news/reporting-and-publications/sustainability-report/governance/climate-governance</t>
  </si>
  <si>
    <t>Vice President-Global Operations &amp; Sustainability</t>
  </si>
  <si>
    <t>https://corporate.exxonmobil.com/-/media/global/files/advancing-climate-solutions-progress-report/2023/2023-advancing-climate-solutions-progress-report.pdf
https://corporate.exxonmobil.com/news/news-releases/2022/0118_exxonmobil-announces-ambition-for-net-zero-greenhouse-gas-emissions-by-2050</t>
  </si>
  <si>
    <t>$55,740</t>
  </si>
  <si>
    <t>$413,680</t>
  </si>
  <si>
    <t>http://www.sinopecgroup.com/group/en/Resource/Pdf/SustainReport2022en.pdf
http://www.sinopec.com/listco/en/Resource/Pdf/2023032506.pdf</t>
  </si>
  <si>
    <t>http://www.sinopecgroup.com/group/en/Resource/Pdf/SustainReport2022en.pdf</t>
  </si>
  <si>
    <t>$9,657</t>
  </si>
  <si>
    <t>$471,154</t>
  </si>
  <si>
    <t>http://iis.aastocks.com/20230330/10653446-0.PDF
http://www.petrochina.com.cn/petrochina/xhtml/images/shyhj/2021esgen.pdf</t>
  </si>
  <si>
    <t>http://www.petrochina.com.cn/ptr/xhtml/images/2021esgen.pdf
http://iis.aastocks.com/20230330/10653446-0.PDF</t>
  </si>
  <si>
    <t>$21,080</t>
  </si>
  <si>
    <t>$483,019</t>
  </si>
  <si>
    <t>https://sustainability.aboutamazon.co.uk/2022-sustainability-report.pdf</t>
  </si>
  <si>
    <t>https://s2.q4cdn.com/299287126/files/doc_financials/2023/ar/Amazon-2022-Annual-Report.pdf</t>
  </si>
  <si>
    <t>Vice President of Worldwide Sustainability</t>
  </si>
  <si>
    <t>https://sustainability.aboutamazon.com/2021-sustainability-report.pdf
https://sustainability.aboutamazon.com/amazon-2021-carbon-neutralization.pdf</t>
  </si>
  <si>
    <t>across our business (operations)</t>
  </si>
  <si>
    <t>$-2,722</t>
  </si>
  <si>
    <t>$513,983</t>
  </si>
  <si>
    <t>http://www.sgcc.com.cn/html/files/2022-06/10/20220610161501291488481.pdf</t>
  </si>
  <si>
    <t>$8,192</t>
  </si>
  <si>
    <t>$530,009</t>
  </si>
  <si>
    <t>https://www.aramco.com/-/media/downloads/sustainability-report/report-2022/2022-sustainability-report-en.pdf</t>
  </si>
  <si>
    <t>https://gccbdi.org/events/eventdetails.aspx?id=1572767#:~:text=Matthew%20Bateson%2C%20Chief%20Sustainability%20Officer%2C%20Saudi%20Aramco</t>
  </si>
  <si>
    <t>across wholly-owned operated assets</t>
  </si>
  <si>
    <t>$159,069</t>
  </si>
  <si>
    <t>$603,651</t>
  </si>
  <si>
    <t>https://corporate.walmart.com/esgreport/esg-issues/climate-change</t>
  </si>
  <si>
    <t>https://corporate.walmart.com/esgreport/esg-oversight-and-management</t>
  </si>
  <si>
    <t>https://corporate.walmart.com/esgreport/media-library/document/walmart-fy2023-esg-highlights/_proxyDocument?id=00000188-7cfc-df51-a9b9-7ffca4320000
https://corporate.walmart.com/esgreport/environmental/climate-change
https://corporate.walmart.com/newsroom/2020/09/21/walmart-sets-goal-to-become-a-regenerative-company</t>
  </si>
  <si>
    <t>$11,680</t>
  </si>
  <si>
    <t>$611,289</t>
  </si>
  <si>
    <t>Emissions data source</t>
  </si>
  <si>
    <t>Total emissions (previous year)</t>
  </si>
  <si>
    <t>Scope 1 + 2 emissions (previous year) (market-based)</t>
  </si>
  <si>
    <t>Scope 3 emissions (previous year)</t>
  </si>
  <si>
    <t>Scope 2 emissions (previous year) (market-based)</t>
  </si>
  <si>
    <t>Scope 2 emissions (previous year) (location-based)</t>
  </si>
  <si>
    <t>Scope 1 emissions (previous year)</t>
  </si>
  <si>
    <t>Previous year</t>
  </si>
  <si>
    <t>Total emissions (reporting year)</t>
  </si>
  <si>
    <t>Scope 1 + 2 emissions (reporting year) (market-based)</t>
  </si>
  <si>
    <t>Scope 3 complete? (Y/N)</t>
  </si>
  <si>
    <t>Scope 3 emissions (reporting year)</t>
  </si>
  <si>
    <t>Scope 2 emissions (reporting year) (market-based)</t>
  </si>
  <si>
    <t>Scope 2 emissions (reporting year) (location-based)</t>
  </si>
  <si>
    <t>Scope 1 emissions (reporting year)</t>
  </si>
  <si>
    <t>Most recent reporting year</t>
  </si>
  <si>
    <t>+ = the date of the later target</t>
  </si>
  <si>
    <t>+ = the scope of the later target</t>
  </si>
  <si>
    <t>V = value chain, C = company, S = subsidiary, U = unclear, x = less than 25% rev, + = the scope of the later target, SBTi = target approved under SBTi's Net Zero standard, SBTi? = have a net zero target listed by SBTi but unclear whether this is under the new standard</t>
  </si>
  <si>
    <t>C = company, V = value chain, G= government, F = financed emissions, + = the scope of the later target</t>
  </si>
  <si>
    <t>Title</t>
  </si>
  <si>
    <t>CSO or equivalent</t>
  </si>
  <si>
    <t xml:space="preserve">From </t>
  </si>
  <si>
    <t>Scope of target in their own words</t>
  </si>
  <si>
    <t>Scope of target</t>
  </si>
  <si>
    <t>Profits ($M)</t>
  </si>
  <si>
    <t>Revenue ($M)</t>
  </si>
  <si>
    <r>
      <rPr>
        <b/>
        <sz val="11"/>
        <color theme="1"/>
        <rFont val="Aptos Narrow"/>
        <family val="2"/>
        <scheme val="minor"/>
      </rPr>
      <t>Emissions</t>
    </r>
    <r>
      <rPr>
        <sz val="11"/>
        <color theme="1"/>
        <rFont val="Aptos Narrow"/>
        <family val="2"/>
        <scheme val="minor"/>
      </rPr>
      <t xml:space="preserve"> - source: desk-based research undertaken by Climate Impact Partners conducted between June and August 2023. See methodology section of full report for more details. Download full report via https://www.climateimpact.com/news-insights/fortune-global-500-climate-commitments/</t>
    </r>
  </si>
  <si>
    <r>
      <rPr>
        <b/>
        <sz val="11"/>
        <color theme="1"/>
        <rFont val="Aptos Narrow"/>
        <family val="2"/>
        <scheme val="minor"/>
      </rPr>
      <t>CSO</t>
    </r>
    <r>
      <rPr>
        <sz val="11"/>
        <color theme="1"/>
        <rFont val="Aptos Narrow"/>
        <family val="2"/>
        <scheme val="minor"/>
      </rPr>
      <t xml:space="preserve"> - source: desk-based research undertaken by Climate Impact Partners conducted between June and August 2023. See methodology section of full report for more details. Download full report via https://www.climateimpact.com/news-insights/fortune-global-500-climate-commitments/</t>
    </r>
  </si>
  <si>
    <r>
      <rPr>
        <b/>
        <sz val="11"/>
        <color rgb="FF000000"/>
        <rFont val="Aptos Narrow"/>
        <scheme val="minor"/>
      </rPr>
      <t>Net zero</t>
    </r>
    <r>
      <rPr>
        <sz val="11"/>
        <color rgb="FF000000"/>
        <rFont val="Aptos Narrow"/>
        <scheme val="minor"/>
      </rPr>
      <t xml:space="preserve"> - source: desk-based research undertaken by Climate Impact Partners conducted between June and August 2023. See methodology section of full report for more details. Download full report via https://www.climateimpact.com/news-insights/fortune-global-500-climate-commitments/</t>
    </r>
  </si>
  <si>
    <r>
      <t xml:space="preserve">Carbon neutral </t>
    </r>
    <r>
      <rPr>
        <sz val="11"/>
        <color rgb="FF000000"/>
        <rFont val="Aptos Narrow"/>
        <family val="2"/>
        <scheme val="minor"/>
      </rPr>
      <t>- source: desk-based research undertaken by Climate Impact Partners conducted between June and August 2023. See methodology section of full report for more details. Download full report via https://www.climateimpact.com/news-insights/fortune-global-500-climate-commitments/</t>
    </r>
  </si>
  <si>
    <r>
      <t xml:space="preserve">Science Based Targets </t>
    </r>
    <r>
      <rPr>
        <sz val="11"/>
        <color rgb="FF000000"/>
        <rFont val="Aptos Narrow"/>
        <family val="2"/>
        <scheme val="minor"/>
      </rPr>
      <t>- source: Science Based Targets initiative, accessed 7 August 2023 https://sciencebasedtargets.org/download/excel</t>
    </r>
  </si>
  <si>
    <r>
      <t xml:space="preserve">RE100  </t>
    </r>
    <r>
      <rPr>
        <sz val="11"/>
        <color rgb="FF000000"/>
        <rFont val="Aptos Narrow"/>
        <family val="2"/>
        <scheme val="minor"/>
      </rPr>
      <t>- source: RE100 (The Climate Group), 2021 Progress and Insights Annual Report https://www.there100.org/stepping-re100-gathers-speed-challenging-markets and member page https://www.there100.org/re100-members accessed on 7 August 2023</t>
    </r>
  </si>
  <si>
    <r>
      <t>Company information</t>
    </r>
    <r>
      <rPr>
        <sz val="11"/>
        <color rgb="FF000000"/>
        <rFont val="Aptos Narrow"/>
        <family val="2"/>
        <scheme val="minor"/>
      </rPr>
      <t xml:space="preserve"> - source: Fortune, accessed 2 August 2023 https://fortune.com/global500/</t>
    </r>
  </si>
  <si>
    <t>sum</t>
  </si>
  <si>
    <t xml:space="preserve">other </t>
  </si>
  <si>
    <t>Our priority is to reduce the amount of carbon dioxide-equivalent (CO2e) emissions in the atmosphere, as we move towards our target to reduce absolute emissions of our own operations1 by 60 percent in 2025, by 70 percent in 20292 and finally to net-zero in 2030.</t>
  </si>
  <si>
    <t>https://www.zurich.com/sustainability/planet/net-zero-in-operations</t>
  </si>
  <si>
    <t>operations, investment portfolio</t>
  </si>
  <si>
    <t>C, F</t>
  </si>
  <si>
    <t>https://www.zurich.com/en/sustainability/highlights-2023</t>
  </si>
  <si>
    <t>DT</t>
  </si>
  <si>
    <t>DT - AJ</t>
  </si>
  <si>
    <t>https://www.zijinmining.com/news/news-detail-119642.htm#:~:text=The%20Plan%20also%20lays%20out,approach%20to%20achieving%20carbon%20neutrality%3A&amp;text=In%20the%20short%20term%20(2023,while%20maintaining%20significant%20business%20growth.</t>
  </si>
  <si>
    <t>AJ</t>
  </si>
  <si>
    <t>https://global.geely.com/en/news/2024/geely-released-sustainability-report-2023</t>
  </si>
  <si>
    <t>carbon neutrality</t>
  </si>
  <si>
    <t>operations, entire value chain</t>
  </si>
  <si>
    <t>C, V</t>
  </si>
  <si>
    <t>EC</t>
  </si>
  <si>
    <t>I</t>
  </si>
  <si>
    <t>https://www.zf.com/master/media/corporate/m_zf_com/sustainability/environment_health_safety_ehs/ZF_CDP_Climate_Change_Questionnaire_2022_download.pdf</t>
  </si>
  <si>
    <t>https://www.zf.com/master/media/en/corporate/m_zf_com/company/bonds_relations_/financial_reports/annual_report/2023_3/ZF_AnnualReport23.pdf</t>
  </si>
  <si>
    <t>all scopes</t>
  </si>
  <si>
    <t>1.5Â°C</t>
  </si>
  <si>
    <t>To support the global aspiration of reaching net zero by 20504
, we are committed to reducing our Scope 1 and Scope
2 GHG emissions</t>
  </si>
  <si>
    <t>https://cdn.cnbj1.fds.api.mi-img.com/staticsfile/svhc/climate%20action%20report/whitepaperonclimateactionXiaomicorp.pdf</t>
  </si>
  <si>
    <t xml:space="preserve">C  </t>
  </si>
  <si>
    <t>https://static.cninfo.com.cn/finalpage/2024-04-24/1219769307.PDF</t>
  </si>
  <si>
    <t>Carbon Neutrality</t>
  </si>
  <si>
    <t>file:///C:/Users/DevanshTandon/Downloads/x5-sr2023-eng.pdf</t>
  </si>
  <si>
    <t>We have not yet publicly set climaterelated targets, but we are working on
establishing goals and targets aimed at
reducing our scope 1, 2 and 3 carbon
emissions.</t>
  </si>
  <si>
    <t>https://www.woolworthsgroup.com.au/content/dam/wwg/investors/reports/f23/full-year/Woolworths%20Group%202023%20Sustainability%20Report.pdf</t>
  </si>
  <si>
    <t>net positive carbon emissions</t>
  </si>
  <si>
    <t>but plan to set one this year (if not SBT validated yet)</t>
  </si>
  <si>
    <t>https://www.wilmar-international.com/docs/default-source/default-document-library/sustainability/sr2023.pdf</t>
  </si>
  <si>
    <t>https://www.wellsfargo.com/assets/pdf/about/corporate-responsibility/sustainability-and-governance-report.pdf
https://newsroom.wf.com/English/news-releases/news-release-details/2021/Wells-Fargo-Sets-Goal-to-Achieve-Net-Zero-Greenhouse-Gas-Emissions-by-2050/default.aspx</t>
  </si>
  <si>
    <t>https://www.wellsfargo.com/assets/pdf/about/corporate-responsibility/sustainability-and-governance-report.pdf</t>
  </si>
  <si>
    <t>R</t>
  </si>
  <si>
    <t>purchase carbon removal credits for</t>
  </si>
  <si>
    <t>Scope 1 and 2 of our operational 
GHG emissions</t>
  </si>
  <si>
    <t>https://impact.disney.com/app/uploads/2024/03/2023-SSI-Report-4.pdf
https://impact.disney.com/environment/environmental-sustainability/</t>
  </si>
  <si>
    <t>In 2020, we raised our aspiration to reduce emissions in our operations (Scopes 1 &amp; 2) by realigning our science-based target to a 1.5 degree Celsius trajectory, the highest ambition approved by the SBTi. Our goal is to achieve zero emissions across Walmartâ€™s global operations by 2040, reducing absolute Scopes 1 and 2 GHG emissions 35% by 2025 and 65% by 2030 from our 2015 base year. We were the first U.S. retailer to make a zero emissions commitment that does not rely on carbon offsets.</t>
  </si>
  <si>
    <t>https://corporate.walmart.com/content/dam/corporate/documents/purpose/environmental-social-and-governance-report-archive/walmart-fy2022-esg-summary.pdf</t>
  </si>
  <si>
    <t>https://corporate.walmart.com/purpose/esgreport/environmental/climate-change
https://corporate.walmart.com/content/dam/corporate/documents/purpose/environmental-social-and-governance-report-archive/walmart-fy2022-esg-summary.pdf</t>
  </si>
  <si>
    <t>Scope 1 + 2</t>
  </si>
  <si>
    <t>DT - EC</t>
  </si>
  <si>
    <t>also have a scope 2 only goal for 2030
In fiscal 2021, Boots UK collaborated with other UK retailers on a roadmap
for the industry to achieve net zero emissions by 2040, including net zero
Scope 2 emissions by 2030, Scope 1 by 2035 and Scope 3 by 2040.</t>
  </si>
  <si>
    <t>https://www.walgreensbootsalliance.com/sites/www/files/2024-04/ESG%20Report%202023.pdf</t>
  </si>
  <si>
    <t>Scope 1 and 2, scope 3</t>
  </si>
  <si>
    <t>DT *</t>
  </si>
  <si>
    <t>VTB Bank</t>
  </si>
  <si>
    <t>https://vp272.alertir.com/afw/files/press/volvocar/202403050374-1.pdf\</t>
  </si>
  <si>
    <t>1.5Â°C/Well-below 2Â°C</t>
  </si>
  <si>
    <t>We aim to achieve net carbon neutrality by 2050. 
Finally, unavoidable CO2 emissions are offset in selected
cases through climate protection projects that meet the
highest international standards.</t>
  </si>
  <si>
    <t>https://www.volkswagen-group.com/en/publications/more/group-sustainability-report-2023-2674
https://www.volkswagen-newsroom.com/en/press-releases/way-to-zero-volkswagen-presents-roadmap-for-climate-neutral-mobility-7081</t>
  </si>
  <si>
    <t>https://www.volkswagen-group.com/en/publications/more/group-sustainability-report-2023-2674/download?disposition=attachment</t>
  </si>
  <si>
    <t>Net Carbon Neutrality</t>
  </si>
  <si>
    <t xml:space="preserve">Supply chain </t>
  </si>
  <si>
    <t>1.5Â°C/2Â°C</t>
  </si>
  <si>
    <t>https://www.vodafone.co.uk/newscentre/news/group-net-zero-carbon-emissions-by-2040/</t>
  </si>
  <si>
    <t>Scope 1 and 2, Scope 1, 2 and 3</t>
  </si>
  <si>
    <t>https://usa.visa.com/content/dam/VCOM/regional/na/us/about-visa/documents/2023-corporate-responsibility-sustainability-report.pdf
https://www.esgtoday.com/visa-reaches-carbon-neutrality-launches-initiatives-to-become-climate-positive/#:~:text=Global%20payments%20technology%20company%20Visa,net%20zero%20emissions%20by%202040.</t>
  </si>
  <si>
    <t>https://usa.visa.com/content/dam/VCOM/regional/na/us/about-visa/documents/2023-corporate-responsibility-sustainability-report.pdf</t>
  </si>
  <si>
    <t>01/06/2022</t>
  </si>
  <si>
    <t>Visa</t>
  </si>
  <si>
    <t>https://www.vinci.com/publi/vinci/extract/2023_annual_report_extract-sustainability.pdf</t>
  </si>
  <si>
    <t>direct scope of business activities</t>
  </si>
  <si>
    <t>Well-below 2Â°C</t>
  </si>
  <si>
    <t>https://www.vibraenergia.com.br/sites/default/files/2024-07/ENG%20Vibra_RS23_resumida_Final_0.pdf</t>
  </si>
  <si>
    <t>Neutralize Emissions</t>
  </si>
  <si>
    <t>https://www.verizon.com/about/sites/default/files/Verizon-2023-ESG-Report.pdf
https://www.verizon.com/about/sites/default/files/Verizon-2023-ESG-Report.pdf#page=44&amp;zoom=-3276800,58,102</t>
  </si>
  <si>
    <t>https://www.veolia.com/en/our-media/news/cop26-veolia-preparing-double-its-commitments-reducing-ghg-emissions-while</t>
  </si>
  <si>
    <t>https://www.veolia.com/sites/g/files/dvc4206/files/document/2023/08/veolia-esg-multifaceted-performance-progress-report-2023.pdf</t>
  </si>
  <si>
    <t>Cannot find the road map report or exact date of CN pledge.</t>
  </si>
  <si>
    <t>https://www.valero.com/sites/default/files/valero-documents/2023_ESG_Report.pdf</t>
  </si>
  <si>
    <t>https://www.valero.com/responsibility/esg-environmental-social-governance</t>
  </si>
  <si>
    <t>100% reduced or displaced</t>
  </si>
  <si>
    <t>scope 1 and 2, scope 1, 2, 3, and 4</t>
  </si>
  <si>
    <t>EC - AJ</t>
  </si>
  <si>
    <t>https://www.iea.org/reports/net-zero-by-2050</t>
  </si>
  <si>
    <t>Removed</t>
  </si>
  <si>
    <t>We are purchasing carbon offsets to address unavoidable emissions in
our value chain.2</t>
  </si>
  <si>
    <t>https://www.unitedhealthgroup.com/content/dam/sustainability-report/2023/pdf/2023-UHG-Sustainability-Report.pdf</t>
  </si>
  <si>
    <t>https://about.ups.com/us/en/our-company/governance/carbon-neutral-credentials.html</t>
  </si>
  <si>
    <t>https://investors.ups.com/_assets/_a138e0da0b0f0d7928d66224cfef60a3/ups/files/pages/ups/db/1149/description/UPS_Sustainability_Strategy_2023.pdf</t>
  </si>
  <si>
    <t>scope 1, 2 and 3 emissions.</t>
  </si>
  <si>
    <t>https://www.hemispheresmag.com/information/united/how-united-plans-to-reach-net-zero-emissions-by-2050/#:~:text=In%20December%202020%2C%20we%20announced,re%20on%20the%20right%20path.</t>
  </si>
  <si>
    <t>https://crreport.united.com/</t>
  </si>
  <si>
    <t>https://crreport.united.com/environmental-sustainability/</t>
  </si>
  <si>
    <t>reduce 100% of emissions</t>
  </si>
  <si>
    <t>https://www.uniper.energy/sites/default/files/2024-04/2023%20Sustainability%20Report%20EN.pdf</t>
  </si>
  <si>
    <t>https://www.unilever.com/files/92ui5egz/production/2a44a1a76f4899f09a2d745ccdd86d0b65185eb5.pdf</t>
  </si>
  <si>
    <t>https://climatechampions.unfccc.int/unilevers-journey-towards-net-zero-value-chain-emissions-by-2039/</t>
  </si>
  <si>
    <t>Net Zero emissions</t>
  </si>
  <si>
    <t>https://www.unicreditgroup.eu/content/dam/unicreditgroup-eu/documents/en/sustainability/sustainability-reports/2023/UniCredit_Integrated_Report_2023.pdf</t>
  </si>
  <si>
    <t>https://www.ubs.com/global/en/media/display-page-ndp/en-20220311-ubs-2021-sustainability.html</t>
  </si>
  <si>
    <t>https://www.ubs.com/content/dam/assets/cc/investor-relations/sustainability-report/2023/sustainability-report-2023.pdf</t>
  </si>
  <si>
    <t>scope 1 and 2, and specified scope 3 activities</t>
  </si>
  <si>
    <t>https://s23.q4cdn.com/407969754/files/doc_downloads/2024/04/Uber-2024-Environmental-Social-and-Governance-Report.pdf</t>
  </si>
  <si>
    <t xml:space="preserve">The Postal Service does not have a design and construction policy for net-zero emissions. </t>
  </si>
  <si>
    <t>https://www.sustainability.gov/pdfs/usps-2022-sustainability-plan.pdf</t>
  </si>
  <si>
    <t>https://s203.q4cdn.com/711684571/files/doc_financials/2023/ar/USBank_CorporateResponsibilityReport2023_FINAL.pdf</t>
  </si>
  <si>
    <t>across enterprise</t>
  </si>
  <si>
    <t>In 2021, our ambition to achieve net-zero GHG emissions, including Scopes 1, 2 and 3 emissions, by 2050</t>
  </si>
  <si>
    <t>https://www.tysonfoods.com/news/news-releases/2021/6/tyson-foods-targets-2050-achieve-net-zero-greenhouse-gas-emissions#:~:text=%E2%80%93%20June%209%2C%202021%20%E2%80%93%20Tyson,scopes%201%2C%202%20and%203.</t>
  </si>
  <si>
    <t>https://www.tysonfoods.com/sites/default/files/2023-10/Tyson%20Foods%20Sustainability%20Report%20FY2022%20%281%29.pdf</t>
  </si>
  <si>
    <t>Net-Zero GHG emissions</t>
  </si>
  <si>
    <t>2Â°C</t>
  </si>
  <si>
    <t>could not find anything for this company or access their website</t>
  </si>
  <si>
    <t>https://filecache.investorroom.com/mr5ir_truist/877/Truist2023TCFD.pdf</t>
  </si>
  <si>
    <t xml:space="preserve">U </t>
  </si>
  <si>
    <t>https://sustainability.travelers.com/iw-documents/sustainability/Travelers_SustainabilityReport2023.pdf</t>
  </si>
  <si>
    <t>owned operations</t>
  </si>
  <si>
    <t>In 2022 we set out our (1) medium-term 2032 target of a 50 percent reduction against a FY2020 baseline;
and (2) our roadmap to achieve operational carbon neutrality by 2050.
Steps to achieve carbon neutrality by 2050: 8 Offsetting residual emissions</t>
  </si>
  <si>
    <t>https://www.trafigura.com/media/1rrfvprh/2023-trafigura-2023-sustainability-report.pdf</t>
  </si>
  <si>
    <t xml:space="preserve">operational Scope 1 and 2 </t>
  </si>
  <si>
    <t>"we will also seek to create and sell carbon credits through forest conservation and agribusiness"</t>
  </si>
  <si>
    <t>https://www.toyota-tsusho.com/english/ir/library/integrated-report/pdf/ar2023e_all.pdf</t>
  </si>
  <si>
    <t>CCUS only</t>
  </si>
  <si>
    <t>https://www.toyota-tsusho.com/sustainability/environment/climate-change.html#anc-01
https://www.toyota-tsusho.com/english/press/detail/210708_004862.html</t>
  </si>
  <si>
    <t>carbon neutrality (but more in line with NZ definition)</t>
  </si>
  <si>
    <t>no announcement year found</t>
  </si>
  <si>
    <t>2035 target in 2021 but looks like they've walked back on this  https://www.reuters.com/business/sustainable-business/toyota-will-aim-make-its-factories-carbon-neutral-by-2035-says-exec-2021-06-11/</t>
  </si>
  <si>
    <t>https://global.toyota/pages/global_toyota/sustainability/report/sdb/sdb24_en.pdf</t>
  </si>
  <si>
    <t>scope 1, 2, 3 (all categories)</t>
  </si>
  <si>
    <t>AJ - DT</t>
  </si>
  <si>
    <t>Only in 2030 will TotalEnergies begin voluntary offsetting 
its residual emissions via NBS (Nature Based Solutions) 
carbon credits and will offset only Companyâ€™s Scope 1+2 
residual emissions.</t>
  </si>
  <si>
    <t>https://totalenergies.com/system/files/documents/2024-03/totalenergies_sustainability-climate-2024-progress-report_2024_en_pdf.pdf
https://totalenergies.com/news/carbon-neutrality-central-to-the-groups-climate-ambition</t>
  </si>
  <si>
    <t>https://totalenergies.com/system/files/documents/2024-03/totalenergies_sustainability-climate-2024-progress-report_2024_en_pdf.pdf</t>
  </si>
  <si>
    <t>offsetting residual emissions, carbon neutrality (uses net-zero also)</t>
  </si>
  <si>
    <t>Scope 1+2, operations worldwide from production to the use of the energy products sold to its customers</t>
  </si>
  <si>
    <t>practise set</t>
  </si>
  <si>
    <t>https://www.td.com/content/dam/tdcom/canada/about-td/pdf/esg/td-climate-action-plan-2023-progress-update-en.pdf</t>
  </si>
  <si>
    <t>https://www.td.com/content/dam/tdcom/canada/about-td/pdf/esg/2023-sustainability-report-en.pdf#page=76
https://www.td.com/content/dam/tdcom/canada/about-td/pdf/esg/2022-esg-report.pdf</t>
  </si>
  <si>
    <t>https://www.td.com/content/dam/tdcom/canada/about-td/pdf/esg/2023-sustainability-report-en.pdf#page=76</t>
  </si>
  <si>
    <t>became carbon neutral</t>
  </si>
  <si>
    <t>1,2 + some of 3</t>
  </si>
  <si>
    <t>https://www.tongwei.com.cn/uploads/20240605/3d1f3e6cb01513492c5c8637a7cb41da.pdf</t>
  </si>
  <si>
    <t>Operations and supply chain</t>
  </si>
  <si>
    <t>https://www.tepco.co.jp/en/hd/about/ir/library/integratedreport/pdf/TP2023_en_web.pdf</t>
  </si>
  <si>
    <t>Net-Zero emissions</t>
  </si>
  <si>
    <t>own operations and investees</t>
  </si>
  <si>
    <t>https://www.tokiomarinehd.com/en/sustainability/environment/#:~:text=Tokio%20Marine%20Group%20is%20engaged,as%20appropriate%20for%20each%20structure.&amp;text=*%20Upgrading%20to%20boilers%2C%20high%2D,and%20air%20conditioning%2C%20etc.
https://www.tokiomarinehd.com/en/release_topics/release/2023/k82ffv000000gmjd-att/20230912_carbon_e.pdf
https://www.tokiomarinehd.com/en/sustainability/pdf/sustainability_web_2023.pdf</t>
  </si>
  <si>
    <t>https://www.tokiomarinehd.com/en/sustainability/pdf/sustainability_web_2023.pdf</t>
  </si>
  <si>
    <t>https://investor.tjx.com/news-releases/news-release-details/tjx-companies-inc-announces-new-global-environmental-goals
https://www.tjx.com/docs/default-source/corporate-responsibility/tjx-2023-global-corporate-responsibility-report.pdf</t>
  </si>
  <si>
    <t>Net Zero GHG emissions</t>
  </si>
  <si>
    <t>some countries are CN eg. TJX Canada since 2019</t>
  </si>
  <si>
    <t>https://www.tjx.com/docs/default-source/corporate-responsibility/tjx-2023-global-corporate-responsibility-report.pdf</t>
  </si>
  <si>
    <t>Scope 1 and 2, Scope 1,2 and 3</t>
  </si>
  <si>
    <t>https://corporate.thermofisher.com/content/dam/tfcorpsite/documents/corporate-social-responsibility/annual-reports/2023_Thermo-Fisher-CSR-Report.pdf</t>
  </si>
  <si>
    <t>Net-Zero</t>
  </si>
  <si>
    <t>https://www.tescoplc.com/tesco-commits-to-net-zero-supply-chain-and-products-by-2050/</t>
  </si>
  <si>
    <t>https://www.tescoplc.com/sustainability/planet/climate-change</t>
  </si>
  <si>
    <t>Group operations</t>
  </si>
  <si>
    <t>It is estimated that by 2030, Tencent will drive emissions reductions in our operations (Scope 1 + Scope 2 +
employee travel/commuting) through proactive emission reductions, while advancing emissions reductions
in our supply chain (Scope 3). For a few parts of the supply chain in which it is difficult to reduce emissions,
mainly equipment procurement and building materials, we will carry out offsetting by buying carbon
emission reduction credits to achieve overall carbon neutrality in our Scopes 1-3.</t>
  </si>
  <si>
    <t xml:space="preserve">https://static.www.tencent.com/attachments/TencentCarbonNeutralityTargetandRoadmapReport.pdf
https://chinawaterrisk.org/opinions/tencents-carbon-neutrality-roadmap-and-its-progress/#:~:text=Tencent%20pledges%20to%20achieve%20carbon,the%201.5%C2%B0C%20goal.
</t>
  </si>
  <si>
    <t>https://static.www.tencent.com/attachments/TencentCarbonNeutralityTargetandRoadmapReport.pdf</t>
  </si>
  <si>
    <t>operations &amp; supply chain</t>
  </si>
  <si>
    <t>Achieve net zero emissions by 2040, including our value chain. To do this, we will reduce all our emissions by at least 90% and neutralise the remaining emissions through nature-based solutions.</t>
  </si>
  <si>
    <t>https://www.telefonica.com/en/wp-content/uploads/sites/5/2024/04/esg-highlights-2023.pdf</t>
  </si>
  <si>
    <t>all scopes - sbt</t>
  </si>
  <si>
    <t>https://www.telefonica.com/en/communication-room/press-room/telefonica-commits-to-a-90-reduction-of-its-operational-emissions-by-2030/</t>
  </si>
  <si>
    <t>net zero emissions</t>
  </si>
  <si>
    <t>pg 10 https://www.tdsynnex.com/content/dam/tds-site/tds-site-shared/docs/corporate-citizenship/td-synnex-2022-corporate-citizenship-report.pdf</t>
  </si>
  <si>
    <t>https://ir.tdsynnex.com/news/press-release-details/2024/TD-SYNNEX-Net-Zero-Targets-Approved-by-SBTi/default.aspx</t>
  </si>
  <si>
    <t>Net-Zero greenhouse gas emissions</t>
  </si>
  <si>
    <t>https://www.tatamotors.com/wp-content/uploads/2023/10/annual-csr-report-2022-23.pdf</t>
  </si>
  <si>
    <t>By 2040, Target commits to net zero greenhouse
gas emissions4
 across our enterprise (scopes 1, 2
and 3).</t>
  </si>
  <si>
    <t>https://corporate.target.com/getmedia/e4f81467-57ab-4787-a5a7-ab6efb7dd05c/Target-2023-Sustainability-and-Governance-Report.pdf</t>
  </si>
  <si>
    <t>https://www.talanx.com/media/Files/talanx-gruppe/nachhaltigkeitsberichte/Talanx_Nachhaltigkeitsbericht_2023_en.pdf</t>
  </si>
  <si>
    <t>global operations, underwriting and investments</t>
  </si>
  <si>
    <t>german office accounting for 38% of employees has been CN since 2019</t>
  </si>
  <si>
    <t>https://www.talanx.com/en/talanx-group/sustainability/achieving_climate_neutrality</t>
  </si>
  <si>
    <t>https://esg.tsmc.com/download/csr/TSMC_TCFD_Report_E.pdf</t>
  </si>
  <si>
    <t>https://www.reuters.com/technology/chipmaker-tsmc-aims-net-zero-emissions-by-2050-2021-09-16/</t>
  </si>
  <si>
    <t>DT**</t>
  </si>
  <si>
    <t>Swiss Re increased the internal carbon 
price on in-scope operational emissions 
to USD 123 per tonne of CO2e (see 
Sustainable operations, page 91).</t>
  </si>
  <si>
    <t>https://www.swissre.com/media/press-release/nr-20210316-swiss-re-announces-ambitious-climate-targets.html</t>
  </si>
  <si>
    <t>https://www.swissre.com/dam/jcr:52d75760-2c43-4d96-be2f-0514382ac51a/2023-sustainability-report-en.pdf</t>
  </si>
  <si>
    <t>ner-zero emissions</t>
  </si>
  <si>
    <t>operations, re/insurance business</t>
  </si>
  <si>
    <t>have goals to increase percentage of credits that are removal credits to 100% in 2030</t>
  </si>
  <si>
    <t>https://www.swissre.com/sustainability/sustainable-operations/greenhouse-neutral-programme.html</t>
  </si>
  <si>
    <t xml:space="preserve">Greenhouse Neutral </t>
  </si>
  <si>
    <t>could not find anything on website or any press releases</t>
  </si>
  <si>
    <t>https://www.suncor.com/en-ca/news-and-stories/suncors-response-to-recent-changes-competition-act</t>
  </si>
  <si>
    <t>https://www.smfg.co.jp/english/sustainability/common/pdf/2022/2022SustainabilityReportEN_03.pdf</t>
  </si>
  <si>
    <t>https://www.smfg.co.jp/english/sustainability/common/pdf/2022/2022SustainabilityReportEN_all.pdf</t>
  </si>
  <si>
    <t>groupwide operation, investment and loan portfolio</t>
  </si>
  <si>
    <t>https://www.sumitomocorp.com/en/jp/sustainability/communication/asset/pdf/esg-2023.pdf</t>
  </si>
  <si>
    <t>https://www.sumitomocorp.com/en/jp/sustainability/communication/asset/pdf/esg-2023.pdf
https://www.sumitomocorp.com/en/jp/news/release/2022/group/15490</t>
  </si>
  <si>
    <t>https://www.subaru.co.jp/en/csr/report/pdf/2022/subaru_sustainability_report2022_all.pdf</t>
  </si>
  <si>
    <t>Product, Factories and offices</t>
  </si>
  <si>
    <t>https://www.stellantis.com/content/dam/stellantis-corporate/sustainability/csr-disclosure/stellantis/2023/Stellantis-2023-CSR-Report.pdf</t>
  </si>
  <si>
    <t>2023 carbon footprint trend aligned with the carbon net zero by 2038 roadmap, showing a reduction of 12.6% in emissions for all scopes versus base year 2021</t>
  </si>
  <si>
    <t>https://www.stellantis.com/en/news/press-releases/2024/april/stellantis-2023-corporate-social-responsibility-report-outlines-strong-results-against-ambitious-dare-forward-2030-targets
https://www.stellantis.com/content/dam/stellantis-corporate/sustainability/csr-disclosure/stellantis/2022/Stellantis-2022-CSR-Report.pdf</t>
  </si>
  <si>
    <t>carbon Net Zero</t>
  </si>
  <si>
    <t>https://www.reuters.com/article/china-spic-climatechange/chinas-spic-aims-to-cap-domestic-carbon-emissions-by-2023-idUSL4N2IQ0R4/</t>
  </si>
  <si>
    <t>https://english.www.gov.cn/news/topnews/202101/18/content_WS6004dbfac6d0f72576943fc5.html</t>
  </si>
  <si>
    <t>https://sbi.co.in/documents/17826/17948/270524-SBI+Sustainability+Report+2024.pdf
https://sbi.co.in/documents/16012/44015480/120424-SBR+Policy+for+Bank%27s+site.pdf/4bbbdfd6-56c7-af57-2d7f-fc8bbcbe30ea?t=1712899096923</t>
  </si>
  <si>
    <t>https://sbi.co.in/documents/17826/17948/270524-SBI+Sustainability+Report+2024.pdf</t>
  </si>
  <si>
    <t>https://stories.starbucks.com/uploads/2024/02/2023-Starbucks-Global-Impact-Report.pdf</t>
  </si>
  <si>
    <t>Carbon Neutral Green Coffee by 2030</t>
  </si>
  <si>
    <t>https://www.sc.com/en/press-release/standard-chartered-announces-interim-targets-and-methodology-for-pathway-to-net-zero-by-2050/
https://av.sc.com/corp-en/nr/content/docs/standard-chartered-plc-full-year-2023-report.pdf</t>
  </si>
  <si>
    <t>C+F</t>
  </si>
  <si>
    <t>Operations and Finannced emissions</t>
  </si>
  <si>
    <t>01/07/2018</t>
  </si>
  <si>
    <t>Standard Chartered</t>
  </si>
  <si>
    <t>https://www.sony.com/en/SonyInfo/csr/library/reports/SustainabilityReport2023_sustainability_E.pdf</t>
  </si>
  <si>
    <t>Scope 1 and 2, Scope 3</t>
  </si>
  <si>
    <t>https://www.sompo-hd.com/-/media/hd/en/files/csr/communications/pdf/2023/e_report2023.pdf?la=ja-JP</t>
  </si>
  <si>
    <t>https://www.sompo-hd.com/-/media/hd/en/files/csr/communications/pdf/2023/e_report2023.pdf?la=ja-JP
https://www.sompo-hd.com/en/csr/materiality/topic1/#:~:text=Through%20partnerships%20with%20stakeholders%20built,and%20nature%20are%20in%20harmony.</t>
  </si>
  <si>
    <t xml:space="preserve">Net Zero 
emissions </t>
  </si>
  <si>
    <t>underwriting, investments, and operations</t>
  </si>
  <si>
    <t>https://www.sompo-hd.com/en/csr/milestone/</t>
  </si>
  <si>
    <t>https://www.softbank.jp/en/corp/set/data/sustainability/documents/reports/pdf/sbkk_sustainability_report_2023_en.pdf</t>
  </si>
  <si>
    <t>https://www.banktrack.org/download/societe_generale_reinforces_its_commitments_to_climate/press_release_oil_and_gas_exclusion.pdf</t>
  </si>
  <si>
    <t xml:space="preserve">indirect emissions of our oil &amp; gas credit portfolio </t>
  </si>
  <si>
    <t>https://www.groupe-sncf.com/en/innovation/decarbonization-trains</t>
  </si>
  <si>
    <t>Zero Direct Carbon Emissions</t>
  </si>
  <si>
    <t>https://www.railjournal.com/news/sncf-aims-for-zero-emissions-by-2035/</t>
  </si>
  <si>
    <t>zero emissions</t>
  </si>
  <si>
    <t>https://sk-inc.com/resources/download/esg/sustainability/ENG_SK-Inc_SR_2023_Interactive_Final.pdf</t>
  </si>
  <si>
    <t>net-zero greenhouse gas emissions</t>
  </si>
  <si>
    <t>http://ir.sinopharmgroup.com.cn/pdf/2023sr_en.pdf</t>
  </si>
  <si>
    <t>Working Guidance for Carbon Dioxide Peaking and Carbon Neutrality in Full and Faithful Implementation of the New Development Philosophy, and the Notice on Issuing the Action Plan for Carbon Peaking by 2030 by the State Council</t>
  </si>
  <si>
    <t>http://www.sinopec.com/listco/en/Resource/Pdf/2024032402.pdf</t>
  </si>
  <si>
    <t>could not find anything</t>
  </si>
  <si>
    <t>Report not accessible</t>
  </si>
  <si>
    <t>https://assets.new.siemens.com/siemens/assets/api/uuid:32371798-2ab8-44ca-82b0-450900622ce3/Sustainability-at-Siemens.pdf</t>
  </si>
  <si>
    <t>supply chain</t>
  </si>
  <si>
    <t>https://p3.aprimocdn.net/siemensenergy/d66ceb42-cf25-45d4-9cd1-b0cf00ce4ca9/Siemens-Energy_Sustainability-Report-2023-pdf_Original%20file.pdf</t>
  </si>
  <si>
    <t>Net Zero Operations by 2030, with 55% reduction by 2025 and 90% by 2030
Net zero supply chain by 2050, 20% emissions reduction by 2030</t>
  </si>
  <si>
    <t>Scope 1 and 2, Scope1, 2 and 3</t>
  </si>
  <si>
    <t>http://www.shenghonggroup.cn/report/2023/mobile/index.html</t>
  </si>
  <si>
    <t>Scope 3 emissions from the energy products we sell account for most of the total emissions we report.
In October 2021, in support of our 2050 net-zero emissions target, we set a target to reduce Scope 1 and 2 absolute emissions from assets and
activities under our operational control (including divestments) by 50% by 2030, compared with 2016 levels on a net basis
Becoming a net-zero emissions energy business means reducing emissions from our operations and from the fuels and other energy products,
such as electricity, that we sell to our customers. It also means capturing and storing any remaining emissions using technology, protecting
natural carbon sinks and providing high-quality carbon credits to our customers to compensate for hard-to-abate emissions.
In October 2021, in support of our 2050 net-zero emissions target, we set a target to reduce Scope 1 and 2 absolute emissions from assets and
activities under our operational control (including divestments) by 50% by 2030, compared with 2016 levels on a net basis. By the end of 2023,
we had achieved more than 60% of our target. Net-zero emissions by 2050 (Scope 1, 2 and 3) [A].</t>
  </si>
  <si>
    <t>https://reports.shell.com/sustainability-report/2023/achieving-net-zero-emissions/energy-transition/our-journey-to-net-zero.html</t>
  </si>
  <si>
    <t>https://reports.shell.com/sustainability-report/2023/_assets/downloads/shell-sustainability-report-2023.pdf
https://www.theguardian.com/business/2020/apr/16/shell-unveils-plans-to-become-net-zero-carbon-company-by-2050</t>
  </si>
  <si>
    <t>Scope 1 + 2 + 3 (partially)</t>
  </si>
  <si>
    <t>https://news.spdb.com.cn/about_spd/social_responsibile_work/qyshzrxgbd/202307/P020230706558062329335.pdf</t>
  </si>
  <si>
    <t>https://www1.hkexnews.hk/listedco/listconews/sehk/2023/0427/2023042702590.pdf</t>
  </si>
  <si>
    <t>could not find anything (report, webpage etc)</t>
  </si>
  <si>
    <t>http://www.weiqiaocy.com/en/news/v899.html</t>
  </si>
  <si>
    <t>At present, the Company has taken actions to support the deployment of
carbon assets, green certificates, and green power trading. This ensures that we can achieve carbon offset and carbon neutrality
by the target year while enhancing the Companyâ€™s value in the power market.</t>
  </si>
  <si>
    <t>https://doc.irasia.com/listco/hk/shneg/annual/esr296455-ew_01250esg_26042024.pdf
https://www.reuters.com/business/sustainable-business/chinas-shandong-limit-carbon-emission-new-industrial-projects-2021-06-22/</t>
  </si>
  <si>
    <t>group's operational level</t>
  </si>
  <si>
    <t>Engineering and Construction</t>
  </si>
  <si>
    <t>https://www.shccig.com/kind/attached/file/20230928/20230928151608_87714.pdf</t>
  </si>
  <si>
    <t>https://download.schneider-electric.com/files?p_Doc_Ref=SE-Net-Zero-Commitment</t>
  </si>
  <si>
    <t>https://www.se.com/ww/en/assets/564/document/466155/2023-sustainability-report.pdf</t>
  </si>
  <si>
    <t>operations, value chain</t>
  </si>
  <si>
    <t>https://www.slb.com/resource-library/article/2021/getting-to-net-zero-by-2050
https://www.slb.com/-/media/files/sustainability/2023/sustainability-report-2023.ashx</t>
  </si>
  <si>
    <t>https://www.reuters.com/markets/europe/sberbank-cut-rates-eco-friendly-loans-ahead-potential-central-bank-move-2022-02-08/</t>
  </si>
  <si>
    <t>https://shareholder.sberbank.com/AR22/en/esg/part-1/#:~:text=Sber%20is%20committed%20to%20achieving,is%20implementing%20a%20Climate%20Strategy.</t>
  </si>
  <si>
    <t>Aramco retired approximately 500,000
carbon credits in 2023, against a corporate
emissions plan to use carbon markets to
support the delivery of our 2035 and 2050
emissions mitigation ambition, while
directing climate finance towards climate
change mitigation solutions.</t>
  </si>
  <si>
    <t>https://www.aramco.com/-/media/publications/corporate-reports/sustainability-reports/report-2023/english/2023-saudi-aramco-sustainability-report-full-en.pdf</t>
  </si>
  <si>
    <t>https://www.aramco.com/-/media/publications/corporate-reports/sustainability-reports/report-2023/english/2023-saudi-aramco-sustainability-report-full-en.pdf
https://www.aramco.com/en/news-media/news/2023/aramco-advances-development-of-emissions-reduction-solutions</t>
  </si>
  <si>
    <t>https://www.sap.com/integrated-reports/2023/en.html?pdf-asset=5234b263-ad7e-0010-bca6-c68f7e60039b&amp;page=6</t>
  </si>
  <si>
    <t>https://news.sap.com/2024/02/sap-journey-to-net-zero-2030/</t>
  </si>
  <si>
    <t>https://news.sap.com/2021/03/sap-carbon-neutrality-goal-2023/</t>
  </si>
  <si>
    <t>https://www.sanofi.com/assets/dotcom/content-app/publications/esg-reports/2023-01-01-declaration-of-extra-financial-performance-en.pdf</t>
  </si>
  <si>
    <t>operations and partial value chain</t>
  </si>
  <si>
    <t>https://images.samsung.com/is/content/samsung/assets/global/ir/docs/Samsung_Electronics_Sustainability_Report_2024_ENG.pdf</t>
  </si>
  <si>
    <t>https://www.samsung.com/global/sustainability/media/pdf/Samsung_Electronics_Sustainability_Report_2023_ENG.pdf</t>
  </si>
  <si>
    <t>https://news.samsung.com/global/samsung-electronics-announces-new-environmental-strategy</t>
  </si>
  <si>
    <t>Net Zero carbon emissions</t>
  </si>
  <si>
    <t>(Scope 1 &amp; Scope 2) for all operations</t>
  </si>
  <si>
    <t>https://www.samsungsem.com/resources/file/global/sustainability/report/SEM_SR2022_EN.pdf</t>
  </si>
  <si>
    <t>https://a.sfdcstatic.com/assets/prod/documents/white-papers/salesforce-fy24-stakeholder-impact-report.pdf</t>
  </si>
  <si>
    <t>https://www.salesforce.com/news/press-releases/2017/04/13/salesforce-achieves-net-zero-greenhouse-gas-emissions-the-company-now-provides-a-carbon-neutral-cloud-for-all-customers/</t>
  </si>
  <si>
    <t>operations, scopes 1, 2 and 3</t>
  </si>
  <si>
    <t>https://www.saint-gobain.com/sites/saint-gobain.com/files/20201112_roadmap_net_zero_carbon_va.pdf</t>
  </si>
  <si>
    <t>The SRIH actively responds to the national and
SAIC Motor's low-carbon development strategy by
optimizing operational management and actively
exploring greenhouse gas inventory and offset
methods.</t>
  </si>
  <si>
    <t>https://www.saicmotor.com/english/download/esg/2023.pdf</t>
  </si>
  <si>
    <t>https://prd-sc102-cdn.rtx.com/-/media/rtx/social-impact/our-esg-vision/esg-2024/report/2023-rtx-esgreport.pdf?rev=b3a0440a97b941e0b0bf077c42af94d2</t>
  </si>
  <si>
    <t>commercial aviation</t>
  </si>
  <si>
    <t xml:space="preserve">https://www.nasdaq.com/articles/royal-bank-of-canada-commits-to-net-zero-emissions-by-2050-in-its-lending-2021-02-25
https://www.rbc.com/community-sustainability/_assets-custom/pdf/esg-progress-report-2023.pdf
</t>
  </si>
  <si>
    <t>https://www.aholddelhaize.com/en/news/ahold-delhaize-brings-net-zero-target-forward-to-2040-for-direct-carbon-emissions</t>
  </si>
  <si>
    <t>https://www.aholddelhaize.com/media/rxqkoynt/ahold-delhaize-climate-plan-december-2023.pdf</t>
  </si>
  <si>
    <t>operations (scope 1 and 2), value chain (scope 3)</t>
  </si>
  <si>
    <t>https://www.rosneft.com/upload/site2/document_file/Rosneft_CSR_2023_ENG.pdf</t>
  </si>
  <si>
    <t>operational carbon neutrality</t>
  </si>
  <si>
    <t>https://assets.roche.com/f/176343/x/152acfa229/she-results-2023-and-targets-2024.pdf</t>
  </si>
  <si>
    <t xml:space="preserve">Our vision is to achieve real zero carbon emissions no later than 2050 without the use of offsets. </t>
  </si>
  <si>
    <t>https://assets.roche.com/f/176343/x/98b8e2ba9d/ar23e.pdf</t>
  </si>
  <si>
    <t>https://www.roche.com/about/sustainability/environment/zero-emissions#:~:text=Roche's%20long%2Dterm%20goal%20is,of%20carbon%20dioxide%20per%20employee.</t>
  </si>
  <si>
    <t>achieve Net Zero</t>
  </si>
  <si>
    <t xml:space="preserve">scope 1 &amp; 2 (own operations and purchased energies) </t>
  </si>
  <si>
    <t>https://www.riotinto.com/news/releases/2020/Rio-Tinto-to-invest-1-billion-to-help-meet-new-climate-change-targets</t>
  </si>
  <si>
    <t>We have increased the internal price of carbon which is applied to all new investment. In this 
update, we differentiate the price per ton of CO2
 for investments within the European Union and the 
rest of the world. Thus, we set a carbon price of $100/t over the 2024-2025 period, which increases 
to $110/t in 2030 in the European Union; and from $60/t for the 2024-2030 period in the rest of 
the world. Setting a carbon price allows us to incentivize new projects that can reduce companyâ€™s 
GHG emissions. The Upstream business will focus on key geographical areas, prioritizing value 
contribution over volume and reducing the CO2
 emissions intensity of its assets by 75%.</t>
  </si>
  <si>
    <t>https://www.repsol.com/en/sustainability/sustainability-pillars/climate-change/net-zero-emissions-by-2050/index.cshtml#:~:text=PDF%7C%202.1%20MB-,Our%20targets,step%20up%20the%20energy%20transition.&amp;text=by%202050.,-30%25&amp;text=by%202030%20in%20scope%201,net%20emissions%20compared%20to%202016.&amp;text=by%202030%20in%20scope%201%20and%202%20emissions%20reduced,operated%20assets%20compared%20to%202016.</t>
  </si>
  <si>
    <t xml:space="preserve"> Repsol would, if necessary, aditionally offset emissions through reforestation and other natural climate sinks to achieve zero net emissions by 2050.</t>
  </si>
  <si>
    <t>https://www.repsol.com/en/press-room/press-releases/2019/repsol-will-be-a-net-zero-emissions-company-by-2050/index.cshtml</t>
  </si>
  <si>
    <t>activities and investments</t>
  </si>
  <si>
    <t>use CN and NZ interchangebly but they specify they plan to reduce 90% of emissions and offset the rest</t>
  </si>
  <si>
    <t>https://autovista24.autovistagroup.com/news/renault-aims-achieve-european-carbon-neutrality-2040/</t>
  </si>
  <si>
    <t>Well-below 2Â°C/2Â°C</t>
  </si>
  <si>
    <t>Addressing climate change through
energy transition is a strategic focus of
RIL's business continuity plans. Reliance
has announced a Net Carbon Zero target
for 2035, going beyond compliance
requirements and business imperatives.</t>
  </si>
  <si>
    <t>https://rilstaticasset.akamaized.net/sites/default/files/2023-08/BRSR202223.pdf</t>
  </si>
  <si>
    <t xml:space="preserve">Net Carbon Zero
</t>
  </si>
  <si>
    <t xml:space="preserve">Scope 1 and 2  </t>
  </si>
  <si>
    <t>Raizen</t>
  </si>
  <si>
    <t>Our objective is to achieve 50 percent renewable energy by 2030 and carbon neutrality by 2050</t>
  </si>
  <si>
    <t>https://www.quantacn.com/uploadfiles/2022/07/20220726141451826.pdf
https://www.quantatw.com/Quanta/chinese/esg/promise.aspx</t>
  </si>
  <si>
    <t>https://www.qualcomm.com/content/dam/qcomm-martech/dm-assets/documents/2023-qualcomm-corporate-responsibility-report.pdf</t>
  </si>
  <si>
    <t>https://www.pttplc.com/en/Sustainability/Environment/Climatechangemanagement.aspx</t>
  </si>
  <si>
    <t>https://www.pttplc.com/uploads/Sustainability/2024/EN/15%20Climate%20Action/PTT%20TCFD%20IFRS%20S2%20Report%202023.pdf</t>
  </si>
  <si>
    <t>https://sustainability.pttgcgroup.com/storage/document/integrated-sustainability-reports/2023/pttgc-isr2023.pdf</t>
  </si>
  <si>
    <t>https://www.pttplc.com/en/Sustainability/Environment/Climatechangemanagement.aspx#:~:text=The%20ultimate%20goal%20is%20to,initiatives%20within%20the%20PTT%20Group.</t>
  </si>
  <si>
    <t xml:space="preserve">https://www.pttplc.com/en/Sustainability/Sustainabilitygovernance/Sustainabilityreport.aspx
</t>
  </si>
  <si>
    <t>https://s204.q4cdn.com/830623074/files/doc_downloads/Prudential-2023-Sustainability-Report.pdf</t>
  </si>
  <si>
    <t xml:space="preserve"> We previously 
announced a goal of carbon neutrality 
by the end of 2025 for Scope 1 and 2, 
which will help set the path to net-zero 
in the following decade.</t>
  </si>
  <si>
    <t>https://s202.q4cdn.com/605347829/files/doc_downloads/2023/csr/progressive_2022csr_12-23.pdf</t>
  </si>
  <si>
    <t>RECs purchased</t>
  </si>
  <si>
    <t>https://s24.q4cdn.com/447218525/files/doc_downloads/2022/10/17/Progressive_2021CorporateSustainabilityReport_A2.pdf
https://investors.progressive.com/files/doc_downloads/2023/Progressive_2022CSR.pdf</t>
  </si>
  <si>
    <t>https://www.pg.co.uk/environmental-sustainability/</t>
  </si>
  <si>
    <t>https://news.pg.com/news-releases/news-details/2020/PG-Embraces-Natural-Climate-Solutions-to-Accelerate-Progress-on-Climate-Change-and-Will-Make-Operations-Carbon-Neutral-for-the-Decade/</t>
  </si>
  <si>
    <t>https://regional.chinadaily.com.cn/pdf/2022EnvironmentalSocialandGovernanceReport.pdf</t>
  </si>
  <si>
    <t>All subsidiaries/ smaller companies of the owner have targets</t>
  </si>
  <si>
    <t>https://www.powercorporationcsr.com/media/uploads/reports/bsustainability_website_-_november_2023_final.pdf</t>
  </si>
  <si>
    <t>https://www.posco.co.kr/homepage/docs/eng7/jsp/irinfo/irdata/s91b6000030l.jsp</t>
  </si>
  <si>
    <t>POSCO Holdings</t>
  </si>
  <si>
    <t>https://group.pingan.com/resource/pingan/ESG/Report/pingan-sustainability-report-23.pdf</t>
  </si>
  <si>
    <t xml:space="preserve">carbon neutrality </t>
  </si>
  <si>
    <t>Our Net Zero Transition Plan marks an important step on
our journey to becoming a net zero business by 2050 across
our investment portfolio, operations and supply chain</t>
  </si>
  <si>
    <t>https://www.thephoenixgroup.com/media/vtlix0gh/net-zero-transition-plan.pdf</t>
  </si>
  <si>
    <t>Current evaluations show no economically viable path to net zero by 2050, but we continue to progress our emissions intensity reduction targets and periodically review scenarios with the Executive Leadership Team and the board to inform company decisions. We revisit our targets as technologies, policies and energy needs evolve</t>
  </si>
  <si>
    <t>https://issuu.com/phillips66co/docs/2024_sustainability_and_people_report?fr=sN2U4OTc0Mjg0NjY</t>
  </si>
  <si>
    <t>https://www.pmi.com/resources/docs/default-source/ir2023-documents/pmi-integrated-report-2023.pdf</t>
  </si>
  <si>
    <t>https://www.pmi.com/sustainability/low-carbon-transition-plan/accelerating-our-action-on-climate-change</t>
  </si>
  <si>
    <t>https://www.pfizer.com/news/articles/net_zero_by_2040_how_pfizer_is_fighting_climate_change_with_ambitious_science_based_goals</t>
  </si>
  <si>
    <t>https://s28.q4cdn.com/781576035/files/doc_financials/2023/ar/Pfizer_2023_Impact_Report_11MAR2024.pdf</t>
  </si>
  <si>
    <t>https://cdn.pfizer.com/pfizercom/Pfizer_2023_Impact_Report.pdf</t>
  </si>
  <si>
    <t>We have identified key abatement levers to decarbonise PETRONASâ€™ emissions, and have allocated resources to meet our short and medium-term targets in our progress towards achieving net zero carbon emissions by 2050.</t>
  </si>
  <si>
    <t>https://www.petronas.com/sustainability/getting-to-net-zero
https://www.petronas.com/media/media-releases/petronas-sets-net-zero-carbon-emissions-target-2050</t>
  </si>
  <si>
    <t>Last data available from 2021</t>
  </si>
  <si>
    <t xml:space="preserve">Our long-term ambition is to neutralize emissions in activities under our control (Scopes 1 and 2) by 2050 and influence partners to achieve the same ambition in non- operated assets. We believe that emissions offsets from carbon credits can be used as a complementary tool in our decarbonization trajectory. These credits can be nature-based, taking advantage of  the potential of forests, soils, oceans, and seaweed, or obtained through technological solutions
As in 2022, we chose to neutralize our Scope 2 emissions in Brazil through the purchase of Renewable Energy Certificates (I-REC). These certificates guarantee that 100% of the electricity purchased for use in our industrial and office operations in Brazil is generated by renewable sources. </t>
  </si>
  <si>
    <t>https://sustentabilidade.petrobras.com.br/en/web/relatorio-de-sustentabilidade/w/resiliencia-climatica-emissoes-de-gee-e-outros-gases</t>
  </si>
  <si>
    <t>neutralize emissions</t>
  </si>
  <si>
    <t>all products and corporate activities</t>
  </si>
  <si>
    <t xml:space="preserve">
https://www2.pertamina.com/en/news-room/news-release/targeting-to-reduce-81-4-million-tons-of-emission-pertamina-supports-indonesia-s-net-zero-emission-2060</t>
  </si>
  <si>
    <t>https://pfgc.com/-/media/PFGC/Files/ESG_CSR-Report-2023_FINAL.pdf</t>
  </si>
  <si>
    <t>operational and value chain greenhouse gas
emissions</t>
  </si>
  <si>
    <t>https://www.pepsico.com/our-impact/esg-topics-a-z/climate-change</t>
  </si>
  <si>
    <t>https://www.forbes.com/sites/emanuelabarbiroglio/2021/01/16/pepsico-pledges-net-zero-emissions-by-2040/</t>
  </si>
  <si>
    <t>https://property.picc.com/cx_gywm/shzr/shzrbg/202304/P020230813797979809287.pdf</t>
  </si>
  <si>
    <t xml:space="preserve">Within Mexicoâ€™s legislation framework and in line with the Governmentâ€™s efforts and commitments to climate action, the
Sustainability Plan of PetrÃ³leos Mexicanos clearly sets out Pemexâ€™s emission reduction targets to 2030 and, in line with the
domestic energy sector evolution perspectives, formulates ambitions towards net zero emissions by 2050.
Offsets with high-quality carbon credits 3
 </t>
  </si>
  <si>
    <t>https://www.pemex.com/en/about-pemex/Documents/pemex_sustainability_plan.pdf</t>
  </si>
  <si>
    <t>Looking forward to the next ten years, in response to the United Nations Paris Agreement
and the carbon reduction goal of net zero emissions in various countries, Pegatron
commits to reduce GHG emissions per unit of revenue and electricity consumption per
unit of revenue by 25% in 2030 compared with 2019. In addition, we also announced to
join the Science-Based Reduction Targets Initiative (SBTi) in February 2022, expecting to
update the Groupâ€™s carbon reduction target on a rolling basis with the global pace.
Pegatron has a common goal with the world, which is to limit global warming to well
below 2Â°C and to pursue e_x005F_x001E_orts to limit it to 1.5Â°C</t>
  </si>
  <si>
    <t>https://www.pegatroncorp.com/csr/view/id/1
https://cht.pegatroncorp.com/files/backend/csr_file/2021%E5%B9%B4%E6%B0%B8%E7%BA%8C%E5%A0%B1%E5%91%8A%E6%9B%B8_%E8%8B%B1%E6%96%87%E7%89%88_0922.PDF</t>
  </si>
  <si>
    <t>PDD Holdings</t>
  </si>
  <si>
    <t>https://www.climateaction100.org/company/pbf-energy/#skeletabsPanel1</t>
  </si>
  <si>
    <t>https://www.prnewswire.com/news-releases/eni-sustainable-mobility-and-pbf-energy-announce-closing-of-st-bernard-biorefinery-partnership-301864891.html#:~:text=About%20PBF%20Energy%20Inc.&amp;text=(NYSE:%20PBF)%20is%20one,of%20next%20generation%20sustainable%20fuels.</t>
  </si>
  <si>
    <t>carbon neutrality by 2050</t>
  </si>
  <si>
    <t>https://holdings.panasonic/global/corporate/sustainability/pdf/sdb2023e.pdf</t>
  </si>
  <si>
    <t>01/05/2021</t>
  </si>
  <si>
    <t>Well-below 2°C</t>
  </si>
  <si>
    <t>https://www.orlen.pl/en/sustainability/sustainable-development-and-ESG-strategy/esg/esg-environment#:~:text=ORLEN%20has%20addressed%20those%20challenges,zero%20carbon%20footprint%20by%202050.
https://www.orlen.pl/content/dam/internet/orlen/pl/en/sustainable-development/our-emissions/ORLEN%20Group%20Climate%20Policy.pdf</t>
  </si>
  <si>
    <t>Scope1, 2 and 3</t>
  </si>
  <si>
    <t>Orlen</t>
  </si>
  <si>
    <t>https://www.esgtoday.com/orange-commits-to-reduce-emissions-across-value-chain-by-45-by-2030/</t>
  </si>
  <si>
    <t>https://www.orange.com/en/net-zero-carbon-2040#:~:text=We%20are%20committed%20to%20reducing,compared%20to%20our%202018%20emissions.</t>
  </si>
  <si>
    <t>https://gallery.orange.com/rse/media/237d92be-0255-4659-8ec2-401ae1a0ca3b/document/8a0fafc2-2dce-4740-8440-2a25a40cfbd4#v=Version1&amp;l=en&amp;lc=1&amp;p=67</t>
  </si>
  <si>
    <t>Net Zero carbon</t>
  </si>
  <si>
    <t>scope 1 , 2 and 3</t>
  </si>
  <si>
    <t>https://exponentialroadmap.org/wp-content/uploads/2021/09/Oracle_ExponentialRoadmapInitiative.pdf</t>
  </si>
  <si>
    <t>https://www.oracle.com/a/ocom/docs/industries/financial-services/business-responsibility-sustainability-report-2022-23.pdf</t>
  </si>
  <si>
    <t>https://www.omv.com/en/news/240613-omv-unveils-new-corporate-identity-focusing-on-sustainability-and-circularity</t>
  </si>
  <si>
    <t>https://www.omv.com/services/downloads/00/omv.com/1522251630732/omv-sustainability-report-2023.pdf</t>
  </si>
  <si>
    <t>Net Zero greenhouse gas (GHG) emissions</t>
  </si>
  <si>
    <t xml:space="preserve">Scopes 1, 2, and 3 </t>
  </si>
  <si>
    <t>https://www.olamgroup.com/content/dam/olamgroup/investor-relations/ir-library/annual-reports/annual-reports-pdfs/2023/olam_annual_report_2023.pdf#page=85</t>
  </si>
  <si>
    <t>all scopes (SBTi approved)</t>
  </si>
  <si>
    <t>https://ongcindia.com/web/eng/sustainability/carbon-management</t>
  </si>
  <si>
    <t>https://www.eco-business.com/news/indias-state-owned-oil-giant-ongc-aims-for-net-zero/</t>
  </si>
  <si>
    <t>https://images.nvidia.com/aem-dam/Solutions/documents/FY2024-NVIDIA-Corporate-Sustainability-Report.pdf</t>
  </si>
  <si>
    <t>Nvidia</t>
  </si>
  <si>
    <t>IN NOVEMBER 2023, NUCOR ANNOUNCED NET-ZERO SCIENCE-BASED GREENHOUSE GAS (GHG) TARGETS FOR 2050 AND ESTABLISHED A NEW INTERIM TARGET FOR 2030.</t>
  </si>
  <si>
    <t>https://indd.adobe.com/view/6361ad20-51f5-466c-8903-4a1ce6ef2868</t>
  </si>
  <si>
    <t>https://www.novonordisk.com/sustainable-business/zero-environmental-impact.html
https://www.edie.net/novo-nordisk-reaches-100-renewable-electricity-sets-2030-net-zero-target/</t>
  </si>
  <si>
    <t>01/09/2021</t>
  </si>
  <si>
    <t>Novo Nordisk</t>
  </si>
  <si>
    <t>https://www.novartis.com/news/media-releases/novartis-announces-ambitious-esg-targets-increase-access-medicines-and-achieve-full-carbon-neutrality</t>
  </si>
  <si>
    <t>https://www.novartis.com/sites/novartis_com/files/novartis-integrated-report-2023.pdf</t>
  </si>
  <si>
    <t>Net-Zero carbon emissions</t>
  </si>
  <si>
    <t>value chain (Scopes 1, 2 and 3)</t>
  </si>
  <si>
    <t>https://cdn.northropgrumman.com/-/media/Project/Northrop-Grumman/ngc/who-we-are/Sustainability/2023-sustainability-report.pdf?rev=98982b75d3f04a978cba2baaed7dc234</t>
  </si>
  <si>
    <t>https://www.nissan-global.com/EN/SUSTAINABILITY/ENVIRONMENT/CARBONNEUTRAL/
https://www.nissan-global.com/EN/SUSTAINABILITY/LIBRARY/SR/2022/ASSETS/PDF/SR22_E_All.pdf</t>
  </si>
  <si>
    <t>Company operations and product life cycle</t>
  </si>
  <si>
    <t>Well-below 2Â°C/Well-below 2Â°C</t>
  </si>
  <si>
    <t>https://group.ntt/en/newsrelease/2021/09/28/210928a.html</t>
  </si>
  <si>
    <t>https://group.ntt/en/csr/data/pdf/sustainability_report_2022_Sustainability.pdf</t>
  </si>
  <si>
    <t>https://www.nipponsteel.com/en/csr/report/pdf/report2023en.pdf</t>
  </si>
  <si>
    <t>Conducted tree planting in Nepal to offset the CO2 emissions generated during business trips https://www.nissay.co.jp/global/report/pdf/2023_Sustainability_Report.pdf</t>
  </si>
  <si>
    <t>https://www.nissay.co.jp/global/report/pdf/2023_Sustainability_Report.pdf</t>
  </si>
  <si>
    <t>own emissions and that of its investees</t>
  </si>
  <si>
    <t>https://media.about.nike.com/files/9e0cc4dd-8d70-4476-964b-dc8fef9bb636/FY23_Nike_Impact_Report.pdf?download=inline</t>
  </si>
  <si>
    <t>scopes 1,2,3</t>
  </si>
  <si>
    <t>investments and operations</t>
  </si>
  <si>
    <t>https://s22.q4cdn.com/959853165/files/doc_downloads/2024/6/2023-Netflix-Environmental-Social-Governance-Report.pdf
https://about.netflix.com/en/news/net-zero-nature-our-climate-commitment</t>
  </si>
  <si>
    <t>There is a conflict here Nestle specifically state they do not offset but South  Pole noted that they do.</t>
  </si>
  <si>
    <t>https://www.southpole.com/clients/nestle-how-they-built-a-roadmap-to-net-zero</t>
  </si>
  <si>
    <t>https://www.nestle.com/media/mediaeventscalendar/allevents/nestle-net-zero-roadmap</t>
  </si>
  <si>
    <t>https://www.nestle.com/sites/default/files/2024-02/creating-shared-value-sustainability-report-2023-en.pdf</t>
  </si>
  <si>
    <t>Scope 1, 2 and partial 3 to cover 90% of total emissions</t>
  </si>
  <si>
    <t>https://www.nationwide.co.uk/-/assets/nationwidecouk/documents/investor-relations/intermediate-net-zero-ambitions-2022--basis-of-preparation.pdf</t>
  </si>
  <si>
    <t>https://www.nationwide.co.uk/-/assets/nationwidecouk/documents/about/sustainability-report-2023.pdf</t>
  </si>
  <si>
    <t>In April 2020, we achieved carbon neutrality â€” no net release of carbon dioxide into the atmosphere â€” for our scope 1 and 2 emissions.</t>
  </si>
  <si>
    <t>https://www.nab.com.au/content/dam/nab/documents/reports/corporate/2023-climate-report.pdf</t>
  </si>
  <si>
    <t>financed emissions and operations</t>
  </si>
  <si>
    <t>https://www.munichre.com/en/company/sustainability/climate-ambition-and-reporting.html#:~:text=In%202020%2C%20we%20announced%20a,of%20the%20Group%20Ambition%202025.</t>
  </si>
  <si>
    <t>https://www.munichre.com/content/dam/munichre/contentlounge/website-pieces/documents/MunichRe-Sustainability-Report_2023.pdf/_jcr_content/renditions/original./MunichRe-Sustainability-Report_2023.pdf</t>
  </si>
  <si>
    <t xml:space="preserve"> F</t>
  </si>
  <si>
    <t>https://www.munichre.com/en/company/munich-re-group-ambition-2025.html</t>
  </si>
  <si>
    <t>https://www.ms-ad-hd.com/en/csr/data.html#:~:text=On%20May%2C%202021%20we%20have,(60%25%20in%202030)%20.
https://www.ms-ad-hd.com/en/csr/report/main/05/teaserItems1/0/linkList/0/link/sus_report2023%20(1).pdf</t>
  </si>
  <si>
    <t>https://www.morganstanley.com/content/dam/msdotcom/en/assets/pdfs/Morgan_Stanley_2022_ESG_Report.pdf</t>
  </si>
  <si>
    <t>Achieved carbon neutrality4 across global operations in 2022</t>
  </si>
  <si>
    <t>https://www.mondelezinternational.com/news/commitment-to-2050-net-zero-emissions-target/</t>
  </si>
  <si>
    <t>https://www.scg.com.cn/uploadpath/2021/7/26/7450a56a-f276-4c92-86c3-00217a48d5c7.pdf</t>
  </si>
  <si>
    <t>https://www.mizuhogroup.com/binaries/content/assets/pdf/mizuhoglobal/sustainability/overview/report/tcfd_report_2023.pdf</t>
  </si>
  <si>
    <t>Scope 1 and 2 emissions Carbon neutral by FY2030 (maintaining carbon neutrality thereafter)</t>
  </si>
  <si>
    <t>https://www.mizuhogroup.com/binaries/content/assets/pdf/mizuhoglobal/sustainability/overview/report/tcfd_report_2023.pdf
https://www.mizuhogroup.com/binaries/content/assets/pdf/mizuhoglobal/news/2022/05/20220517release_eng.pdf</t>
  </si>
  <si>
    <t xml:space="preserve">Scope 1 and 2 emissions </t>
  </si>
  <si>
    <t>https://www.mitsui.com/jp/en/sustainability/sustainabilityreport/2023/pdf/en_sustainability_2023.pdf</t>
  </si>
  <si>
    <t>https://www.mufg.jp/english/csr/environment/cnd/index.html</t>
  </si>
  <si>
    <t>https://www.mufg.jp/dam/csr/report/2023/sr2023_en.pdf</t>
  </si>
  <si>
    <t>Net Zero GHG emission</t>
  </si>
  <si>
    <t>operations, finance portfolio</t>
  </si>
  <si>
    <t>https://www.mhi.com/sustainability/library/pdf/sustainabilitydatabook2023.pdf</t>
  </si>
  <si>
    <t>https://www.mitsubishielectric.com/sites/news/2024/pdf/0326-1.pdf</t>
  </si>
  <si>
    <t>factories and offices</t>
  </si>
  <si>
    <t>https://www.mitsubishicorp.com/jp/en/carbon-neutral/</t>
  </si>
  <si>
    <t>https://www.mitsubishicorp.com/jp/en/carbon-neutral/
nternationally-accepted offsetting methods including carbon removal</t>
  </si>
  <si>
    <t>scope 1 and Scope 2 emissions of MC and its consolidated companies</t>
  </si>
  <si>
    <t>CCUS</t>
  </si>
  <si>
    <t>https://report.migros.ch/2023/en/sustainable-development</t>
  </si>
  <si>
    <t>https://corporate.migros.ch/en/responsibility/sustainability/sustainability-strategy/strategy-climate-and-energy#upstream-and-downstream-value-chain-scope-3</t>
  </si>
  <si>
    <t>entire group</t>
  </si>
  <si>
    <t>Have dropped the target</t>
  </si>
  <si>
    <t>https://corporate.migros.ch/de/nachhaltigkeit/klima-energie/unsere-fortschritte/klimaneutralitaet</t>
  </si>
  <si>
    <t>https://www.myclimate.org/en/information/news-press/news/newsdetail/migros-en-route-to-net-zero/#:~:text=Climate%2Dneutral%20operations%20from%202022,level%20of%20the%20orange%20M.</t>
  </si>
  <si>
    <t>they have a carbon negative target - I've assumed this is a CN target.  Not sure where to apply offsetting to here - more CN than NZ?</t>
  </si>
  <si>
    <t>https://query.prod.cms.rt.microsoft.com/cms/api/am/binary/RW1lMjE</t>
  </si>
  <si>
    <t>https://www.microsoft.com/en-gb/store/b/sustainability
https://blogs.microsoft.com/blog/2020/01/16/microsoft-will-be-carbon-negative-by-2030/</t>
  </si>
  <si>
    <t>carbon neutral, carbon negative</t>
  </si>
  <si>
    <t>operational, supply chain</t>
  </si>
  <si>
    <t>In June 2022, MetLife announced our Net Zero GHG emissions goal for our global operations and General Account investment portfolio by 2050 or sooner.1</t>
  </si>
  <si>
    <t>https://www.metlife.com/sustainability/resource-center/environmental/#:~:text=California%20Assembly%20Bill%201305&amp;text=In%20June%202022%2C%20MetLife%20announced,portfolio%20by%202050%20or%20sooner.&amp;text=Read%20more%20about%20our%20Net,details%20on%20our%20interim%20targets.</t>
  </si>
  <si>
    <t>https://sustainabilityreport.metlife.com/content/dam/metlifecom/us/sustainability/Sustainability-2024/sustainability-report-site/pdf/2023-sustainability-report.pdf</t>
  </si>
  <si>
    <t>https://www.eco-business.com/press-releases/metlife-is-first-us-insurer-to-achieve-carbon-neutrality/</t>
  </si>
  <si>
    <t>global owned and leased offices, our global vehicle fleet (Scope 1 and 2 emissions) and employee business travel (Scope 3 Category 6).</t>
  </si>
  <si>
    <t>But reaching net zero emissions
in our operations is not enough.
Metaâ€™s responsibility to
decarbonize our footprint extends
beyond our data centers and
offices. To align with the Paris
Agreementâ†—, we have set a
goal to reach net zero emissions
across our value chain in 2030.
Carbon removal (carbon
credits applied)</t>
  </si>
  <si>
    <t>https://sustainability.fb.com/wp-content/uploads/2023/07/Meta-2023-Sustainability-Report-1.pdf#page=1
https://sustainability.atmeta.com/wp-content/uploads/2023/07/Meta-2023-Sustainability-Report-1.pdf</t>
  </si>
  <si>
    <t>https://www.merckgroup.com/en/sustainability-report/2023/environment/climate-action.html
https://www.merck.com/news/merck-accelerates-climate-goals-announces-carbon-neutrality-in-operations-by-2025/</t>
  </si>
  <si>
    <t>https://www.merckgroup.com/en/sustainability-report/2023/environment/climate-action.html</t>
  </si>
  <si>
    <t>carbon neutral operations</t>
  </si>
  <si>
    <t>https://group.mercedes-benz.com/documents/investors/reports/annual-report/mercedes-benz/mercedes-benz-climate-transition-action-plan-2024-en.pdf</t>
  </si>
  <si>
    <t>Mercedes-Benzâ€™s own vehicle production locations achieved net carbon-neutrality in 2022</t>
  </si>
  <si>
    <t>https://group.mercedes-benz.com/documents/sustainability/reports/mercedes-benz-sustainability-report-2023.pdf
https://www.carsales.com.au/editorial/details/mercedes-benz-announces-carbon-neutral-plan-118502/</t>
  </si>
  <si>
    <t>https://group.mercedes-benz.com/documents/sustainability/reports/mercedes-benz-sustainability-report-2023.pdf</t>
  </si>
  <si>
    <t>net carbon-neutral</t>
  </si>
  <si>
    <t>scope 1 and 2 at production plants, entire value chain</t>
  </si>
  <si>
    <t>01/01/2023</t>
  </si>
  <si>
    <t>https://media-meituan.todayir.com/202404290808012611185051_en.pdf</t>
  </si>
  <si>
    <t>https://www.meijiyasuda.co.jp/english/sustainability/corporate-citizen/environmental_protection.html
https://www.meijiyasuda.co.jp/english/newsroom/pdf/20220715_01.pdf</t>
  </si>
  <si>
    <t>https://www.mazda.com/globalassets/en/assets/sustainability/download/2023/2023e_all.pdf</t>
  </si>
  <si>
    <t>chain supply</t>
  </si>
  <si>
    <t>Committed to net zero
greenhouse gas emissions in
our operations by 2030 and
investment portfolio5
 by 2050</t>
  </si>
  <si>
    <t>https://www.massmutual.com/about-us/news-and-press-releases/press-releases/2021/04/massmutual-announces-new-net-zero-commitments-that-address-climate-change
https://www.massmutual.com/global/media/shared/doc/sustainability/2022sustainabilityreport.pdf#page=12</t>
  </si>
  <si>
    <t>operations, GIA</t>
  </si>
  <si>
    <t>https://marubeni.disclosure.site/en/sustainability/pdf/report/sdr2024_en_all.pdf</t>
  </si>
  <si>
    <t>Net Zero ghg emissions</t>
  </si>
  <si>
    <t>value chain (scope 1, 2 and investments)</t>
  </si>
  <si>
    <t>These guys do not have a CN or NZ target but what looks like have but serious thought in to decarbonisation and have set realistic targets - by marking these guys as N in both CN and NZ - we are potentially missing out something interesting?</t>
  </si>
  <si>
    <t>https://www.marathonpetroleum.com/content/documents/Responsibility/Sustainability_Report/2022_SustainabilityReport.pdf</t>
  </si>
  <si>
    <t>https://www.mapfre.com/media/MAPFRE-PSI-2022.pdf</t>
  </si>
  <si>
    <t xml:space="preserve">2023 Highlights:
Â· Announced our most ambitious environmental commitment
to date: to achieve net-zero emissions by 2050, an important
step in fghting climate change. This latest effort is part
of the Science Based Targets initiative, the benchmark
for decarbonization targets in line with the Paris Climate
Agreement. </t>
  </si>
  <si>
    <t>https://www.magna.com/docs/default-source/financial-reports-public-filings/tax-other-reports/101188_magna_sustainabilityreport_fy2023_final_aoda.pdf?sfvrsn=47c73834_11</t>
  </si>
  <si>
    <t>https://www.maersk.com/sustainability</t>
  </si>
  <si>
    <t xml:space="preserve">https://www.lyondellbasell.com/en/news-events/corporate--financial-news/lyondellbasell-announces-goal-of-achieving-net-zero-emissions-by-2050/
</t>
  </si>
  <si>
    <t>https://www.luxshare-ict.com/Public/Uploads/uploadfile/files/20240517/Luxshare2023sustainabilityreport.pdf</t>
  </si>
  <si>
    <t>https://www.lukoil.com/FileSystem/9/666716.pdf</t>
  </si>
  <si>
    <t>https://www.lufthansagroup.com/media/downloads/en/responsibility/LH-Factsheet-Sustainability-2023.pdf</t>
  </si>
  <si>
    <t>carbon neutraliy</t>
  </si>
  <si>
    <t xml:space="preserve"> flight operations</t>
  </si>
  <si>
    <t>Red flat - no roadmap</t>
  </si>
  <si>
    <t xml:space="preserve">scopes 1, 2 and 3 </t>
  </si>
  <si>
    <t>https://www.ldc.com/annual-report-2022/key-themes/sustainability/</t>
  </si>
  <si>
    <t>https://www.loreal.com/-/media/project/loreal/brand-sites/corp/master/lcorp/3-commitments/for-the-planet/3-pagers-updates-160523/en/fighting-climate-change--loral-for-the-future.pdf?rev=afb35ee77f1441e3bcd62c20abe055d6&amp;hash=A5620D0C1023D5D08B7F442CF558482B</t>
  </si>
  <si>
    <t>The â€œcarbon neutralâ€ status, as defined above, is achieved without carbon offsetting.</t>
  </si>
  <si>
    <t>https://www.loreal.com/-/media/project/loreal/brand-sites/corp/master/lcorp/3-commitments/for-the-planet/3-pagers-updates-160523/en/fighting-climate-change--loral-for-the-future.pdf?rev=afb35ee77f1441e3bcd62c20abe055d6&amp;hash=A5620D0C1023D5D08B7F442CF558482B
https://www.loreal-finance.com/system/files/2023-03/LOREAL_2022_Universal_Registration_Document_en.pdf</t>
  </si>
  <si>
    <t>https://www.loreal-finance.com/en/annual-report-2023/social-environmental-performance/</t>
  </si>
  <si>
    <t>L'Oreal</t>
  </si>
  <si>
    <t>https://sustainability.lockheedmartin.com/sustainability/content/Lockheed_Martin_2022_Sustainability_Performance_Report.pdf</t>
  </si>
  <si>
    <t>https://www.lloydsbankinggroup.com/assets/pdfs/investors/financial-performance/lloyds-banking-group-plc/2023/q4/2023-lbg-sustainability-report.pdf
https://www.lloydsbankinggroup.com/who-we-are/sustainability/net-zero-banking-alliance-update.html#:~:text=In%20April%202021%2C%20we%20became,our%20banking%20related%20climate%20ambitions.</t>
  </si>
  <si>
    <t>https://assets.linde.com/-/media/global/corporate/corporate/documents/sustainable-development/2023-sustainable-development-report.pdf</t>
  </si>
  <si>
    <t>I couldn't find anything.</t>
  </si>
  <si>
    <t>https://www.libertymutualgroup.com/documents/signature-lm-esg-carbon-reduction-v5-0.pdf</t>
  </si>
  <si>
    <t>https://www.lg.com/global/newsroom/news/corporate/lg-joins-re100-initiative-committing-to-transition-to-renewable-energy/#:~:text=By%20converting%20to%20renewable%20energy,2)%20by%20the%20year%202030.</t>
  </si>
  <si>
    <t>https://www.lg.com/content/dam/lge/global/sustainability/pdf/2022-2023_LGE_SR_STORY_BOOK(EN).pdf</t>
  </si>
  <si>
    <t>https://www.lgchem.com/upload/file/sustainability/2023_LGChem_Sustainability_Report_ENG.pdf</t>
  </si>
  <si>
    <t>carbon growth</t>
  </si>
  <si>
    <t>https://investor.lenovo.com//en/sustainability/reports/FY2024-lenovo-sustainability-report.pdf</t>
  </si>
  <si>
    <t>https://www.lbbw.de/group/lbbw/sustainability/shaping-transformation/sustainability_7vz24r4gy_e.html</t>
  </si>
  <si>
    <t>Landesbank Baden-Wurttemberg</t>
  </si>
  <si>
    <t>https://le-groupe-laposte.cdn.prismic.io/le-groupe-laposte/ZkM5hCol0Zci9Gbd_LAPOSTE_RAPPORT_DE_MISSION_GB_080524.pdf</t>
  </si>
  <si>
    <t>SBTi approved so value chain</t>
  </si>
  <si>
    <t>01/04/2024</t>
  </si>
  <si>
    <t>https://www.thekrogerco.com/wp-content/uploads/2023/02/Kroger-GHG-Goal-Roadmap_Feb-2023.pdf</t>
  </si>
  <si>
    <t>AJ - EC</t>
  </si>
  <si>
    <t>https://www.kogas.or.kr/site/koGas/1050904030000</t>
  </si>
  <si>
    <t>https://www.kogas.or.kr/site/eng/1050302010000</t>
  </si>
  <si>
    <t>https://www.climateaction100.org/news/kepco-commits-to-carbon-neutrality-and-coal-phase-out-by-2050/</t>
  </si>
  <si>
    <t>https://cdn.koc.com.tr/cmscontainer/kocholding/media/koc/05surdurulebilirlik/raporlar/koc-group-sustainability-report-2022.pdf?v4</t>
  </si>
  <si>
    <t>https://cdn.koc.com.tr/cmscontainer/kocholding/media/koc/05surdurulebilirlik/raporlar/koc-group-sustainability-report-2022.pdf?v4
https://www.koc.com.tr/media-center/latest-news/2021/koc-holding-low-carbon-transition-tcfd</t>
  </si>
  <si>
    <t>Our goal is to mitigate our carbon emissions by 97% compared to the level of 2019 by 2045. As for the remaining amount, we will come up with offset measures, thereby reaching net-zero emissions in all stages from supply and manufacturing to logistics, use, and disposal.</t>
  </si>
  <si>
    <t>https://press.kia.com/eu/en/home/media-resouces/press-releases/2021/Sustainable-Mobility-Solutions-Provider.html</t>
  </si>
  <si>
    <t>all stages from supply and manufacturing to logistics, use, and disposal</t>
  </si>
  <si>
    <t>Achieving a decarbonized society
Renewable energy generation, energy storage
technology, energy management, carbon
credits, and more
In May 2020, KDDI announced the KDDI Sustainable Action, KDDIâ€™s SDGs with an eye on 2030, and declared that we
would aim to improve energy efficiency and achieve net-zero CO2 emissions by 2050,</t>
  </si>
  <si>
    <t>https://www.kddi.com/extlib/files/english/corporate/ir/ir-library/sustainability-integrated-report/pdf/kddi_sir2023_e.pdf</t>
  </si>
  <si>
    <t>https://www.koreatimes.co.kr/www/biz/2024/07/602_352476.html</t>
  </si>
  <si>
    <t>https://www.kbfg.com/eng/esg/report/sustainability/list.jsp</t>
  </si>
  <si>
    <t>Internal emissions, Financed emissions</t>
  </si>
  <si>
    <t>22 We plan to continue our eforts to reduce our GHG emissions and address our unabated operational emissions through the purchase and retirement of high-quality carbon credits, as outlined in our GHG Mitigation Hierarchy in page 34. However, going forward, we do not plan to refer to these eforts as "carbon neutrality" given the varying assumptions and debate related to that term.
https://www.jpmorganchase.com/content/dam/jpmc/jpmorgan-chase-and-co/documents/jpmc-esg-report-2023.pdf</t>
  </si>
  <si>
    <t>carbon neutral but specifically say they are not calling it that?</t>
  </si>
  <si>
    <t>https://www.jpmorganchase.com/content/dam/jpmc/jpmorgan-chase-and-co/documents/jpmc-esg-report-2023.pdf</t>
  </si>
  <si>
    <t xml:space="preserve">https://www.jpmorganchase.com/content/dam/jpmc/jpmorgan-chase-and-co/documents/Climate-Report-2022.pdf </t>
  </si>
  <si>
    <t xml:space="preserve">operations (scope 1, 2, plus business travel) </t>
  </si>
  <si>
    <t>https://www.esgtoday.com/jpmorgan-achieves-carbon-neutrality-in-operations-sets-carbon-reduction-financing-targets-for-high-emitting-sectors/</t>
  </si>
  <si>
    <t>https://www.jnj.com/media-center/press-releases/johnson-johnson-announces-significant-progress-towards-its-climate-goals-100-renewable-electricity-for-all-sites-in-the-united-states-canada-and-europe-by-2023</t>
  </si>
  <si>
    <t>https://www.jnj.com/about-jnj/policies-and-positions/position-on-climate-action</t>
  </si>
  <si>
    <t>https://www.jnj.com/our-societal-impact/global-environmental-sustainability/our-approach-to-climate-action</t>
  </si>
  <si>
    <t>http://www.jygrandmark.com/upfile/2024/04/20240429194240_902.pdf</t>
  </si>
  <si>
    <t>http://en.jnmc.com/2023-07/17/c_903260.htm</t>
  </si>
  <si>
    <t xml:space="preserve">Carbon Peaking and Carbon Neutrality </t>
  </si>
  <si>
    <t>https://www.mining-technology.com/data-insights/jiangxi-copper-net-zero-targets/</t>
  </si>
  <si>
    <t>https://www.jfe-holdings.co.jp/en/sustainability/pdf/sustainability2023e_A3.pdf</t>
  </si>
  <si>
    <t>https://www.jeronimomartins.com/wp-content/uploads/01-DOCUMENTS/Responsibility/Environment/jm-climate-transition-plan-20240401.pdf</t>
  </si>
  <si>
    <t>01/05/2024</t>
  </si>
  <si>
    <t>Portugal</t>
  </si>
  <si>
    <t>Jeronimo Martins</t>
  </si>
  <si>
    <t>The company will achieve zero deforestation across its global supply chain by 2035</t>
  </si>
  <si>
    <t>using for biodiversity claims https://jbsesg.com/wp-content/uploads/2023/08/2022-JBS-SUSTAINABILITY-REPORT.pdf</t>
  </si>
  <si>
    <t>https://jbsfoodsgroup.com/articles/jbs-makes-global-commitment-to-achieve-net-zero-greenhouse-gas-emissions-by-2040</t>
  </si>
  <si>
    <t>were heavily critisied for this goal - were sued by NY</t>
  </si>
  <si>
    <t>https://ar.jardines.com/2023/Sustainability.html#Sustainability-as-a-Key-Enabler</t>
  </si>
  <si>
    <t>https://www.jp-life.japanpost.jp/english/aboutus/sustainability/assets/pdf/JPlife_sustainability_report22.pdf
https://www.japanpost.jp/en/ir/library/disclosure/2022/pdf/03.pdf</t>
  </si>
  <si>
    <t>own greenhouse gas emissions</t>
  </si>
  <si>
    <t>https://www.jabil.com/dam/jcr:bdd34b38-8dd9-4bc8-b432-96dab4127cda/jabil-fiscal-year-2023-sustainability-report.pdf</t>
  </si>
  <si>
    <t>https://about.sainsburys.co.uk/~/media/Files/S/Sainsburys/CRS%20Policies%20and%20Reports/Plan%20For%20Better%20Report%202022-23.pdf
https://www.about.sainsburys.co.uk/news/latest-news/2020/28-01-20-net-zero
https://www.about.sainsburys.co.uk/news/latest-news/2021/26-10-2021-sainsburys-cuts-five-years-from-target-to-become-net-zero-by-2035-in-its-own-operations</t>
  </si>
  <si>
    <t>Our group has inherited the corporate philosophy of â€œSampo-yoshiâ€ (good for the seller, good for the buyer and good for society</t>
  </si>
  <si>
    <t>https://www.itochu.co.jp/en/csr/pdf/23fulle-all.pdf</t>
  </si>
  <si>
    <t>Scope 1/2/3 (consolidated subsidiaries), fossil fuel business and 
interests (consolidated subsidiaries, equity, general investments)</t>
  </si>
  <si>
    <t>https://www.itau.com.br/download-file/v2/d/42787847-4cf6-4461-94a5-40ed237dca33/d5b8c4b5-cd94-c02f-a14d-36e3ef3958d5?origin=2</t>
  </si>
  <si>
    <t>Itau Unibanco Holding</t>
  </si>
  <si>
    <t>https://group.intesasanpaolo.com/content/dam/portalgroup/repository-documenti/sostenibilt%C3%A0/climate-report/2023/2023_Climate_Report.pdf</t>
  </si>
  <si>
    <t>own emissions + loans and investments portfolios</t>
  </si>
  <si>
    <t>Considering its participation, since October 2021, in the Net-Zero Banking
Alliance, Intesa Sanpaolo issued the new â€œOwn Emissions Planâ€ â€“ included
in the 2022-2025 Business Plan, approved by the Board of Directors -
which identifies specific medium-long term actions aimed at reducing its
consumption of natural gas, diesel and traditional electricity. With the Plan,
the Group expects to reach carbon neutrality and 100% of energy purchased
from renewable sources by 2030 (level already achieved in branches and
buildings in Italy in 2021; level of 91% reached for the whole Group in 2022).
The emissions reduction target also fully respects the reduction requirements
set by the SBTi. Please refer to the â€œMetrics &amp; Targetsâ€ chapter for further
details.</t>
  </si>
  <si>
    <t>https://group.intesasanpaolo.com/content/dam/portalgroup/repository-documenti/sostenibilt%C3%A0/tcfd/tcfd-report-2022/TCFD%20Report%202022.pdf
https://group.intesasanpaolo.com/en/newsroom/press-releases/2021/10/-intesa-sanpaolo--commitment-to-net-zero-emissions-by-2050-and-j</t>
  </si>
  <si>
    <t>https://download.intel.com/newsroom/2022/manufacturing/Intel-Climate-Change-Timeline.pdf</t>
  </si>
  <si>
    <t>https://www.intel.com/content/www/us/en/newsroom/news/net-zero-greenhouse-gas-emissions-operations.html</t>
  </si>
  <si>
    <t>we aim to reach net-zero without carbon offsets BUT In order to reach net-zero emissions by FY50 at the latest any 
remaining emissions will be neutralized by removing and storing 
carbon from the atmosphere through better forest and agricultural 
management practices within the IKEA value chain</t>
  </si>
  <si>
    <t>https://www.ingka.com/static/ingka-group-annual-summary-and-sustainability-report-fy23.pdf</t>
  </si>
  <si>
    <t>climate positive</t>
  </si>
  <si>
    <t>https://www.ing.com/Sustainability/Climate-action/Terra-approach.htm
file:///C:/Users/DevanshTandon/Downloads/2023_Climate-Report-ING-Groep-NV.pdf</t>
  </si>
  <si>
    <t>No mention of this in latest report though</t>
  </si>
  <si>
    <t>https://www.ing.com/Sustainability/Performance-and-reporting/Reporting.htm</t>
  </si>
  <si>
    <t>https://download.cib.com.cn/netbank/download/cn/Sustainable_Finance/report_2022en.pdf</t>
  </si>
  <si>
    <t>Carbon Peaking and Carbon Neutrality</t>
  </si>
  <si>
    <t>https://v.icbc.com.cn/userfiles/resources/icbcltd/download/2024/esg20240327ch.pdf</t>
  </si>
  <si>
    <t>https://v.icbc.com.cn/userfiles/Resources/ICBCLTD/download/2022/2021CSRE.pdf</t>
  </si>
  <si>
    <t>the bank</t>
  </si>
  <si>
    <t>https://static.inditex.com/annual_report_2023/en/Environment.pdf</t>
  </si>
  <si>
    <t>https://www.drapersonline.com/news/zara-owner-inditex-sets-extremely-ambitious-sustainability-targets</t>
  </si>
  <si>
    <t xml:space="preserve">Net-Zero </t>
  </si>
  <si>
    <t>2045 net zero Scopes 1&amp;2, 2070 net zero 1,2&amp;3</t>
  </si>
  <si>
    <t>https://iocl.com/NewsDetails/59330</t>
  </si>
  <si>
    <t>https://iocl.com/uploads/IOCL-Sustainability-Report-2022-23.pdf</t>
  </si>
  <si>
    <t>https://ssl4.eir-parts.net/doc/5019/ir_material38/226240/00.pdf
https://www.idemitsu.com/en/sustainability/environment/carbon_neutrality/index.html</t>
  </si>
  <si>
    <t>https://www.ibm.com/downloads/cas/QVXD7VDO
https://newsroom.ibm.com/2021-02-16-IBM-Commits-To-Net-Zero-Greenhouse-Gas-Emissions-By-2030</t>
  </si>
  <si>
    <t>Reach Net-Zero operational GHG emissions by 2030</t>
  </si>
  <si>
    <t>https://www.iberdrola.com/documents/20125/3643974/gsm24-sustainability-report-2023.pdf</t>
  </si>
  <si>
    <t>https://www.esgtoday.com/energy-giant-iberdrola-pledges-to-reach-carbon-neutrality-in-generation-plants-by-2030/
https://www.iberdrola.com/documents/20125/41506/CDP_Climate_Change23.pdf</t>
  </si>
  <si>
    <t>plants (scope 1 and 2)</t>
  </si>
  <si>
    <t>terms used interchangeably: carbon neutrality (Net-Zero) by 2045</t>
  </si>
  <si>
    <t xml:space="preserve"> In September 2021, we announced our plan to achieve carbon neutrality by
2045, primarily through electrification and establishment of the hydrogen
society, smart cities and circular economy ecosystems. Hyundaiâ€™s carbon
neutrality plan includes not only the reduction of GHG emissions across our
entire value chain, including the purchase and procurement of raw materials
and subsidiary materials, design, production, and sales of vehicles, but also
activity plans to reduce or offset GHG emissions from the incidental activities
necessary for business operations outside its value chain.</t>
  </si>
  <si>
    <t>https://www.hyundai.com/content/hyundai/ww/data/csr/data/0000000051/attach/english/hmc-2023-sustainability-report-en-v5.pdf</t>
  </si>
  <si>
    <t>https://www.mobis.co.kr/upload/202209010932253300.pdf</t>
  </si>
  <si>
    <t>Scope 1 and 2, Scope 1, 2 and 2</t>
  </si>
  <si>
    <t>https://assets.humana.com/is/content/humana/2023%20Humana%20Impact%20Report_Finalpdf</t>
  </si>
  <si>
    <t>https://www-file.huawei.com/-/media/corp2020/pdf/sustainability/sustainability-report-2022-en.pdf</t>
  </si>
  <si>
    <t>https://www.hsbc.com/who-we-are/our-climate-strategy/our-net-zero-transition-plan#:~:text=In%202020%20we%20set%20an,to%20take%20to%20deliver%20this.</t>
  </si>
  <si>
    <t>https://www.hsbc.com/who-we-are/esg-and-responsible-business/esg-reporting-centre</t>
  </si>
  <si>
    <t>https://www.hsbc.com/-/files/hsbc/investors/hsbc-results/2023/annual/pdfs/hsbc-holdings-plc/240221-esg-review-2023.pdf</t>
  </si>
  <si>
    <t>own operations and supply chain, financed emissions</t>
  </si>
  <si>
    <t>https://www.hp.com/us-en/newsroom/press-releases/2021/hp-inc-announces-ambitious-climate-action-goals.html</t>
  </si>
  <si>
    <t>https://www.hp.com/us-en/newsroom/press-releases/2021/hp-inc-announces-ambitious-climate-action-goals.html#:~:text=Carbon%20emissions%20and%20circularity,by%202030%2C%20compared%20to%202019.</t>
  </si>
  <si>
    <t>https://www8.hp.com/h20195/v2/GetPDF.aspx/c08980815.pdf</t>
  </si>
  <si>
    <t>https://www.honeywell.com/content/dam/honeywellbt/en/documents/downloads/hon-esg-report.pdf#page=15</t>
  </si>
  <si>
    <t>In line with this concept, in April 2021, the Company announced its
vision to â€œrealize carbon neutrality for all products and corporate activities
Honda is involved in by 2050â€ in order to achieve a circular society with zero
environmental impact.</t>
  </si>
  <si>
    <t>https://global.honda/en/sustainability/cq_img/report/pdf/2024/honda-SR-2024-en-all.pdf</t>
  </si>
  <si>
    <t>https://www.climateaction100.org/news/investors-welcome-net-zero-emissions-commitment-from-hon-hai-precision-industry/</t>
  </si>
  <si>
    <t>https://image.honhai.com/reports/CSR/EN/2022/HonHai_2022_Sustainability_Report_EN-Full.pdf</t>
  </si>
  <si>
    <t>https://corporate.homedepot.com/sites/default/files/2023-07/2023%20Home%20Depot%20ESG%20Report_vF.4_7.25.23%20%28compressed%29.pdf</t>
  </si>
  <si>
    <t xml:space="preserve">To help build a decarbonized society, Hitachi has set the
target and strive to achieve carbon neutrality throughout the
value chain by fiscal 2050 as part of the long-term environmental targets we call Hitachi Environmental Innovation 2050. 
On the other hand, businesses that currently use fossil fuels will need to adapt to a decarbonized
society by adopting new technologies such as hydrogen and biomass, as well as various measures to offset CO2 emissions.
in fiscal 2020, we revised our target to achieve
carbon neutrality at Hitachi factories and offices by fiscal
2030. </t>
  </si>
  <si>
    <t>https://www.hitachi.com/sustainability/download/pdf/en_sustainability2023_print.pdf</t>
  </si>
  <si>
    <t>scope 1 and 2, value chain</t>
  </si>
  <si>
    <t>https://www.heineken.co.uk/media/heineken-aims-to-be-carbon-neutral-in-production-by-2030-and-full-value-chain-by-2040</t>
  </si>
  <si>
    <t>https://www.heineken.co.uk/sustainability/reporting</t>
  </si>
  <si>
    <t>production, value chain</t>
  </si>
  <si>
    <t>01/03/2021</t>
  </si>
  <si>
    <t>Heineken</t>
  </si>
  <si>
    <t>HDFC Bank</t>
  </si>
  <si>
    <t>Each company within the group has different targets</t>
  </si>
  <si>
    <t>https://esg.hd.com/en/search</t>
  </si>
  <si>
    <t>https://www.hcahealthcareimpact.com/wp-content/uploads/2023/11/2023_AnnualSustainabilityReport.pdf</t>
  </si>
  <si>
    <t>https://www.reuters.com/article/business/energy/chinese-steelmaker-hbis-aims-to-reach-carbon-emissions-peak-in-2022-idUSKBN2B4200/</t>
  </si>
  <si>
    <t>https://www.hanwhasolutions.com/static/en/data/Hanwha_Solutions_Sustainability_Report_2024.pdf</t>
  </si>
  <si>
    <t>Hangzhou Industrial Investment Group</t>
  </si>
  <si>
    <t>https://smart-home.haier.com/en/gpxx/esg/P020230427770685481498.pdf</t>
  </si>
  <si>
    <t>To achieve green and sustainable development, GAC Group published "GLASS
Plan (Green Low-carbon for Achieving Sustainable Success)" in 2021 and
planned to reach the goal of carbon neutrality by 2050. G</t>
  </si>
  <si>
    <t>https://www.gac-motor.com/static/en/model/about/2022_ESG_REPOT_OF_GAC_GROUP.pdf|
https://www.gac.com.cn/en/news/detail?baseid=18406</t>
  </si>
  <si>
    <t>https://www.gsk.com/media/9375/our-pathway-to-reach-net-zero-carbon-by-2030.pdf</t>
  </si>
  <si>
    <t>https://www.gsk.com/media/11009/esg-performance-report-2023.pdf</t>
  </si>
  <si>
    <t>Net Zero greenhouse gas emissions</t>
  </si>
  <si>
    <t xml:space="preserve"> across our full value chain </t>
  </si>
  <si>
    <t>GS Caltex is committed to realizing a Lower Carbon Refinery by enhancing the operational efficiency of its existing oil refining business and transitioning to lower carbon fuels for global energy transition and South Korea's goal of achieving carbon neutrality by 2050</t>
  </si>
  <si>
    <t>https://www.gscaltex.com/downloadfile/2021%20GS%20Caltex%20Green%20Bond%20Investor%20Newsletter_v4(ENG).pdf</t>
  </si>
  <si>
    <t>https://www.gscaltex.com/download/951</t>
  </si>
  <si>
    <t>https://www.groupebpce.com/app/uploads/2024/04/240416-tcfd-version-uk.pdf</t>
  </si>
  <si>
    <t>financing, proprietary investment, and insurance portfolios</t>
  </si>
  <si>
    <t>https://www.goldmansachs.com/our-commitments/sustainability/2023-sustainability-report/multimedia/report.pdf</t>
  </si>
  <si>
    <t>https://www.goldmansachs.com/our-commitments/sustainability/sustainable-finance/our-operational-impact/index.html</t>
  </si>
  <si>
    <t>To responsibly minimise and mitigate our impacts on nature and seek opportunities to achieve no net loss of biodiversity and protect and restore ecosystems where we operate</t>
  </si>
  <si>
    <t>https://www.esgtoday.com/glencore-targets-net-zero-emissions-by-2050-sees-opportunities-in-low-carbon-transition/</t>
  </si>
  <si>
    <t>https://www.glencore.com/.rest/api/v1/documents/static/1dcd075b-bd27-4930-84c1-9f00aba0e129/GLEN-2024-2026-Climate-Action-Transition-Plan.pdf</t>
  </si>
  <si>
    <t>https://www.glencore.com/media-and-insights/news/publication-of-second-climate-action-transition-plan-#:~:text=Against%20a%20restated%202019%20baseline%2C%20we%20are%20targeting%20to%20reduce,to%20a%20supportive%20policy%20environment.</t>
  </si>
  <si>
    <t>Net Zero industrial emissions</t>
  </si>
  <si>
    <t>https://www.offsitehub.co.uk/weston-group-commits-to-achieving-net-zero-by-2040/</t>
  </si>
  <si>
    <t>https://www.weston.ca/en/pdf_en/GWL-ESG-Report-2022-EN.pdf</t>
  </si>
  <si>
    <t>scope 1 and 2, scope 3</t>
  </si>
  <si>
    <t>https://www.gm.com/content/dam/company/docs/us/en/gmcom/company/GM_2023_SR.pdf</t>
  </si>
  <si>
    <t>https://investor.gm.com/news-releases/news-release-details/general-motors-largest-us-automaker-plans-be-carbon-neutral-2040</t>
  </si>
  <si>
    <t xml:space="preserve"> As we are helping
our customers to decarbonize smartly and
efficiently, we are ensuring we become
carbon neutral in our own Scope 1 and
Scope 2 greenhouse gas (GHG) emissions
by 2030, en route to net zero by 2050
in our own operations as well as the
Scope 3 emissions from the use of our
sold products</t>
  </si>
  <si>
    <t>https://www.geaerospace.com/sites/default/files/ge2022_sustainability_report.pdf\</t>
  </si>
  <si>
    <t>GE is committed to
being carbon neutral
in its facilities and
operations by 2030.</t>
  </si>
  <si>
    <t>https://www.ge.com/sites/default/files/climate_change_statement.pdf</t>
  </si>
  <si>
    <t>https://www.gd.com/-/media/gd-corporate/responsibility/gd-2023-sustainability-report.ashx</t>
  </si>
  <si>
    <t>https://www.gd.com/responsibility#:~:text=As%20part%20of%20this%20effort,be%20carbon%20neutral%20before%202060.</t>
  </si>
  <si>
    <t>companywide</t>
  </si>
  <si>
    <t>Using carbon credits - should we document orgs using credits but without a target?</t>
  </si>
  <si>
    <t>https://sustainability.gazpromreport.ru/fileadmin/f/2022/sustainability-report-en-2022.pdf</t>
  </si>
  <si>
    <t>https://www.freddiemac.com/about/pdf/2023_Sustainability_Report.pdf</t>
  </si>
  <si>
    <t>https://media.ford.com/content/dam/fordmedia/North%20America/US/2023/sustainability/2023%20Integrated%20Sustainability%20and%20Financial%20Report.pdf</t>
  </si>
  <si>
    <t>three areas that account for approximately 95% of our carbon emissions: our vehicles, operations and supply chain</t>
  </si>
  <si>
    <t>https://www.fedex.com/en-us/sustainability/taking-action.html</t>
  </si>
  <si>
    <t>https://newsroom.fedex.com/newsroom/canada-english/fedex-working-to-deliver-goal-of-carbon-neutral-operations-by-2040#:~:text=To%20achieve%20the%20goal%20of,tailpipe%20emissions%20vehicles%20by%202040.</t>
  </si>
  <si>
    <t>Fairfax Financial Holdings</t>
  </si>
  <si>
    <t>Our core capabilities and advantages, including subsurface
expertise, scaling major projects, existing assets including infrastructure,
and our people, would continue to position us to effectively compete.
Throughout the modeled period, the increasing IEA NZE carbon price
would support accelerating attractive investments that would increase cash
flow in Low Carbon Solutions, offsetting reduced investment in traditional
oil, natural gas, and fuels refining
Allow for high-quality offsets generated from carbon capture and
storage, low-carbon, and carbon-removal projects.</t>
  </si>
  <si>
    <t>https://corporate.exxonmobil.com/sustainability-and-reports/sustainability#Explorethereport</t>
  </si>
  <si>
    <t>https://corporate.exxonmobil.com/-/media/global/files/advancing-climate-solutions/2024/2024-advancing-climate-solutions-report.pdf</t>
  </si>
  <si>
    <t xml:space="preserve">  </t>
  </si>
  <si>
    <t>https://www.exor.com/sites/default/files/2024/page-documents/Sustainability%20Report%202023.pdf
https://www.exor.com/sites/default/files/2022/page-documents/Exor%202021%20Sustainability%20Report.pdf</t>
  </si>
  <si>
    <t>https://www.exor.com/sites/default/files/2024/page-documents/Sustainability%20Report%202023.pdf</t>
  </si>
  <si>
    <t>Net-Zero energy company</t>
  </si>
  <si>
    <t>from production and final consumption of energy</t>
  </si>
  <si>
    <t>https://www.equinor.com/news/20240321-integrated-annual-report-2023</t>
  </si>
  <si>
    <t>https://www.eni.com/assets/documents/eng/just-transition/2022/eni-for-2022-just-transition-eng.pdf</t>
  </si>
  <si>
    <t>Eni (SCOPE 1+2),  (SCOPE 1+2+3)</t>
  </si>
  <si>
    <t>https://www.reuters.com/article/us-eni-results/italys-eni-vows-to-become-carbon-neutral-by-2050-in-latest-green-push-idUSKBN2AJ1O1/</t>
  </si>
  <si>
    <t>https://www.eni.com/content/dam/enicom/documents/eng/sustainability/2023/eni-for-2023-just-transition-eng.pdf</t>
  </si>
  <si>
    <t>products and industrial processes - lifecycle of energy products</t>
  </si>
  <si>
    <t>In line with its purpose to act to accelerate the
transition to a carbon-neutral economy, ENGIE
undertook in 2021 to become Net Zero Carbon
by 2045 across its three emissions scopes. To do
so, the Group set an ambitious trajectory certifi ed
â€œwell below 2Â°Câ€ by 2030 by the SBTi and given a
score of NZ-2 by Moodyâ€™s with its trajectory rated
as 1.5Â°C and its target implementation as â€œsolidâ€. 
To be Net Zero Carbon by 2045 on its
three scopes, ENGIE has built an ambitious
decarbonization trajectory, certifi ed â€œwell
below 2Â°Câ€ by 2030 by SBTi and rated
NZ-2 by Moodyâ€™s with an ambition aligned
with a 1.5Â°C trajectory and a solid level on
the implementation of objectives.
This strategy focuses on reducing the
Groupâ€™s greenhouse gas emissions by
2045, and offsetting residual emissions
by the same date to keep them as low as
possible</t>
  </si>
  <si>
    <t>https://www.engie.com/sites/default/files/assets/documents/2024-05/Engie%20RI_Version%20EN_2105.pdf</t>
  </si>
  <si>
    <t xml:space="preserve">Net Zero Carbon
</t>
  </si>
  <si>
    <t>https://www.enbw.com/integrated-annual-report-2023/
https://www.enbw.com/company/press/enbw-becomes-climate-neutral.html</t>
  </si>
  <si>
    <t>https://www.hd.eneos.co.jp/english/csr/report/pdf/eneos_en_2022_f.pdf</t>
  </si>
  <si>
    <t>https://www.hd.eneos.co.jp/english/newsrelease/upload_pdf/20230601_01_01_1040009.pdf</t>
  </si>
  <si>
    <t xml:space="preserve">https://www.hd.eneos.co.jp/english/csr/report/pdf/eneos_en_2022_f.pdf
</t>
  </si>
  <si>
    <t>Scope 1 and Scope 2, Scope 3</t>
  </si>
  <si>
    <t>pg.  129 https://www.enel.com/content/dam/enel-com/documenti/investitori/sostenibilita/2023/sustainability-report_2023.pdf</t>
  </si>
  <si>
    <t>https://www.enel.com/content/dam/enel-com/documenti/investitori/sostenibilita/2021/net-zero_en.pdf</t>
  </si>
  <si>
    <t>from 2040 onward the Group will mitigate 
any impact by removing carbon equivalent volumes from 
the atmosphere, primarily by building a portfolio of car_x005F_x0002_bon removal credits linked to high-quality, high-integrity 
nature-based and technology-based solutions with prov_x005F_x0002_en long-term durability, managing potential risks through 
portfolio diversification by technology and country. 
and natural gas to end customers</t>
  </si>
  <si>
    <t>https://www.enel.com/content/dam/enel-com/documenti/investitori/sostenibilita/2021/net-zero_en.pdf
https://www.reuters.com/business/sustainable-business/enel-cranks-up-spending-become-carbon-free-by-2040-2021-11-24/</t>
  </si>
  <si>
    <t>https://www.enbridge.com/~/media/Enb/Documents/Reports/Sustainability-Report-2023/Enbridge_SR_2023.pdf?rev=9cd7ec0a64d54daba825507350635c37&amp;hash=A8C1DC34A274775F2E115B9CEEB4C9EB</t>
  </si>
  <si>
    <t>United Arab Emirates</t>
  </si>
  <si>
    <t>https://www.esgtoday.com/lilly-announces-esg-goals-and-transparency-commitments/</t>
  </si>
  <si>
    <t>https://sustainability.lilly.com/environmental/climate</t>
  </si>
  <si>
    <t>We are supporting biodiversity by
purchasing carbon offsets to neutralize
direct emissions that cannot be
sourced renewably. Initiated in 2021,
these offsets support the conservation
of managed forestland and outdoor
recreation in an economically at-risk
region of Tennessee.</t>
  </si>
  <si>
    <t>https://www.elevancehealth.com/content/dam/elevance-health/documents/Environmental_Policy_and_Commitments.pdf</t>
  </si>
  <si>
    <t>https://www.elevancehealth.com/content/dam/elevance-health/documents/ELV_2023_Impact_Report.pdf</t>
  </si>
  <si>
    <t>https://www.edf.fr/sites/groupe/files/2024-06/edfgroup_climate-policy-engagement-review2023_20240605_va.pdf</t>
  </si>
  <si>
    <t>https://www.edf.fr/en/the-edf-group/taking-action-as-a-responsible-company/corporate-social-responsibility/carbon-neutrality-and-climate</t>
  </si>
  <si>
    <t>Electricite de France</t>
  </si>
  <si>
    <t>https://verbund.edeka/verbund/edeka_group_company_report_2023__english_version.pdf</t>
  </si>
  <si>
    <t>Net Zero, Upstream, Downstream, Electricity consumption</t>
  </si>
  <si>
    <t>https://files.ecopetrol.com.co/web/esp/cargas/ecopetrol-rigs-2022-eng.pdf
https://www.ecopetrol.com.co/wps/portal/Home/en/?1dmy&amp;page=detailNews&amp;urile=wcm:path:/ecopetrol_wcm_library/as_en/news/noticias-2021/emissions-reduction</t>
  </si>
  <si>
    <t>https://www.eon.com/content/dam/eon/eon-com/eon-com-assets/documents/investor-relations/en/presentations/esg/202403_EON_ESG_Facts_Figures.pdf</t>
  </si>
  <si>
    <t>In addition, E.ON pledges for its Scope 1 and 2 emissions to achieve
climate neutrality by 2040 (and to cut Scope 1 and 2 emissions by
roughly 75 percent by 2030). E.ON intends for its Scope 3
emissions to be climate-neutral by 2050 (and to reduce them by
about 50 percent by 2030)
, E.ON voluntarily offsets a portion of
the emissions it is currently unable to avoid. Offsets help fund
measures that prevent or remove carbon emissions outside our
value chain. All offsets are currently not factored into E.ONâ€™s
climate targets, but rather are made at the product level.</t>
  </si>
  <si>
    <t>https://www.eon.com/content/dam/eon/eon-com/eon-com-assets/documents/investor-relations/en/annual-report/EON_GB23_engl_gesamt_final.pdf
https://www.eon.com/content/dam/eon/eon-com/eon-com-assets/documents/investor-relations/en/presentations/esg/202403_EON_ESG_Facts_Figures.pdf</t>
  </si>
  <si>
    <t>https://www.dzbank.de/content/dzbank/en/home/we-are-dz-bank/investor-relations/reports/latest-reports.html</t>
  </si>
  <si>
    <t>https://corporate.dow.com/content/dam/corp/documents/about/066-00469-01-2023-progress-report.pdf
https://www.happi.com/breaking-news/dow-commits-to-carbon-neutrality-by-2050/</t>
  </si>
  <si>
    <t>https://www.dfmg.com.cn/cn/file/PDF/en2023esg.pdf</t>
  </si>
  <si>
    <t>have explored using offsets for carbon neutrality</t>
  </si>
  <si>
    <t>http://www.jfqcgs.com/en/news.php?news_id=512</t>
  </si>
  <si>
    <t>https://www.dfmg.com.cn/cn/file/PDF/E_00489_03_O013_HKEx-ESG.pdf</t>
  </si>
  <si>
    <t>Dollar General has organic waste programs in Vermont, California
and Austin, Texas. Food from stores in these markets that cannot
be sold or donated is placed into specialized bins and taken to
composting facilities. We have managed over 240 tons of organic
waste through these efforts which helps reduce methane gas at
landfills and sequester carbon in the soil. In 2022 this program
helped Dollar General offset the carbon emissions it would take to
charge over 18 million smartphones.</t>
  </si>
  <si>
    <t>file:///C:/Users/DevanshTandon/Downloads/DG_ServingOthers_FY2022_Final.pdf</t>
  </si>
  <si>
    <t>https://group.dhl.com/en/sustainability/sustainability-roadmap/sustainability-reports.html</t>
  </si>
  <si>
    <t>https://group.dhl.com/en/media-relations/press-releases/2021/dpdhl-accelerated-roadmap-to-decarbonization.html</t>
  </si>
  <si>
    <t>01/08/2021</t>
  </si>
  <si>
    <t>DHL Group</t>
  </si>
  <si>
    <t>https://www.telekom.com/en/investor-relations/esg
https://www.telekom.com/en/media/media-information/archive/deutsche-telekom-tightens-its-climate-targets-623582</t>
  </si>
  <si>
    <t xml:space="preserve">Net Zero
</t>
  </si>
  <si>
    <t>https://www.telekom.com/en/media/media-information/archive/cr-report-2023-1062418</t>
  </si>
  <si>
    <t>in-house emissions</t>
  </si>
  <si>
    <t>https://www.db.com/files/documents/Towards-net-zero-emissions.pdf</t>
  </si>
  <si>
    <t>(Scope 1 and 2); its Supplychain (Scope 3, Category 1–14); and emissions arising from financing its clients’ net-zero transition (Scope 3, Category 15).</t>
  </si>
  <si>
    <t>https://ir.deutschebahn.com/en/db-group/sustainability/our-targets/
https://www.railtech.com/infrastructure/2021/06/17/deutsche-bahn-sets-climate-neutral-target-10-years-earlier/</t>
  </si>
  <si>
    <t>DENSO aims to achieve carbon neutrality by 2026 with carbon offsets and by 2036 without carbon offsets</t>
  </si>
  <si>
    <t>https://www.denso.com/global/en/-/media/global/about-us/investors/annual-report/2023/annual-report-doc-2023-viewing-en.pdf?rev=ba81b37a5e28460d9451fdfb41e4bde5</t>
  </si>
  <si>
    <t>Manufacturing activities</t>
  </si>
  <si>
    <t>https://www.edie.net/delta-plots-pathway-to-net-zero-by-2050-including-hydrogen-and-electric-aircraft/</t>
  </si>
  <si>
    <t>airline operations</t>
  </si>
  <si>
    <t>In 2020 Delta announced a $1 billion commitment 
over 10 years towards carbon neutrality. However, 
in 2022, we refocused our sustainability strategy by 
outlining a commitment to net-zero GHG emissions 
by 2050 and concluded our offsetting program as of 
March 31, 2022. As we’ve refined our plan to achieve 
our long-term sustainability goals and our net-zero 
ambitions, we recognize that our prior commitment</t>
  </si>
  <si>
    <t>https://www.delta.com/content/dam/esg/2023/pdf/Delta-2023-ESG-Report.pdf</t>
  </si>
  <si>
    <t>https://www.dell.com/en-uk/blog/getting-to-net-zero-it-takes-an-entire-company/#:~:text=How%20are%20we%20going%20to,energy%20efficiency%20of%20our%20operations.</t>
  </si>
  <si>
    <t>https://www.dell.com/en-uk/dt/corporate/social-impact/esg-resources/reports/fy24-esg-report.htm?hve=read+our+fy23+esg+report#pdf-overlay=//www.delltechnologies.com/asset/en-uk/solutions/business-solutions/briefs-summaries/delltechnologies-fy24-esg-report.pdf</t>
  </si>
  <si>
    <t>https://www.daiwahouse.com/English/sustainable/eco/vision/</t>
  </si>
  <si>
    <t>building</t>
  </si>
  <si>
    <t>https://www.daimlertruck.com/en/newsroom/pressrelease/daimler-truck-publishes-sustainability-report-2021-clear-focus-on-holistic-understanding-of-sustainability-with-commitment-to-co2-neutrality-by-2039-51958312#:~:text=In%20order%20to%20contribute%20to,and%20Japan%20from%202039%20forward.</t>
  </si>
  <si>
    <t>https://www.daimlertruck.com/fileadmin/user_upload/documents/investors/reports/annual-reports/2023/daimler-truck-ir-annual-report-2023-incl-combined-management-report-dth-ag.pdf</t>
  </si>
  <si>
    <t>carbon neutral on balance</t>
  </si>
  <si>
    <t>production worldwide, entire value chain</t>
  </si>
  <si>
    <t>https://www.dai-ichi-life.co.jp/english/dsr/investment/pdf/ri-report_010.pdf</t>
  </si>
  <si>
    <t>no sustainability report after announcement</t>
  </si>
  <si>
    <t>operations (scope 1, 2, and 3 eclu. Cat.15) and investment portfolio (scope 3 cat. 15)</t>
  </si>
  <si>
    <t>https://www.cvshealth.com/content/dam/enterprise/cvs-enterprise/pdfs/2023/Healthy-2030-Impact-Report.pdf</t>
  </si>
  <si>
    <t>https://www.cvshealth.com/content/dam/enterprise/cvs-enterprise/pdfs/2023/Healthy-2030-Impact-Report.pdf
https://www.cvshealth.com/content/dam/enterprise/cvs-enterprise/pdfs/2021/cvs-health-esg-report-2021.pdf</t>
  </si>
  <si>
    <t>Net Zero Emissions</t>
  </si>
  <si>
    <t>direct operations, across our value chain</t>
  </si>
  <si>
    <t xml:space="preserve"> Weâ€™re also committed to achieving carbon neutrality by 2030.
Achieving carbon neutrality by 2030 and net zero
emissions across our value chain by 2050 will take
collaboration, imagination and drive. </t>
  </si>
  <si>
    <t>https://www.cummins.com/sites/default/files/2024-07/2023-2024-Cummins-Sustainability-Progress-Report.pdf</t>
  </si>
  <si>
    <t>https://www.cummins.com/news/releases/2019/11/26/cummins-unveils-new-environmental-sustainability-strategy-address-climate</t>
  </si>
  <si>
    <t>operations and products</t>
  </si>
  <si>
    <t>01/10/2021</t>
  </si>
  <si>
    <t>Cummins</t>
  </si>
  <si>
    <t>https://www.crrcgc.cc/Portals/73/Uploads/Files/2024/4-25/638496518678392296.pdf</t>
  </si>
  <si>
    <t>operational, whole value chain</t>
  </si>
  <si>
    <t>crh-sustainability-report-2023_interactive_vhr.pdf</t>
  </si>
  <si>
    <t>https://www.crh.com/media/5157/crh-sustainability-report-2023_interactive_vhr.pdf</t>
  </si>
  <si>
    <t>business (scope 1, 2 and 3 based on SBTi target)</t>
  </si>
  <si>
    <t>https://www.creditmutuel.com/partage/fr/CNCM/telechargements/presse-et-publications/publications/2023/2022-Non-financial-performance-statement-Credit-Mutuel-Group.pdf</t>
  </si>
  <si>
    <t>https://www.creditmutuel.com/en/deploying-our-csr-approach/our-csr-commitments.html</t>
  </si>
  <si>
    <t xml:space="preserve">bank portfolio-related emissions </t>
  </si>
  <si>
    <t>Credit Mutuel Group</t>
  </si>
  <si>
    <t>https://www.ca-cib.com/sites/default/files/2023-07/2022-activity-report/assets/files/CACIB_RI_2022_EN_01.pdf
In March 2022, LCL and CrÃ©dit Agricole CIB launched the first carbon offset s t r u c t u re d p ro d u c t e l i g i b l e t o t h e E u ro p e a n B e n c h m a r k l a b e l , w h i c h includes a mechanism to offset the resid_x005F_x0002_ual carbon emissions of an investment. LCL and CrÃ©dit Agricole CIB included an offset mechanism for the residual emis_x005F_x0002_sions of the investment by supporting the Yedeni project in Ethiopia, which aims to reduce</t>
  </si>
  <si>
    <t xml:space="preserve">https://www.ca-cib.com/en/social-responsibility-sustainable-finance/our-sustainable-financing-policies/our-climate
CrÃ©dit Agricole Group defined decar_x005F_x0002_bonisation trajectories to 2030 for five 
priority sectors (oil and gas, automotive, 
commercial real estate, power generation 
and cement). </t>
  </si>
  <si>
    <t>NZBA</t>
  </si>
  <si>
    <t>https://www.credit-agricole.com/en/pdfPreview/200660</t>
  </si>
  <si>
    <t>scope 1 and 2 and investment sectors</t>
  </si>
  <si>
    <t>https://ws.cpc.com.tw/CPCCSREN/2023_EN_CPC_CSR.pdf
https://www.cpc.com.tw/en/News_Content.aspx?n=2705&amp;s=70289</t>
  </si>
  <si>
    <t>https://www.governance-intelligence.com/shareholders-activism/costco-shareholders-back-net-zero-proposal-including-scope-3-emissions#:~:text=Just%20under%2070%20percent%20of,value%20chain%2C%20in%20order%20to</t>
  </si>
  <si>
    <t>https://mobilecontent.costco.com/live/resource/img/23w10059/5a-ClimateActionPlan_2023.pdf</t>
  </si>
  <si>
    <t>https://www.porttechnology.org/news/cosco-aims-to-be-carbon-neutral-by-2060/#:~:text=COSCO%20Shipping%20Holdings%20(COSCO)%20is,with%20China's%20carbon%20neutrality%20pledge.</t>
  </si>
  <si>
    <t>https://doc.irasia.com/listco/hk/coscoship/annual/2023/esr.pdf</t>
  </si>
  <si>
    <t>https://www.actions-not-words.ch/content/dam/taten-statt-worte/TatenstattWorte_Relaunch/Hintergruende/nachhaltigkeit-bei-coop/Nachhaltigkeitsbericht/Fortschrittsbericht-Nachhaltigkeit-2023_en.pdf</t>
  </si>
  <si>
    <t>https://cdn.continental.com/fileadmin/__imported/sites/corporate/_international/english/hubpages/40_20sustainability/60_20reports_20_26_20principles/continental-sustainability-report-2023.pdf</t>
  </si>
  <si>
    <t>value chain (products, operations and supply)</t>
  </si>
  <si>
    <t>https://www.catl.com/en/news/6014.html#:~:text=On%20April%2018%2C%20CATL%20announced,Industry%20Exhibition%20(Auto%20Shanghai).
https://www.catl.com/en/uploads/1/file/public/202404/20240417102933_uuiks9ljr8.pdf</t>
  </si>
  <si>
    <t>https://www.catl.com/en/uploads/1/file/public/202404/20240417102933_uuiks9ljr8.pdf</t>
  </si>
  <si>
    <t>https://www.compass-group.com/content/dam/compass-group/corporate/sustainability/updates-2024/cgplc_sustainability_report_2023.pdf</t>
  </si>
  <si>
    <t>https://www.compass-group.com/content/dam/compass-group/corporate/sustainability/net-zero/Planet_Promise_Roadmap_1021.pdf
https://www.compass-group.com/en/media/news/2021/global-commitment-to-reach-climate-net-zero-by-2050.html</t>
  </si>
  <si>
    <t>Climate Net Zero</t>
  </si>
  <si>
    <t>global operations and value chain</t>
  </si>
  <si>
    <t>operations (scope 1 &amp; 2)</t>
  </si>
  <si>
    <t>https://www.commbank.com.au/content/dam/commbank-assets/investors/2023-08/climate/2023-climate-report-spreads.pdf#page=4</t>
  </si>
  <si>
    <t>https://english.news.cn/20220209/8043ff8a421b4c5aba3105b83277c694/c.html</t>
  </si>
  <si>
    <t>Group-wide operations.</t>
  </si>
  <si>
    <t>https://update.comcast.com/wp-content/uploads/sites/33/dlm_uploads/2024/06/Comcast-2024ImpactReport-Final-1.pdf
https://corporate.comcast.com/stories/carbon-neutral-by-2035</t>
  </si>
  <si>
    <t>mention action plan for the dual carbon goals</t>
  </si>
  <si>
    <t>https://www.coca-colacompany.com/content/dam/company/us/en/reports/coca-cola-business-sustainability-report-2022.pdf
https://www.coca-colahellenic.com/en/media/news/sustainability_news/2021/coca-cola-hbc-commits-to-net-zero-emissions-by-2040</t>
  </si>
  <si>
    <t>https://doc.irasia.com/listco/hk/ckh/annual/2023/en/esr/environment.pdf</t>
  </si>
  <si>
    <t>https://www.citigroup.com/rcs/citigpa/storage/public/2023-Citi-Climate-Report.pdf</t>
  </si>
  <si>
    <t>https://www.citigroup.com/rcs/citigpa/storage/public/Global-ESG-Report-2023.pdf</t>
  </si>
  <si>
    <t>operations, financing</t>
  </si>
  <si>
    <t>https://www.citic.com/ar2022/en/esg-green/</t>
  </si>
  <si>
    <t>https://www.citic.com/uploadfile/2024/0422/20240422890147.pdf</t>
  </si>
  <si>
    <t>https://www.cisco.com/c/dam/m/en_us/about/csr/esg-hub/_pdf/purpose-report-2022.pdf
https://newsroom.cisco.com/c/r/newsroom/en/us/a/y2021/m09/cisco-commits-to-net-zero-greenhouse-gas-emissions-by-2040.html</t>
  </si>
  <si>
    <t>https://newsroom.thecignagroup.com/2021-cigna-connects-esg-csr</t>
  </si>
  <si>
    <t>https://www.thecignagroup.com/static/www-thecignagroup-com/docs/2023-esg-report.pdf#page=78</t>
  </si>
  <si>
    <t>Scope 1 and 2 GHG emissions</t>
  </si>
  <si>
    <t>https://s201.q4cdn.com/471466897/files/doc_financials/2023/ar/chubb-2023-sustainability-report.pdf</t>
  </si>
  <si>
    <t>https://www.vanke.com/upload/file/2024-04-07/06b938ac-16f1-403a-aa13-b26fa6dde06f.pdf</t>
  </si>
  <si>
    <t>https://www.chinaunicom.com.hk/en/esg/reports/csr2022.pdf</t>
  </si>
  <si>
    <t>https://www.chinatelecom-h.com/en/ir/report/csr2021/csr2021_08.pdf</t>
  </si>
  <si>
    <t>https://www.chinatelecom-h.com/en/ir/report/esg2023.pdf</t>
  </si>
  <si>
    <t>https://www.csscshipping.net/media/pdf_files/en-2023ESG.pdf</t>
  </si>
  <si>
    <t>https://manager.wisdomir.com/files/409/2024/0430/20240430081502_64705677_en.pdf</t>
  </si>
  <si>
    <t>2 â€œTwo-tier consolidationâ€ refers to getting rid of the original way of consolidation by tier and consolidating at the second tier of management units by directly aggregating the accounting
data of all subordinated units below before any offsetting so as to directly obtain a consolidated statement for the second tier of units.</t>
  </si>
  <si>
    <t>https://doc.irasia.com/listco/hk/chinapower/annual/2023/esr.pdf</t>
  </si>
  <si>
    <t>groups</t>
  </si>
  <si>
    <t>https://www.cr-power.com/power_en/SocialResponsibility/Sustainable/202404/P020240521514226812242.pdf</t>
  </si>
  <si>
    <t>https://www.worldconstructionnetwork.com/data-insights/china-railway-group-net-zero-targets/</t>
  </si>
  <si>
    <t>https://www.crecg.com/zgztywz/resource/cms/article/10199897/10217741/2022092714515999936.pdf</t>
  </si>
  <si>
    <t>nothing found on website, no sustainability report found</t>
  </si>
  <si>
    <t>https://www.polyhongkong.com/a_images/files/20240430115153.pdf</t>
  </si>
  <si>
    <t>https://www.cpic.com.cn/upload/resources/file/2023/09/13/74598.pdf</t>
  </si>
  <si>
    <t>CNPC has included low-carbon and green development into its corporate strategies, mapped out a three-step approach of â€œclean
alternative, strategic replacement and green developmentâ€, and set out the timetable and roadmap for carbon peak and carbon neutrality.
We aim to peak carbon dioxide emissions by 2025, supply more zero-carbon energy than fossil energy consumed by 2035, strive for nearzero emissions by 2050 and achieve carbon neutrality by 2060.</t>
  </si>
  <si>
    <t>https://www.reuters.com/business/energy/chinas-cnpc-join-decarbonization-pledge-cop28-president-says-2024-03-20/#:~:text=Previously%2C%20CNPC%20said%20it%20aims,Jaber%20leads%20as%20chief%20executive.
https://www.cnpc.com.cn/en/2021enbvfgrme/202208/3f9f514497354fbbbbd641d02236cf1f/files/11d9dc913f964cfba37de02a5982754f.pdf</t>
  </si>
  <si>
    <t>https://www.cnoocltd.com/attach/0/2404021001149030.pdf</t>
  </si>
  <si>
    <t>https://regional.chinadaily.com.cn/pdf/2020ChinaNationalNuclearPowerCo.,Ltd.EnvironmentalSocialandGovernanceReport.pdf</t>
  </si>
  <si>
    <t>https://investor-relations.db.com/files/documents/annual-reports/2024/Non-Financial-Report-2023.pdf</t>
  </si>
  <si>
    <t>https://www1.hkexnews.hk/listedco/listconews/sehk/2023/0417/2023041700638.pdf</t>
  </si>
  <si>
    <t>could not open a lot of their links</t>
  </si>
  <si>
    <t>https://gccassociation.org/news/global-cement-and-concrete-industry-announces-roadmap-to-achieve-groundbreaking-net-zero-co2-emissions-by-2050/</t>
  </si>
  <si>
    <t xml:space="preserve"> C2
 Three
Energy - China Mobile Carbon Peaking and Carbon
Neutrality Action Plan</t>
  </si>
  <si>
    <t>https://www.chinamobileltd.com/en/ir/reports/ar2023/sd2023.pdf</t>
  </si>
  <si>
    <t>https://en.cmbc.com.cn/upload/images/2023/9/2023%20Environmental,%20Social%20and%20Governance%20Report%20CMBC.pdf</t>
  </si>
  <si>
    <t>http://www.minmetals.com/english/sustainabledevelopment/sustainabilityreport/202307/P020230824370906926933.pdf</t>
  </si>
  <si>
    <t>https://s3gw.cmbimg.com/lb50.01-cmbweb-prd/CIOAMananger/20240325/46e9e604-5282-45de-9ccd-a7378a14bec3.pdf</t>
  </si>
  <si>
    <t>confusion as similar company (china life) mentions a parent company goal of net zero operations by 2045 but not clear this applies to THIS company</t>
  </si>
  <si>
    <t>https://www.worldbenchmarkingalliance.org/publication/electric-utilities/companies/china-huadian-corporation-2/#:~:text=China%20Huadian%20just%20released%20its,50%25%20of%20its%20installed%20capacity.</t>
  </si>
  <si>
    <t>https://www1.hkexnews.hk/listedco/listconews/sehk/2023/0419/2023041900261.pdf</t>
  </si>
  <si>
    <t>https://downloads.ctfassets.net/mt8w0y3iajsh/6AYQ2nyQcvlBr58DedN1G9/97efd8b46284451229c5d31841aa1ae6/FAW_Sustainable_Development_Report_2022.pdf</t>
  </si>
  <si>
    <t>http://www.ceic.com/gjnyjtww/jtgsbg/202305/3753834acccd47758d40a99d0ed14ad3/files/b736223431eb4434908f62d7bf8156b4.pdf</t>
  </si>
  <si>
    <t>https://www1.hkexnews.hk/listedco/listconews/sehk/2023/0330/2023033004476.pdf</t>
  </si>
  <si>
    <t>https://www.china-cdt.com/dtwz/UPLOAD/BB9DA6A4-05CB-3A0A-6054-568DB5A3383E16600250995441.pdf</t>
  </si>
  <si>
    <t>https://www.ccccltd.cn/shzr/zrbg/202209/P020220920571098883908.pdf</t>
  </si>
  <si>
    <t>The Company formulated the â€œImplementation Rules of China Comservice for the Management of â€˜Carbon Peak,
Carbon Neutralityâ€™ in 2023â€, which clarifies the â€œDual Carbonâ€ management indicators and specific implementation
rules of the Groupâ€™s subsidiaries, objectively evaluates the implementation and effectiveness of the various tasks,
and promotes the effective completion of the â€œDual Carbonâ€ work. I</t>
  </si>
  <si>
    <t>https://www.chinaccs.com.hk/en/about/esg/esg01.pdf
https://en.ccccltd.cn/tzzgx/dxbg/202403/P020240430625761317276.pdf</t>
  </si>
  <si>
    <t>https://www.chevron.com/newsroom/media/publications/corporate-sustainability-report</t>
  </si>
  <si>
    <t>https://www.chevron.com/newsroom/2021/Q4/chevron-sets-net-zero-aspiration-and-new-GHG-intensity-target</t>
  </si>
  <si>
    <t>upstream scope 1 and 2</t>
  </si>
  <si>
    <t>Chery Holding Group</t>
  </si>
  <si>
    <t>https://www.nyc.gov/assets/dep/downloads/pdf/air/air-pollution-control-code-variance-4-charter-spectrum-addendum-2.pdf</t>
  </si>
  <si>
    <t>https://www.centrica.com/media/inqbe0ip/people-planet-plan-report-2023.pdf</t>
  </si>
  <si>
    <t>https://www.centrica.com/stories/2021/centricas-climate-transition-plan/</t>
  </si>
  <si>
    <t>business (scope 1 and 2), customers (scope 1, 2, and 3)</t>
  </si>
  <si>
    <t>https://www.cenovus.com/News-and-Stories/News-releases/2023/2696943</t>
  </si>
  <si>
    <t>https://www.cbc.ca/news/canada/calgary/cenovus-oilsands-sustainability-strategy-1.5420652</t>
  </si>
  <si>
    <t>Cencora</t>
  </si>
  <si>
    <t>https://www.climateaction100.org/company/caterpillar-inc/#skeletabsPanel1
https://www.caterpillar.com/en/company/sustainability/2030-sustainability-goals.html
https://www.caterpillar.com/en/company/sustainability/energy-climate.html</t>
  </si>
  <si>
    <t>https://www.carrefour.com/sites/default/files/2023-04/Carrefour%20DPEF_English%20Version.pdf</t>
  </si>
  <si>
    <t>https://www.cardinalhealth.co.uk/content/dam/corp/web/documents/Report/cardinal-health-uk-nhs-carbon-reduction-plan.pdf</t>
  </si>
  <si>
    <t>The UK arm has a net zero plan but not the US - what % revenue comes from UK?</t>
  </si>
  <si>
    <t>Discontinued use
of	carbon	offsets	
to achieve our GHG
reduction targets.
Introduced	goal	to	
reduce Scope 1
emissions	by	50%	
and	Scope	3	
(Categories	1-14)	
emissions by
50%	by	2030	
(from	a	baseline	
year of 2019)</t>
  </si>
  <si>
    <t>https://ecm.capitalone.com/WCM/stories/pdfs/2023-capital-one-environmental-social-and-governance-report.pdf?external_id=Environment</t>
  </si>
  <si>
    <t>https://ecm.capitalone.com/WCM/stories/pdfs/2023-capital-one-environmental-social-and-governance-report.pdf?external_id=Our-Commitments</t>
  </si>
  <si>
    <t>Scope 1 and 2 emissions and business travel emissions in Scope 3</t>
  </si>
  <si>
    <t>https://www.cibc.com/content/dam/about_cibc/corporate_responsibility/pdfs/cibc-sustainability-report-2023-en.pdf</t>
  </si>
  <si>
    <t>https://www.newswire.ca/news-releases/cibc-declares-net-zero-ambition-by-2050-increases-sustainable-finance-target-874670170.html</t>
  </si>
  <si>
    <t>operational and financing activities</t>
  </si>
  <si>
    <t>Canadian Imperial Bank of Commerce</t>
  </si>
  <si>
    <t>Caixa Economica Federal</t>
  </si>
  <si>
    <t>https://en.byd.com/news/byd-reflects-on-its-cop26-journey-and-the-importance-of-electrification-in-driving-a-greener-world/#:~:text=Through%20sustainable%20development%20and%20pioneering,electrification%20on%20a%20global%20scale.</t>
  </si>
  <si>
    <t>https://www.bydglobal.com/sitesresources/common/tools/generic/web/viewer.html?file=%2Fsites%2FSatellite%2FBYD%20PDF%20Viewer%3Fblobcol%3Durldata%26blobheader%3Dapplication%252Fpdf%26blobkey%3Did%26blobtable%3DMungoBlobs%26blobwhere%3D1638928374508%26ssbinary%3Dtrue</t>
  </si>
  <si>
    <t>https://www.brookfield.com/responsibility/2022-sustainability-report</t>
  </si>
  <si>
    <t>assets we manage</t>
  </si>
  <si>
    <t>Brookfield</t>
  </si>
  <si>
    <t>https://www.bat.com/sustainability-and-esg/environment-and-climate/climate-change#:~:text=In%202021%2C%20BAT%20signed%2Dup,by%202050%20at%20the%20latest.
https://www.bat.com/content/dam/batcom/global/main-nav/investors-and-reporting/reporting/combined-annual-and-esg-report/BAT_Combined_Performance_and_Sustainability_Summary_2023.pdf</t>
  </si>
  <si>
    <t>Net Zero GHG Emissions</t>
  </si>
  <si>
    <t>https://www.bms.com/assets/bms/gb/en_gb/images/UK-Final-Carbon-Reduction-Plan-270324.pdf</t>
  </si>
  <si>
    <t>https://www.esg.bms.com/assets/bms-esg/us/documents/BMS-ESG-Report-2023.pdf</t>
  </si>
  <si>
    <t>Net-Zero emission</t>
  </si>
  <si>
    <t xml:space="preserve">Scopes 1, 2 and 3 </t>
  </si>
  <si>
    <t>01/07/2024</t>
  </si>
  <si>
    <t>https://www.bp.com/content/dam/bp/business-sites/en/global/corporate/pdfs/sustainability/group-reports/bp-sustainability-report-2023.pdf</t>
  </si>
  <si>
    <t>https://www.bp.com/content/dam/bp/country-sites/en_gb/united-kingdom/home/reports/bp-net-zero-progress-update-2024.pdf</t>
  </si>
  <si>
    <t>operations, production, and sold energy products</t>
  </si>
  <si>
    <t>https://www.bouygues.com/wp-content/uploads/2024/02/bouygues_2023_integrated_report_va.pdf</t>
  </si>
  <si>
    <t>https://www.bosch-presse.de/pressportal/de/en/climate-action-bosch-to-be-carbon-neutral-worldwide-by-2020-188800.html</t>
  </si>
  <si>
    <t>https://assets.bosch.com/media/global/sustainability/reporting_and_data/2023/bosch-sustainability-report-2023.pdf</t>
  </si>
  <si>
    <t>https://www.boeing.com/content/dam/boeing/boeingdotcom/sustainability/pdf/2024-boeing-sustainability-socialImpact-report.pdf</t>
  </si>
  <si>
    <t>https://www.boeing.com/content/dam/boeing/boeingdotcom/sustainability/pdf/2024-boeing-sustainability-socialImpact-report.pdf?v=0710</t>
  </si>
  <si>
    <t>mitigated</t>
  </si>
  <si>
    <t>scope 1 and 2 GHG emissions</t>
  </si>
  <si>
    <t>https://docfinder.bnpparibas-am.com/api/files/F5EE3377-26CE-4DFD-B770-DBD29323D78B</t>
  </si>
  <si>
    <t>account credit and investment activities</t>
  </si>
  <si>
    <t>https://www.bmwgroup.com/en/report/2023/downloads/BMW-Group-Report-2023-en.pdf</t>
  </si>
  <si>
    <t>refers to this target as climate-neutral as well</t>
  </si>
  <si>
    <t>https://esgnews.com/amp/bmw-announces-commitment-to-sustainability-goals-climate-neutrality-by-2050/</t>
  </si>
  <si>
    <t>https://www.bloomberg.com/news/articles/2024-06-26/bhp-uncertain-net-zero-emissions-target-will-be-reached-by-2050</t>
  </si>
  <si>
    <t>https://www.bhp.com/sustainability/climate-change/operational-ghg-emission-reductions</t>
  </si>
  <si>
    <t>https://www.theguardian.com/business/2021/may/16/people-are-sceptical-why-mining-giant-bhp-wants-to-get-to-net-zero-and-how-it-plans-to-do-it</t>
  </si>
  <si>
    <t>https://www.bharatpetroleum.in/images/files/SUSTAINABLE%20DEVELOPMENT%20REPORT_22-23-05-02-24.pdf
https://economictimes.indiatimes.com/industry/renewables/bpcl-strives-for-net-zero-carbon-emissions-by-2040/articleshow/93860104.cms?from=mdr</t>
  </si>
  <si>
    <t>https://corporate.bestbuy.com/wp-content/uploads/2023/07/FY23_CRS_Report.pdf</t>
  </si>
  <si>
    <t>Net-Zero annual carbon emissions by 2040</t>
  </si>
  <si>
    <t>operational carbon usage</t>
  </si>
  <si>
    <t>https://www.baicgroup.com.cn/uploadfile/shezebaogao/szbg2022.pdf</t>
  </si>
  <si>
    <t>https://www.bayer.com/en/sustainability/climate-commitment-net-zero-2050#:~:text=Bayer%20is%20on%20a%20path,projects%20with%20recognized%20quality%20standards.
https://www.bayer.com/en/news-stories/we-are-raising-the-bar</t>
  </si>
  <si>
    <t>https://www.bayer.com/sites/default/files/2024-02-28-com-offsetting-publication-0.pdf
https://www.bayer.com/en/news-stories/we-are-raising-the-bar
https://www.bayer.com/media/en-us/bayer-to-significantly-step-up-its-sustainability-efforts/</t>
  </si>
  <si>
    <t>https://www.bayer.com/sites/default/files/2024-03/bayer-sustainability-highlight-report-2023.pdf</t>
  </si>
  <si>
    <t>https://www.basf.com/global/en/media/news-releases/2021/03/p-21-166.html</t>
  </si>
  <si>
    <t>https://report.basf.com/2023/en/combined-managements-report/environmental-social-governance/environmental/energy-and-climate-protection.html</t>
  </si>
  <si>
    <t>Net-Zero CO2Â emissions</t>
  </si>
  <si>
    <t>scope 1, 2, and 3.1 (partial scope 3)</t>
  </si>
  <si>
    <t>https://reclaimfinance.org/site/en/2024/02/14/barclays-climate-strategy-greenwashing-and-business-as-usual/#:~:text=In%20March%202020%2C%20Barclays%20announced,timelines%20of%20the%20Paris%20Agreement.</t>
  </si>
  <si>
    <t>https://www.scotiabank.com/content/dam/scotiabank/corporate/Documents/Scotiabank_2023_ESG_Report_Final.pdf</t>
  </si>
  <si>
    <t>https://esgnews.com/scotiabank-announces-net-zero-strategy-and-a-commitment-to-mobilize-350-billion-in-climate-related-financing/</t>
  </si>
  <si>
    <t>banking alliance operations</t>
  </si>
  <si>
    <t xml:space="preserve">For financed emissions, BNYM IM EMEA does not adopt 
any binding net zero commitments as part of its strategy 
because management of portfolios is directed by its clients 
and delegated to affiliated Investment Management Firms. </t>
  </si>
  <si>
    <t>https://www.bnymellonim.com/content/dam/imemea/pdfs/tcfd-reports/T12584_IM_EMEA_Entity_TCFD_Report.pdf</t>
  </si>
  <si>
    <t xml:space="preserve"> carbon neutral</t>
  </si>
  <si>
    <t>Scope 1, 2, and 3  business travel emissions</t>
  </si>
  <si>
    <t>Bank of New York Mellon</t>
  </si>
  <si>
    <t>https://our-impact.bmo.com/wp-content/uploads/2024/03/BMO_2023_SR_EN.pdf</t>
  </si>
  <si>
    <t>https://www.bankcomm.com/BankCommSite/shtml/jyjr/en/2600223/2600642/5040673.shtml?channelId=2600642</t>
  </si>
  <si>
    <t>mention dual carbon goals</t>
  </si>
  <si>
    <t>https://pic.bankofchina.com/bocappd/report/202403/P020240328720914424945.pdf</t>
  </si>
  <si>
    <t>Building on our history of climate leadership, we are working towards
2030 targets for our operations and supply chain. Our Net Zero goal
includes operations, supply chain and financing activities (i.e., Scope 1,
Scope 2 and material Scope 3)
In 2021, the Corporation committed to achieving net zero
greenhouse gas emissions before 2050 in our financing
activities, operations and supply chain (Net Zero goal), and in
2022, we released our Approach to ZeroTM, a framework for how
we plan to achieve our Net Zero goal. In line with this approach,
we have set interim 2030 targets across our financing activities
(2030 Financing Activity Emissions Targets), operations and
supply chain, all of which are further supported and
complemented by our $1.5 trillion sustainable finance goal
(which is aligned with the 17 UN Sustainable Development
Goals) of which $1 trillion is dedicated to supporting the
transition toward a low-carbon economy, including capital
mobilized across clean energy sectors and tailored financial
solutions for emerging areas of the low-carbon economy. I</t>
  </si>
  <si>
    <t>https://d1io3yog0oux5.cloudfront.net/_a89f6b82dc7daa3d2fb98042426565da/bankofamerica/db/867/10038/annual_report/BAC+2023+Annual+Report.pdf</t>
  </si>
  <si>
    <t>V, F</t>
  </si>
  <si>
    <t>https://www.santander.co.uk/content/dam/sites/santander-uk-sustainability/resources/documents/santander-2023-ESG-supplement.pdf</t>
  </si>
  <si>
    <t>https://www.santander.com/content/dam/santander-com/es/documentos/informe-anual-de-sostenibilidad/2023/ias-2023-climate-finance-2023-es.pdf</t>
  </si>
  <si>
    <t>our operations, portfolios</t>
  </si>
  <si>
    <t>https://www.santander.com/content/dam/santander-com/en/contenido-paginas/nuestro-compromiso/reports/2023/doc-informes-usa-informe-anual-integrado-2023-disponible-en-ingles.pdf</t>
  </si>
  <si>
    <t>https://iupana.com/2023/08/14/the-carbon-opportunity-banco-do-brasil-wants-to-capture/?lang=en</t>
  </si>
  <si>
    <t>https://api.mziq.com/mzfilemanager/v2/d/5760dff3-15e1-4962-9e81-322a0b3d0bbd/90234c9e-5912-5db4-caf7-1ea4d7efa0a4?origin=2</t>
  </si>
  <si>
    <t>offsetting 100% of GHG emissions, emissions neutrality</t>
  </si>
  <si>
    <t>scope 1 and 2, financed emissions (value chain)</t>
  </si>
  <si>
    <t>https://banco.bradesco/assets/classic/pdf/sustentabilidade/en/bradesco-2023-ESG-report.pdf
https://api.mziq.com/mzfilemanager/v2/d/80f2e993-0a30-421a-9470-a4d5c8ad5e9f/5a878306-1f11-92ad-e1c2-c1706aee734b?origin=2</t>
  </si>
  <si>
    <t>operations and portfolios</t>
  </si>
  <si>
    <t>https://banco.bradesco/assets/classic/pdf/sustentabilidade/en/bradesco-2023-ESG-report.pdf</t>
  </si>
  <si>
    <t>offset 100%/neutralized</t>
  </si>
  <si>
    <t>operations, scope 3 operational emissions</t>
  </si>
  <si>
    <t>https://shareholdersandinvestors.bbva.com/wp-content/uploads/2024/03/BBVAInformeTCFD_ENG_Dic23_v05-03-24.pdf</t>
  </si>
  <si>
    <t>zero net emissions</t>
  </si>
  <si>
    <t>https://www.garantibbvainvestorrelations.com/en/sustainability/detail/Sustainable-Finance-Strategy/2213/9625/0#:~:text=These%20interim%20targets%20make%20up,scope%201%20and%202%20emissions.</t>
  </si>
  <si>
    <t>https://www.axa.com/en/commitments/axa-net-zero-strategy-for-investment-and-underwriting</t>
  </si>
  <si>
    <t>https://www.axa.com/en/commitments/environmental-footprint-management</t>
  </si>
  <si>
    <t>https://www-axa-com.cdn.axa-contento-118412.eu/www-axa-com/8b8dfa69-13e3-4c34-bae3-8fb939102a2d_axa_climate_and_biodiversity_report_2024_va.pdf</t>
  </si>
  <si>
    <t>operations, Scope 3 business travel, IT equipment manufacturing and 
purchased services, and upstream energy emissions</t>
  </si>
  <si>
    <t>CAL complies with the IATA and national carbon reduction targets by leading
the industry in announcing the â€œtarget for achieving net zero carbon emissions by 2050â€ in October 2021</t>
  </si>
  <si>
    <t>https://calec.china-airlines.com/csr/en/download/2022/2022-en-CSR.pdf</t>
  </si>
  <si>
    <t>Though AT&amp;T aims to reduce our footprint to as close to zero emissions as
possible, there may be some sources of emissions that cannot be eliminated.
In these cases, we will invest in high-quality carbon ofsets to cover the
associated emissions.</t>
  </si>
  <si>
    <t>https://about.att.com/ecms/dam/csr/2019/environment/ClimateStrategyTransitionPlan.pdf
https://sustainability.att.com/progress/esg-data</t>
  </si>
  <si>
    <t>entire global
operations</t>
  </si>
  <si>
    <t>https://www.astrazeneca.com/media-centre/press-releases/2020/astrazenecas-ambition-zero-carbon-strategy-to-eliminate-emissions-by-2025-and-be-carbon-negative-across-the-entire-value-chain-by-2030-22012020.html#modal-historic-confirmation</t>
  </si>
  <si>
    <t>https://www.astrazeneca.com/content/dam/az/Sustainability/2024/pdf/Ambition-Zero-Carbon-Infographic-2023.pdf</t>
  </si>
  <si>
    <t>https://www.generali.com/sustainability/our-commitment-to-the-environment-and-climate</t>
  </si>
  <si>
    <t>https://www.generali.com/doc/jcr:10e8853d-1fa8-44b2-958e-3ca826a3bd30/Annual%20Integrated%20Report%20and%20Consolidated%20Financial%20Statements%202023_Generali%20Group_final_interactive.pdf/lang:en/Annual_Integrated_Report_and_Consolidated_Financial_Statements_2023_Generali_Group_final_interactive.pdf</t>
  </si>
  <si>
    <t>operational activities, insurance portfolio</t>
  </si>
  <si>
    <t>https://www.adm.com/globalassets/sustainability/sustainability-reports/final_archer-daniels-midland-adm_2023-corporate-sustainability-report_51424.pdf</t>
  </si>
  <si>
    <t>https://corporate.arcelormittal.com/climate-action/leading-our-industry-s-efforts-to-decarbonise</t>
  </si>
  <si>
    <t>https://corporate.arcelormittal.com/media/vrqovnik/arcelor-mittal-integrated-annual-review-2023.pdf</t>
  </si>
  <si>
    <t xml:space="preserve">Achieve carbon neutrality for
our entire carbon footprint
by 2030 â€” reducing related
emissions by 75 percent
compared with 2015. Since 2015, weâ€™ve reduced
emissions by over 55 percent
across our value chain.We achieved carbon neutrality
in 2020 by expanding energy
efficiency initiatives, sourcing
100 percent renewable
electricity for Apple facilities,
and investing in high-quality
carbon credits to offset the
remaining hard-to-decarbonize
corporate emissions. </t>
  </si>
  <si>
    <t>https://www.apple.com/environment/pdf/Apple_Environmental_Progress_Report_2024.pdf</t>
  </si>
  <si>
    <t>corporate operations, entire value chain</t>
  </si>
  <si>
    <t>https://www.apollo.com/content/dam/apolloaem/documents/insights/apollo-2023-sustainability-report-june-2024.pdf</t>
  </si>
  <si>
    <t>carbon-neutral</t>
  </si>
  <si>
    <t>Apollo Global Management</t>
  </si>
  <si>
    <t>https://www.anz.com.au/content/dam/anzcomau/about-us/anz-2023-esg-supplement.pdf</t>
  </si>
  <si>
    <t>https://www.anz.com.au/about-us/esg/environmental-sustainability/climate-change/</t>
  </si>
  <si>
    <t>scope 1 and 290&amp; reduction and financed emissions</t>
  </si>
  <si>
    <t>ANZ Group Holdings</t>
  </si>
  <si>
    <t>organization</t>
  </si>
  <si>
    <t>https://www.americanexpress.com/content/dam/amex/en-us/newsroom/pdfs/AXP-2021-2022-ESG-Report.pdf</t>
  </si>
  <si>
    <t>undefined but SBTi approved</t>
  </si>
  <si>
    <t>operations - scope 1, 2 and partial 3</t>
  </si>
  <si>
    <t>https://s202.q4cdn.com/986123435/files/images/esg/American-Airlines-Sustainability-Report-2023.pdf
https://www.unpri.org/pri-blog/seven-major-companies-that-committed-to-net-zero-emissions-in-2020/6909.article</t>
  </si>
  <si>
    <t>https://sustainability.aboutamazon.com/2023-sustainability-report.pdf</t>
  </si>
  <si>
    <t>https://sustainability.aboutamazon.com/2022-sustainability-report.pdf
https://s3.amazonaws.com/sustainabledevelopment.report/2023/sustainable-development-report-2023.pdf</t>
  </si>
  <si>
    <t>refers to the statement made by General Secretary Xi Jinping at the General
Debate of the 75th session of the UN General Assembly that â€œChina will scale
up its Intended Nationally Determined Contributions (INDCs) by adopting
more vigorous policies and measures and aim to have CO2 emissions peak
before 2030 and achieve carbon neutrality before 2060â€</t>
  </si>
  <si>
    <t>https://www.chalco.com.cn/en/tzzgxen/tzggen/202203/P020220323614314766465.pdf</t>
  </si>
  <si>
    <t>Our operational emissions are then further compensated
for by high-quality carbon credits enabled through
contracted carbon offset projects, which capture and
destroy highly potent GHGs.
Our operational emissions are then further compensated
for by high-quality carbon credits enabled through
contracted carbon offset projects, which capture and
destroy highly potent GHGs.</t>
  </si>
  <si>
    <t>https://www.gstatic.com/gumdrop/sustainability/google-2024-environmental-report.pdf</t>
  </si>
  <si>
    <t>https://www.gstatic.com/gumdrop/sustainability/google-2023-environmental-report.pdf</t>
  </si>
  <si>
    <t>https://delivery.contenthub.allstate.com/api/public/content/4860fd4e881a42899a718e0db304a33e?v=878016db#:~:text=In%20December%202022%2C%20Allstate%20announced,a%20goal%20for%20financed%20emissions.</t>
  </si>
  <si>
    <t>https://delivery.contenthub.allstate.com/api/public/content/2023-sustainability-report?v=67b36ebf</t>
  </si>
  <si>
    <t>ith the publication of
our first comprehensive net-zero transition
plan in 2023, we further detailed our
commitment to achieve net-zero emissions
by 2050, covering proprietary investments
and, for the first time, our P&amp;C insurance
business
The (1) Net Zero
2050 scenario is determined by an
orderly transition to net-zero emissions by 2050 following the target to limit
global warming to 1.5Â°C through stringent
climate policies at the cost of moderate
economic strain in the initial years.</t>
  </si>
  <si>
    <t>https://www.allianz.com/content/dam/onemarketing/azcom/Allianz_com/sustainability/documents/Allianz_Group_Sustainability_Report_2023-web.pdf</t>
  </si>
  <si>
    <t>Investment Portfolio</t>
  </si>
  <si>
    <t>BAD: we aim to reduce our Scope 1 and 2Â emissions by 50%, using a range of solution including carbon credits if needed.</t>
  </si>
  <si>
    <t>https://corpo.couche-tard.com/wp-content/uploads/2024/06/ACT_Sustainability_Report_2024.pdf</t>
  </si>
  <si>
    <t>In 2021, Alibaba set ambitious targets of achieving carbon neutrality in our
own operations and halving the energy intensity across our value chain by
2030 and driving emission reduction of 1.5 gigatons over 15 years in our
platform ecosystem
s. Combining these efforts with our projects on carbon removal and carbon offsets, we
have achieved a year-over-year decrease of 5.7%1
 of our carbon intensity throughout the value
chain</t>
  </si>
  <si>
    <t>https://data.alibabagroup.com/ecms-files/1509739361/fcaefa3d-0989-48fb-b003-fa96aa04880e/2023%20Alibaba%20ESG%20Report-Final.pdf</t>
  </si>
  <si>
    <t>We work with energy providers in our operating areas to
purchase utility-scale renewable energy and renewable
energy credits.</t>
  </si>
  <si>
    <t>https://s29.q4cdn.com/239956855/files/our_impact/sustainability_doc/albcdacsiv199540_aci_23_esg-report-1-2.pdf|
https://www.supermarketnews.com/sustainability/albertsons-unveils-recipe-change-esg-platform</t>
  </si>
  <si>
    <t>https://www.aisin.com/en/sustainability/report/pdf/aisin_ar2023_en_a3.pdf</t>
  </si>
  <si>
    <t>products and production</t>
  </si>
  <si>
    <t>https://www.airbus.com/en/sustainability/respecting-the-planet/decarbonisation</t>
  </si>
  <si>
    <t>https://sustainabilityreport.airfranceklm.com/sustainability-report-2022-en/</t>
  </si>
  <si>
    <t>https://www.airfranceklm.com/en/our-commitments</t>
  </si>
  <si>
    <t>https://aig.gcs-web.com/node/53226/pdf</t>
  </si>
  <si>
    <t>operations and underwriting and investments portfolios</t>
  </si>
  <si>
    <t>https://www.aia.com/content/dam/group-wise/en/docs/ESG/AIA_Group_ESG_Report_2023_Summary.pdf</t>
  </si>
  <si>
    <t>01/11/2023</t>
  </si>
  <si>
    <t>Insurance: Life, Health (stock)</t>
  </si>
  <si>
    <t>they offset but don't specify why.  Also have the Governement target -  could put down as 2060 as per the gov target?</t>
  </si>
  <si>
    <t>https://www.abchina.com/en/aboutus/csr-report/202403/P020240328668627319429.pdf</t>
  </si>
  <si>
    <t>https://www.aeon-jreit.co.jp/en/sustainability/pdf/report/Sustainability_Report_all_e_2023_.pdf</t>
  </si>
  <si>
    <t>https://www.grupoacs.com/sostenibilidad/estrategia-de-sostenibilidad/plan-director-sostenibilidad-2025/</t>
  </si>
  <si>
    <t>https://www.grupoacs.com/ficheros_editor/File/03_accionistas_inversores/06_junta_general_accionistas/2024/5%20Informaci%C3%B3n%20no%20financiera.pdf</t>
  </si>
  <si>
    <t>https://www.accenture.com/content/dam/accenture/final/corporate/corporate-initiatives/sustainability/document/360-Value-Report-2023.pdf</t>
  </si>
  <si>
    <t>https://www.abbvie.co.uk/content/dam/abbvie-dotcom/gb/documents/OCTOBER%20UK-ABBV-230401%20-%20Carbon%20Reduction%20Plan.pdf
https://www.abbvie.com/sustainability/environmental-social-and-governance/environmental-sustainability.html#:~:text=In%20our%20determined%20effort%20to,and%20use%20cleaner%20energy%20sources</t>
  </si>
  <si>
    <t>https://www.abbott.com/content/dam/corp/abbott/en-us/hub-new/Abbott-2023-Global-Sustainability-Report-June-2024.pdf</t>
  </si>
  <si>
    <t>https://search.abb.com/library/Download.aspx?DocumentID=9AKK108469A1083&amp;LanguageCode=en&amp;DocumentPartId=&amp;Action=Launch</t>
  </si>
  <si>
    <t>https://global.abb/group/en/sustainability</t>
  </si>
  <si>
    <t>https://multimedia.3m.com/mws/media/2395043O/3m-2024-global-impact-report.pdf</t>
  </si>
  <si>
    <t>Any NZ covering VC</t>
  </si>
  <si>
    <t>NZ covering VC 2031-2050</t>
  </si>
  <si>
    <t>NZ covering VC 2024-2030</t>
  </si>
  <si>
    <t>NZ covering VC already achieved</t>
  </si>
  <si>
    <t>any commitment by 2050</t>
  </si>
  <si>
    <t>any commitment by 2030</t>
  </si>
  <si>
    <t>any commitment already achieved</t>
  </si>
  <si>
    <t>any commitment</t>
  </si>
  <si>
    <t>will NOT use carbon credits</t>
  </si>
  <si>
    <t>will use cabon credits</t>
  </si>
  <si>
    <t>CN/NZ by 2050</t>
  </si>
  <si>
    <t>CN/NZ by 2030</t>
  </si>
  <si>
    <t>CN/NZ - does the company have a voluntary CN or NZ target?</t>
  </si>
  <si>
    <t>Any RE100</t>
  </si>
  <si>
    <t>RE100 2031-2050</t>
  </si>
  <si>
    <t>RE100 2024-2030</t>
  </si>
  <si>
    <t>RE100 already achieved</t>
  </si>
  <si>
    <t>Any SBT</t>
  </si>
  <si>
    <t>SBT 2031-2050</t>
  </si>
  <si>
    <t>SBT 2024-2030</t>
  </si>
  <si>
    <t>SBT already achieved</t>
  </si>
  <si>
    <t>Any NZ</t>
  </si>
  <si>
    <t>NZ 2031-2050</t>
  </si>
  <si>
    <t>NZ 2024-2030</t>
  </si>
  <si>
    <t>NZ already achieved</t>
  </si>
  <si>
    <t>Any CN</t>
  </si>
  <si>
    <t>CN 2031-2050</t>
  </si>
  <si>
    <t>CN 2024-2030</t>
  </si>
  <si>
    <t xml:space="preserve">CN already achieved </t>
  </si>
  <si>
    <t>Interesting points</t>
  </si>
  <si>
    <t>Questions</t>
  </si>
  <si>
    <t>Source.3</t>
  </si>
  <si>
    <t>Using Carbon Credits without target (Y=yes, N=No)</t>
  </si>
  <si>
    <t>Source.2</t>
  </si>
  <si>
    <t>Reduction targets for Decarbonization (V = value chain, C = company)</t>
  </si>
  <si>
    <t>Press release.1</t>
  </si>
  <si>
    <t>Sustainability report.1</t>
  </si>
  <si>
    <t>Source Target Mention (Y or N).1</t>
  </si>
  <si>
    <t>Souce Date.1</t>
  </si>
  <si>
    <t>Source.1</t>
  </si>
  <si>
    <t>Carbon credits (Y = yes, N = no, R = removals only, U = unclear).1</t>
  </si>
  <si>
    <t>Later net zero announcement year</t>
  </si>
  <si>
    <t>Later net zero target year</t>
  </si>
  <si>
    <t>Net Zero Target - LATE</t>
  </si>
  <si>
    <t>Earlier net zero announcement year</t>
  </si>
  <si>
    <t>Earlier net zero target year</t>
  </si>
  <si>
    <t>Net Zero Target - EARLY</t>
  </si>
  <si>
    <t>Primary net zero claim (in their words)</t>
  </si>
  <si>
    <t>Primary net zero scope (in their words)</t>
  </si>
  <si>
    <t>Net zero commitment (V = value chain, C = company, S = subsidiary, U = unclear, x = less than 50% rev)</t>
  </si>
  <si>
    <t>Notes (including climate positive)</t>
  </si>
  <si>
    <t>Press release</t>
  </si>
  <si>
    <t>Sustainability report</t>
  </si>
  <si>
    <t>Source Target Mention (Y or N)</t>
  </si>
  <si>
    <t>Souce Date</t>
  </si>
  <si>
    <t>Carbon credits (Y = yes, N = no, R = removals only, U = unclear)</t>
  </si>
  <si>
    <t>Later carbon neutral announcement year</t>
  </si>
  <si>
    <t>Later carbon neutral target year</t>
  </si>
  <si>
    <t>Carbon neutral commitment - LATE</t>
  </si>
  <si>
    <t>Earlier carbon neutral announcement year</t>
  </si>
  <si>
    <t>Earlier carbon neutral target year</t>
  </si>
  <si>
    <t>Carbon neutral commitment - EARLY</t>
  </si>
  <si>
    <t>Carbon neutral claim (in their words)</t>
  </si>
  <si>
    <t>Carbon neutral scope(s) (in their words) (+ indicates two targets/ a later target)</t>
  </si>
  <si>
    <t>Carbon neutral commitment (C = company, V = value chain, G= Government, S = subsidiary, U = unspecified, x = less than 50% of rev, N=no)</t>
  </si>
  <si>
    <t>Commitment year (SBTi)</t>
  </si>
  <si>
    <t>Commitment date (SBTi)</t>
  </si>
  <si>
    <t>SBTi NZ approved year</t>
  </si>
  <si>
    <t>Net zero committed (SBTi)</t>
  </si>
  <si>
    <t>Target year NT (earlier of the two dates if there were two) - if committed, then year set to 2030</t>
  </si>
  <si>
    <t>Target classification NT - temp</t>
  </si>
  <si>
    <t>Target status - NT</t>
  </si>
  <si>
    <t>SBT (Y = yes, N=no)</t>
  </si>
  <si>
    <t>Target year</t>
  </si>
  <si>
    <t>Joining year</t>
  </si>
  <si>
    <t>RE100 (Y/N)</t>
  </si>
  <si>
    <t>Sector (final classification)</t>
  </si>
  <si>
    <t>Sector (Fortune)</t>
  </si>
  <si>
    <t>Profits usable ($M)</t>
  </si>
  <si>
    <t>compared with 2023 data?</t>
  </si>
  <si>
    <t>Date completed</t>
  </si>
  <si>
    <t>Who dunnit?</t>
  </si>
  <si>
    <t>Target summary</t>
  </si>
  <si>
    <t>2023 rank</t>
  </si>
  <si>
    <t>Company Name</t>
  </si>
  <si>
    <t>Column1</t>
  </si>
  <si>
    <t>Column2</t>
  </si>
  <si>
    <t>Column3</t>
  </si>
  <si>
    <t>Column4</t>
  </si>
  <si>
    <t>Column5</t>
  </si>
  <si>
    <t>Column6</t>
  </si>
  <si>
    <t>Column7</t>
  </si>
  <si>
    <t>Column8</t>
  </si>
  <si>
    <t>Column9</t>
  </si>
  <si>
    <t>Column10</t>
  </si>
  <si>
    <t>Column11</t>
  </si>
  <si>
    <t>Column12</t>
  </si>
  <si>
    <t>Column13</t>
  </si>
  <si>
    <t>Column14</t>
  </si>
  <si>
    <t>Column15</t>
  </si>
  <si>
    <t>Column16</t>
  </si>
  <si>
    <t>SBTi short term</t>
  </si>
  <si>
    <t>&lt;=2021</t>
  </si>
  <si>
    <t>2022-2030</t>
  </si>
  <si>
    <t>2031-2060</t>
  </si>
  <si>
    <t>region</t>
  </si>
  <si>
    <t>Professional services → Financial services</t>
  </si>
  <si>
    <t>Industrial goods → Metals and mining → Materials</t>
  </si>
  <si>
    <t>Textiles and apparel → Retail</t>
  </si>
  <si>
    <t>Financial services → Financial services</t>
  </si>
  <si>
    <t>Other</t>
  </si>
  <si>
    <t>Column17</t>
  </si>
  <si>
    <t>other</t>
  </si>
  <si>
    <t>&lt;=2020</t>
  </si>
  <si>
    <t>2021-2030</t>
  </si>
  <si>
    <t>&lt;=2022</t>
  </si>
  <si>
    <t>2023-2030</t>
  </si>
  <si>
    <t>F (Country)</t>
  </si>
  <si>
    <t>G (Region)</t>
  </si>
  <si>
    <t>&lt;=2023</t>
  </si>
  <si>
    <t>2024-2030</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</si>
  <si>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</si>
  <si>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</si>
  <si>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</si>
  <si>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</si>
  <si>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</si>
  <si>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</si>
  <si>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</si>
  <si>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</si>
  <si>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</si>
  <si>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</si>
  <si>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</si>
  <si>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</si>
  <si>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</si>
  <si>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</si>
  <si>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</si>
  <si>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</si>
  <si>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</si>
  <si>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</si>
  <si>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</si>
  <si>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</si>
  <si>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</si>
  <si>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</si>
  <si>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</si>
  <si>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</si>
  <si>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</si>
  <si>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</si>
  <si>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Column152</t>
  </si>
  <si>
    <t xml:space="preserve">year broken down </t>
  </si>
  <si>
    <t>Column202</t>
  </si>
  <si>
    <t>Raw Sector</t>
  </si>
  <si>
    <t>Mapped Sector</t>
  </si>
  <si>
    <t>Hotels, Restaurants &amp; Leisure → Retail</t>
  </si>
  <si>
    <t>Sector (Original)</t>
  </si>
  <si>
    <t>Sector (Mapped)</t>
  </si>
  <si>
    <t>&lt;=2024</t>
  </si>
  <si>
    <t>2025-2030</t>
  </si>
  <si>
    <t xml:space="preserve">NZ year </t>
  </si>
  <si>
    <t>Unspecified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</si>
</sst>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409]#,##0"/>
    <numFmt numFmtId="165" formatCode="_-&quot;£&quot;* #,##0.00_-;\-&quot;£&quot;* #,##0.00_-;_-&quot;£&quot;* &quot;-&quot;??_-;_-@_-"/>
    <numFmt numFmtId="166" formatCode="#,##0.0"/>
    <numFmt numFmtId="167" formatCode="_-* #,##0.00_-;\-* #,##0.00_-;_-* &quot;-&quot;??_-;_-@_-"/>
    <numFmt numFmtId="168" formatCode="_-* #,##0_-;\-* #,##0_-;_-* &quot;-&quot;??_-;_-@_-"/>
    <numFmt numFmtId="169" formatCode="0.0000"/>
  </numFmts>
  <fonts count="39">
    <font>
      <sz val="11"/>
      <color theme="1"/>
      <name val="Aptos Narrow"/>
      <family val="2"/>
      <scheme val="minor"/>
    </font>
    <font>
      <sz val="11"/>
      <color theme="1"/>
      <name val="Aptos Narrow"/>
      <family val="2"/>
      <scheme val="minor"/>
    </font>
    <font>
      <sz val="11"/>
      <color rgb="FF9C0006"/>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u/>
      <sz val="11"/>
      <color theme="1"/>
      <name val="Aptos Narrow"/>
      <family val="2"/>
      <scheme val="minor"/>
    </font>
    <font>
      <sz val="11"/>
      <name val="Aptos Narrow"/>
      <family val="2"/>
      <scheme val="minor"/>
    </font>
    <font>
      <sz val="11"/>
      <color theme="1"/>
      <name val="Calibri"/>
      <family val="2"/>
    </font>
    <font>
      <u/>
      <sz val="11"/>
      <color rgb="FFFF0000"/>
      <name val="Aptos Narrow"/>
      <family val="2"/>
      <scheme val="minor"/>
    </font>
    <font>
      <sz val="11"/>
      <color rgb="FF000000"/>
      <name val="Aptos Narrow"/>
      <family val="2"/>
      <scheme val="minor"/>
    </font>
    <font>
      <sz val="11"/>
      <color rgb="FFFF0000"/>
      <name val="Calibri (Body)"/>
    </font>
    <font>
      <sz val="11"/>
      <color rgb="FFC00000"/>
      <name val="Aptos Narrow"/>
      <family val="2"/>
      <scheme val="minor"/>
    </font>
    <font>
      <sz val="11"/>
      <color rgb="FFC00000"/>
      <name val="Calibri (Body)"/>
    </font>
    <font>
      <b/>
      <sz val="11"/>
      <color theme="0" tint="-0.34998626667073579"/>
      <name val="Aptos Narrow"/>
      <family val="2"/>
      <scheme val="minor"/>
    </font>
    <font>
      <b/>
      <sz val="11"/>
      <color theme="0" tint="-0.249977111117893"/>
      <name val="Aptos Narrow"/>
      <family val="2"/>
      <scheme val="minor"/>
    </font>
    <font>
      <b/>
      <sz val="11"/>
      <name val="Aptos Narrow"/>
      <family val="2"/>
      <scheme val="minor"/>
    </font>
    <font>
      <b/>
      <sz val="11"/>
      <color rgb="FFFF0000"/>
      <name val="Aptos Narrow"/>
      <family val="2"/>
      <scheme val="minor"/>
    </font>
    <font>
      <sz val="12"/>
      <color theme="1"/>
      <name val="Aptos Narrow"/>
      <family val="2"/>
      <scheme val="minor"/>
    </font>
    <font>
      <sz val="12"/>
      <color theme="1"/>
      <name val="Arial"/>
      <family val="2"/>
    </font>
    <font>
      <u/>
      <sz val="12"/>
      <color theme="10"/>
      <name val="Aptos Narrow"/>
      <family val="2"/>
      <scheme val="minor"/>
    </font>
    <font>
      <u/>
      <sz val="12"/>
      <color theme="10"/>
      <name val="Arial"/>
      <family val="2"/>
    </font>
    <font>
      <sz val="12"/>
      <color rgb="FF000000"/>
      <name val="Arial"/>
      <family val="2"/>
    </font>
    <font>
      <b/>
      <sz val="12"/>
      <color theme="1"/>
      <name val="Arial"/>
      <family val="2"/>
    </font>
    <font>
      <b/>
      <sz val="12"/>
      <color rgb="FF000000"/>
      <name val="Arial"/>
      <family val="2"/>
    </font>
    <font>
      <b/>
      <sz val="11"/>
      <color rgb="FF000000"/>
      <name val="Aptos Narrow"/>
      <family val="2"/>
      <scheme val="minor"/>
    </font>
    <font>
      <b/>
      <sz val="11"/>
      <color rgb="FF000000"/>
      <name val="Aptos Narrow"/>
      <scheme val="minor"/>
    </font>
    <font>
      <sz val="11"/>
      <color rgb="FF000000"/>
      <name val="Aptos Narrow"/>
      <scheme val="minor"/>
    </font>
    <font>
      <sz val="11"/>
      <color rgb="FF000000"/>
      <name val="Calibri"/>
      <family val="2"/>
    </font>
    <font>
      <sz val="8"/>
      <color rgb="FF111111"/>
      <name val="Arial Narrow"/>
      <family val="2"/>
    </font>
    <font>
      <sz val="8"/>
      <color rgb="FF007B9D"/>
      <name val="Arial Narrow"/>
      <family val="2"/>
    </font>
    <font>
      <u/>
      <sz val="8"/>
      <color rgb="FF007B9D"/>
      <name val="Arial Narrow"/>
      <family val="2"/>
    </font>
    <font>
      <sz val="9"/>
      <color rgb="FF010101"/>
      <name val="Meiryo"/>
      <family val="2"/>
      <charset val="128"/>
    </font>
    <font>
      <sz val="10"/>
      <name val="Calibri"/>
      <family val="2"/>
    </font>
    <font>
      <b/>
      <sz val="11"/>
      <color rgb="FFFFFFFF"/>
      <name val="Calibri"/>
      <family val="2"/>
    </font>
    <font>
      <b/>
      <sz val="10"/>
      <name val="Calibri"/>
      <family val="2"/>
    </font>
    <font>
      <b/>
      <sz val="10"/>
      <color rgb="FFFF0000"/>
      <name val="Calibri"/>
      <family val="2"/>
    </font>
    <font>
      <b/>
      <sz val="10"/>
      <color theme="1"/>
      <name val="Calibri"/>
      <family val="2"/>
    </font>
    <font>
      <sz val="8"/>
      <name val="Aptos Narrow"/>
      <family val="2"/>
      <scheme val="minor"/>
    </font>
  </fonts>
  <fills count="17">
    <fill>
      <patternFill patternType="none"/>
    </fill>
    <fill>
      <patternFill patternType="gray125"/>
    </fill>
    <fill>
      <patternFill patternType="solid">
        <fgColor rgb="FFFFC7CE"/>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7" tint="0.79998168889431442"/>
        <bgColor indexed="65"/>
      </patternFill>
    </fill>
    <fill>
      <patternFill patternType="solid">
        <fgColor rgb="FFFFFF00"/>
        <bgColor indexed="64"/>
      </patternFill>
    </fill>
    <fill>
      <patternFill patternType="solid">
        <fgColor theme="0"/>
        <bgColor indexed="64"/>
      </patternFill>
    </fill>
    <fill>
      <patternFill patternType="solid">
        <fgColor theme="8" tint="0.79998168889431442"/>
        <bgColor indexed="64"/>
      </patternFill>
    </fill>
    <fill>
      <patternFill patternType="solid">
        <fgColor rgb="FF4472C4"/>
        <bgColor rgb="FF4472C4"/>
      </patternFill>
    </fill>
    <fill>
      <patternFill patternType="solid">
        <fgColor rgb="FFB4C7E7"/>
        <bgColor rgb="FFB4C7E7"/>
      </patternFill>
    </fill>
    <fill>
      <patternFill patternType="solid">
        <fgColor rgb="FFE7E6E6"/>
        <bgColor rgb="FFE7E6E6"/>
      </patternFill>
    </fill>
    <fill>
      <patternFill patternType="solid">
        <fgColor theme="0"/>
        <bgColor rgb="FF4472C4"/>
      </patternFill>
    </fill>
    <fill>
      <patternFill patternType="solid">
        <fgColor theme="0"/>
        <bgColor rgb="FFB4C7E7"/>
      </patternFill>
    </fill>
    <fill>
      <patternFill patternType="solid">
        <fgColor theme="0"/>
        <bgColor rgb="FFE7E6E6"/>
      </patternFill>
    </fill>
    <fill>
      <patternFill patternType="solid">
        <fgColor theme="9" tint="0.79998168889431442"/>
        <bgColor indexed="64"/>
      </patternFill>
    </fill>
  </fills>
  <borders count="15">
    <border>
      <left/>
      <right/>
      <top/>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style="thin">
        <color theme="4" tint="0.39997558519241921"/>
      </right>
      <top style="thin">
        <color theme="4" tint="0.39997558519241921"/>
      </top>
      <bottom style="thin">
        <color theme="4" tint="0.39997558519241921"/>
      </bottom>
      <diagonal/>
    </border>
  </borders>
  <cellStyleXfs count="13">
    <xf numFmtId="0" fontId="0" fillId="0" borderId="0"/>
    <xf numFmtId="9" fontId="1" fillId="0" borderId="0" applyFont="0" applyFill="0" applyBorder="0" applyAlignment="0" applyProtection="0"/>
    <xf numFmtId="0" fontId="2"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5" fillId="0" borderId="0" applyNumberFormat="0" applyFill="0" applyBorder="0" applyAlignment="0" applyProtection="0"/>
    <xf numFmtId="165" fontId="1" fillId="0" borderId="0" applyFont="0" applyFill="0" applyBorder="0" applyAlignment="0" applyProtection="0"/>
    <xf numFmtId="0" fontId="18" fillId="0" borderId="0"/>
    <xf numFmtId="0" fontId="20" fillId="0" borderId="0" applyNumberFormat="0" applyFill="0" applyBorder="0" applyAlignment="0" applyProtection="0"/>
    <xf numFmtId="9" fontId="18" fillId="0" borderId="0" applyFont="0" applyFill="0" applyBorder="0" applyAlignment="0" applyProtection="0"/>
    <xf numFmtId="167" fontId="1" fillId="0" borderId="0" applyFont="0" applyFill="0" applyBorder="0" applyAlignment="0" applyProtection="0"/>
  </cellStyleXfs>
  <cellXfs count="228">
    <xf numFmtId="0" fontId="0" fillId="0" borderId="0" xfId="0"/>
    <xf numFmtId="0" fontId="0" fillId="0" borderId="0" xfId="0" applyAlignment="1">
      <alignment horizontal="left" vertical="top"/>
    </xf>
    <xf numFmtId="9" fontId="0" fillId="0" borderId="0" xfId="1" applyFont="1" applyAlignment="1">
      <alignment horizontal="left" vertical="top"/>
    </xf>
    <xf numFmtId="3" fontId="0" fillId="0" borderId="0" xfId="0" applyNumberFormat="1" applyAlignment="1">
      <alignment horizontal="left" vertical="top"/>
    </xf>
    <xf numFmtId="164" fontId="0" fillId="0" borderId="0" xfId="0" applyNumberFormat="1" applyAlignment="1">
      <alignment horizontal="left" vertical="top"/>
    </xf>
    <xf numFmtId="9" fontId="0" fillId="0" borderId="0" xfId="1" applyFont="1"/>
    <xf numFmtId="0" fontId="0" fillId="7" borderId="0" xfId="0" applyFill="1" applyAlignment="1">
      <alignment horizontal="left" vertical="top"/>
    </xf>
    <xf numFmtId="0" fontId="0" fillId="0" borderId="0" xfId="0" applyAlignment="1">
      <alignment horizontal="left"/>
    </xf>
    <xf numFmtId="0" fontId="5" fillId="0" borderId="0" xfId="7"/>
    <xf numFmtId="0" fontId="4" fillId="0" borderId="0" xfId="0" applyFont="1" applyAlignment="1">
      <alignment horizontal="left" vertical="top"/>
    </xf>
    <xf numFmtId="0" fontId="1" fillId="6" borderId="0" xfId="6" applyAlignment="1">
      <alignment horizontal="left" vertical="top"/>
    </xf>
    <xf numFmtId="9" fontId="1" fillId="6" borderId="0" xfId="1" applyFill="1" applyAlignment="1">
      <alignment horizontal="left" vertical="top"/>
    </xf>
    <xf numFmtId="9" fontId="0" fillId="6" borderId="0" xfId="1" applyFont="1" applyFill="1" applyAlignment="1">
      <alignment horizontal="left" vertical="top"/>
    </xf>
    <xf numFmtId="0" fontId="1" fillId="5" borderId="0" xfId="5" applyAlignment="1">
      <alignment horizontal="left" vertical="top"/>
    </xf>
    <xf numFmtId="0" fontId="0" fillId="5" borderId="0" xfId="5" applyFont="1" applyAlignment="1">
      <alignment horizontal="left" vertical="top"/>
    </xf>
    <xf numFmtId="0" fontId="1" fillId="4" borderId="0" xfId="4" applyAlignment="1">
      <alignment horizontal="left" vertical="top"/>
    </xf>
    <xf numFmtId="3" fontId="4" fillId="0" borderId="0" xfId="0" applyNumberFormat="1" applyFont="1" applyAlignment="1">
      <alignment horizontal="left" vertical="top"/>
    </xf>
    <xf numFmtId="0" fontId="1" fillId="3" borderId="0" xfId="3" applyAlignment="1">
      <alignment horizontal="left" vertical="top"/>
    </xf>
    <xf numFmtId="0" fontId="1" fillId="3" borderId="0" xfId="3"/>
    <xf numFmtId="0" fontId="0" fillId="3" borderId="0" xfId="3" applyFont="1" applyAlignment="1">
      <alignment horizontal="left" vertical="top"/>
    </xf>
    <xf numFmtId="0" fontId="2" fillId="2" borderId="0" xfId="2" applyAlignment="1">
      <alignment horizontal="left" vertical="top"/>
    </xf>
    <xf numFmtId="1" fontId="0" fillId="0" borderId="0" xfId="0" applyNumberFormat="1" applyAlignment="1">
      <alignment horizontal="left"/>
    </xf>
    <xf numFmtId="9" fontId="0" fillId="0" borderId="0" xfId="1" applyFont="1" applyAlignment="1">
      <alignment horizontal="left"/>
    </xf>
    <xf numFmtId="0" fontId="0" fillId="0" borderId="0" xfId="0" quotePrefix="1" applyAlignment="1">
      <alignment horizontal="left"/>
    </xf>
    <xf numFmtId="164" fontId="0" fillId="0" borderId="0" xfId="8" applyNumberFormat="1" applyFont="1" applyAlignment="1">
      <alignment horizontal="left"/>
    </xf>
    <xf numFmtId="0" fontId="3" fillId="0" borderId="0" xfId="0" applyFont="1" applyAlignment="1">
      <alignment horizontal="left"/>
    </xf>
    <xf numFmtId="0" fontId="5" fillId="0" borderId="0" xfId="7" applyAlignment="1"/>
    <xf numFmtId="0" fontId="5" fillId="0" borderId="0" xfId="7" applyAlignment="1">
      <alignment horizontal="left"/>
    </xf>
    <xf numFmtId="0" fontId="5" fillId="0" borderId="0" xfId="7" applyFill="1" applyAlignment="1"/>
    <xf numFmtId="0" fontId="7" fillId="0" borderId="0" xfId="0" applyFont="1" applyAlignment="1">
      <alignment horizontal="left"/>
    </xf>
    <xf numFmtId="0" fontId="6" fillId="0" borderId="0" xfId="7" applyFont="1" applyFill="1" applyAlignment="1"/>
    <xf numFmtId="0" fontId="1" fillId="0" borderId="0" xfId="7" applyFont="1" applyAlignment="1"/>
    <xf numFmtId="0" fontId="8" fillId="0" borderId="0" xfId="0" quotePrefix="1" applyFont="1" applyAlignment="1">
      <alignment wrapText="1"/>
    </xf>
    <xf numFmtId="0" fontId="8" fillId="0" borderId="0" xfId="0" quotePrefix="1" applyFont="1"/>
    <xf numFmtId="0" fontId="0" fillId="8" borderId="0" xfId="0" applyFill="1" applyAlignment="1">
      <alignment horizontal="left"/>
    </xf>
    <xf numFmtId="0" fontId="5" fillId="8" borderId="0" xfId="7" applyFill="1" applyAlignment="1"/>
    <xf numFmtId="0" fontId="0" fillId="7" borderId="0" xfId="0" applyFill="1" applyAlignment="1">
      <alignment horizontal="left"/>
    </xf>
    <xf numFmtId="0" fontId="3" fillId="7" borderId="0" xfId="0" applyFont="1" applyFill="1" applyAlignment="1">
      <alignment horizontal="left"/>
    </xf>
    <xf numFmtId="0" fontId="0" fillId="7" borderId="0" xfId="0" quotePrefix="1" applyFill="1" applyAlignment="1">
      <alignment horizontal="left"/>
    </xf>
    <xf numFmtId="0" fontId="5" fillId="7" borderId="0" xfId="7" applyFill="1"/>
    <xf numFmtId="1" fontId="0" fillId="7" borderId="0" xfId="0" applyNumberFormat="1" applyFill="1" applyAlignment="1">
      <alignment horizontal="left"/>
    </xf>
    <xf numFmtId="164" fontId="0" fillId="7" borderId="0" xfId="8" applyNumberFormat="1" applyFont="1" applyFill="1" applyAlignment="1">
      <alignment horizontal="left"/>
    </xf>
    <xf numFmtId="0" fontId="5" fillId="7" borderId="0" xfId="7" applyFill="1" applyAlignment="1"/>
    <xf numFmtId="9" fontId="0" fillId="0" borderId="0" xfId="0" applyNumberFormat="1" applyAlignment="1">
      <alignment horizontal="left"/>
    </xf>
    <xf numFmtId="0" fontId="0" fillId="0" borderId="0" xfId="0" applyAlignment="1">
      <alignment horizontal="left" wrapText="1"/>
    </xf>
    <xf numFmtId="164" fontId="0" fillId="0" borderId="0" xfId="8" applyNumberFormat="1" applyFont="1" applyFill="1" applyAlignment="1">
      <alignment horizontal="left"/>
    </xf>
    <xf numFmtId="0" fontId="0" fillId="0" borderId="0" xfId="0" quotePrefix="1"/>
    <xf numFmtId="0" fontId="5" fillId="7" borderId="0" xfId="7" applyFill="1" applyAlignment="1">
      <alignment horizontal="left"/>
    </xf>
    <xf numFmtId="0" fontId="9" fillId="0" borderId="0" xfId="7" applyFont="1"/>
    <xf numFmtId="0" fontId="10" fillId="0" borderId="0" xfId="0" applyFont="1" applyAlignment="1">
      <alignment horizontal="left"/>
    </xf>
    <xf numFmtId="9" fontId="0" fillId="0" borderId="0" xfId="0" applyNumberFormat="1" applyAlignment="1">
      <alignment horizontal="left" vertical="top"/>
    </xf>
    <xf numFmtId="0" fontId="6" fillId="0" borderId="0" xfId="7" applyFont="1" applyFill="1" applyAlignment="1">
      <alignment horizontal="left" vertical="top"/>
    </xf>
    <xf numFmtId="0" fontId="5" fillId="0" borderId="0" xfId="7" applyFill="1" applyAlignment="1">
      <alignment horizontal="left"/>
    </xf>
    <xf numFmtId="0" fontId="10" fillId="0" borderId="0" xfId="0" applyFont="1" applyAlignment="1">
      <alignment horizontal="left" vertical="top"/>
    </xf>
    <xf numFmtId="0" fontId="11" fillId="0" borderId="0" xfId="0" applyFont="1" applyAlignment="1">
      <alignment horizontal="left"/>
    </xf>
    <xf numFmtId="0" fontId="12" fillId="0" borderId="0" xfId="0" applyFont="1" applyAlignment="1">
      <alignment horizontal="left" vertical="top"/>
    </xf>
    <xf numFmtId="0" fontId="13" fillId="0" borderId="0" xfId="0" applyFont="1" applyAlignment="1">
      <alignment horizontal="left" vertical="top"/>
    </xf>
    <xf numFmtId="0" fontId="5" fillId="0" borderId="0" xfId="7" applyFill="1" applyAlignment="1">
      <alignment vertical="top"/>
    </xf>
    <xf numFmtId="0" fontId="0" fillId="0" borderId="0" xfId="0" applyAlignment="1">
      <alignment vertical="top"/>
    </xf>
    <xf numFmtId="0" fontId="5" fillId="0" borderId="0" xfId="7" applyAlignment="1">
      <alignment horizontal="left" vertical="top"/>
    </xf>
    <xf numFmtId="0" fontId="0" fillId="0" borderId="0" xfId="0" quotePrefix="1" applyAlignment="1">
      <alignment horizontal="left" wrapText="1"/>
    </xf>
    <xf numFmtId="0" fontId="4" fillId="0" borderId="0" xfId="0" applyFont="1" applyAlignment="1">
      <alignment horizontal="left"/>
    </xf>
    <xf numFmtId="0" fontId="14" fillId="0" borderId="0" xfId="0" applyFont="1" applyAlignment="1">
      <alignment horizontal="left"/>
    </xf>
    <xf numFmtId="0" fontId="15" fillId="0" borderId="0" xfId="0" applyFont="1" applyAlignment="1">
      <alignment horizontal="left"/>
    </xf>
    <xf numFmtId="0" fontId="16" fillId="0" borderId="0" xfId="0" applyFont="1" applyAlignment="1">
      <alignment horizontal="left"/>
    </xf>
    <xf numFmtId="164" fontId="14" fillId="0" borderId="0" xfId="0" applyNumberFormat="1" applyFont="1" applyAlignment="1">
      <alignment horizontal="left"/>
    </xf>
    <xf numFmtId="0" fontId="17" fillId="0" borderId="0" xfId="0" applyFont="1" applyAlignment="1">
      <alignment horizontal="left"/>
    </xf>
    <xf numFmtId="1" fontId="16" fillId="0" borderId="0" xfId="0" applyNumberFormat="1" applyFont="1" applyAlignment="1">
      <alignment horizontal="left"/>
    </xf>
    <xf numFmtId="0" fontId="19" fillId="0" borderId="0" xfId="9" applyFont="1"/>
    <xf numFmtId="0" fontId="20" fillId="0" borderId="2" xfId="10" applyFill="1" applyBorder="1"/>
    <xf numFmtId="0" fontId="19" fillId="0" borderId="2" xfId="9" applyFont="1" applyBorder="1"/>
    <xf numFmtId="0" fontId="19" fillId="0" borderId="3" xfId="9" applyFont="1" applyBorder="1"/>
    <xf numFmtId="0" fontId="20" fillId="0" borderId="2" xfId="10" applyBorder="1"/>
    <xf numFmtId="0" fontId="19" fillId="0" borderId="2" xfId="9" applyFont="1" applyBorder="1" applyAlignment="1">
      <alignment horizontal="right"/>
    </xf>
    <xf numFmtId="0" fontId="19" fillId="0" borderId="2" xfId="9" applyFont="1" applyBorder="1" applyAlignment="1">
      <alignment horizontal="fill"/>
    </xf>
    <xf numFmtId="0" fontId="19" fillId="0" borderId="5" xfId="9" applyFont="1" applyBorder="1"/>
    <xf numFmtId="0" fontId="19" fillId="0" borderId="0" xfId="9" applyFont="1" applyAlignment="1">
      <alignment horizontal="right"/>
    </xf>
    <xf numFmtId="0" fontId="19" fillId="0" borderId="0" xfId="9" applyFont="1" applyAlignment="1">
      <alignment horizontal="fill"/>
    </xf>
    <xf numFmtId="0" fontId="20" fillId="0" borderId="0" xfId="10"/>
    <xf numFmtId="0" fontId="21" fillId="0" borderId="0" xfId="10" applyFont="1" applyAlignment="1"/>
    <xf numFmtId="0" fontId="21" fillId="0" borderId="0" xfId="10" applyFont="1" applyFill="1" applyAlignment="1"/>
    <xf numFmtId="0" fontId="19" fillId="0" borderId="0" xfId="9" applyFont="1" applyAlignment="1">
      <alignment vertical="center"/>
    </xf>
    <xf numFmtId="0" fontId="20" fillId="0" borderId="0" xfId="10" applyAlignment="1"/>
    <xf numFmtId="0" fontId="20" fillId="0" borderId="0" xfId="10" applyFill="1"/>
    <xf numFmtId="17" fontId="21" fillId="0" borderId="0" xfId="10" applyNumberFormat="1" applyFont="1" applyAlignment="1"/>
    <xf numFmtId="0" fontId="20" fillId="0" borderId="0" xfId="10" applyFill="1" applyAlignment="1"/>
    <xf numFmtId="0" fontId="21" fillId="0" borderId="0" xfId="10" applyFont="1" applyFill="1" applyAlignment="1">
      <alignment vertical="center"/>
    </xf>
    <xf numFmtId="0" fontId="20" fillId="0" borderId="0" xfId="10" applyFill="1" applyBorder="1" applyAlignment="1">
      <alignment vertical="center"/>
    </xf>
    <xf numFmtId="0" fontId="19" fillId="0" borderId="0" xfId="9" applyFont="1" applyAlignment="1">
      <alignment horizontal="right" vertical="center"/>
    </xf>
    <xf numFmtId="0" fontId="19" fillId="0" borderId="0" xfId="11" applyNumberFormat="1" applyFont="1" applyFill="1" applyAlignment="1"/>
    <xf numFmtId="0" fontId="21" fillId="0" borderId="0" xfId="10" applyFont="1" applyFill="1" applyBorder="1" applyAlignment="1">
      <alignment vertical="center"/>
    </xf>
    <xf numFmtId="0" fontId="21" fillId="0" borderId="0" xfId="10" applyFont="1" applyBorder="1" applyAlignment="1"/>
    <xf numFmtId="0" fontId="20" fillId="0" borderId="0" xfId="10" applyFill="1" applyAlignment="1">
      <alignment vertical="center"/>
    </xf>
    <xf numFmtId="0" fontId="21" fillId="0" borderId="0" xfId="10" applyFont="1" applyFill="1" applyBorder="1" applyAlignment="1"/>
    <xf numFmtId="0" fontId="22" fillId="0" borderId="0" xfId="9" applyFont="1" applyAlignment="1">
      <alignment horizontal="right"/>
    </xf>
    <xf numFmtId="0" fontId="19" fillId="0" borderId="0" xfId="9" applyFont="1" applyAlignment="1">
      <alignment horizontal="left"/>
    </xf>
    <xf numFmtId="0" fontId="21" fillId="0" borderId="0" xfId="10" applyNumberFormat="1" applyFont="1" applyFill="1" applyBorder="1" applyAlignment="1">
      <alignment vertical="center"/>
    </xf>
    <xf numFmtId="0" fontId="21" fillId="0" borderId="0" xfId="10" applyFont="1" applyAlignment="1">
      <alignment horizontal="left"/>
    </xf>
    <xf numFmtId="0" fontId="19" fillId="0" borderId="6" xfId="9" applyFont="1" applyBorder="1"/>
    <xf numFmtId="0" fontId="23" fillId="0" borderId="8" xfId="9" applyFont="1" applyBorder="1"/>
    <xf numFmtId="0" fontId="23" fillId="0" borderId="9" xfId="9" applyFont="1" applyBorder="1"/>
    <xf numFmtId="0" fontId="23" fillId="0" borderId="9" xfId="9" applyFont="1" applyBorder="1" applyAlignment="1">
      <alignment wrapText="1"/>
    </xf>
    <xf numFmtId="0" fontId="23" fillId="0" borderId="10" xfId="9" applyFont="1" applyBorder="1" applyAlignment="1">
      <alignment wrapText="1"/>
    </xf>
    <xf numFmtId="0" fontId="23" fillId="0" borderId="10" xfId="9" applyFont="1" applyBorder="1"/>
    <xf numFmtId="0" fontId="24" fillId="0" borderId="8" xfId="9" applyFont="1" applyBorder="1"/>
    <xf numFmtId="0" fontId="24" fillId="0" borderId="9" xfId="9" applyFont="1" applyBorder="1"/>
    <xf numFmtId="0" fontId="23" fillId="0" borderId="0" xfId="9" applyFont="1"/>
    <xf numFmtId="0" fontId="23" fillId="0" borderId="2" xfId="9" applyFont="1" applyBorder="1"/>
    <xf numFmtId="0" fontId="23" fillId="0" borderId="3" xfId="9" applyFont="1" applyBorder="1"/>
    <xf numFmtId="0" fontId="0" fillId="0" borderId="11" xfId="0" applyBorder="1" applyAlignment="1">
      <alignment horizontal="left"/>
    </xf>
    <xf numFmtId="0" fontId="4" fillId="0" borderId="8" xfId="0" applyFont="1" applyBorder="1" applyAlignment="1">
      <alignment horizontal="left"/>
    </xf>
    <xf numFmtId="0" fontId="4" fillId="0" borderId="9" xfId="0" applyFont="1" applyBorder="1" applyAlignment="1">
      <alignment horizontal="left" wrapText="1"/>
    </xf>
    <xf numFmtId="0" fontId="4" fillId="0" borderId="9" xfId="0" applyFont="1" applyBorder="1" applyAlignment="1">
      <alignment horizontal="left"/>
    </xf>
    <xf numFmtId="0" fontId="25" fillId="0" borderId="8" xfId="0" applyFont="1" applyBorder="1" applyAlignment="1">
      <alignment horizontal="left"/>
    </xf>
    <xf numFmtId="0" fontId="25" fillId="0" borderId="9" xfId="0" applyFont="1" applyBorder="1" applyAlignment="1">
      <alignment horizontal="left"/>
    </xf>
    <xf numFmtId="0" fontId="4" fillId="0" borderId="10" xfId="0" applyFont="1" applyBorder="1" applyAlignment="1">
      <alignment horizontal="left"/>
    </xf>
    <xf numFmtId="0" fontId="4" fillId="0" borderId="11" xfId="0" applyFont="1" applyBorder="1" applyAlignment="1">
      <alignment horizontal="left"/>
    </xf>
    <xf numFmtId="0" fontId="4" fillId="0" borderId="2" xfId="0" applyFont="1" applyBorder="1" applyAlignment="1">
      <alignment horizontal="left"/>
    </xf>
    <xf numFmtId="0" fontId="4" fillId="0" borderId="12" xfId="0" applyFont="1" applyBorder="1" applyAlignment="1">
      <alignment horizontal="left"/>
    </xf>
    <xf numFmtId="0" fontId="0" fillId="0" borderId="12" xfId="0" applyBorder="1" applyAlignment="1">
      <alignment horizontal="left"/>
    </xf>
    <xf numFmtId="0" fontId="0" fillId="0" borderId="2" xfId="0" applyBorder="1" applyAlignment="1">
      <alignment horizontal="left"/>
    </xf>
    <xf numFmtId="0" fontId="4" fillId="0" borderId="3" xfId="0" applyFont="1" applyBorder="1" applyAlignment="1">
      <alignment horizontal="left"/>
    </xf>
    <xf numFmtId="0" fontId="0" fillId="0" borderId="5" xfId="0" applyBorder="1" applyAlignment="1">
      <alignment horizontal="left"/>
    </xf>
    <xf numFmtId="4" fontId="0" fillId="0" borderId="0" xfId="0" applyNumberFormat="1" applyAlignment="1">
      <alignment horizontal="left"/>
    </xf>
    <xf numFmtId="3" fontId="0" fillId="0" borderId="0" xfId="0" applyNumberFormat="1" applyAlignment="1">
      <alignment horizontal="left"/>
    </xf>
    <xf numFmtId="0" fontId="5" fillId="0" borderId="0" xfId="7" applyBorder="1" applyAlignment="1">
      <alignment horizontal="left"/>
    </xf>
    <xf numFmtId="0" fontId="5" fillId="0" borderId="11" xfId="7" applyBorder="1" applyAlignment="1">
      <alignment horizontal="left"/>
    </xf>
    <xf numFmtId="1" fontId="0" fillId="0" borderId="11" xfId="0" applyNumberFormat="1" applyBorder="1" applyAlignment="1">
      <alignment horizontal="left"/>
    </xf>
    <xf numFmtId="0" fontId="5" fillId="0" borderId="11" xfId="7" applyFill="1" applyBorder="1" applyAlignment="1">
      <alignment horizontal="left"/>
    </xf>
    <xf numFmtId="166" fontId="0" fillId="0" borderId="0" xfId="0" applyNumberFormat="1" applyAlignment="1">
      <alignment horizontal="left"/>
    </xf>
    <xf numFmtId="0" fontId="5" fillId="0" borderId="0" xfId="7" applyFill="1" applyBorder="1" applyAlignment="1">
      <alignment horizontal="left"/>
    </xf>
    <xf numFmtId="168" fontId="0" fillId="0" borderId="0" xfId="12" applyNumberFormat="1" applyFont="1" applyFill="1" applyAlignment="1">
      <alignment horizontal="left"/>
    </xf>
    <xf numFmtId="168" fontId="0" fillId="0" borderId="0" xfId="12" applyNumberFormat="1" applyFont="1" applyAlignment="1">
      <alignment horizontal="left"/>
    </xf>
    <xf numFmtId="0" fontId="7" fillId="0" borderId="11" xfId="0" applyFont="1" applyBorder="1" applyAlignment="1">
      <alignment horizontal="left"/>
    </xf>
    <xf numFmtId="0" fontId="7" fillId="0" borderId="5" xfId="0" applyFont="1" applyBorder="1" applyAlignment="1">
      <alignment horizontal="left"/>
    </xf>
    <xf numFmtId="2" fontId="0" fillId="0" borderId="0" xfId="12" applyNumberFormat="1" applyFont="1" applyAlignment="1">
      <alignment horizontal="left"/>
    </xf>
    <xf numFmtId="1" fontId="0" fillId="0" borderId="0" xfId="12" applyNumberFormat="1" applyFont="1" applyAlignment="1">
      <alignment horizontal="left"/>
    </xf>
    <xf numFmtId="0" fontId="4" fillId="0" borderId="12" xfId="0" applyFont="1" applyBorder="1" applyAlignment="1">
      <alignment horizontal="left" wrapText="1"/>
    </xf>
    <xf numFmtId="0" fontId="4" fillId="0" borderId="2" xfId="0" applyFont="1" applyBorder="1" applyAlignment="1">
      <alignment horizontal="left" wrapText="1"/>
    </xf>
    <xf numFmtId="0" fontId="4" fillId="0" borderId="3" xfId="0" applyFont="1" applyBorder="1" applyAlignment="1">
      <alignment horizontal="left" wrapText="1"/>
    </xf>
    <xf numFmtId="0" fontId="25" fillId="0" borderId="12" xfId="0" applyFont="1" applyBorder="1" applyAlignment="1">
      <alignment horizontal="left" wrapText="1"/>
    </xf>
    <xf numFmtId="0" fontId="10" fillId="0" borderId="2" xfId="0" applyFont="1" applyBorder="1" applyAlignment="1">
      <alignment horizontal="left" wrapText="1"/>
    </xf>
    <xf numFmtId="0" fontId="10" fillId="0" borderId="3" xfId="0" applyFont="1" applyBorder="1" applyAlignment="1">
      <alignment horizontal="left" wrapText="1"/>
    </xf>
    <xf numFmtId="1" fontId="25" fillId="0" borderId="12" xfId="0" applyNumberFormat="1" applyFont="1" applyBorder="1" applyAlignment="1">
      <alignment horizontal="left" wrapText="1"/>
    </xf>
    <xf numFmtId="0" fontId="25" fillId="0" borderId="2" xfId="0" applyFont="1" applyBorder="1" applyAlignment="1">
      <alignment horizontal="left" wrapText="1"/>
    </xf>
    <xf numFmtId="0" fontId="25" fillId="0" borderId="3" xfId="0" applyFont="1" applyBorder="1" applyAlignment="1">
      <alignment horizontal="left" wrapText="1"/>
    </xf>
    <xf numFmtId="0" fontId="0" fillId="0" borderId="13" xfId="0" applyBorder="1" applyAlignment="1">
      <alignment horizontal="left" wrapText="1"/>
    </xf>
    <xf numFmtId="0" fontId="0" fillId="0" borderId="1" xfId="0" applyBorder="1" applyAlignment="1">
      <alignment horizontal="left" wrapText="1"/>
    </xf>
    <xf numFmtId="0" fontId="3" fillId="0" borderId="6" xfId="0" applyFont="1" applyBorder="1" applyAlignment="1">
      <alignment horizontal="left" wrapText="1"/>
    </xf>
    <xf numFmtId="0" fontId="4" fillId="0" borderId="13" xfId="0" applyFont="1" applyBorder="1" applyAlignment="1">
      <alignment horizontal="left" wrapText="1"/>
    </xf>
    <xf numFmtId="0" fontId="4" fillId="0" borderId="1" xfId="0" applyFont="1" applyBorder="1" applyAlignment="1">
      <alignment horizontal="left" wrapText="1"/>
    </xf>
    <xf numFmtId="0" fontId="4" fillId="0" borderId="6" xfId="0" applyFont="1" applyBorder="1" applyAlignment="1">
      <alignment horizontal="left" wrapText="1"/>
    </xf>
    <xf numFmtId="0" fontId="25" fillId="0" borderId="13" xfId="0" applyFont="1" applyBorder="1" applyAlignment="1">
      <alignment horizontal="left" wrapText="1"/>
    </xf>
    <xf numFmtId="0" fontId="25" fillId="0" borderId="1" xfId="0" applyFont="1" applyBorder="1" applyAlignment="1">
      <alignment horizontal="left" wrapText="1"/>
    </xf>
    <xf numFmtId="0" fontId="25" fillId="0" borderId="6" xfId="0" applyFont="1" applyBorder="1" applyAlignment="1">
      <alignment horizontal="left" wrapText="1"/>
    </xf>
    <xf numFmtId="1" fontId="25" fillId="0" borderId="13" xfId="0" applyNumberFormat="1" applyFont="1" applyBorder="1" applyAlignment="1">
      <alignment horizontal="left" wrapText="1"/>
    </xf>
    <xf numFmtId="0" fontId="0" fillId="0" borderId="13" xfId="0" applyBorder="1" applyAlignment="1">
      <alignment horizontal="left"/>
    </xf>
    <xf numFmtId="0" fontId="0" fillId="0" borderId="1" xfId="0" applyBorder="1" applyAlignment="1">
      <alignment horizontal="left"/>
    </xf>
    <xf numFmtId="0" fontId="0" fillId="0" borderId="6" xfId="0" applyBorder="1" applyAlignment="1">
      <alignment horizontal="left"/>
    </xf>
    <xf numFmtId="0" fontId="25" fillId="0" borderId="0" xfId="0" applyFont="1" applyAlignment="1">
      <alignment horizontal="left"/>
    </xf>
    <xf numFmtId="0" fontId="26" fillId="0" borderId="0" xfId="0" applyFont="1" applyAlignment="1">
      <alignment horizontal="left"/>
    </xf>
    <xf numFmtId="0" fontId="25" fillId="0" borderId="13" xfId="0" applyFont="1" applyBorder="1" applyAlignment="1">
      <alignment horizontal="left"/>
    </xf>
    <xf numFmtId="0" fontId="25" fillId="0" borderId="1" xfId="0" applyFont="1" applyBorder="1" applyAlignment="1">
      <alignment horizontal="left"/>
    </xf>
    <xf numFmtId="0" fontId="25" fillId="0" borderId="6" xfId="0" applyFont="1" applyBorder="1" applyAlignment="1">
      <alignment horizontal="left"/>
    </xf>
    <xf numFmtId="1" fontId="25" fillId="0" borderId="13" xfId="0" applyNumberFormat="1" applyFont="1" applyBorder="1" applyAlignment="1">
      <alignment horizontal="left"/>
    </xf>
    <xf numFmtId="0" fontId="10" fillId="0" borderId="11" xfId="0" applyFont="1" applyBorder="1" applyAlignment="1">
      <alignment horizontal="left"/>
    </xf>
    <xf numFmtId="0" fontId="25" fillId="0" borderId="5" xfId="0" applyFont="1" applyBorder="1" applyAlignment="1">
      <alignment horizontal="left"/>
    </xf>
    <xf numFmtId="0" fontId="0" fillId="0" borderId="5" xfId="0" applyBorder="1"/>
    <xf numFmtId="0" fontId="0" fillId="0" borderId="0" xfId="0" applyAlignment="1">
      <alignment horizontal="right"/>
    </xf>
    <xf numFmtId="167" fontId="7" fillId="0" borderId="0" xfId="12" applyFont="1" applyFill="1" applyAlignment="1">
      <alignment horizontal="right"/>
    </xf>
    <xf numFmtId="169" fontId="0" fillId="0" borderId="0" xfId="0" applyNumberFormat="1"/>
    <xf numFmtId="0" fontId="0" fillId="0" borderId="7" xfId="0" applyBorder="1"/>
    <xf numFmtId="14" fontId="0" fillId="0" borderId="7" xfId="0" applyNumberFormat="1" applyBorder="1" applyAlignment="1">
      <alignment horizontal="right"/>
    </xf>
    <xf numFmtId="167" fontId="7" fillId="0" borderId="7" xfId="12" applyFont="1" applyFill="1" applyBorder="1" applyAlignment="1">
      <alignment horizontal="right"/>
    </xf>
    <xf numFmtId="14" fontId="0" fillId="0" borderId="7" xfId="0" applyNumberFormat="1" applyBorder="1"/>
    <xf numFmtId="0" fontId="0" fillId="0" borderId="7" xfId="0" applyBorder="1" applyAlignment="1">
      <alignment horizontal="right"/>
    </xf>
    <xf numFmtId="0" fontId="5" fillId="0" borderId="7" xfId="7" applyFill="1" applyBorder="1" applyAlignment="1"/>
    <xf numFmtId="0" fontId="5" fillId="0" borderId="7" xfId="7" applyBorder="1"/>
    <xf numFmtId="0" fontId="28" fillId="0" borderId="7" xfId="0" applyFont="1" applyBorder="1"/>
    <xf numFmtId="0" fontId="7" fillId="0" borderId="7" xfId="0" applyFont="1" applyBorder="1"/>
    <xf numFmtId="0" fontId="5" fillId="0" borderId="7" xfId="7" applyFill="1" applyBorder="1" applyAlignment="1">
      <alignment horizontal="left"/>
    </xf>
    <xf numFmtId="0" fontId="29" fillId="0" borderId="7" xfId="0" applyFont="1" applyBorder="1"/>
    <xf numFmtId="0" fontId="0" fillId="0" borderId="7" xfId="0" applyBorder="1" applyAlignment="1">
      <alignment horizontal="left"/>
    </xf>
    <xf numFmtId="1" fontId="0" fillId="0" borderId="7" xfId="0" applyNumberFormat="1" applyBorder="1"/>
    <xf numFmtId="0" fontId="30" fillId="0" borderId="7" xfId="0" applyFont="1" applyBorder="1"/>
    <xf numFmtId="0" fontId="31" fillId="0" borderId="7" xfId="0" applyFont="1" applyBorder="1"/>
    <xf numFmtId="0" fontId="7" fillId="0" borderId="7" xfId="7" applyFont="1" applyFill="1" applyBorder="1" applyAlignment="1"/>
    <xf numFmtId="22" fontId="0" fillId="0" borderId="7" xfId="0" applyNumberFormat="1" applyBorder="1" applyAlignment="1">
      <alignment horizontal="right"/>
    </xf>
    <xf numFmtId="0" fontId="32" fillId="0" borderId="7" xfId="0" applyFont="1" applyBorder="1"/>
    <xf numFmtId="0" fontId="0" fillId="0" borderId="0" xfId="0" applyAlignment="1">
      <alignment vertical="center"/>
    </xf>
    <xf numFmtId="0" fontId="0" fillId="9" borderId="7" xfId="0" applyFill="1" applyBorder="1" applyAlignment="1">
      <alignment vertical="center" wrapText="1"/>
    </xf>
    <xf numFmtId="167" fontId="7" fillId="9" borderId="7" xfId="12" applyFont="1" applyFill="1" applyBorder="1" applyAlignment="1">
      <alignment horizontal="left" vertical="center" wrapText="1"/>
    </xf>
    <xf numFmtId="0" fontId="0" fillId="0" borderId="0" xfId="0" applyAlignment="1">
      <alignment horizontal="center" vertical="top"/>
    </xf>
    <xf numFmtId="0" fontId="4" fillId="0" borderId="0" xfId="0" applyFont="1" applyAlignment="1">
      <alignment horizontal="center" vertical="top"/>
    </xf>
    <xf numFmtId="0" fontId="19" fillId="0" borderId="0" xfId="9" applyFont="1" applyBorder="1"/>
    <xf numFmtId="0" fontId="19" fillId="0" borderId="0" xfId="9" applyFont="1" applyFill="1"/>
    <xf numFmtId="0" fontId="19" fillId="0" borderId="0" xfId="9" applyFont="1" applyFill="1" applyAlignment="1">
      <alignment horizontal="fill"/>
    </xf>
    <xf numFmtId="0" fontId="19" fillId="0" borderId="5" xfId="9" applyFont="1" applyFill="1" applyBorder="1"/>
    <xf numFmtId="0" fontId="19" fillId="0" borderId="0" xfId="9" applyFont="1" applyFill="1" applyAlignment="1">
      <alignment horizontal="right"/>
    </xf>
    <xf numFmtId="0" fontId="33" fillId="0" borderId="7" xfId="0" applyFont="1" applyBorder="1" applyAlignment="1">
      <alignment horizontal="center" vertical="center"/>
    </xf>
    <xf numFmtId="0" fontId="34" fillId="10" borderId="7" xfId="0" applyFont="1" applyFill="1" applyBorder="1" applyAlignment="1">
      <alignment horizontal="center" vertical="center"/>
    </xf>
    <xf numFmtId="0" fontId="35" fillId="11" borderId="7" xfId="0" applyFont="1" applyFill="1" applyBorder="1" applyAlignment="1">
      <alignment horizontal="center" vertical="center"/>
    </xf>
    <xf numFmtId="0" fontId="33" fillId="0" borderId="7" xfId="0" applyFont="1" applyBorder="1" applyAlignment="1">
      <alignment horizontal="left" vertical="center"/>
    </xf>
    <xf numFmtId="0" fontId="35" fillId="12" borderId="7" xfId="0" applyFont="1" applyFill="1" applyBorder="1" applyAlignment="1">
      <alignment horizontal="left" vertical="center"/>
    </xf>
    <xf numFmtId="0" fontId="35" fillId="12" borderId="7" xfId="0" applyFont="1" applyFill="1" applyBorder="1" applyAlignment="1">
      <alignment horizontal="center" vertical="center"/>
    </xf>
    <xf numFmtId="0" fontId="36" fillId="12" borderId="7" xfId="0" applyFont="1" applyFill="1" applyBorder="1" applyAlignment="1">
      <alignment horizontal="center" vertical="center"/>
    </xf>
    <xf numFmtId="0" fontId="37" fillId="12" borderId="7" xfId="0" applyFont="1" applyFill="1" applyBorder="1" applyAlignment="1">
      <alignment horizontal="center" vertical="center"/>
    </xf>
    <xf numFmtId="0" fontId="19" fillId="8" borderId="0" xfId="9" applyFont="1" applyFill="1" applyBorder="1"/>
    <xf numFmtId="0" fontId="34" fillId="13" borderId="0" xfId="0" applyFont="1" applyFill="1" applyBorder="1" applyAlignment="1">
      <alignment horizontal="center" vertical="center"/>
    </xf>
    <xf numFmtId="0" fontId="0" fillId="8" borderId="0" xfId="0" applyFill="1" applyBorder="1"/>
    <xf numFmtId="0" fontId="34" fillId="13" borderId="0" xfId="0" applyFont="1" applyFill="1" applyBorder="1" applyAlignment="1">
      <alignment horizontal="center" vertical="center"/>
    </xf>
    <xf numFmtId="0" fontId="35" fillId="14" borderId="0" xfId="0" applyFont="1" applyFill="1" applyBorder="1" applyAlignment="1">
      <alignment horizontal="center" vertical="center"/>
    </xf>
    <xf numFmtId="0" fontId="33" fillId="8" borderId="0" xfId="0" applyFont="1" applyFill="1" applyBorder="1" applyAlignment="1">
      <alignment horizontal="center" vertical="center"/>
    </xf>
    <xf numFmtId="0" fontId="35" fillId="15" borderId="0" xfId="0" applyFont="1" applyFill="1" applyBorder="1" applyAlignment="1">
      <alignment horizontal="center" vertical="center"/>
    </xf>
    <xf numFmtId="0" fontId="36" fillId="15" borderId="0" xfId="0" applyFont="1" applyFill="1" applyBorder="1" applyAlignment="1">
      <alignment horizontal="center" vertical="center"/>
    </xf>
    <xf numFmtId="0" fontId="37" fillId="15" borderId="0" xfId="0" applyFont="1" applyFill="1" applyBorder="1" applyAlignment="1">
      <alignment horizontal="center" vertical="center"/>
    </xf>
    <xf numFmtId="0" fontId="34" fillId="10" borderId="10" xfId="0" applyFont="1" applyFill="1" applyBorder="1" applyAlignment="1">
      <alignment horizontal="center" vertical="center"/>
    </xf>
    <xf numFmtId="0" fontId="34" fillId="10" borderId="9" xfId="0" applyFont="1" applyFill="1" applyBorder="1" applyAlignment="1">
      <alignment horizontal="center" vertical="center"/>
    </xf>
    <xf numFmtId="0" fontId="34" fillId="10" borderId="8" xfId="0" applyFont="1" applyFill="1" applyBorder="1" applyAlignment="1">
      <alignment horizontal="center" vertical="center"/>
    </xf>
    <xf numFmtId="0" fontId="23" fillId="0" borderId="0" xfId="9" applyFont="1" applyFill="1"/>
    <xf numFmtId="0" fontId="4" fillId="0" borderId="0" xfId="0" applyFont="1" applyAlignment="1">
      <alignment horizontal="center" vertical="center" wrapText="1"/>
    </xf>
    <xf numFmtId="0" fontId="0" fillId="0" borderId="0" xfId="0" applyAlignment="1">
      <alignment vertical="center" wrapText="1"/>
    </xf>
    <xf numFmtId="0" fontId="0" fillId="0" borderId="14" xfId="0" applyFont="1" applyBorder="1"/>
    <xf numFmtId="0" fontId="0" fillId="0" borderId="0" xfId="0" applyNumberFormat="1" applyAlignment="1">
      <alignment horizontal="left"/>
    </xf>
    <xf numFmtId="0" fontId="0" fillId="16" borderId="7" xfId="0" applyFill="1" applyBorder="1" applyAlignment="1">
      <alignment vertical="center" wrapText="1"/>
    </xf>
    <xf numFmtId="0" fontId="0" fillId="16" borderId="7" xfId="0" applyFill="1" applyBorder="1"/>
    <xf numFmtId="0" fontId="0" fillId="16" borderId="0" xfId="0" applyFill="1"/>
    <xf numFmtId="0" fontId="35" fillId="11" borderId="4" xfId="0" applyFont="1" applyFill="1" applyBorder="1" applyAlignment="1">
      <alignment horizontal="center" vertical="center"/>
    </xf>
  </cellXfs>
  <cellStyles count="13">
    <cellStyle name="20% - Accent1" xfId="3" builtinId="30"/>
    <cellStyle name="20% - Accent4" xfId="6" builtinId="42"/>
    <cellStyle name="40% - Accent1" xfId="4" builtinId="31"/>
    <cellStyle name="40% - Accent2" xfId="5" builtinId="35"/>
    <cellStyle name="Bad" xfId="2" builtinId="27"/>
    <cellStyle name="Comma 2" xfId="12" xr:uid="{42C1C7C7-0F11-47E4-AC66-F6FD5D12DF81}"/>
    <cellStyle name="Currency 2" xfId="8" xr:uid="{2DDC6680-96EA-4E5B-B840-3ECD9E641540}"/>
    <cellStyle name="Hyperlink" xfId="7" builtinId="8"/>
    <cellStyle name="Hyperlink 2" xfId="10" xr:uid="{4F7F5F2D-9ECF-4A59-B984-D9AE5D3A67F0}"/>
    <cellStyle name="Normal" xfId="0" builtinId="0"/>
    <cellStyle name="Normal 2" xfId="9" xr:uid="{764E5647-5EB4-4ADA-BEED-7C728CAB202C}"/>
    <cellStyle name="Percent" xfId="1" builtinId="5"/>
    <cellStyle name="Percent 2" xfId="11" xr:uid="{70BFF5D7-6E93-4D1D-A56A-AB1B9B5D5129}"/>
  </cellStyles>
  <dxfs count="72">
    <dxf>
      <font>
        <b val="0"/>
        <i val="0"/>
        <strike val="0"/>
        <condense val="0"/>
        <extend val="0"/>
        <outline val="0"/>
        <shadow val="0"/>
        <u val="none"/>
        <vertAlign val="baseline"/>
        <sz val="12"/>
        <color theme="1"/>
        <name val="Arial"/>
        <family val="2"/>
        <scheme val="none"/>
      </font>
      <numFmt numFmtId="0" formatCode="General"/>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border diagonalUp="0" diagonalDown="0">
        <left/>
        <right style="thin">
          <color indexed="64"/>
        </right>
        <top/>
        <bottom/>
        <vertical/>
        <horizontal/>
      </border>
    </dxf>
    <dxf>
      <alignment horizontal="left" vertical="bottom" textRotation="0" wrapText="0" indent="0" justifyLastLine="0" shrinkToFit="0" readingOrder="0"/>
    </dxf>
    <dxf>
      <alignment horizontal="left" vertical="bottom" textRotation="0" wrapText="0" indent="0" justifyLastLine="0" shrinkToFit="0" readingOrder="0"/>
      <border diagonalUp="0" diagonalDown="0">
        <left style="thin">
          <color indexed="64"/>
        </left>
        <right/>
        <top/>
        <bottom/>
        <vertical/>
        <horizontal/>
      </border>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border diagonalUp="0" diagonalDown="0">
        <left/>
        <right style="thin">
          <color indexed="64"/>
        </right>
        <top/>
        <bottom/>
        <vertical/>
        <horizontal/>
      </border>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border diagonalUp="0" diagonalDown="0">
        <left style="thin">
          <color indexed="64"/>
        </left>
        <right/>
        <top/>
        <bottom/>
        <vertical/>
        <horizontal/>
      </border>
    </dxf>
    <dxf>
      <numFmt numFmtId="1" formatCode="0"/>
      <alignment horizontal="left" vertical="bottom" textRotation="0" wrapText="0" indent="0" justifyLastLine="0" shrinkToFit="0" readingOrder="0"/>
      <border diagonalUp="0" diagonalDown="0">
        <left/>
        <right style="thin">
          <color indexed="64"/>
        </right>
        <top/>
        <bottom/>
        <vertical/>
        <horizontal/>
      </border>
    </dxf>
    <dxf>
      <alignment horizontal="left" vertical="bottom" textRotation="0" wrapText="0" indent="0" justifyLastLine="0" shrinkToFit="0" readingOrder="0"/>
    </dxf>
    <dxf>
      <alignment horizontal="left" vertical="bottom" textRotation="0" wrapText="0" indent="0" justifyLastLine="0" shrinkToFit="0" readingOrder="0"/>
      <border diagonalUp="0" diagonalDown="0">
        <left style="thin">
          <color indexed="64"/>
        </left>
        <right/>
        <top/>
        <bottom/>
        <vertical/>
        <horizontal/>
      </border>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border diagonalUp="0" diagonalDown="0">
        <left style="thin">
          <color indexed="64"/>
        </left>
        <right/>
        <top/>
        <bottom/>
        <vertical/>
        <horizontal/>
      </border>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alignment horizontal="fil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border outline="0">
        <left style="thin">
          <color indexed="64"/>
        </left>
        <right style="thin">
          <color indexed="64"/>
        </righ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3D37659-26AA-4386-A655-1A3A25289A5B}" name="Table3" displayName="Table3" ref="A1:AS508" totalsRowShown="0" headerRowDxfId="3" dataDxfId="4">
  <autoFilter ref="A1:AS508" xr:uid="{43D37659-26AA-4386-A655-1A3A25289A5B}"/>
  <tableColumns count="45">
    <tableColumn id="1" xr3:uid="{094CFAC4-91DF-46EC-8EF3-96D9D9A1B8D9}" name="Column1" dataDxfId="46"/>
    <tableColumn id="2" xr3:uid="{908BE675-035A-4CF9-BD18-5DE1702A9F35}" name="Column2" dataDxfId="45"/>
    <tableColumn id="3" xr3:uid="{5B8064C6-2FF4-4DD9-B5AF-56135478B9C9}" name="Column3" dataDxfId="44"/>
    <tableColumn id="4" xr3:uid="{DA2D8B1A-6072-4A2A-807A-3A5692C44370}" name="Column4" dataDxfId="43"/>
    <tableColumn id="5" xr3:uid="{D15D7F05-2951-449E-B53C-A866471D9A70}" name="Column5" dataDxfId="42"/>
    <tableColumn id="6" xr3:uid="{301B8278-61C0-461C-9C05-0B36470A9C25}" name="Column6" dataDxfId="41"/>
    <tableColumn id="7" xr3:uid="{8FC2478F-A730-4F43-A813-5A7324CEBAD0}" name="Column7" dataDxfId="40"/>
    <tableColumn id="8" xr3:uid="{24F1AF98-4E63-4E64-B716-C56C6C1B2C41}" name="Column8" dataDxfId="39"/>
    <tableColumn id="9" xr3:uid="{64CD782C-6273-42CA-B1D7-2F4E13328E16}" name="Column9" dataDxfId="38"/>
    <tableColumn id="10" xr3:uid="{667BE0A6-841C-45CE-B244-0B76B15E90E8}" name="Column10" dataDxfId="37"/>
    <tableColumn id="11" xr3:uid="{DFFFDFC1-5E7B-4BA6-9ABE-A5AC9E0094E5}" name="Column11" dataDxfId="36"/>
    <tableColumn id="12" xr3:uid="{8A78E35F-332F-4DE5-9401-EA41321D747E}" name="Column12" dataDxfId="35"/>
    <tableColumn id="13" xr3:uid="{BD4B9DD6-3C59-4DD0-8935-044517E3CD05}" name="Column13" dataDxfId="34"/>
    <tableColumn id="14" xr3:uid="{82E1BC8D-79A1-486F-8199-0A37D1F0CB5D}" name="Column14" dataDxfId="33"/>
    <tableColumn id="15" xr3:uid="{47614451-79D7-47A1-9A32-6C254BE8B4C8}" name="Column15" dataDxfId="32"/>
    <tableColumn id="44" xr3:uid="{E3100DFD-5F5D-42E4-A757-2207DDAAF9B4}" name="Column152" dataDxfId="2">
      <calculatedColumnFormula array="1">IF(O2="", "", IFERROR(MAX(--_xlfn.TEXTSPLIT(O2,"+")), O2))</calculatedColumnFormula>
    </tableColumn>
    <tableColumn id="16" xr3:uid="{750AD817-CB79-4E33-A12E-16AF0AB6C039}" name="Column16" dataDxfId="31"/>
    <tableColumn id="17" xr3:uid="{00A1C73C-CCC0-406F-BC6B-8AB18E66DA3B}" name="Column17" dataDxfId="30" dataCellStyle="Hyperlink"/>
    <tableColumn id="18" xr3:uid="{8335455E-E533-4CD5-A090-ECC0C5205AD1}" name="Column18" dataDxfId="29"/>
    <tableColumn id="19" xr3:uid="{4709F94F-FBCB-46C1-8AD0-D32F559880B4}" name="Column19" dataDxfId="28"/>
    <tableColumn id="20" xr3:uid="{1BC8F3AC-7546-4C30-8F7D-3075FD8DC15C}" name="Column20" dataDxfId="27"/>
    <tableColumn id="45" xr3:uid="{F3271C5E-6864-4F4C-8E99-727201FDE0FD}" name="Column202" dataDxfId="1">
      <calculatedColumnFormula array="1">IF(U2="", "", IFERROR(MAX(--_xlfn.TEXTSPLIT(U2,"+")), U2))</calculatedColumnFormula>
    </tableColumn>
    <tableColumn id="21" xr3:uid="{A7924CF8-F8B7-40D7-A65E-DF11471A036F}" name="Column21" dataDxfId="26" dataCellStyle="Hyperlink"/>
    <tableColumn id="22" xr3:uid="{CFF4A75C-2F72-4B2E-8A17-5794E96C725F}" name="Column22" dataDxfId="25"/>
    <tableColumn id="23" xr3:uid="{57A83305-F66B-4B79-8565-DAD6DEA2BD9F}" name="Column23" dataDxfId="24"/>
    <tableColumn id="24" xr3:uid="{D28B979A-D60D-4C25-80E6-4A08F677A8CB}" name="Column24" dataDxfId="23"/>
    <tableColumn id="25" xr3:uid="{DD067E93-6455-497D-994B-762852858A27}" name="Column25" dataDxfId="22"/>
    <tableColumn id="26" xr3:uid="{FC26F500-76E5-4602-A3B1-FE030D5FA376}" name="Column26" dataDxfId="21"/>
    <tableColumn id="27" xr3:uid="{2076CB79-35CD-4AF3-B5E1-A314CE612DDA}" name="Column27" dataDxfId="20"/>
    <tableColumn id="28" xr3:uid="{84AC1B22-CA86-4FF2-9ADE-76C2CDAEEC4D}" name="Column28" dataDxfId="19"/>
    <tableColumn id="29" xr3:uid="{E4A61490-3582-4EA4-9210-A150B517AC21}" name="Column29" dataDxfId="18"/>
    <tableColumn id="30" xr3:uid="{5A9BBF11-FC7B-4FC5-B875-AD99F207A76C}" name="Column30" dataDxfId="17"/>
    <tableColumn id="31" xr3:uid="{371AB7D8-C3E6-407E-A973-20AA0A42EE6D}" name="Column31" dataDxfId="16"/>
    <tableColumn id="32" xr3:uid="{86DBEE26-9D65-4E2E-B672-E55F30F70CEC}" name="Column32" dataDxfId="15"/>
    <tableColumn id="33" xr3:uid="{871C495B-832D-4829-94D1-CBBCEA2B4FF3}" name="Column33" dataDxfId="14"/>
    <tableColumn id="34" xr3:uid="{F3D2895A-43D4-4FED-A2B0-0BAD50E05BA6}" name="Column34" dataDxfId="13"/>
    <tableColumn id="35" xr3:uid="{E17AF663-DC1E-48CF-927E-B7EA0F67A0D6}" name="Column35" dataDxfId="12"/>
    <tableColumn id="36" xr3:uid="{6DE28856-8DC6-4B8F-8E81-437681A2E06D}" name="Column36" dataDxfId="11"/>
    <tableColumn id="37" xr3:uid="{069055D9-5121-42AD-85F5-9B67284DDDE9}" name="Column37" dataDxfId="10"/>
    <tableColumn id="38" xr3:uid="{B96FDB1F-F86C-4667-8063-BC32A42658C9}" name="Column38" dataDxfId="9"/>
    <tableColumn id="39" xr3:uid="{C9772460-FD1B-4AA3-816F-CF7173054546}" name="Column39" dataDxfId="8"/>
    <tableColumn id="40" xr3:uid="{EDF1FE08-5060-43E7-A63A-B42F77DF1EF3}" name="Column40" dataDxfId="7"/>
    <tableColumn id="41" xr3:uid="{5E1D8DCE-25EB-4854-928F-2F450D6A5378}" name="Column41" dataDxfId="6" dataCellStyle="Hyperlink"/>
    <tableColumn id="42" xr3:uid="{011E58D5-062C-406F-9CC9-B64FFFB2E740}" name="Column42" dataDxfId="5">
      <calculatedColumnFormula>_xlfn.XLOOKUP(C2,Sheet1!A:A,Sheet1!B:B, "Other")</calculatedColumnFormula>
    </tableColumn>
    <tableColumn id="43" xr3:uid="{61A98682-ADD4-4564-9ADD-AAF09062A618}" name="Column4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EAB7B5-09C7-4ACE-8533-564CE0798B0B}" name="Table2" displayName="Table2" ref="A1:W505" totalsRowShown="0" headerRowDxfId="48" dataDxfId="49" tableBorderDxfId="71" headerRowCellStyle="Normal 2" dataCellStyle="Normal 2">
  <autoFilter ref="A1:W505" xr:uid="{A1EAB7B5-09C7-4ACE-8533-564CE0798B0B}"/>
  <tableColumns count="23">
    <tableColumn id="1" xr3:uid="{C07C6D10-36CA-4FBD-934E-FDB600609650}" name="Company" dataDxfId="70" dataCellStyle="Normal 2"/>
    <tableColumn id="2" xr3:uid="{1A34893E-D4F4-43E8-B45F-A8B0D17814EA}" name="Column1" dataDxfId="69" dataCellStyle="Normal 2"/>
    <tableColumn id="3" xr3:uid="{2A1D5744-E7F7-4562-8745-3109228E655C}" name="Column2" dataDxfId="68" dataCellStyle="Normal 2"/>
    <tableColumn id="4" xr3:uid="{100CF1B3-574E-4B8E-BF22-5C7C7241A034}" name="Column3" dataDxfId="67" dataCellStyle="Normal 2"/>
    <tableColumn id="5" xr3:uid="{FE0F2507-0EC2-4603-ABCE-6D82DBD91F77}" name="RE100" dataDxfId="66" dataCellStyle="Normal 2"/>
    <tableColumn id="6" xr3:uid="{A4950114-D95B-4EBD-B57E-45AB3C17EB82}" name="Column4" dataDxfId="65" dataCellStyle="Normal 2"/>
    <tableColumn id="7" xr3:uid="{CBDA34B5-426F-4995-A02E-FE609BCAEDBA}" name="Column5" dataDxfId="64" dataCellStyle="Normal 2"/>
    <tableColumn id="8" xr3:uid="{53947AF2-D68B-4524-BFD1-0E7454C4AB11}" name="SBT" dataDxfId="63" dataCellStyle="Normal 2"/>
    <tableColumn id="9" xr3:uid="{3E5F9901-E273-49D8-8A55-88B7FB817A56}" name="Column6" dataDxfId="62" dataCellStyle="Normal 2"/>
    <tableColumn id="10" xr3:uid="{AE02201C-9FBD-45B3-8905-73A6DA9269DC}" name="Column7" dataDxfId="61" dataCellStyle="Normal 2"/>
    <tableColumn id="11" xr3:uid="{54F770DE-45D2-4C70-9D3C-88C795F2B04A}" name="Carbon neutral" dataDxfId="60" dataCellStyle="Normal 2"/>
    <tableColumn id="12" xr3:uid="{20D78C48-9D66-4F13-9502-C6E06789C55E}" name="Column8" dataDxfId="59" dataCellStyle="Normal 2"/>
    <tableColumn id="13" xr3:uid="{B6DBDA15-8C60-4979-93CB-6D581EC6F81E}" name="Column9" dataDxfId="58" dataCellStyle="Normal 2"/>
    <tableColumn id="14" xr3:uid="{A1A8C88E-0E09-4937-B3FB-4A232E4A3D7D}" name="Column10" dataDxfId="57" dataCellStyle="Normal 2"/>
    <tableColumn id="15" xr3:uid="{76635416-CF51-4224-9461-BB265C099B98}" name="Column11" dataDxfId="56" dataCellStyle="Normal 2"/>
    <tableColumn id="16" xr3:uid="{300D8849-F637-4A6D-BA27-2C39D427D553}" name="Net zero" dataDxfId="55" dataCellStyle="Normal 2"/>
    <tableColumn id="17" xr3:uid="{BAA996F1-6201-4651-A4F7-19667067A70D}" name="Column12" dataDxfId="54" dataCellStyle="Normal 2"/>
    <tableColumn id="18" xr3:uid="{2C9C480F-67AA-46D0-864C-CB24EEB88418}" name="Column13" dataDxfId="53" dataCellStyle="Normal 2"/>
    <tableColumn id="19" xr3:uid="{FEB69F40-3D83-4223-9920-4C8AA15FC4DA}" name="Column14" dataDxfId="52" dataCellStyle="Normal 2"/>
    <tableColumn id="20" xr3:uid="{A31079C1-818C-43E5-92EC-2DEA19996D89}" name="Column15" dataDxfId="51" dataCellStyle="Normal 2"/>
    <tableColumn id="21" xr3:uid="{12C172B4-2B39-420F-997A-2A974BE9DC39}" name="Column16" dataDxfId="50" dataCellStyle="Normal 2"/>
    <tableColumn id="22" xr3:uid="{07DB3EB9-7FEC-48F6-9479-75648F967B20}" name="Column17" dataDxfId="47" dataCellStyle="Normal 2"/>
    <tableColumn id="23" xr3:uid="{8AB5EC21-CC5C-4B5D-9855-945CC455C122}" name="Column18" dataDxfId="0" dataCellStyle="Normal 2">
      <calculatedColumnFormula>_xlfn.XLOOKUP(Table2[[#This Row],[Column3]],Sheet1!D:D,Sheet1!E:E)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crh.com/media/5157/crh-sustainability-report-2023_interactive_vhr.pdf" TargetMode="External"/><Relationship Id="rId117" Type="http://schemas.openxmlformats.org/officeDocument/2006/relationships/hyperlink" Target="https://www.sompo-hd.com/-/media/hd/en/files/csr/communications/pdf/2023/e_report2023.pdf?la=ja-JP" TargetMode="External"/><Relationship Id="rId21" Type="http://schemas.openxmlformats.org/officeDocument/2006/relationships/hyperlink" Target="https://le-groupe-laposte.cdn.prismic.io/le-groupe-laposte/ZkM5hCol0Zci9Gbd_LAPOSTE_RAPPORT_DE_MISSION_GB_080524.pdf" TargetMode="External"/><Relationship Id="rId42" Type="http://schemas.openxmlformats.org/officeDocument/2006/relationships/hyperlink" Target="https://www.cummins.com/news/releases/2019/11/26/cummins-unveils-new-environmental-sustainability-strategy-address-climate" TargetMode="External"/><Relationship Id="rId47" Type="http://schemas.openxmlformats.org/officeDocument/2006/relationships/hyperlink" Target="https://www.sompo-hd.com/-/media/hd/en/files/csr/communications/pdf/2023/e_report2023.pdf?la=ja-JP" TargetMode="External"/><Relationship Id="rId63" Type="http://schemas.openxmlformats.org/officeDocument/2006/relationships/hyperlink" Target="https://www.kbfg.com/eng/esg/report/sustainability/list.jsp" TargetMode="External"/><Relationship Id="rId68" Type="http://schemas.openxmlformats.org/officeDocument/2006/relationships/hyperlink" Target="https://www.apple.com/environment/pdf/Apple_Environmental_Progress_Report_2024.pdf" TargetMode="External"/><Relationship Id="rId84" Type="http://schemas.openxmlformats.org/officeDocument/2006/relationships/hyperlink" Target="https://our-impact.bmo.com/wp-content/uploads/2024/03/BMO_2023_SR_EN.pdf" TargetMode="External"/><Relationship Id="rId89" Type="http://schemas.openxmlformats.org/officeDocument/2006/relationships/hyperlink" Target="https://www.cibc.com/content/dam/about_cibc/corporate_responsibility/pdfs/cibc-sustainability-report-2023-en.pdf" TargetMode="External"/><Relationship Id="rId112" Type="http://schemas.openxmlformats.org/officeDocument/2006/relationships/hyperlink" Target="https://www.commbank.com.au/content/dam/commbank-assets/investors/2023-08/climate/2023-climate-report-spreads.pdf" TargetMode="External"/><Relationship Id="rId133" Type="http://schemas.openxmlformats.org/officeDocument/2006/relationships/hyperlink" Target="https://www.axa.com/en/commitments/environmental-footprint-management" TargetMode="External"/><Relationship Id="rId138" Type="http://schemas.openxmlformats.org/officeDocument/2006/relationships/hyperlink" Target="https://www.ge.com/sites/default/files/climate_change_statement.pdf" TargetMode="External"/><Relationship Id="rId154" Type="http://schemas.openxmlformats.org/officeDocument/2006/relationships/hyperlink" Target="https://s204.q4cdn.com/830623074/files/doc_downloads/Prudential-2023-Sustainability-Report.pdf" TargetMode="External"/><Relationship Id="rId159" Type="http://schemas.openxmlformats.org/officeDocument/2006/relationships/hyperlink" Target="https://ecm.capitalone.com/WCM/stories/pdfs/2023-capital-one-environmental-social-and-governance-report.pdf?external_id=Our-Commitments" TargetMode="External"/><Relationship Id="rId175" Type="http://schemas.openxmlformats.org/officeDocument/2006/relationships/hyperlink" Target="https://www.vibraenergia.com.br/sites/default/files/2024-07/ENG%20Vibra_RS23_resumida_Final_0.pdf" TargetMode="External"/><Relationship Id="rId170" Type="http://schemas.openxmlformats.org/officeDocument/2006/relationships/hyperlink" Target="https://www.aisin.com/en/sustainability/report/pdf/aisin_ar2023_en_a3.pdf" TargetMode="External"/><Relationship Id="rId16" Type="http://schemas.openxmlformats.org/officeDocument/2006/relationships/hyperlink" Target="https://group.dhl.com/en/media-relations/press-releases/2021/dpdhl-accelerated-roadmap-to-decarbonization.html" TargetMode="External"/><Relationship Id="rId107" Type="http://schemas.openxmlformats.org/officeDocument/2006/relationships/hyperlink" Target="https://www.apollo.com/content/dam/apolloaem/documents/insights/apollo-2023-sustainability-report-june-2024.pdf" TargetMode="External"/><Relationship Id="rId11" Type="http://schemas.openxmlformats.org/officeDocument/2006/relationships/hyperlink" Target="https://www.compass-group.com/content/dam/compass-group/corporate/sustainability/updates-2024/cgplc_sustainability_report_2023.pdf" TargetMode="External"/><Relationship Id="rId32" Type="http://schemas.openxmlformats.org/officeDocument/2006/relationships/hyperlink" Target="https://www.salesforce.com/news/press-releases/2017/04/13/salesforce-achieves-net-zero-greenhouse-gas-emissions-the-company-now-provides-a-carbon-neutral-cloud-for-all-customers/" TargetMode="External"/><Relationship Id="rId37" Type="http://schemas.openxmlformats.org/officeDocument/2006/relationships/hyperlink" Target="https://www.aia.com/content/dam/group-wise/en/docs/ESG/AIA_Group_ESG_Report_2023_Summary.pdf" TargetMode="External"/><Relationship Id="rId53" Type="http://schemas.openxmlformats.org/officeDocument/2006/relationships/hyperlink" Target="https://www.db.com/files/documents/Towards-net-zero-emissions.pdf" TargetMode="External"/><Relationship Id="rId58" Type="http://schemas.openxmlformats.org/officeDocument/2006/relationships/hyperlink" Target="https://s202.q4cdn.com/605347829/files/doc_downloads/2023/csr/progressive_2022csr_12-23.pdf" TargetMode="External"/><Relationship Id="rId74" Type="http://schemas.openxmlformats.org/officeDocument/2006/relationships/hyperlink" Target="https://sk-inc.com/resources/download/esg/sustainability/ENG_SK-Inc_SR_2023_Interactive_Final.pdf" TargetMode="External"/><Relationship Id="rId79" Type="http://schemas.openxmlformats.org/officeDocument/2006/relationships/hyperlink" Target="https://zgh.com/wp-content/uploads/Geely-Holding-Group-Sustainability-Report-2022-EN.pdf" TargetMode="External"/><Relationship Id="rId102" Type="http://schemas.openxmlformats.org/officeDocument/2006/relationships/hyperlink" Target="https://www.myclimate.org/en/information/news-press/news/newsdetail/migros-en-route-to-net-zero/" TargetMode="External"/><Relationship Id="rId123" Type="http://schemas.openxmlformats.org/officeDocument/2006/relationships/hyperlink" Target="https://www.hp.com/us-en/newsroom/press-releases/2021/hp-inc-announces-ambitious-climate-action-goals.html" TargetMode="External"/><Relationship Id="rId128" Type="http://schemas.openxmlformats.org/officeDocument/2006/relationships/hyperlink" Target="https://data.alibabagroup.com/ecms-files/1509739361/fcaefa3d-0989-48fb-b003-fa96aa04880e/2023%20Alibaba%20ESG%20Report-Final.pdf" TargetMode="External"/><Relationship Id="rId144" Type="http://schemas.openxmlformats.org/officeDocument/2006/relationships/hyperlink" Target="https://api.mziq.com/mzfilemanager/v2/d/5760dff3-15e1-4962-9e81-322a0b3d0bbd/90234c9e-5912-5db4-caf7-1ea4d7efa0a4?origin=2" TargetMode="External"/><Relationship Id="rId149" Type="http://schemas.openxmlformats.org/officeDocument/2006/relationships/hyperlink" Target="https://banco.bradesco/assets/classic/pdf/sustentabilidade/en/bradesco-2023-ESG-report.pdf" TargetMode="External"/><Relationship Id="rId5" Type="http://schemas.openxmlformats.org/officeDocument/2006/relationships/hyperlink" Target="https://our-impact.bmo.com/wp-content/uploads/2024/03/BMO_2023_SR_EN.pdf" TargetMode="External"/><Relationship Id="rId90" Type="http://schemas.openxmlformats.org/officeDocument/2006/relationships/hyperlink" Target="https://newsroom.metroag.de/en/news/2021/07/05/metro-aims-to-be-climate-neutral-by-2040" TargetMode="External"/><Relationship Id="rId95" Type="http://schemas.openxmlformats.org/officeDocument/2006/relationships/hyperlink" Target="https://www.lufthansagroup.com/media/downloads/en/responsibility/LH-Factsheet-Sustainability-2023.pdf" TargetMode="External"/><Relationship Id="rId160" Type="http://schemas.openxmlformats.org/officeDocument/2006/relationships/hyperlink" Target="https://www.denso.com/global/en/-/media/global/about-us/investors/annual-report/2023/annual-report-doc-2023-viewing-en.pdf?rev=ba81b37a5e28460d9451fdfb41e4bde5" TargetMode="External"/><Relationship Id="rId165" Type="http://schemas.openxmlformats.org/officeDocument/2006/relationships/hyperlink" Target="https://www.loreal-finance.com/en/annual-report-2023/social-environmental-performance/" TargetMode="External"/><Relationship Id="rId181" Type="http://schemas.openxmlformats.org/officeDocument/2006/relationships/hyperlink" Target="https://www.telefonica.com/en/wp-content/uploads/sites/5/2024/04/esg-highlights-2023.pdf" TargetMode="External"/><Relationship Id="rId22" Type="http://schemas.openxmlformats.org/officeDocument/2006/relationships/hyperlink" Target="https://s23.q4cdn.com/407969754/files/doc_downloads/2024/04/Uber-2024-Environmental-Social-and-Governance-Report.pdf" TargetMode="External"/><Relationship Id="rId27" Type="http://schemas.openxmlformats.org/officeDocument/2006/relationships/hyperlink" Target="https://www.crh.com/media/5157/crh-sustainability-report-2023_interactive_vhr.pdf" TargetMode="External"/><Relationship Id="rId43" Type="http://schemas.openxmlformats.org/officeDocument/2006/relationships/hyperlink" Target="https://www.cummins.com/sites/default/files/2024-07/2023-2024-Cummins-Sustainability-Progress-Report.pdf" TargetMode="External"/><Relationship Id="rId48" Type="http://schemas.openxmlformats.org/officeDocument/2006/relationships/hyperlink" Target="https://www.airfranceklm.com/en/our-commitments" TargetMode="External"/><Relationship Id="rId64" Type="http://schemas.openxmlformats.org/officeDocument/2006/relationships/hyperlink" Target="https://www.lbbw.de/group/lbbw/sustainability/shaping-transformation/sustainability_7vz24r4gy_e.html" TargetMode="External"/><Relationship Id="rId69" Type="http://schemas.openxmlformats.org/officeDocument/2006/relationships/hyperlink" Target="https://www.bmwgroup.com/en/report/2022/bmw-group-report/next-level-sustainability/index.html" TargetMode="External"/><Relationship Id="rId113" Type="http://schemas.openxmlformats.org/officeDocument/2006/relationships/hyperlink" Target="https://sustainability.lilly.com/environmental/climate" TargetMode="External"/><Relationship Id="rId118" Type="http://schemas.openxmlformats.org/officeDocument/2006/relationships/hyperlink" Target="https://www.sompo-hd.com/en/csr/milestone/" TargetMode="External"/><Relationship Id="rId134" Type="http://schemas.openxmlformats.org/officeDocument/2006/relationships/hyperlink" Target="https://www.rbc.com/community-social-impact/_assets-custom/pdf/2022-ESG-Report.PDF" TargetMode="External"/><Relationship Id="rId139" Type="http://schemas.openxmlformats.org/officeDocument/2006/relationships/hyperlink" Target="https://www.americanexpress.com/content/dam/amex/en-us/newsroom/pdfs/AXP-2021-2022-ESG-Report.pdf" TargetMode="External"/><Relationship Id="rId80" Type="http://schemas.openxmlformats.org/officeDocument/2006/relationships/hyperlink" Target="https://www.itau.com.br/download-file/v2/d/42787847-4cf6-4461-94a5-40ed237dca33/d5b8c4b5-cd94-c02f-a14d-36e3ef3958d5?origin=2" TargetMode="External"/><Relationship Id="rId85" Type="http://schemas.openxmlformats.org/officeDocument/2006/relationships/hyperlink" Target="https://our-impact.bmo.com/wp-content/uploads/2024/03/BMO_2023_SR_EN.pdf" TargetMode="External"/><Relationship Id="rId150" Type="http://schemas.openxmlformats.org/officeDocument/2006/relationships/hyperlink" Target="https://www.nationwide.co.uk/-/assets/nationwidecouk/documents/about/sustainability-report-2023.pdf" TargetMode="External"/><Relationship Id="rId155" Type="http://schemas.openxmlformats.org/officeDocument/2006/relationships/hyperlink" Target="https://www.iberdrola.com/documents/20125/3643974/gsm24-sustainability-report-2023.pdf" TargetMode="External"/><Relationship Id="rId171" Type="http://schemas.openxmlformats.org/officeDocument/2006/relationships/hyperlink" Target="https://www.tongwei.com.cn/uploads/20240605/3d1f3e6cb01513492c5c8637a7cb41da.pdf" TargetMode="External"/><Relationship Id="rId176" Type="http://schemas.openxmlformats.org/officeDocument/2006/relationships/hyperlink" Target="https://www.tongwei.com.cn/uploads/20240605/3d1f3e6cb01513492c5c8637a7cb41da.pdf" TargetMode="External"/><Relationship Id="rId12" Type="http://schemas.openxmlformats.org/officeDocument/2006/relationships/hyperlink" Target="https://www.actions-not-words.ch/content/dam/taten-statt-worte/TatenstattWorte_Relaunch/Hintergruende/nachhaltigkeit-bei-coop/Nachhaltigkeitsbericht/Fortschrittsbericht-Nachhaltigkeit-2023_en.pdf" TargetMode="External"/><Relationship Id="rId17" Type="http://schemas.openxmlformats.org/officeDocument/2006/relationships/hyperlink" Target="https://group.dhl.com/en/sustainability/sustainability-roadmap/sustainability-reports.html" TargetMode="External"/><Relationship Id="rId33" Type="http://schemas.openxmlformats.org/officeDocument/2006/relationships/hyperlink" Target="https://a.sfdcstatic.com/assets/prod/documents/white-papers/salesforce-fy24-stakeholder-impact-report.pdf" TargetMode="External"/><Relationship Id="rId38" Type="http://schemas.openxmlformats.org/officeDocument/2006/relationships/hyperlink" Target="https://www.centrica.com/stories/2021/centricas-climate-transition-plan/" TargetMode="External"/><Relationship Id="rId59" Type="http://schemas.openxmlformats.org/officeDocument/2006/relationships/hyperlink" Target="https://www.mizuhogroup.com/binaries/content/assets/pdf/mizuhoglobal/sustainability/overview/report/tcfd_report_2023.pdf" TargetMode="External"/><Relationship Id="rId103" Type="http://schemas.openxmlformats.org/officeDocument/2006/relationships/hyperlink" Target="https://www.pmi.com/sustainability/low-carbon-transition-plan/accelerating-our-action-on-climate-change" TargetMode="External"/><Relationship Id="rId108" Type="http://schemas.openxmlformats.org/officeDocument/2006/relationships/hyperlink" Target="https://www.apollo.com/content/dam/apolloaem/documents/insights/apollo-2023-sustainability-report-june-2024.pdf" TargetMode="External"/><Relationship Id="rId124" Type="http://schemas.openxmlformats.org/officeDocument/2006/relationships/hyperlink" Target="https://www.swissre.com/sustainability/sustainable-operations/greenhouse-neutral-programme.html" TargetMode="External"/><Relationship Id="rId129" Type="http://schemas.openxmlformats.org/officeDocument/2006/relationships/hyperlink" Target="https://www.wellsfargo.com/assets/pdf/about/corporate-responsibility/sustainability-and-governance-report.pdf" TargetMode="External"/><Relationship Id="rId54" Type="http://schemas.openxmlformats.org/officeDocument/2006/relationships/hyperlink" Target="https://www.oracle.com/a/ocom/docs/industries/financial-services/business-responsibility-sustainability-report-2022-23.pdf" TargetMode="External"/><Relationship Id="rId70" Type="http://schemas.openxmlformats.org/officeDocument/2006/relationships/hyperlink" Target="https://www.sinochem.com/Portals/137/Uploads/Files/2022/9-16/637989499685024191.pdf" TargetMode="External"/><Relationship Id="rId75" Type="http://schemas.openxmlformats.org/officeDocument/2006/relationships/hyperlink" Target="https://news.pg.com/news-releases/news-details/2020/PG-Embraces-Natural-Climate-Solutions-to-Accelerate-Progress-on-Climate-Change-and-Will-Make-Operations-Carbon-Neutral-for-the-Decade/" TargetMode="External"/><Relationship Id="rId91" Type="http://schemas.openxmlformats.org/officeDocument/2006/relationships/hyperlink" Target="https://www.compass-group.com/content/dam/compass-group/corporate/sustainability/net-zero/Planet_Promise_Roadmap_1021.pdf" TargetMode="External"/><Relationship Id="rId96" Type="http://schemas.openxmlformats.org/officeDocument/2006/relationships/hyperlink" Target="https://www.lufthansagroup.com/media/downloads/en/responsibility/LH-Factsheet-Sustainability-2023.pdf" TargetMode="External"/><Relationship Id="rId140" Type="http://schemas.openxmlformats.org/officeDocument/2006/relationships/hyperlink" Target="https://www.hitachi.com/sustainability/download/pdf/en_sustainability2023_print.pdf" TargetMode="External"/><Relationship Id="rId145" Type="http://schemas.openxmlformats.org/officeDocument/2006/relationships/hyperlink" Target="https://www.ing.com/Newsroom/News/ING-to-steer-to-net-zero-climate.htm" TargetMode="External"/><Relationship Id="rId161" Type="http://schemas.openxmlformats.org/officeDocument/2006/relationships/hyperlink" Target="https://www.exor.com/sites/default/files/2024/page-documents/Sustainability%20Report%202023.pdf" TargetMode="External"/><Relationship Id="rId166" Type="http://schemas.openxmlformats.org/officeDocument/2006/relationships/hyperlink" Target="https://www.lgchem.com/upload/file/sustainability/2023_LGChem_Sustainability_Report_ENG.pdf" TargetMode="External"/><Relationship Id="rId182" Type="http://schemas.openxmlformats.org/officeDocument/2006/relationships/hyperlink" Target="https://www.jpmorganchase.com/content/dam/jpmc/jpmorgan-chase-and-co/documents/jpmc-esg-report-2023.pdf" TargetMode="External"/><Relationship Id="rId1" Type="http://schemas.openxmlformats.org/officeDocument/2006/relationships/hyperlink" Target="https://www.bat.com/sustainability-and-esg/environment-and-climate/climate-change" TargetMode="External"/><Relationship Id="rId6" Type="http://schemas.openxmlformats.org/officeDocument/2006/relationships/hyperlink" Target="https://esgnews.com/scotiabank-announces-net-zero-strategy-and-a-commitment-to-mobilize-350-billion-in-climate-related-financing/" TargetMode="External"/><Relationship Id="rId23" Type="http://schemas.openxmlformats.org/officeDocument/2006/relationships/hyperlink" Target="https://s23.q4cdn.com/407969754/files/doc_downloads/2024/04/Uber-2024-Environmental-Social-and-Governance-Report.pdf" TargetMode="External"/><Relationship Id="rId28" Type="http://schemas.openxmlformats.org/officeDocument/2006/relationships/hyperlink" Target="https://corporate.migros.ch/en/responsibility/sustainability/sustainability-strategy/strategy-climate-and-energy" TargetMode="External"/><Relationship Id="rId49" Type="http://schemas.openxmlformats.org/officeDocument/2006/relationships/hyperlink" Target="https://sustainabilityreport.airfranceklm.com/sustainability-report-2022-en/" TargetMode="External"/><Relationship Id="rId114" Type="http://schemas.openxmlformats.org/officeDocument/2006/relationships/hyperlink" Target="https://www.heineken.co.uk/media/heineken-aims-to-be-carbon-neutral-in-production-by-2030-and-full-value-chain-by-2040" TargetMode="External"/><Relationship Id="rId119" Type="http://schemas.openxmlformats.org/officeDocument/2006/relationships/hyperlink" Target="https://www.sompo-hd.com/en/csr/milestone/" TargetMode="External"/><Relationship Id="rId44" Type="http://schemas.openxmlformats.org/officeDocument/2006/relationships/hyperlink" Target="https://www.jeronimomartins.com/wp-content/uploads/01-DOCUMENTS/Responsibility/Environment/jm-climate-transition-plan-20240401.pdf" TargetMode="External"/><Relationship Id="rId60" Type="http://schemas.openxmlformats.org/officeDocument/2006/relationships/hyperlink" Target="https://www.riotinto.com/news/releases/2020/Rio-Tinto-to-invest-1-billion-to-help-meet-new-climate-change-targets" TargetMode="External"/><Relationship Id="rId65" Type="http://schemas.openxmlformats.org/officeDocument/2006/relationships/hyperlink" Target="https://www.telefonica.com/en/wp-content/uploads/sites/5/2024/04/esg-highlights-2023.pdf" TargetMode="External"/><Relationship Id="rId81" Type="http://schemas.openxmlformats.org/officeDocument/2006/relationships/hyperlink" Target="https://www.nab.com.au/content/dam/nab/documents/reports/corporate/2023-climate-report.pdf" TargetMode="External"/><Relationship Id="rId86" Type="http://schemas.openxmlformats.org/officeDocument/2006/relationships/hyperlink" Target="https://www.scotiabank.com/content/dam/scotiabank/corporate/Documents/Scotiabank_2023_ESG_Report_Final.pdf" TargetMode="External"/><Relationship Id="rId130" Type="http://schemas.openxmlformats.org/officeDocument/2006/relationships/hyperlink" Target="https://www.morganstanley.com/content/dam/msdotcom/en/assets/pdfs/Morgan_Stanley_2022_ESG_Report.pdf" TargetMode="External"/><Relationship Id="rId135" Type="http://schemas.openxmlformats.org/officeDocument/2006/relationships/hyperlink" Target="https://assets.new.siemens.com/siemens/assets/api/uuid:32371798-2ab8-44ca-82b0-450900622ce3/Sustainability-at-Siemens.pdf" TargetMode="External"/><Relationship Id="rId151" Type="http://schemas.openxmlformats.org/officeDocument/2006/relationships/hyperlink" Target="https://www.novartis.com/sites/novartis_com/files/novartis-integrated-report-2023.pdf" TargetMode="External"/><Relationship Id="rId156" Type="http://schemas.openxmlformats.org/officeDocument/2006/relationships/hyperlink" Target="https://group.intesasanpaolo.com/content/dam/portalgroup/repository-documenti/sostenibilt%C3%A0/climate-report/2023/2023_Climate_Report.pdf" TargetMode="External"/><Relationship Id="rId177" Type="http://schemas.openxmlformats.org/officeDocument/2006/relationships/hyperlink" Target="https://www.gscaltex.com/download/951" TargetMode="External"/><Relationship Id="rId4" Type="http://schemas.openxmlformats.org/officeDocument/2006/relationships/hyperlink" Target="https://our-impact.bmo.com/wp-content/uploads/2024/03/BMO_2023_SR_EN.pdf" TargetMode="External"/><Relationship Id="rId9" Type="http://schemas.openxmlformats.org/officeDocument/2006/relationships/hyperlink" Target="https://www.cibc.com/content/dam/about_cibc/corporate_responsibility/pdfs/cibc-sustainability-report-2023-en.pdf" TargetMode="External"/><Relationship Id="rId172" Type="http://schemas.openxmlformats.org/officeDocument/2006/relationships/hyperlink" Target="https://p3.aprimocdn.net/siemensenergy/d66ceb42-cf25-45d4-9cd1-b0cf00ce4ca9/Siemens-Energy_Sustainability-Report-2023-pdf_Original%20file.pdf" TargetMode="External"/><Relationship Id="rId180" Type="http://schemas.openxmlformats.org/officeDocument/2006/relationships/hyperlink" Target="https://sustentabilidade.petrobras.com.br/en/web/relatorio-de-sustentabilidade/w/resiliencia-climatica-emissoes-de-gee-e-outros-gases" TargetMode="External"/><Relationship Id="rId13" Type="http://schemas.openxmlformats.org/officeDocument/2006/relationships/hyperlink" Target="https://www.actions-not-words.ch/content/dam/taten-statt-worte/TatenstattWorte_Relaunch/Hintergruende/nachhaltigkeit-bei-coop/Nachhaltigkeitsbericht/Fortschrittsbericht-Nachhaltigkeit-2023_en.pdf" TargetMode="External"/><Relationship Id="rId18" Type="http://schemas.openxmlformats.org/officeDocument/2006/relationships/hyperlink" Target="https://www.drapersonline.com/news/zara-owner-inditex-sets-extremely-ambitious-sustainability-targets" TargetMode="External"/><Relationship Id="rId39" Type="http://schemas.openxmlformats.org/officeDocument/2006/relationships/hyperlink" Target="https://www.centrica.com/media/inqbe0ip/people-planet-plan-report-2023.pdf" TargetMode="External"/><Relationship Id="rId109" Type="http://schemas.openxmlformats.org/officeDocument/2006/relationships/hyperlink" Target="https://www.bnymellonim.com/content/dam/imemea/pdfs/tcfd-reports/T12584_IM_EMEA_Entity_TCFD_Report.pdf" TargetMode="External"/><Relationship Id="rId34" Type="http://schemas.openxmlformats.org/officeDocument/2006/relationships/hyperlink" Target="https://www.sap.com/integrated-reports/2023/en.html?pdf-asset=5234b263-ad7e-0010-bca6-c68f7e60039b&amp;page=6" TargetMode="External"/><Relationship Id="rId50" Type="http://schemas.openxmlformats.org/officeDocument/2006/relationships/hyperlink" Target="https://global.abb/group/en/sustainability" TargetMode="External"/><Relationship Id="rId55" Type="http://schemas.openxmlformats.org/officeDocument/2006/relationships/hyperlink" Target="https://www.eni.com/assets/documents/eng/just-transition/2022/eni-for-2022-just-transition-eng.pdf" TargetMode="External"/><Relationship Id="rId76" Type="http://schemas.openxmlformats.org/officeDocument/2006/relationships/hyperlink" Target="https://www.hd.eneos.co.jp/english/newsrelease/upload_pdf/20230601_01_01_1040009.pdf" TargetMode="External"/><Relationship Id="rId97" Type="http://schemas.openxmlformats.org/officeDocument/2006/relationships/hyperlink" Target="https://media-meituan.todayir.com/202404290808012611185051_en.pdf" TargetMode="External"/><Relationship Id="rId104" Type="http://schemas.openxmlformats.org/officeDocument/2006/relationships/hyperlink" Target="https://www.pmi.com/resources/docs/default-source/ir2023-documents/pmi-integrated-report-2023.pdf" TargetMode="External"/><Relationship Id="rId120" Type="http://schemas.openxmlformats.org/officeDocument/2006/relationships/hyperlink" Target="https://sustainability.travelers.com/iw-documents/sustainability/Travelers_SustainabilityReport2023.pdf" TargetMode="External"/><Relationship Id="rId125" Type="http://schemas.openxmlformats.org/officeDocument/2006/relationships/hyperlink" Target="https://www.lbbw.de/group/lbbw/sustainability/shaping-transformation/sustainability_7vz24r4gy_e.html" TargetMode="External"/><Relationship Id="rId141" Type="http://schemas.openxmlformats.org/officeDocument/2006/relationships/hyperlink" Target="https://www.garantibbvainvestorrelations.com/en/sustainability/detail/Sustainable-Finance-Strategy/2213/9625/0" TargetMode="External"/><Relationship Id="rId146" Type="http://schemas.openxmlformats.org/officeDocument/2006/relationships/hyperlink" Target="https://cdn.pfizer.com/pfizercom/Pfizer_2023_Impact_Report.pdf" TargetMode="External"/><Relationship Id="rId167" Type="http://schemas.openxmlformats.org/officeDocument/2006/relationships/hyperlink" Target="https://www.kddi.com/extlib/files/english/corporate/ir/ir-library/sustainability-integrated-report/pdf/kddi_sir2023_e.pdf" TargetMode="External"/><Relationship Id="rId7" Type="http://schemas.openxmlformats.org/officeDocument/2006/relationships/hyperlink" Target="https://www.scotiabank.com/content/dam/scotiabank/corporate/Documents/Scotiabank_2023_ESG_Report_Final.pdf" TargetMode="External"/><Relationship Id="rId71" Type="http://schemas.openxmlformats.org/officeDocument/2006/relationships/hyperlink" Target="https://www.santander.com/content/dam/santander-com/en/documentos/informe-financiero-anual/2022/ifa-2022-consolidated-annual-financial-report-en.pdf" TargetMode="External"/><Relationship Id="rId92" Type="http://schemas.openxmlformats.org/officeDocument/2006/relationships/hyperlink" Target="https://www.compass-group.com/content/dam/compass-group/corporate/sustainability/updates-2024/cgplc_sustainability_report_2023.pdf" TargetMode="External"/><Relationship Id="rId162" Type="http://schemas.openxmlformats.org/officeDocument/2006/relationships/hyperlink" Target="https://www.ingka.com/static/ingka-group-annual-summary-and-sustainability-report-fy23.pdf" TargetMode="External"/><Relationship Id="rId183" Type="http://schemas.openxmlformats.org/officeDocument/2006/relationships/hyperlink" Target="https://www.groupe-sncf.com/en/innovation/decarbonization-trains" TargetMode="External"/><Relationship Id="rId2" Type="http://schemas.openxmlformats.org/officeDocument/2006/relationships/hyperlink" Target="https://www.anz.com.au/about-us/esg/environmental-sustainability/climate-change/" TargetMode="External"/><Relationship Id="rId29" Type="http://schemas.openxmlformats.org/officeDocument/2006/relationships/hyperlink" Target="https://report.migros.ch/2023/en/sustainable-development" TargetMode="External"/><Relationship Id="rId24" Type="http://schemas.openxmlformats.org/officeDocument/2006/relationships/hyperlink" Target="https://doc.irasia.com/listco/hk/ckh/annual/2023/en/esr/environment.pdf" TargetMode="External"/><Relationship Id="rId40" Type="http://schemas.openxmlformats.org/officeDocument/2006/relationships/hyperlink" Target="https://english.news.cn/20220209/8043ff8a421b4c5aba3105b83277c694/c.html" TargetMode="External"/><Relationship Id="rId45" Type="http://schemas.openxmlformats.org/officeDocument/2006/relationships/hyperlink" Target="https://www.jeronimomartins.com/wp-content/uploads/01-DOCUMENTS/Responsibility/Environment/jm-climate-transition-plan-20240401.pdf" TargetMode="External"/><Relationship Id="rId66" Type="http://schemas.openxmlformats.org/officeDocument/2006/relationships/hyperlink" Target="https://www.valero.com/sites/default/files/valero-documents/2023_ESG_Report.pdf" TargetMode="External"/><Relationship Id="rId87" Type="http://schemas.openxmlformats.org/officeDocument/2006/relationships/hyperlink" Target="https://esgnews.com/scotiabank-announces-net-zero-strategy-and-a-commitment-to-mobilize-350-billion-in-climate-related-financing/" TargetMode="External"/><Relationship Id="rId110" Type="http://schemas.openxmlformats.org/officeDocument/2006/relationships/hyperlink" Target="https://www.bnymellonim.com/content/dam/imemea/pdfs/tcfd-reports/T12584_IM_EMEA_Entity_TCFD_Report.pdf" TargetMode="External"/><Relationship Id="rId115" Type="http://schemas.openxmlformats.org/officeDocument/2006/relationships/hyperlink" Target="https://www.heineken.co.uk/sustainability/reporting" TargetMode="External"/><Relationship Id="rId131" Type="http://schemas.openxmlformats.org/officeDocument/2006/relationships/hyperlink" Target="https://www.morganstanley.com/content/dam/msdotcom/en/assets/pdfs/Morgan_Stanley_2022_ESG_Report.pdf" TargetMode="External"/><Relationship Id="rId136" Type="http://schemas.openxmlformats.org/officeDocument/2006/relationships/hyperlink" Target="https://news.pg.com/news-releases/news-details/2020/PG-Embraces-Natural-Climate-Solutions-to-Accelerate-Progress-on-Climate-Change-and-Will-Make-Operations-Carbon-Neutral-for-the-Decade/" TargetMode="External"/><Relationship Id="rId157" Type="http://schemas.openxmlformats.org/officeDocument/2006/relationships/hyperlink" Target="https://www.bayer.com/sites/default/files/2024-03/bayer-sustainability-highlight-report-2023.pdf" TargetMode="External"/><Relationship Id="rId178" Type="http://schemas.openxmlformats.org/officeDocument/2006/relationships/hyperlink" Target="https://www.hd.eneos.co.jp/english/csr/report/pdf/eneos_en_2022_f.pdf" TargetMode="External"/><Relationship Id="rId61" Type="http://schemas.openxmlformats.org/officeDocument/2006/relationships/hyperlink" Target="https://www.maersk.com/sustainability" TargetMode="External"/><Relationship Id="rId82" Type="http://schemas.openxmlformats.org/officeDocument/2006/relationships/hyperlink" Target="https://www.grupoacs.com/sostenibilidad/estrategia-de-sostenibilidad/plan-director-sostenibilidad-2025/" TargetMode="External"/><Relationship Id="rId152" Type="http://schemas.openxmlformats.org/officeDocument/2006/relationships/hyperlink" Target="https://s204.q4cdn.com/830623074/files/doc_downloads/Prudential-2023-Sustainability-Report.pdf" TargetMode="External"/><Relationship Id="rId173" Type="http://schemas.openxmlformats.org/officeDocument/2006/relationships/hyperlink" Target="https://p3.aprimocdn.net/siemensenergy/d66ceb42-cf25-45d4-9cd1-b0cf00ce4ca9/Siemens-Energy_Sustainability-Report-2023-pdf_Original%20file.pdf" TargetMode="External"/><Relationship Id="rId19" Type="http://schemas.openxmlformats.org/officeDocument/2006/relationships/hyperlink" Target="https://static.inditex.com/annual_report_2023/en/Environment.pdf" TargetMode="External"/><Relationship Id="rId14" Type="http://schemas.openxmlformats.org/officeDocument/2006/relationships/hyperlink" Target="https://www.creditmutuel.com/en/deploying-our-csr-approach/our-csr-commitments.html" TargetMode="External"/><Relationship Id="rId30" Type="http://schemas.openxmlformats.org/officeDocument/2006/relationships/hyperlink" Target="https://www.pmi.com/sustainability/low-carbon-transition-plan/accelerating-our-action-on-climate-change" TargetMode="External"/><Relationship Id="rId35" Type="http://schemas.openxmlformats.org/officeDocument/2006/relationships/hyperlink" Target="https://news.sap.com/2024/02/sap-journey-to-net-zero-2030/" TargetMode="External"/><Relationship Id="rId56" Type="http://schemas.openxmlformats.org/officeDocument/2006/relationships/hyperlink" Target="https://press.kia.com/eu/en/home/media-resouces/press-releases/2021/Sustainable-Mobility-Solutions-Provider.html" TargetMode="External"/><Relationship Id="rId77" Type="http://schemas.openxmlformats.org/officeDocument/2006/relationships/hyperlink" Target="https://www.vinci.com/publi/vinci/extract/2022_workforce_related_environmental_and_social_information.pdf" TargetMode="External"/><Relationship Id="rId100" Type="http://schemas.openxmlformats.org/officeDocument/2006/relationships/hyperlink" Target="https://www.jabil.com/dam/jcr:bdd34b38-8dd9-4bc8-b432-96dab4127cda/jabil-fiscal-year-2023-sustainability-report.pdf" TargetMode="External"/><Relationship Id="rId105" Type="http://schemas.openxmlformats.org/officeDocument/2006/relationships/hyperlink" Target="https://news.sap.com/2021/03/sap-carbon-neutrality-goal-2023/" TargetMode="External"/><Relationship Id="rId126" Type="http://schemas.openxmlformats.org/officeDocument/2006/relationships/hyperlink" Target="https://www.elevancehealth.com/content/dam/elevance-health/documents/ELV_2023_Impact_Report.pdf" TargetMode="External"/><Relationship Id="rId147" Type="http://schemas.openxmlformats.org/officeDocument/2006/relationships/hyperlink" Target="https://www.delta.com/content/dam/esg/2023/pdf/Delta-2023-ESG-Report.pdf" TargetMode="External"/><Relationship Id="rId168" Type="http://schemas.openxmlformats.org/officeDocument/2006/relationships/hyperlink" Target="https://www.se.com/ww/en/assets/564/document/466155/2023-sustainability-report.pdf" TargetMode="External"/><Relationship Id="rId8" Type="http://schemas.openxmlformats.org/officeDocument/2006/relationships/hyperlink" Target="https://www.newswire.ca/news-releases/cibc-declares-net-zero-ambition-by-2050-increases-sustainable-finance-target-874670170.html" TargetMode="External"/><Relationship Id="rId51" Type="http://schemas.openxmlformats.org/officeDocument/2006/relationships/hyperlink" Target="https://search.abb.com/library/Download.aspx?DocumentID=9AKK108469A1083&amp;LanguageCode=en&amp;DocumentPartId=&amp;Action=Launch" TargetMode="External"/><Relationship Id="rId72" Type="http://schemas.openxmlformats.org/officeDocument/2006/relationships/hyperlink" Target="https://docfinder.bnpparibas-am.com/api/files/F5EE3377-26CE-4DFD-B770-DBD29323D78B" TargetMode="External"/><Relationship Id="rId93" Type="http://schemas.openxmlformats.org/officeDocument/2006/relationships/hyperlink" Target="https://www.dzbank.de/content/dzbank/en/home/we-are-dz-bank/investor-relations/reports/latest-reports.html" TargetMode="External"/><Relationship Id="rId98" Type="http://schemas.openxmlformats.org/officeDocument/2006/relationships/hyperlink" Target="https://www.crrcgc.cc/Portals/73/Uploads/Files/2024/4-25/638496518678392296.pdf" TargetMode="External"/><Relationship Id="rId121" Type="http://schemas.openxmlformats.org/officeDocument/2006/relationships/hyperlink" Target="https://sustainability.travelers.com/iw-documents/sustainability/Travelers_SustainabilityReport2023.pdf" TargetMode="External"/><Relationship Id="rId142" Type="http://schemas.openxmlformats.org/officeDocument/2006/relationships/hyperlink" Target="https://www.munichre.com/en/company/munich-re-group-ambition-2025.html" TargetMode="External"/><Relationship Id="rId163" Type="http://schemas.openxmlformats.org/officeDocument/2006/relationships/hyperlink" Target="https://www.softbank.jp/en/corp/set/data/sustainability/documents/reports/pdf/sbkk_sustainability_report_2023_en.pdf" TargetMode="External"/><Relationship Id="rId3" Type="http://schemas.openxmlformats.org/officeDocument/2006/relationships/hyperlink" Target="https://www.anz.com.au/content/dam/anzcomau/about-us/anz-2023-esg-supplement.pdf" TargetMode="External"/><Relationship Id="rId25" Type="http://schemas.openxmlformats.org/officeDocument/2006/relationships/hyperlink" Target="https://doc.irasia.com/listco/hk/ckh/annual/2023/en/esr/environment.pdf" TargetMode="External"/><Relationship Id="rId46" Type="http://schemas.openxmlformats.org/officeDocument/2006/relationships/hyperlink" Target="https://www.sompo-hd.com/-/media/hd/en/files/csr/communications/pdf/2023/e_report2023.pdf?la=ja-JP" TargetMode="External"/><Relationship Id="rId67" Type="http://schemas.openxmlformats.org/officeDocument/2006/relationships/hyperlink" Target="https://stories.starbucks.com/uploads/2024/02/2023-Starbucks-Global-Impact-Report.pdf" TargetMode="External"/><Relationship Id="rId116" Type="http://schemas.openxmlformats.org/officeDocument/2006/relationships/hyperlink" Target="https://www.mazda.com/globalassets/en/assets/sustainability/download/2023/2023e_all.pdf" TargetMode="External"/><Relationship Id="rId137" Type="http://schemas.openxmlformats.org/officeDocument/2006/relationships/hyperlink" Target="https://corpo.couche-tard.com/wp-content/uploads/2024/06/ACT_Sustainability_Report_2024.pdf" TargetMode="External"/><Relationship Id="rId158" Type="http://schemas.openxmlformats.org/officeDocument/2006/relationships/hyperlink" Target="https://www.tokiomarinehd.com/en/sustainability/pdf/sustainability_web_2023.pdf" TargetMode="External"/><Relationship Id="rId20" Type="http://schemas.openxmlformats.org/officeDocument/2006/relationships/hyperlink" Target="https://www.lapostegroupe.com/en/news/la-banque-postale-is-stepping-up-its-decarbonisation-strategy" TargetMode="External"/><Relationship Id="rId41" Type="http://schemas.openxmlformats.org/officeDocument/2006/relationships/hyperlink" Target="https://www.commbank.com.au/content/dam/commbank-assets/investors/2023-08/climate/2023-climate-report-spreads.pdf" TargetMode="External"/><Relationship Id="rId62" Type="http://schemas.openxmlformats.org/officeDocument/2006/relationships/hyperlink" Target="https://www.koreatimes.co.kr/www/biz/2024/07/602_352476.html" TargetMode="External"/><Relationship Id="rId83" Type="http://schemas.openxmlformats.org/officeDocument/2006/relationships/hyperlink" Target="https://www.grupoacs.com/ficheros_editor/File/03_accionistas_inversores/06_junta_general_accionistas/2024/5%20Informaci%C3%B3n%20no%20financiera.pdf" TargetMode="External"/><Relationship Id="rId88" Type="http://schemas.openxmlformats.org/officeDocument/2006/relationships/hyperlink" Target="https://www.newswire.ca/news-releases/cibc-declares-net-zero-ambition-by-2050-increases-sustainable-finance-target-874670170.html" TargetMode="External"/><Relationship Id="rId111" Type="http://schemas.openxmlformats.org/officeDocument/2006/relationships/hyperlink" Target="https://www.commbank.com.au/content/dam/commbank-assets/investors/2023-08/climate/2023-climate-report-spreads.pdf" TargetMode="External"/><Relationship Id="rId132" Type="http://schemas.openxmlformats.org/officeDocument/2006/relationships/hyperlink" Target="https://www.jnj.com/our-societal-impact/global-environmental-sustainability/our-approach-to-climate-action" TargetMode="External"/><Relationship Id="rId153" Type="http://schemas.openxmlformats.org/officeDocument/2006/relationships/hyperlink" Target="https://s204.q4cdn.com/830623074/files/doc_downloads/Prudential-2023-Sustainability-Report.pdf" TargetMode="External"/><Relationship Id="rId174" Type="http://schemas.openxmlformats.org/officeDocument/2006/relationships/hyperlink" Target="https://usa.visa.com/content/dam/VCOM/regional/na/us/about-visa/documents/2023-corporate-responsibility-sustainability-report.pdf" TargetMode="External"/><Relationship Id="rId179" Type="http://schemas.openxmlformats.org/officeDocument/2006/relationships/hyperlink" Target="http://www.weiqiaocy.com/en/news/v899.html" TargetMode="External"/><Relationship Id="rId15" Type="http://schemas.openxmlformats.org/officeDocument/2006/relationships/hyperlink" Target="https://www.creditmutuel.com/partage/fr/CNCM/telechargements/presse-et-publications/publications/2023/2022-Non-financial-performance-statement-Credit-Mutuel-Group.pdf" TargetMode="External"/><Relationship Id="rId36" Type="http://schemas.openxmlformats.org/officeDocument/2006/relationships/hyperlink" Target="https://www.aia.com/content/dam/group-wise/en/docs/ESG/AIA_Group_ESG_Report_2023_Summary.pdf" TargetMode="External"/><Relationship Id="rId57" Type="http://schemas.openxmlformats.org/officeDocument/2006/relationships/hyperlink" Target="https://worldwide.kia.com/int/company/sustainability/sustainability-report" TargetMode="External"/><Relationship Id="rId106" Type="http://schemas.openxmlformats.org/officeDocument/2006/relationships/hyperlink" Target="https://www.sap.com/integrated-reports/2023/en.html?pdf-asset=5234b263-ad7e-0010-bca6-c68f7e60039b&amp;page=6" TargetMode="External"/><Relationship Id="rId127" Type="http://schemas.openxmlformats.org/officeDocument/2006/relationships/hyperlink" Target="https://www.santander.com/content/dam/santander-com/en/contenido-paginas/nuestro-compromiso/reports/2023/doc-informes-usa-informe-anual-integrado-2023-disponible-en-ingles.pdf" TargetMode="External"/><Relationship Id="rId10" Type="http://schemas.openxmlformats.org/officeDocument/2006/relationships/hyperlink" Target="https://www.compass-group.com/content/dam/compass-group/corporate/sustainability/net-zero/Planet_Promise_Roadmap_1021.pdf" TargetMode="External"/><Relationship Id="rId31" Type="http://schemas.openxmlformats.org/officeDocument/2006/relationships/hyperlink" Target="https://www.pmi.com/resources/docs/default-source/ir2023-documents/pmi-integrated-report-2023.pdf" TargetMode="External"/><Relationship Id="rId52" Type="http://schemas.openxmlformats.org/officeDocument/2006/relationships/hyperlink" Target="https://www.woolworthsgroup.com.au/au/en/sustainability/Planet/net-positive-carbon-emissions-by-2050.html" TargetMode="External"/><Relationship Id="rId73" Type="http://schemas.openxmlformats.org/officeDocument/2006/relationships/hyperlink" Target="https://www.telekom.com/en/media/media-information/archive/deutsche-telekom-tightens-its-climate-targets-623582" TargetMode="External"/><Relationship Id="rId78" Type="http://schemas.openxmlformats.org/officeDocument/2006/relationships/hyperlink" Target="https://www.groupebpce.com/app/uploads/2024/04/240416-tcfd-version-uk.pdf" TargetMode="External"/><Relationship Id="rId94" Type="http://schemas.openxmlformats.org/officeDocument/2006/relationships/hyperlink" Target="https://smart-home.haier.com/en/gpxx/esg/P020230427770685481498.pdf" TargetMode="External"/><Relationship Id="rId99" Type="http://schemas.openxmlformats.org/officeDocument/2006/relationships/hyperlink" Target="https://www.crrcgc.cc/Portals/73/Uploads/Files/2024/4-25/638496518678392296.pdf" TargetMode="External"/><Relationship Id="rId101" Type="http://schemas.openxmlformats.org/officeDocument/2006/relationships/hyperlink" Target="https://corporate.migros.ch/de/nachhaltigkeit/klima-energie/unsere-fortschritte/klimaneutralitaet" TargetMode="External"/><Relationship Id="rId122" Type="http://schemas.openxmlformats.org/officeDocument/2006/relationships/hyperlink" Target="https://www.posco.co.kr/homepage/docs/eng7/jsp/irinfo/irdata/s91b6000030l.jsp" TargetMode="External"/><Relationship Id="rId143" Type="http://schemas.openxmlformats.org/officeDocument/2006/relationships/hyperlink" Target="https://www.reuters.com/markets/europe/sberbank-cut-rates-eco-friendly-loans-ahead-potential-central-bank-move-2022-02-08/" TargetMode="External"/><Relationship Id="rId148" Type="http://schemas.openxmlformats.org/officeDocument/2006/relationships/hyperlink" Target="https://www.catl.com/en/uploads/1/file/public/202404/20240417102933_uuiks9ljr8.pdf" TargetMode="External"/><Relationship Id="rId164" Type="http://schemas.openxmlformats.org/officeDocument/2006/relationships/hyperlink" Target="https://www.talanx.com/media/Files/talanx-gruppe/nachhaltigkeitsberichte/Talanx_Nachhaltigkeitsbericht_2023_en.pdf" TargetMode="External"/><Relationship Id="rId169" Type="http://schemas.openxmlformats.org/officeDocument/2006/relationships/hyperlink" Target="https://www.nab.com.au/content/dam/nab/documents/reports/corporate/2023-climate-report.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sustainability.jardines.com/2021/assets/pdf/Jardine_SR2021.pdf" TargetMode="External"/><Relationship Id="rId2" Type="http://schemas.openxmlformats.org/officeDocument/2006/relationships/hyperlink" Target="https://www.jfe-holdings.co.jp/en/csr/pdf/csr2022e.pdf" TargetMode="External"/><Relationship Id="rId1" Type="http://schemas.openxmlformats.org/officeDocument/2006/relationships/hyperlink" Target="https://www.societegenerale.com/sites/default/files/documents/2023-05/Integrated-Report-2022-2023.pdf" TargetMode="External"/><Relationship Id="rId5" Type="http://schemas.openxmlformats.org/officeDocument/2006/relationships/table" Target="../tables/table1.xml"/><Relationship Id="rId4" Type="http://schemas.openxmlformats.org/officeDocument/2006/relationships/hyperlink" Target="https://www.phoenixgroup.eu/en/about-phoenix/news/news/phoenix-group-adopts-climate-target-for-its-own-business-operation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17" Type="http://schemas.openxmlformats.org/officeDocument/2006/relationships/hyperlink" Target="https://fortune.com/2020/07/16/emissions-climate-neutral-procter-and-gambler/" TargetMode="External"/><Relationship Id="rId21" Type="http://schemas.openxmlformats.org/officeDocument/2006/relationships/hyperlink" Target="https://newsroom.bmo.com/2010-08-24-BMO-Achieves-Carbon-Neutrality" TargetMode="External"/><Relationship Id="rId42" Type="http://schemas.openxmlformats.org/officeDocument/2006/relationships/hyperlink" Target="https://www.boc.cn/aboutboc/ab8/202105/t20210517_19413786.html?_x_tr_sl=zh-CN&amp;_x_tr_tl=en&amp;_x_tr_hl=en&amp;_x_tr_pto=ajax,sc,elem" TargetMode="External"/><Relationship Id="rId63" Type="http://schemas.openxmlformats.org/officeDocument/2006/relationships/hyperlink" Target="https://www.crh.com/media/3224/crh-sustainability-report-2019-interactive.pdf" TargetMode="External"/><Relationship Id="rId84" Type="http://schemas.openxmlformats.org/officeDocument/2006/relationships/hyperlink" Target="https://www.hyundai.com/worldwide/en/company/newsroom/hyundai-motor-presents-carbon-neutral-commitment-at-iaa-mobility-2021-0000016716" TargetMode="External"/><Relationship Id="rId138" Type="http://schemas.openxmlformats.org/officeDocument/2006/relationships/hyperlink" Target="https://investor.travelers.com/newsroom/press-releases/news-details/2021/Travelers-Makes-Earth-Day-Pledge-to-Become-Carbon-Neutral-by-2030/default.aspx" TargetMode="External"/><Relationship Id="rId159" Type="http://schemas.openxmlformats.org/officeDocument/2006/relationships/hyperlink" Target="https://www.santander.com/en/press-room/press-releases/2021/02/santander-group-sets-ambition-to-be-net-zero-by-2050-supported-by-first-decarbonization-targets" TargetMode="External"/><Relationship Id="rId170" Type="http://schemas.openxmlformats.org/officeDocument/2006/relationships/hyperlink" Target="https://global.canon/en/environment/target.html" TargetMode="External"/><Relationship Id="rId191" Type="http://schemas.openxmlformats.org/officeDocument/2006/relationships/hyperlink" Target="https://www.exeloncorp.com/newsroom/exelon-utilities-announces-goal-to-achieve-net-zero-emissions-by-2050" TargetMode="External"/><Relationship Id="rId205" Type="http://schemas.openxmlformats.org/officeDocument/2006/relationships/hyperlink" Target="https://newsroom.ibm.com/2021-02-16-IBM-Commits-To-Net-Zero-Greenhouse-Gas-Emissions-By-2030" TargetMode="External"/><Relationship Id="rId226" Type="http://schemas.openxmlformats.org/officeDocument/2006/relationships/hyperlink" Target="https://www.nestle.com/sites/default/files/2020-12/nestle-net-zero-roadmap-en.pdf" TargetMode="External"/><Relationship Id="rId247" Type="http://schemas.openxmlformats.org/officeDocument/2006/relationships/hyperlink" Target="https://www.sumitomolife.co.jp/english/newsrelease/pdf/nr20210401.pdf" TargetMode="External"/><Relationship Id="rId107" Type="http://schemas.openxmlformats.org/officeDocument/2006/relationships/hyperlink" Target="https://www.mizuhogroup.com/news/2021/05/strengthening-our-sustainability-action.html" TargetMode="External"/><Relationship Id="rId268" Type="http://schemas.openxmlformats.org/officeDocument/2006/relationships/hyperlink" Target="https://www.woolworthsgroup.com.au/page/community-and-responsibility/corporate-responsibility-reports/woolworths-group-sustainability-plan-2025/" TargetMode="External"/><Relationship Id="rId11" Type="http://schemas.openxmlformats.org/officeDocument/2006/relationships/hyperlink" Target="https://corporate.arcelormittal.com/media/press-releases/arcelormittal-sets-2050-group-carbon-emissions-target-of-net-zero" TargetMode="External"/><Relationship Id="rId32" Type="http://schemas.openxmlformats.org/officeDocument/2006/relationships/hyperlink" Target="https://www.sumitomocorp.com/en/jp/news/release/2020/group/13510" TargetMode="External"/><Relationship Id="rId53" Type="http://schemas.openxmlformats.org/officeDocument/2006/relationships/hyperlink" Target="https://www.reuters.com/article/us-china-climatechange-baowu/chinas-top-steelmaker-baowu-group-vows-to-achieve-carbon-neutrality-by-2050-idUSKBN29Q0G1" TargetMode="External"/><Relationship Id="rId74" Type="http://schemas.openxmlformats.org/officeDocument/2006/relationships/hyperlink" Target="https://newsroom.fedex.com/newsroom/sustainability2021/" TargetMode="External"/><Relationship Id="rId128" Type="http://schemas.openxmlformats.org/officeDocument/2006/relationships/hyperlink" Target="https://medias.sncf.com/sncfcom/ese/CSR_REPORT_SNCF_2019.pdf" TargetMode="External"/><Relationship Id="rId149" Type="http://schemas.openxmlformats.org/officeDocument/2006/relationships/hyperlink" Target="https://newsroom.accenture.com/news/accenture-sets-industry-leading-net-zero-waste-and-water-goals.htm" TargetMode="External"/><Relationship Id="rId5" Type="http://schemas.openxmlformats.org/officeDocument/2006/relationships/hyperlink" Target="https://www.aisin.com/en/pdf/catalog_company_print2021.pdf" TargetMode="External"/><Relationship Id="rId95" Type="http://schemas.openxmlformats.org/officeDocument/2006/relationships/hyperlink" Target="https://www.maersk.com/news/articles/2019/06/26/towards-a-zero-carbon-future" TargetMode="External"/><Relationship Id="rId160" Type="http://schemas.openxmlformats.org/officeDocument/2006/relationships/hyperlink" Target="https://newsroom.bankofamerica.com/content/newsroom/press-releases/2021/02/bank-of-america-announces-actions-to-achieve-net-zero-greenhouse.html?cm_mmc=EBZ-EnterpriseBrand-_-vanity-_-EB01VN00I2_netzero-_-N/A" TargetMode="External"/><Relationship Id="rId181" Type="http://schemas.openxmlformats.org/officeDocument/2006/relationships/hyperlink" Target="https://www.delltechnologies.com/en-us/blog/getting-to-net-zero-it-takes-an-entire-company/" TargetMode="External"/><Relationship Id="rId216" Type="http://schemas.openxmlformats.org/officeDocument/2006/relationships/hyperlink" Target="https://www.manulife.com/en/about/sustainability/climate-change.html" TargetMode="External"/><Relationship Id="rId237" Type="http://schemas.openxmlformats.org/officeDocument/2006/relationships/hyperlink" Target="https://www.riotinto.com/en/sustainability/climate-change" TargetMode="External"/><Relationship Id="rId258" Type="http://schemas.openxmlformats.org/officeDocument/2006/relationships/hyperlink" Target="https://stories.td.com/us/en/article/td-commits-to-ambitious-climate-action-plan-and-targets-net-zero-emissions-by-2050" TargetMode="External"/><Relationship Id="rId22" Type="http://schemas.openxmlformats.org/officeDocument/2006/relationships/hyperlink" Target="https://www.cma-cgm.com/news/3143/the-cma-cgm-group-heads-towards-carbon-neutrality-by-2050" TargetMode="External"/><Relationship Id="rId43" Type="http://schemas.openxmlformats.org/officeDocument/2006/relationships/hyperlink" Target="https://www.basf.com/global/en/media/news-releases/2021/03/p-21-166.html" TargetMode="External"/><Relationship Id="rId64" Type="http://schemas.openxmlformats.org/officeDocument/2006/relationships/hyperlink" Target="https://www.bgy.com.cn/upload/file/2021-06-28/aec49441-f3a3-4c5a-98db-b97fc045ad0c.pdf" TargetMode="External"/><Relationship Id="rId118" Type="http://schemas.openxmlformats.org/officeDocument/2006/relationships/hyperlink" Target="https://www.posco.co.kr/homepage/docs/eng6/jsp/dn/irinfo/2020_POSCO_CLIMATE_ACTION_REPORT.pdf" TargetMode="External"/><Relationship Id="rId139" Type="http://schemas.openxmlformats.org/officeDocument/2006/relationships/hyperlink" Target="https://www.ubs.com/global/en/investor-relations/financial-information/annual-reporting/ar-archive/_jcr_content/mainpar/toplevelgrid/col1/accordionbox/table_1070826431.1968746683.file/dGFibGVUZXh0PS9jb250ZW50L2RhbS91YnMvZ2xvYmFsL2ludmVzdG9ycy9hbm51YWxfcmVwb3J0aW5nMjAwNy9TdHJhdGVneV9QZXJmb3JtYW5jZV9SZXNwb25zYWJpbGl0eV9lX0ZJTkFMLnBkZg==/Strategy_Performance_Responsability_e_FINAL.pdf" TargetMode="External"/><Relationship Id="rId85" Type="http://schemas.openxmlformats.org/officeDocument/2006/relationships/hyperlink" Target="https://www.iberdrola.com/sustainability/against-climate-change/climate-action" TargetMode="External"/><Relationship Id="rId150" Type="http://schemas.openxmlformats.org/officeDocument/2006/relationships/hyperlink" Target="https://www.aeon.info/export/sites/default/common/images/en/pressroom/imgsrc/180328R_3.pdf" TargetMode="External"/><Relationship Id="rId171" Type="http://schemas.openxmlformats.org/officeDocument/2006/relationships/hyperlink" Target="https://www.centrica.com/media-centre/news/2021/centrica-commits-to-be-net-zero-by-2045/" TargetMode="External"/><Relationship Id="rId192" Type="http://schemas.openxmlformats.org/officeDocument/2006/relationships/hyperlink" Target="https://engineering.fb.com/2020/09/14/data-center-engineering/net-zero-carbon/" TargetMode="External"/><Relationship Id="rId206" Type="http://schemas.openxmlformats.org/officeDocument/2006/relationships/hyperlink" Target="https://www.itochu.co.jp/en/csr/environment/climate_change/index.html" TargetMode="External"/><Relationship Id="rId227" Type="http://schemas.openxmlformats.org/officeDocument/2006/relationships/hyperlink" Target="https://about.netflix.com/en/news/net-zero-nature-our-climate-commitment" TargetMode="External"/><Relationship Id="rId248" Type="http://schemas.openxmlformats.org/officeDocument/2006/relationships/hyperlink" Target="https://www.smfg.co.jp/news_e/pdf/e20210831_02.pdf" TargetMode="External"/><Relationship Id="rId269" Type="http://schemas.openxmlformats.org/officeDocument/2006/relationships/hyperlink" Target="https://www.zurich.com/en/media/news-releases/2021/2021-0331-01" TargetMode="External"/><Relationship Id="rId12" Type="http://schemas.openxmlformats.org/officeDocument/2006/relationships/hyperlink" Target="https://www.generali.com/media/press-releases/all/2021/Generali-updates-its-strategy-for-climate-protection" TargetMode="External"/><Relationship Id="rId33" Type="http://schemas.openxmlformats.org/officeDocument/2006/relationships/hyperlink" Target="https://sumitomoelectric.com/sites/default/files/2021-08/download_documents/SUMITOMOELECTRIC%20InegratedReport2021.pdf" TargetMode="External"/><Relationship Id="rId108" Type="http://schemas.openxmlformats.org/officeDocument/2006/relationships/hyperlink" Target="https://www.munichre.com/en/company/corporate-responsibility/environment.html" TargetMode="External"/><Relationship Id="rId129" Type="http://schemas.openxmlformats.org/officeDocument/2006/relationships/hyperlink" Target="https://www.societegenerale.com/en/news/press-release/societe-generale-joins-net-zero-banking-alliance" TargetMode="External"/><Relationship Id="rId54" Type="http://schemas.openxmlformats.org/officeDocument/2006/relationships/hyperlink" Target="https://wind.in-en.com/html/wind-2403675.shtml" TargetMode="External"/><Relationship Id="rId75" Type="http://schemas.openxmlformats.org/officeDocument/2006/relationships/hyperlink" Target="https://media.ford.com/content/fordmedia/fna/us/en/news/2020/06/24/ford-expands-climate-change-goals.html" TargetMode="External"/><Relationship Id="rId96" Type="http://schemas.openxmlformats.org/officeDocument/2006/relationships/hyperlink" Target="https://www.magna.com/docs/default-source/2021-press-releases/magna_sustainability_release_04222021-final.pdf?sfvrsn=21b1e639_2" TargetMode="External"/><Relationship Id="rId140" Type="http://schemas.openxmlformats.org/officeDocument/2006/relationships/hyperlink" Target="https://investors.ups.com/_assets/ups/files/pages/ups/db/1149/description/UPS+ESG+Strategy+June+2021.pdf" TargetMode="External"/><Relationship Id="rId161" Type="http://schemas.openxmlformats.org/officeDocument/2006/relationships/hyperlink" Target="https://about.bmo.com/blog/bmo-declares-climate-ambition/" TargetMode="External"/><Relationship Id="rId182" Type="http://schemas.openxmlformats.org/officeDocument/2006/relationships/hyperlink" Target="https://www.dai-ichi-life-hd.com/en/investor/share/meeting/pdf/2021invite.pdf" TargetMode="External"/><Relationship Id="rId217" Type="http://schemas.openxmlformats.org/officeDocument/2006/relationships/hyperlink" Target="https://www.marubeni.com/en/news/2021/release/00022.html" TargetMode="External"/><Relationship Id="rId6" Type="http://schemas.openxmlformats.org/officeDocument/2006/relationships/hyperlink" Target="https://www.allianz.com/en/press/news/commitment/environment/news-2012-09-12.html" TargetMode="External"/><Relationship Id="rId238" Type="http://schemas.openxmlformats.org/officeDocument/2006/relationships/hyperlink" Target="https://www.repsol.com/en/press-room/press-releases/2019/repsol-will-be-a-net-zero-emissions-company-by-2050/index.cshtml" TargetMode="External"/><Relationship Id="rId259" Type="http://schemas.openxmlformats.org/officeDocument/2006/relationships/hyperlink" Target="https://totalenergies.com/media/news/total-adopts-new-climate-ambition-get-net-zero-2050" TargetMode="External"/><Relationship Id="rId23" Type="http://schemas.openxmlformats.org/officeDocument/2006/relationships/hyperlink" Target="https://www.continental.com/en/sustainability/sustainability-framework/carbon-neutrality/" TargetMode="External"/><Relationship Id="rId119" Type="http://schemas.openxmlformats.org/officeDocument/2006/relationships/hyperlink" Target="https://www.prudentialplc.com/en/news-and-insights/all-news/news-releases/2021/07-05-2021" TargetMode="External"/><Relationship Id="rId270" Type="http://schemas.openxmlformats.org/officeDocument/2006/relationships/printerSettings" Target="../printerSettings/printerSettings2.bin"/><Relationship Id="rId44" Type="http://schemas.openxmlformats.org/officeDocument/2006/relationships/hyperlink" Target="https://www.bayer.com/en/sustainability/climate-protection" TargetMode="External"/><Relationship Id="rId60" Type="http://schemas.openxmlformats.org/officeDocument/2006/relationships/hyperlink" Target="https://www.coop.ch/content/taten-statt-worte/en/sustainability-topics/umweltschutz.html" TargetMode="External"/><Relationship Id="rId65" Type="http://schemas.openxmlformats.org/officeDocument/2006/relationships/hyperlink" Target="https://media.daimler.com/marsMediaSite/en/instance/ko/Next-Milestone-Ambition-2039-The-global-Mercedes-Benz-supply-chain-is-becoming-CO2-neutral.xhtml?oid=48369319" TargetMode="External"/><Relationship Id="rId81" Type="http://schemas.openxmlformats.org/officeDocument/2006/relationships/hyperlink" Target="https://global.honda/newsroom/news/2021/c210423eng.html" TargetMode="External"/><Relationship Id="rId86" Type="http://schemas.openxmlformats.org/officeDocument/2006/relationships/hyperlink" Target="https://www.idemitsu.com/en/company/policy/2030_Revision.pdf" TargetMode="External"/><Relationship Id="rId130" Type="http://schemas.openxmlformats.org/officeDocument/2006/relationships/hyperlink" Target="https://www.sunlife.com/en/newsroom/news-releases/announcement/sun-life-announces-new-sustainable-investing-and-climate-change-commitments/123516/" TargetMode="External"/><Relationship Id="rId135" Type="http://schemas.openxmlformats.org/officeDocument/2006/relationships/hyperlink" Target="https://www.thyssenkrupp.com/en/newsroom/press-releases/thyssenkrupp-sets-clear-targets--group-aims-to-be-climate-neutral-by-2050------30-percent-emissions-reduction-planned-for-2030-12803.html" TargetMode="External"/><Relationship Id="rId151" Type="http://schemas.openxmlformats.org/officeDocument/2006/relationships/hyperlink" Target="https://www.aisin.com/en/pdf/catalog_company_print2021.pdf" TargetMode="External"/><Relationship Id="rId156" Type="http://schemas.openxmlformats.org/officeDocument/2006/relationships/hyperlink" Target="https://www.aviva.com/newsroom/news-releases/2021/03/aviva-becomes-the-first-major-insurer-worldwide-to-target-Net-Zero-carbon-by-2040/" TargetMode="External"/><Relationship Id="rId177" Type="http://schemas.openxmlformats.org/officeDocument/2006/relationships/hyperlink" Target="https://www.colesgroup.com.au/sustainability/?page=climate-change" TargetMode="External"/><Relationship Id="rId198" Type="http://schemas.openxmlformats.org/officeDocument/2006/relationships/hyperlink" Target="https://www.globenewswire.com/news-release/2021/07/08/2259637/0/en/Bpce-BPCE-2024-an-ambitious-business-development-plan-deeply-aligned-with-the-ongoing-transformation-of-society.html" TargetMode="External"/><Relationship Id="rId172" Type="http://schemas.openxmlformats.org/officeDocument/2006/relationships/hyperlink" Target="https://www.rechargenews.com/transition/chinese-oil-giant-to-spend-1-5bn-a-year-on-clean-energy-and-reach-net-zero-by-2050/2-1-940717" TargetMode="External"/><Relationship Id="rId193" Type="http://schemas.openxmlformats.org/officeDocument/2006/relationships/hyperlink" Target="https://www.fujitsu.com/global/about/environment/climate-energy-vision/" TargetMode="External"/><Relationship Id="rId202" Type="http://schemas.openxmlformats.org/officeDocument/2006/relationships/hyperlink" Target="https://press.hp.com/us/en/press-releases/2021/hp-inc-announces-ambitious-climate-action-goals.html" TargetMode="External"/><Relationship Id="rId207" Type="http://schemas.openxmlformats.org/officeDocument/2006/relationships/hyperlink" Target="https://www.about.sainsburys.co.uk/sustainability/plan-for-better/our-stories/2020/28-01-20-climate-crisis" TargetMode="External"/><Relationship Id="rId223" Type="http://schemas.openxmlformats.org/officeDocument/2006/relationships/hyperlink" Target="https://www.morganstanley.com/ideas/climate-change-net-zero-financed-emissions" TargetMode="External"/><Relationship Id="rId228" Type="http://schemas.openxmlformats.org/officeDocument/2006/relationships/hyperlink" Target="https://www.novartis.com/our-company/corporate-responsibility/environmental-sustainability/climate" TargetMode="External"/><Relationship Id="rId244" Type="http://schemas.openxmlformats.org/officeDocument/2006/relationships/hyperlink" Target="https://www.kedglobal.com/newsView/ked202106230012" TargetMode="External"/><Relationship Id="rId249" Type="http://schemas.openxmlformats.org/officeDocument/2006/relationships/hyperlink" Target="https://www.swissre.com/media/news-releases/nr-20200220-swiss-re-takes-further-steps-towards-net-zero-emissions.html" TargetMode="External"/><Relationship Id="rId13" Type="http://schemas.openxmlformats.org/officeDocument/2006/relationships/hyperlink" Target="https://www.astrazeneca.com/content/astraz/media-centre/press-releases/2020/astrazenecas-ambition-zero-carbon-strategy-to-eliminate-emissions-by-2025-and-be-carbon-negative-across-the-entire-value-chain-by-2030-22012020.html" TargetMode="External"/><Relationship Id="rId18" Type="http://schemas.openxmlformats.org/officeDocument/2006/relationships/hyperlink" Target="https://banco.bradesco/assets/classic/pdf/sustentabilidade/Climate%20Change_Bradesco-1.pdf" TargetMode="External"/><Relationship Id="rId39" Type="http://schemas.openxmlformats.org/officeDocument/2006/relationships/hyperlink" Target="https://about.americanexpress.com/corporate-responsibility/sustainability/sustainability/default.aspx" TargetMode="External"/><Relationship Id="rId109" Type="http://schemas.openxmlformats.org/officeDocument/2006/relationships/hyperlink" Target="https://www.nipponsteel.com/en/ir/library/pdf/20210330_ZC.pdf" TargetMode="External"/><Relationship Id="rId260" Type="http://schemas.openxmlformats.org/officeDocument/2006/relationships/hyperlink" Target="https://www.tysonfoods.com/news/news-releases/2021/6/tyson-foods-targets-2050-achieve-net-zero-greenhouse-gas-emissions" TargetMode="External"/><Relationship Id="rId265" Type="http://schemas.openxmlformats.org/officeDocument/2006/relationships/hyperlink" Target="https://corporate.walmart.com/newsroom/2020/09/21/walmart-sets-goal-to-become-a-regenerative-company" TargetMode="External"/><Relationship Id="rId34" Type="http://schemas.openxmlformats.org/officeDocument/2006/relationships/hyperlink" Target="https://www.takeda.com/newsroom/newsreleases/2021/takeda-achieved-carbon-neutrality-in-2020/" TargetMode="External"/><Relationship Id="rId50" Type="http://schemas.openxmlformats.org/officeDocument/2006/relationships/hyperlink" Target="https://news.bms.com/news/corporate-financial/2020/Bristol-Myers-Squibb-Strengthens-its-Commitment-to-the-Environment-with-New-Corporate-Goals/default.aspx" TargetMode="External"/><Relationship Id="rId55" Type="http://schemas.openxmlformats.org/officeDocument/2006/relationships/hyperlink" Target="https://www.chinamobileltd.com/en/ir/reports/ar2020/sd2020.pdf" TargetMode="External"/><Relationship Id="rId76" Type="http://schemas.openxmlformats.org/officeDocument/2006/relationships/hyperlink" Target="https://www.ge.com/news/reports/ge-commits-to-carbon-neutral-2030-goal" TargetMode="External"/><Relationship Id="rId97" Type="http://schemas.openxmlformats.org/officeDocument/2006/relationships/hyperlink" Target="https://newsroom.medtronic.com/news-releases/news-release-details/medtronic-2020-integrated-performance-report-shares-goal-carbon" TargetMode="External"/><Relationship Id="rId104" Type="http://schemas.openxmlformats.org/officeDocument/2006/relationships/hyperlink" Target="https://www.mitsui.com/jp/en/sustainability/sustainabilityreport/2020/pdf/en_sustainability_2020.pdf" TargetMode="External"/><Relationship Id="rId120" Type="http://schemas.openxmlformats.org/officeDocument/2006/relationships/hyperlink" Target="https://renaultgroup.publispeak.com/climate-report-2021/article/2/" TargetMode="External"/><Relationship Id="rId125" Type="http://schemas.openxmlformats.org/officeDocument/2006/relationships/hyperlink" Target="https://www.sberbank.ru/en/press_center/all/article?newsID=3ca05ffe-b2b9-4487-8935-9028db123901&amp;blockID=1539&amp;regionID=77&amp;lang=en&amp;type=NEWS" TargetMode="External"/><Relationship Id="rId141" Type="http://schemas.openxmlformats.org/officeDocument/2006/relationships/hyperlink" Target="https://www.verizon.com/about/news/verizon-goes-carbon-neutral-2035" TargetMode="External"/><Relationship Id="rId146" Type="http://schemas.openxmlformats.org/officeDocument/2006/relationships/hyperlink" Target="https://www.zf.com/mobile/en/company/sustainability/sustainability.html" TargetMode="External"/><Relationship Id="rId167" Type="http://schemas.openxmlformats.org/officeDocument/2006/relationships/hyperlink" Target="https://www.bp.com/en/global/corporate/news-and-insights/press-releases/bernard-looney-announces-new-ambition-for-bp.html" TargetMode="External"/><Relationship Id="rId188" Type="http://schemas.openxmlformats.org/officeDocument/2006/relationships/hyperlink" Target="https://www.engieimpact.com/insights/decarbonization-energy-sector" TargetMode="External"/><Relationship Id="rId7" Type="http://schemas.openxmlformats.org/officeDocument/2006/relationships/hyperlink" Target="https://www.blog.google/outreach-initiatives/sustainability/carbon-neutrality-by-end-of-2007/" TargetMode="External"/><Relationship Id="rId71" Type="http://schemas.openxmlformats.org/officeDocument/2006/relationships/hyperlink" Target="https://www.lilly.com/impact/minimizing-our-environmental-impact" TargetMode="External"/><Relationship Id="rId92" Type="http://schemas.openxmlformats.org/officeDocument/2006/relationships/hyperlink" Target="https://www.koc.com.tr/media-center/latest-news/2021/koc-holding-low-carbon-transition-tcfd" TargetMode="External"/><Relationship Id="rId162" Type="http://schemas.openxmlformats.org/officeDocument/2006/relationships/hyperlink" Target="https://home.barclays/content/dam/home-barclays/documents/citizenship/ESG/Barclays-PLC-Climate-Change-2020.pdf" TargetMode="External"/><Relationship Id="rId183" Type="http://schemas.openxmlformats.org/officeDocument/2006/relationships/hyperlink" Target="https://www.db.com/news/detail/20210421-deutsche-bank-joins-new-net-zero-banking-alliance?language_id=1" TargetMode="External"/><Relationship Id="rId213" Type="http://schemas.openxmlformats.org/officeDocument/2006/relationships/hyperlink" Target="https://www.lloydsbankinggroup.com/assets/pdfs/who-we-are/responsible-business/downloads/lbg-esg-interactive-210223.pdf" TargetMode="External"/><Relationship Id="rId218" Type="http://schemas.openxmlformats.org/officeDocument/2006/relationships/hyperlink" Target="https://www.meijiyasuda.co.jp/english/news/pdf/20210705_01.pdf" TargetMode="External"/><Relationship Id="rId234" Type="http://schemas.openxmlformats.org/officeDocument/2006/relationships/hyperlink" Target="https://www.thephoenixgroup.com/newsroom/news/phoenix-group-set-near-term-carbon-targets-ps250bn-investments-and-call-industry-take" TargetMode="External"/><Relationship Id="rId239" Type="http://schemas.openxmlformats.org/officeDocument/2006/relationships/hyperlink" Target="https://www.roche.com/dam/jcr:906a5aef-1035-4cc2-a011-dcf0e5b9f481/en/8-global_position_greenhouse_gases_climate_change.pdf" TargetMode="External"/><Relationship Id="rId2" Type="http://schemas.openxmlformats.org/officeDocument/2006/relationships/hyperlink" Target="https://news.3m.com/2021-02-16-3M-to-Invest-1-Billion-to-Achieve-Carbon-Neutrality,-Reduce-Water-Use,-and-Improve-Water-Quality" TargetMode="External"/><Relationship Id="rId29" Type="http://schemas.openxmlformats.org/officeDocument/2006/relationships/hyperlink" Target="https://new.siemens.com/global/en/company/sustainability/carbonneutral.html" TargetMode="External"/><Relationship Id="rId250" Type="http://schemas.openxmlformats.org/officeDocument/2006/relationships/hyperlink" Target="https://esg.tsmc.com/download/csr/2020-csr-report/english/pdf/e-all.pdf" TargetMode="External"/><Relationship Id="rId255" Type="http://schemas.openxmlformats.org/officeDocument/2006/relationships/hyperlink" Target="https://www.tescoplc.com/news/2020/from-solar-farms-to-electric-delivery-fleets-tesco-takes-action-to-hit-net-zero-in-uk-by-2035/" TargetMode="External"/><Relationship Id="rId271" Type="http://schemas.openxmlformats.org/officeDocument/2006/relationships/table" Target="../tables/table2.xml"/><Relationship Id="rId24" Type="http://schemas.openxmlformats.org/officeDocument/2006/relationships/hyperlink" Target="https://www.eon.com/content/dam/eon/eon-com/Documents/en/climate-commitment/2020/climate-commitment-2020.pdf" TargetMode="External"/><Relationship Id="rId40" Type="http://schemas.openxmlformats.org/officeDocument/2006/relationships/hyperlink" Target="https://www.angloamerican.com/media/press-releases/2020/30-10-2020" TargetMode="External"/><Relationship Id="rId45" Type="http://schemas.openxmlformats.org/officeDocument/2006/relationships/hyperlink" Target="https://corporate.bestbuy.com/best-buy-signs-the-climate-pledge-accelerating-sustainability-goals/" TargetMode="External"/><Relationship Id="rId66" Type="http://schemas.openxmlformats.org/officeDocument/2006/relationships/hyperlink" Target="https://www.danone.com/impact/planet/towards-carbon-neutrality.html" TargetMode="External"/><Relationship Id="rId87" Type="http://schemas.openxmlformats.org/officeDocument/2006/relationships/hyperlink" Target="https://www.ing.com/Newsroom/News/Press-releases/PROld/ING-to-become-carbon-neutral-in-2007.htm" TargetMode="External"/><Relationship Id="rId110" Type="http://schemas.openxmlformats.org/officeDocument/2006/relationships/hyperlink" Target="https://www.nipponsteel.com/en/ir/library/pdf/20210330_ZC.pdf" TargetMode="External"/><Relationship Id="rId115" Type="http://schemas.openxmlformats.org/officeDocument/2006/relationships/hyperlink" Target="https://www.pmi.com/sustainability/climate-change" TargetMode="External"/><Relationship Id="rId131" Type="http://schemas.openxmlformats.org/officeDocument/2006/relationships/hyperlink" Target="https://www.swissre.com/dam/jcr:1bf2200b-460e-4dfe-b45e-c0a2e098e929/pr_20031030_en.pdf" TargetMode="External"/><Relationship Id="rId136" Type="http://schemas.openxmlformats.org/officeDocument/2006/relationships/hyperlink" Target="https://www.newswire.ca/news-releases/tds-global-business-operations-are-now-carbon-neutral-539358601.html" TargetMode="External"/><Relationship Id="rId157" Type="http://schemas.openxmlformats.org/officeDocument/2006/relationships/hyperlink" Target="https://www.reuters.com/article/brazil-bradesco-esg/brazils-bradesco-plans-to-decarbonize-loan-book-by-2050-idUKL2N2OI2NH" TargetMode="External"/><Relationship Id="rId178" Type="http://schemas.openxmlformats.org/officeDocument/2006/relationships/hyperlink" Target="https://pressroom.credit-agricole.com/news/climate-responsible-finance-credit-agricole-group-joins-the-net-zero-carbon-alliance-3c81-94727.html" TargetMode="External"/><Relationship Id="rId61" Type="http://schemas.openxmlformats.org/officeDocument/2006/relationships/hyperlink" Target="https://gruen.deutschebahn.com/en/strategy" TargetMode="External"/><Relationship Id="rId82" Type="http://schemas.openxmlformats.org/officeDocument/2006/relationships/hyperlink" Target="https://www.honeywell.com/us/en/press/2021/04/honeywell-commits-to-carbon-neutrality-in-its-operations-and-facilities-by-2035" TargetMode="External"/><Relationship Id="rId152" Type="http://schemas.openxmlformats.org/officeDocument/2006/relationships/hyperlink" Target="https://www.allianz.com/en/press/news/commitment/environment/210712_Allianz-joins-newly-formed-Net-Zero-Insurance-Alliance.html" TargetMode="External"/><Relationship Id="rId173" Type="http://schemas.openxmlformats.org/officeDocument/2006/relationships/hyperlink" Target="https://www.chuden.co.jp/english/corporate/releases/pressreleases/1206307_5163.html" TargetMode="External"/><Relationship Id="rId194" Type="http://schemas.openxmlformats.org/officeDocument/2006/relationships/hyperlink" Target="https://www.asyousow.org/press-releases/2021/7/15/general-electric-net-zero-by-2050-target" TargetMode="External"/><Relationship Id="rId199" Type="http://schemas.openxmlformats.org/officeDocument/2006/relationships/hyperlink" Target="https://assets.ext.hpe.com/is/content/hpedam/documents/a50001000-1999/a50001298/a50001298enw.pdf" TargetMode="External"/><Relationship Id="rId203" Type="http://schemas.openxmlformats.org/officeDocument/2006/relationships/hyperlink" Target="https://www.hsbc.com/news-and-media/hsbc-news/our-net-zero-ambition-a-letter-to-customers" TargetMode="External"/><Relationship Id="rId208" Type="http://schemas.openxmlformats.org/officeDocument/2006/relationships/hyperlink" Target="https://www.jbs.com.br/netzero/en/" TargetMode="External"/><Relationship Id="rId229" Type="http://schemas.openxmlformats.org/officeDocument/2006/relationships/hyperlink" Target="https://www.orange.com/en/net-zero-carbon-vs-carbon-neutral-whats-difference" TargetMode="External"/><Relationship Id="rId19" Type="http://schemas.openxmlformats.org/officeDocument/2006/relationships/hyperlink" Target="https://api.mziq.com/mzfilemanager/v2/d/5760dff3-15e1-4962-9e81-322a0b3d0bbd/e2adbb31-32bf-8188-be3f-28424d7877f0?origin=2" TargetMode="External"/><Relationship Id="rId224" Type="http://schemas.openxmlformats.org/officeDocument/2006/relationships/hyperlink" Target="https://www.ms-ad-hd.com/en/news/news_topics/news_topics-20210520_en/main/0/link/20210520_msad_netzero_en.pdf" TargetMode="External"/><Relationship Id="rId240" Type="http://schemas.openxmlformats.org/officeDocument/2006/relationships/hyperlink" Target="https://www.shell.com/media/news-and-media-releases/2021/shell-accelerates-drive-for-net-zero-emissions-with-customer-first-strategy.html" TargetMode="External"/><Relationship Id="rId245" Type="http://schemas.openxmlformats.org/officeDocument/2006/relationships/hyperlink" Target="https://www.sompo-hd.com/en/csr/materiality/topic2/" TargetMode="External"/><Relationship Id="rId261" Type="http://schemas.openxmlformats.org/officeDocument/2006/relationships/hyperlink" Target="https://www.ubs.com/global/en/ubs-society/our-stories/2021/our-quest-for-zero.html" TargetMode="External"/><Relationship Id="rId266" Type="http://schemas.openxmlformats.org/officeDocument/2006/relationships/hyperlink" Target="https://thewaltdisneycompany.com/app/uploads/2020/12/disneyenvironmentwhitepaper.pdf" TargetMode="External"/><Relationship Id="rId14" Type="http://schemas.openxmlformats.org/officeDocument/2006/relationships/hyperlink" Target="https://about.att.com/story/2020/att_carbon_neutral.html%20https:/about.att.com/csr/home/environment/carbon-neutral.html" TargetMode="External"/><Relationship Id="rId30" Type="http://schemas.openxmlformats.org/officeDocument/2006/relationships/hyperlink" Target="https://www.softbank.jp/en/corp/sustainability/special/carbon-neutral2030/" TargetMode="External"/><Relationship Id="rId35" Type="http://schemas.openxmlformats.org/officeDocument/2006/relationships/hyperlink" Target="https://www.talanx.com/en/newsroom/press_articles/talanx_sustainability_report_2020/?t=1629845759071" TargetMode="External"/><Relationship Id="rId56" Type="http://schemas.openxmlformats.org/officeDocument/2006/relationships/hyperlink" Target="https://www.cigna.com/about-us/corporate-responsibility/report/environment/sustainability-performance-plan" TargetMode="External"/><Relationship Id="rId77" Type="http://schemas.openxmlformats.org/officeDocument/2006/relationships/hyperlink" Target="https://media.gm.com/media/us/en/gm/home.detail.html/content/Pages/news/us/en/2021/jan/0128-carbon.html" TargetMode="External"/><Relationship Id="rId100" Type="http://schemas.openxmlformats.org/officeDocument/2006/relationships/hyperlink" Target="https://blogs.microsoft.com/blog/2012/05/08/making-carbon-neutrality-everyones-responsibility-at-microsoft/" TargetMode="External"/><Relationship Id="rId105" Type="http://schemas.openxmlformats.org/officeDocument/2006/relationships/hyperlink" Target="https://www.morganstanley.com/pub/content/dam/msdotcom/sustainability/Morgan-Stanley_2020-Sustainability-Report_Final.pdf" TargetMode="External"/><Relationship Id="rId126" Type="http://schemas.openxmlformats.org/officeDocument/2006/relationships/hyperlink" Target="https://www.se.com/ww/en/about-us/newsroom/news/press-releases/schneider-electric-gears-up-for-climate-week-nyc-by-launching-an-inspiring-new-program-for-un-sdgs-and-reinforcing-accelerating-its-commitments-for-a-carbon-neutral-world-sdg13-5f64b6c639d17f46594937ae" TargetMode="External"/><Relationship Id="rId147" Type="http://schemas.openxmlformats.org/officeDocument/2006/relationships/hyperlink" Target="https://www.zurich.com/en/sustainability/environment/our-climate-commitment/carbon-neutral" TargetMode="External"/><Relationship Id="rId168" Type="http://schemas.openxmlformats.org/officeDocument/2006/relationships/hyperlink" Target="https://www.brookfield.com/sites/default/files/2021-06/2020_ESG_Report.pdf%20https:/www.brookfield.com/responsibility" TargetMode="External"/><Relationship Id="rId8" Type="http://schemas.openxmlformats.org/officeDocument/2006/relationships/hyperlink" Target="https://s22.q4cdn.com/604986553/files/doc_downloads/2021/05/2020-Sustainability-Report.pdf" TargetMode="External"/><Relationship Id="rId51" Type="http://schemas.openxmlformats.org/officeDocument/2006/relationships/hyperlink" Target="https://www.bat.com/group/sites/UK__9D9KCY.nsf/vwPagesWebLive/DOBMZH6K" TargetMode="External"/><Relationship Id="rId72" Type="http://schemas.openxmlformats.org/officeDocument/2006/relationships/hyperlink" Target="https://www.equinor.com/en/news/2020-02-06-climate-roadmap.html" TargetMode="External"/><Relationship Id="rId93" Type="http://schemas.openxmlformats.org/officeDocument/2006/relationships/hyperlink" Target="https://www.loreal-finance.com/en/annual-report-2019/responsibility-1-4-0/how-do-we-achieve-carbon-neutrality-1-4-3/" TargetMode="External"/><Relationship Id="rId98" Type="http://schemas.openxmlformats.org/officeDocument/2006/relationships/hyperlink" Target="https://www.merck.com/news/merck-accelerates-climate-goals-announces-carbon-neutrality-in-operations-by-2025/" TargetMode="External"/><Relationship Id="rId121" Type="http://schemas.openxmlformats.org/officeDocument/2006/relationships/hyperlink" Target="https://www.rbc.com/community-social-impact/environment/environmental-footprint.html" TargetMode="External"/><Relationship Id="rId142" Type="http://schemas.openxmlformats.org/officeDocument/2006/relationships/hyperlink" Target="https://www.volkswagenag.com/presence/nachhaltigkeit/documents/sustainability-report/2020/Nonfinancial_Report_2020_e.pdf" TargetMode="External"/><Relationship Id="rId163" Type="http://schemas.openxmlformats.org/officeDocument/2006/relationships/hyperlink" Target="https://www.bayer.com/en/sustainability/climate-protection" TargetMode="External"/><Relationship Id="rId184" Type="http://schemas.openxmlformats.org/officeDocument/2006/relationships/hyperlink" Target="https://www.dhl.com/content/dam/dhl/global/core/documents/pdf/dhl-partnerships-gogreen-2017.pdf" TargetMode="External"/><Relationship Id="rId189" Type="http://schemas.openxmlformats.org/officeDocument/2006/relationships/hyperlink" Target="https://www.eni.com/assets/documents/eng/just-transition/2020/Eni-for-2020-Carbon-neutrality-by-2050.pdf" TargetMode="External"/><Relationship Id="rId219" Type="http://schemas.openxmlformats.org/officeDocument/2006/relationships/hyperlink" Target="https://blogs.microsoft.com/blog/2020/01/16/microsoft-will-be-carbon-negative-by-2030/" TargetMode="External"/><Relationship Id="rId3" Type="http://schemas.openxmlformats.org/officeDocument/2006/relationships/hyperlink" Target="https://new.abb.com/news/detail/75543/abb-publishes-sustainability-report-2020" TargetMode="External"/><Relationship Id="rId214" Type="http://schemas.openxmlformats.org/officeDocument/2006/relationships/hyperlink" Target="https://www.loreal-finance.com/eng/news-events/loreal-recognized-global-compact-lead-united-nations-and-steps-its-climate-action" TargetMode="External"/><Relationship Id="rId230" Type="http://schemas.openxmlformats.org/officeDocument/2006/relationships/hyperlink" Target="https://www.panasonic.com/global/corporate/ir/pdf/annual/2020/pana_ar2020e.pdf" TargetMode="External"/><Relationship Id="rId235" Type="http://schemas.openxmlformats.org/officeDocument/2006/relationships/hyperlink" Target="https://www.posteitaliane.it/en/press-releases/posteitaliane2024-1476534599743.html" TargetMode="External"/><Relationship Id="rId251" Type="http://schemas.openxmlformats.org/officeDocument/2006/relationships/hyperlink" Target="https://www.takeda.com/corporate-responsibility/environment/commitment-to-carbon-neutrality-at-takeda/" TargetMode="External"/><Relationship Id="rId256" Type="http://schemas.openxmlformats.org/officeDocument/2006/relationships/hyperlink" Target="https://thermofisher.mediaroom.com/2021-07-27-Thermo-Fisher-Scientific-Commits-to-Achieve-Net-Zero-Carbon-Emissions-by-2050" TargetMode="External"/><Relationship Id="rId25" Type="http://schemas.openxmlformats.org/officeDocument/2006/relationships/hyperlink" Target="https://www.vivendi.com/en/our-group/environmental-societal-social-commitments/our-environmental-commitments/" TargetMode="External"/><Relationship Id="rId46" Type="http://schemas.openxmlformats.org/officeDocument/2006/relationships/hyperlink" Target="https://www.bmwgroup.com/content/dam/grpw/websites/bmwgroup_com/ir/downloads/en/2021/bericht/BMW-Group-Bericht-2020-EN.pdf" TargetMode="External"/><Relationship Id="rId67" Type="http://schemas.openxmlformats.org/officeDocument/2006/relationships/hyperlink" Target="https://www.telekom.com/en/media/media-information/archive/deutsche-telekom-tightens-its-climate-targets-623582" TargetMode="External"/><Relationship Id="rId116" Type="http://schemas.openxmlformats.org/officeDocument/2006/relationships/hyperlink" Target="https://www.thephoenixgroup.com/newsroom/news/phoenixs-net-zero-commitment-customers-clients-and-advisers" TargetMode="External"/><Relationship Id="rId137" Type="http://schemas.openxmlformats.org/officeDocument/2006/relationships/hyperlink" Target="https://www.toyota-tsusho.com/english/press/detail/210708_004862.html" TargetMode="External"/><Relationship Id="rId158" Type="http://schemas.openxmlformats.org/officeDocument/2006/relationships/hyperlink" Target="https://www.axa.ch/en/about-axa/our-responsibility/core-business/investing-sustainably/net-zero-emissions.html" TargetMode="External"/><Relationship Id="rId20" Type="http://schemas.openxmlformats.org/officeDocument/2006/relationships/hyperlink" Target="https://www.santander.com/content/dam/santander-com/en/documentos/notas-de-prensa/2019/12/np-2019-12-11-santander-se-compromete-a-ser-neutro-en-carbono-en-2020-en.pdf" TargetMode="External"/><Relationship Id="rId41" Type="http://schemas.openxmlformats.org/officeDocument/2006/relationships/hyperlink" Target="https://about.bankofamerica.com/content/dam/about/report-center/esg/2016/BRO-02-17-0321_ADA.pdf" TargetMode="External"/><Relationship Id="rId62" Type="http://schemas.openxmlformats.org/officeDocument/2006/relationships/hyperlink" Target="https://www.denso.com/global/en/news/newsroom/2021/20210202-g02/" TargetMode="External"/><Relationship Id="rId83" Type="http://schemas.openxmlformats.org/officeDocument/2006/relationships/hyperlink" Target="https://press.hp.com/us/en/press-releases/2021/hp-inc-announces-ambitious-climate-action-goals.html" TargetMode="External"/><Relationship Id="rId88" Type="http://schemas.openxmlformats.org/officeDocument/2006/relationships/hyperlink" Target="http://csrreportbuilder.intel.com/pdfbuilder/pdfs/CSR-2020-21-Full-Report.pdf" TargetMode="External"/><Relationship Id="rId111" Type="http://schemas.openxmlformats.org/officeDocument/2006/relationships/hyperlink" Target="https://www.bloomberg.com/news/articles/2021-01-30/nippon-life-to-make-portfolio-carbon-neutral-kyodo-says" TargetMode="External"/><Relationship Id="rId132" Type="http://schemas.openxmlformats.org/officeDocument/2006/relationships/hyperlink" Target="https://www.reuters.com/article/us-sinopec-carbon/sinopec-aims-for-carbon-neutrality-by-2050-plans-pivot-to-hydrogen-idUSKBN2BL079" TargetMode="External"/><Relationship Id="rId153" Type="http://schemas.openxmlformats.org/officeDocument/2006/relationships/hyperlink" Target="https://sustainability.aboutamazon.com/" TargetMode="External"/><Relationship Id="rId174" Type="http://schemas.openxmlformats.org/officeDocument/2006/relationships/hyperlink" Target="https://blog.citigroup.com/2021/03/citis-commitment-to-net-zero-by-2050/" TargetMode="External"/><Relationship Id="rId179" Type="http://schemas.openxmlformats.org/officeDocument/2006/relationships/hyperlink" Target="https://www.credit-suisse.com/about-us/en/our-company/corporate-responsibility/environment/climate-protection.html" TargetMode="External"/><Relationship Id="rId195" Type="http://schemas.openxmlformats.org/officeDocument/2006/relationships/hyperlink" Target="https://www.gsk.com/media/6662/annual-report-2020.pdf" TargetMode="External"/><Relationship Id="rId209" Type="http://schemas.openxmlformats.org/officeDocument/2006/relationships/hyperlink" Target="https://www.jnj.com/environmental-sustainability/climate-and-energy-action" TargetMode="External"/><Relationship Id="rId190" Type="http://schemas.openxmlformats.org/officeDocument/2006/relationships/hyperlink" Target="https://www.equinor.com/en/news/20201102-emissions.html" TargetMode="External"/><Relationship Id="rId204" Type="http://schemas.openxmlformats.org/officeDocument/2006/relationships/hyperlink" Target="https://about.ikea.com/en/sustainability/becoming-climate-positive/what-is-climate-positive" TargetMode="External"/><Relationship Id="rId220" Type="http://schemas.openxmlformats.org/officeDocument/2006/relationships/hyperlink" Target="https://www.mitsubishielectric.com/en/sustainability/environment/ev2050/index.page" TargetMode="External"/><Relationship Id="rId225" Type="http://schemas.openxmlformats.org/officeDocument/2006/relationships/hyperlink" Target="https://www.munichre.com/content/dam/munichre/contentlounge/website-pieces/documents/CR-Report-2020.pdf/_jcr_content/renditions/original./CR-Report-2020.pdf" TargetMode="External"/><Relationship Id="rId241" Type="http://schemas.openxmlformats.org/officeDocument/2006/relationships/hyperlink" Target="https://www.7andi.com/en/sustainability/policy/environment_03.html" TargetMode="External"/><Relationship Id="rId246" Type="http://schemas.openxmlformats.org/officeDocument/2006/relationships/hyperlink" Target="https://www.sony.com/en/SonyInfo/csr/library/reports/SustainabilityReport2021_E.pdf" TargetMode="External"/><Relationship Id="rId267" Type="http://schemas.openxmlformats.org/officeDocument/2006/relationships/hyperlink" Target="https://newsroom.wf.com/English/news-releases/news-release-details/2021/Wells-Fargo-Sets-Goal-to-Achieve-Net-Zero-Greenhouse-Gas-Emissions-by-2050/default.aspx" TargetMode="External"/><Relationship Id="rId15" Type="http://schemas.openxmlformats.org/officeDocument/2006/relationships/hyperlink" Target="https://www.aviva.com/newsroom/news-releases/2006/12/aviva-to-be-the-first-insurer-to-carbon-neutralise-its-operations-worldwide-2954/" TargetMode="External"/><Relationship Id="rId36" Type="http://schemas.openxmlformats.org/officeDocument/2006/relationships/hyperlink" Target="https://chinadialogue.net/en/business/how-will-chinas-internet-giants-become-carbon-neutral/" TargetMode="External"/><Relationship Id="rId57" Type="http://schemas.openxmlformats.org/officeDocument/2006/relationships/hyperlink" Target="https://min.news/en/economy/27f4ba9bd87ef879494949440bb8bddb.html" TargetMode="External"/><Relationship Id="rId106" Type="http://schemas.openxmlformats.org/officeDocument/2006/relationships/hyperlink" Target="https://www.nec.com/en/press/202106/global_20210611_01.html" TargetMode="External"/><Relationship Id="rId127" Type="http://schemas.openxmlformats.org/officeDocument/2006/relationships/hyperlink" Target="https://press.siemens-energy.com/global/en/pressrelease/science-based-targets-initiative-sbti-confirms-siemens-energys-co2-reduction-targets" TargetMode="External"/><Relationship Id="rId262" Type="http://schemas.openxmlformats.org/officeDocument/2006/relationships/hyperlink" Target="https://www.unilever.com/planet-and-society/climate-action/strategy-and-goals/" TargetMode="External"/><Relationship Id="rId10" Type="http://schemas.openxmlformats.org/officeDocument/2006/relationships/hyperlink" Target="https://www.apple.com/newsroom/2020/07/apple-commits-to-be-100-percent-carbon-neutral-for-its-supply-chain-and-products-by-2030/" TargetMode="External"/><Relationship Id="rId31" Type="http://schemas.openxmlformats.org/officeDocument/2006/relationships/hyperlink" Target="https://www.subaru.co.jp/press/news-en/2020_04_13_8613/" TargetMode="External"/><Relationship Id="rId52" Type="http://schemas.openxmlformats.org/officeDocument/2006/relationships/hyperlink" Target="https://corporate.charter.com/sites/default/files/2021-07/Charter-2020-ESG-ReportFull.pdf" TargetMode="External"/><Relationship Id="rId73" Type="http://schemas.openxmlformats.org/officeDocument/2006/relationships/hyperlink" Target="https://www.ericsson.com/en/about-us/sustainability-and-corporate-responsibility/responsible-business/responsible-sourcing/environment/supply-chain-climate-action" TargetMode="External"/><Relationship Id="rId78" Type="http://schemas.openxmlformats.org/officeDocument/2006/relationships/hyperlink" Target="https://www.goldmansachs.com/our-commitments/sustainability/sustainable-finance/documents/reports/2020-sustainability-report.pdf?source=website" TargetMode="External"/><Relationship Id="rId94" Type="http://schemas.openxmlformats.org/officeDocument/2006/relationships/hyperlink" Target="https://www.lg.com/us/solar/solar/files/news/5.20.19_LG_Carbon_Neutral_2030_Release_FINAL.pdf" TargetMode="External"/><Relationship Id="rId99" Type="http://schemas.openxmlformats.org/officeDocument/2006/relationships/hyperlink" Target="https://www.metroag.de/en/news/2021/07/05/metro-aims-to-be-climate-neutral-by-2040" TargetMode="External"/><Relationship Id="rId101" Type="http://schemas.openxmlformats.org/officeDocument/2006/relationships/hyperlink" Target="https://noticias.mapfre.com/en/mapfre-supporting-climate-change-conference-madrid/" TargetMode="External"/><Relationship Id="rId122" Type="http://schemas.openxmlformats.org/officeDocument/2006/relationships/hyperlink" Target="https://www.sanofi.com/-/media/Project/One-Sanofi-Web/Websites/Global/Sanofi-COM/Home/common/docs/our-responsibility/SANOFI_Infog_EN_170321.pdf?la=en&amp;hash=1D54A0EF40114978EDC4075F1426FFEE" TargetMode="External"/><Relationship Id="rId143" Type="http://schemas.openxmlformats.org/officeDocument/2006/relationships/hyperlink" Target="https://www.media.volvocars.com/global/en-gb/media/pressreleases/259147/volvo-cars-to-radically-reduce-carbon-emissions-as-part-of-new-ambitious-climate-plan" TargetMode="External"/><Relationship Id="rId148" Type="http://schemas.openxmlformats.org/officeDocument/2006/relationships/hyperlink" Target="https://www.itochu.co.jp/en/csr/environment/climate_change/index.html" TargetMode="External"/><Relationship Id="rId164" Type="http://schemas.openxmlformats.org/officeDocument/2006/relationships/hyperlink" Target="https://www.bhp.com/news/media-centre/releases/2020/09/bhp-climate-change-briefing" TargetMode="External"/><Relationship Id="rId169" Type="http://schemas.openxmlformats.org/officeDocument/2006/relationships/hyperlink" Target="https://www.bt.com/about/annual-reports/2021summary/assets/documents/bt-annual-report.pdf" TargetMode="External"/><Relationship Id="rId185" Type="http://schemas.openxmlformats.org/officeDocument/2006/relationships/hyperlink" Target="https://www.telekom.com/en/media/media-information/archive/deutsche-telekom-tightens-its-climate-targets-623582" TargetMode="External"/><Relationship Id="rId4" Type="http://schemas.openxmlformats.org/officeDocument/2006/relationships/hyperlink" Target="https://www.aegon.com/newsroom/news/2017/carbon-neutral/" TargetMode="External"/><Relationship Id="rId9" Type="http://schemas.openxmlformats.org/officeDocument/2006/relationships/hyperlink" Target="https://www.amgen.com/responsibility/environmental-sustainability/performance/targets" TargetMode="External"/><Relationship Id="rId180" Type="http://schemas.openxmlformats.org/officeDocument/2006/relationships/hyperlink" Target="https://www.daiwahouse.com/English/sustainable/eco/vision/" TargetMode="External"/><Relationship Id="rId210" Type="http://schemas.openxmlformats.org/officeDocument/2006/relationships/hyperlink" Target="https://m.kbfg.com/Eng/esg/approach/approach01.htm" TargetMode="External"/><Relationship Id="rId215" Type="http://schemas.openxmlformats.org/officeDocument/2006/relationships/hyperlink" Target="https://www.maersk.com/news/articles/2019/06/26/towards-a-zero-carbon-future" TargetMode="External"/><Relationship Id="rId236" Type="http://schemas.openxmlformats.org/officeDocument/2006/relationships/hyperlink" Target="https://www.ril.com/ar2020-21/natural-capital.html" TargetMode="External"/><Relationship Id="rId257" Type="http://schemas.openxmlformats.org/officeDocument/2006/relationships/hyperlink" Target="https://www.japantimes.co.jp/news/2020/12/16/business/corporate-business/tepco-emissions-to-net-zero-2050/" TargetMode="External"/><Relationship Id="rId26" Type="http://schemas.openxmlformats.org/officeDocument/2006/relationships/hyperlink" Target="https://www.fortum.com/files/fortum-sustainability-2020/download" TargetMode="External"/><Relationship Id="rId231" Type="http://schemas.openxmlformats.org/officeDocument/2006/relationships/hyperlink" Target="https://www.pepsico.com/news/press-release/pepsico-doubles-down-on-climate-goal-and-pledges-net-zero-emissions-by-204001142021" TargetMode="External"/><Relationship Id="rId252" Type="http://schemas.openxmlformats.org/officeDocument/2006/relationships/hyperlink" Target="https://corporate.target.com/press/releases/2021/06/target-forward" TargetMode="External"/><Relationship Id="rId47" Type="http://schemas.openxmlformats.org/officeDocument/2006/relationships/hyperlink" Target="https://group.bnpparibas/en/news/closer-carbon-neutrality-bnp-paribas" TargetMode="External"/><Relationship Id="rId68" Type="http://schemas.openxmlformats.org/officeDocument/2006/relationships/hyperlink" Target="https://www.db.com/newsroom_news/archive/medien/climate-protection-deutsche-bank-set-to-neutralize-its-carbon-footprint-by-2012-en-11448.htm" TargetMode="External"/><Relationship Id="rId89" Type="http://schemas.openxmlformats.org/officeDocument/2006/relationships/hyperlink" Target="https://www.jfe-holdings.co.jp/en/csr/environment/climate/" TargetMode="External"/><Relationship Id="rId112" Type="http://schemas.openxmlformats.org/officeDocument/2006/relationships/hyperlink" Target="https://www.novartis.com/our-company/corporate-responsibility/environmental-sustainability/climate" TargetMode="External"/><Relationship Id="rId133" Type="http://schemas.openxmlformats.org/officeDocument/2006/relationships/hyperlink" Target="https://economictimes.indiatimes.com/industry/banking/finance/banking/sbi-announces-steps-to-go-carbon-neutral-by-2030/articleshow/65855255.cms?from=mdr" TargetMode="External"/><Relationship Id="rId154" Type="http://schemas.openxmlformats.org/officeDocument/2006/relationships/hyperlink" Target="https://www.apple.com/uk/newsroom/2020/07/apple-commits-to-be-100-percent-carbon-neutral-for-its-supply-chain-and-products-by-2030/" TargetMode="External"/><Relationship Id="rId175" Type="http://schemas.openxmlformats.org/officeDocument/2006/relationships/hyperlink" Target="https://www.ckh.com.hk/en/esg/env_emissions_management.php" TargetMode="External"/><Relationship Id="rId196" Type="http://schemas.openxmlformats.org/officeDocument/2006/relationships/hyperlink" Target="https://www.glencore.com/media-and-insights/news/Climate-Report-2020--Pathway-to-Net-Zero" TargetMode="External"/><Relationship Id="rId200" Type="http://schemas.openxmlformats.org/officeDocument/2006/relationships/hyperlink" Target="https://www.holcim.com/sites/holcim/files/atoms/files/210920_sustainability_lafargeholcim-sbti-net-zero-pledge_en.pdf" TargetMode="External"/><Relationship Id="rId16" Type="http://schemas.openxmlformats.org/officeDocument/2006/relationships/hyperlink" Target="https://www.axa.com/en/about-us/environmental-footprint-management" TargetMode="External"/><Relationship Id="rId221" Type="http://schemas.openxmlformats.org/officeDocument/2006/relationships/hyperlink" Target="https://www.mufg.jp/dam/pressrelease/2021/pdf/news-20210517-003_en.pdf" TargetMode="External"/><Relationship Id="rId242" Type="http://schemas.openxmlformats.org/officeDocument/2006/relationships/hyperlink" Target="http://www.rbc.com/community-sustainability/_assets-custom/pdf/RBC-Climate-Blueprint.pdf" TargetMode="External"/><Relationship Id="rId263" Type="http://schemas.openxmlformats.org/officeDocument/2006/relationships/hyperlink" Target="https://www.vodafone.com/news/press-release/vodafone-commits-to-net-zero-carbon-emissions-by-2040" TargetMode="External"/><Relationship Id="rId37" Type="http://schemas.openxmlformats.org/officeDocument/2006/relationships/hyperlink" Target="https://www.tokiomarinehd.com/en/release_topics/release/k82ffv000000a0si-att/20210528_climate_change_initiatives_e.pdf" TargetMode="External"/><Relationship Id="rId58" Type="http://schemas.openxmlformats.org/officeDocument/2006/relationships/hyperlink" Target="https://www.citigroup.com/citi/about/citizenship/operations-supply-chain.html" TargetMode="External"/><Relationship Id="rId79" Type="http://schemas.openxmlformats.org/officeDocument/2006/relationships/hyperlink" Target="https://www.reuters.com/article/us-china-steel-hbis-emissions/chinese-steelmaker-hbis-aims-to-reach-carbon-emissions-peak-in-2022-idUSKBN2B4200" TargetMode="External"/><Relationship Id="rId102" Type="http://schemas.openxmlformats.org/officeDocument/2006/relationships/hyperlink" Target="https://www.metlife.com/about-us/newsroom/2015/november/metlife-is-first-u-s--insurer-to-adopt-carbon-neutrality/" TargetMode="External"/><Relationship Id="rId123" Type="http://schemas.openxmlformats.org/officeDocument/2006/relationships/hyperlink" Target="https://news.sap.com/2021/03/sap-carbon-neutrality-goal-2023/" TargetMode="External"/><Relationship Id="rId144" Type="http://schemas.openxmlformats.org/officeDocument/2006/relationships/hyperlink" Target="https://newsroom.wf.com/English/news-releases/news-release-details/2021/Wells-Fargo-Sets-Goal-to-Achieve-Net-Zero-Greenhouse-Gas-Emissions-by-2050/default.aspx" TargetMode="External"/><Relationship Id="rId90" Type="http://schemas.openxmlformats.org/officeDocument/2006/relationships/hyperlink" Target="https://www.jnj.com/environmental-sustainability/climate-and-energy-action" TargetMode="External"/><Relationship Id="rId165" Type="http://schemas.openxmlformats.org/officeDocument/2006/relationships/hyperlink" Target="https://group.bnpparibas/en/press-release/bnp-paribas-joins-net-zero-banking-alliance-launched-unep" TargetMode="External"/><Relationship Id="rId186" Type="http://schemas.openxmlformats.org/officeDocument/2006/relationships/hyperlink" Target="https://www.enbridge.com/~/media/Enb/Documents/About%20Us/Net_Zero_by_2050.pdf?la=en" TargetMode="External"/><Relationship Id="rId211" Type="http://schemas.openxmlformats.org/officeDocument/2006/relationships/hyperlink" Target="https://www.kddi.com/extlib/files/english/corporate/csr/csr_report/2020/pdf/report2020_en-interactive.pdf" TargetMode="External"/><Relationship Id="rId232" Type="http://schemas.openxmlformats.org/officeDocument/2006/relationships/hyperlink" Target="https://www.petronas.com/media/press-release/petronas-sets-net-zero-carbon-emissions-target-2050" TargetMode="External"/><Relationship Id="rId253" Type="http://schemas.openxmlformats.org/officeDocument/2006/relationships/hyperlink" Target="https://www.jaguarlandrover.com/environment" TargetMode="External"/><Relationship Id="rId27" Type="http://schemas.openxmlformats.org/officeDocument/2006/relationships/hyperlink" Target="https://www.japanpost.jp/en/ir/news/jpn/pdf/20210514_01.pdf" TargetMode="External"/><Relationship Id="rId48" Type="http://schemas.openxmlformats.org/officeDocument/2006/relationships/hyperlink" Target="https://www.bosch.com/sustainability/environment/" TargetMode="External"/><Relationship Id="rId69" Type="http://schemas.openxmlformats.org/officeDocument/2006/relationships/hyperlink" Target="https://investors.dow.com/en/news/news-details/2020/Dow-sets-targets-to-reduce-GHG-emissions-stop-plastic-waste-and-drive-toward-a-circular-economy/default.aspx" TargetMode="External"/><Relationship Id="rId113" Type="http://schemas.openxmlformats.org/officeDocument/2006/relationships/hyperlink" Target="https://www.ongcindia.com/wps/wcm/connect/cebab774-f108-4e87-95ae-97e4b537ddea/ongc_cnbrr.pdf?MOD=AJPERES&amp;CVID=l1xUf.s" TargetMode="External"/><Relationship Id="rId134" Type="http://schemas.openxmlformats.org/officeDocument/2006/relationships/hyperlink" Target="http://www.sgcc.com.cn/html/sgcc_main/col2017021449/2021-03/01/20210301152244682318653_1.shtml" TargetMode="External"/><Relationship Id="rId80" Type="http://schemas.openxmlformats.org/officeDocument/2006/relationships/hyperlink" Target="https://www.hitachi.com/sustainability/download/pdf/en_sustainability2020_17.pdf" TargetMode="External"/><Relationship Id="rId155" Type="http://schemas.openxmlformats.org/officeDocument/2006/relationships/hyperlink" Target="https://www.generali.com/our-responsibilities/our-commitment-to-the-environment-and-climate/investing-for-the-climate" TargetMode="External"/><Relationship Id="rId176" Type="http://schemas.openxmlformats.org/officeDocument/2006/relationships/hyperlink" Target="https://www.cocacolaep.com/media/news/2020/net-zero-ceo-comment-damian-gammell/" TargetMode="External"/><Relationship Id="rId197" Type="http://schemas.openxmlformats.org/officeDocument/2006/relationships/hyperlink" Target="https://www.goldmansachs.com/media-relations/press-releases/2021/announcement-04-mar-2021.html" TargetMode="External"/><Relationship Id="rId201" Type="http://schemas.openxmlformats.org/officeDocument/2006/relationships/hyperlink" Target="https://www.esgtoday.com/foxconn-pledges-to-reach-net-zero-ghg-emissions-by-2050/" TargetMode="External"/><Relationship Id="rId222" Type="http://schemas.openxmlformats.org/officeDocument/2006/relationships/hyperlink" Target="https://www.mitsui.com/jp/en/sustainability/sustainabilityreport/2020/pdf/en_sustainability_2020.pdf" TargetMode="External"/><Relationship Id="rId243" Type="http://schemas.openxmlformats.org/officeDocument/2006/relationships/hyperlink" Target="https://www.aholddelhaize.com/sustainability/our-position-on-societal-and-environmental-topics/climate-change/" TargetMode="External"/><Relationship Id="rId264" Type="http://schemas.openxmlformats.org/officeDocument/2006/relationships/hyperlink" Target="https://www.volvoce.com/global/en/news-and-events/press-releases/2021/volvo-ce-commits-to-science-based-targets-with-approved-carbon-reduction-pathway/" TargetMode="External"/><Relationship Id="rId17" Type="http://schemas.openxmlformats.org/officeDocument/2006/relationships/hyperlink" Target="https://www.bbva.com/en/sustainability/bbva-meets-goal-to-become-carbon-neutral-in-2020/" TargetMode="External"/><Relationship Id="rId38" Type="http://schemas.openxmlformats.org/officeDocument/2006/relationships/hyperlink" Target="http://www.vale.com/brasil/EN/sustainability/Pages/carbonneutral.aspx" TargetMode="External"/><Relationship Id="rId59" Type="http://schemas.openxmlformats.org/officeDocument/2006/relationships/hyperlink" Target="https://corporate.comcast.com/stories/carbon-neutral-by-2035" TargetMode="External"/><Relationship Id="rId103" Type="http://schemas.openxmlformats.org/officeDocument/2006/relationships/hyperlink" Target="https://www.mufg.jp/dam/pressrelease/2021/pdf/news-20210517-003_en.pdf" TargetMode="External"/><Relationship Id="rId124" Type="http://schemas.openxmlformats.org/officeDocument/2006/relationships/hyperlink" Target="https://www.saint-gobain.com/sites/saint-gobain.com/files/20201112_roadmap_net_zero_carbon_va.pdf" TargetMode="External"/><Relationship Id="rId70" Type="http://schemas.openxmlformats.org/officeDocument/2006/relationships/hyperlink" Target="https://www.edf.fr/en/the-edf-group/our-raison-d-etre" TargetMode="External"/><Relationship Id="rId91" Type="http://schemas.openxmlformats.org/officeDocument/2006/relationships/hyperlink" Target="https://www.jpmorganchase.com/ir/news/2020/adopts-paris-aligned-financing-commitment" TargetMode="External"/><Relationship Id="rId145" Type="http://schemas.openxmlformats.org/officeDocument/2006/relationships/hyperlink" Target="https://www.x5.ru/en/Pages/Media/News/021220.aspx" TargetMode="External"/><Relationship Id="rId166" Type="http://schemas.openxmlformats.org/officeDocument/2006/relationships/hyperlink" Target="https://www.boeing.com/features/2020/12/boeing-reaches-net-zero-carbon-emissions-from-manufacturing-and-worksites.page" TargetMode="External"/><Relationship Id="rId187" Type="http://schemas.openxmlformats.org/officeDocument/2006/relationships/hyperlink" Target="https://www.enel.com/content/dam/enel-com/documenti/investitori/sostenibilita/2020/net-zero-ambition-2020_en.pdf" TargetMode="External"/><Relationship Id="rId1" Type="http://schemas.openxmlformats.org/officeDocument/2006/relationships/hyperlink" Target="https://news.achmea.nl/achmea-to-be-fully-climate-neutral-in-2030/" TargetMode="External"/><Relationship Id="rId212" Type="http://schemas.openxmlformats.org/officeDocument/2006/relationships/hyperlink" Target="https://www.lgim.com/landg-assets/lgim/_document-library/responsible-investing/climate-impact-pledge-brochure-uk-eu-2021.pdf" TargetMode="External"/><Relationship Id="rId233" Type="http://schemas.openxmlformats.org/officeDocument/2006/relationships/hyperlink" Target="https://www.pmi.com/sustainability/protecting-the-environment/climate-protection" TargetMode="External"/><Relationship Id="rId254" Type="http://schemas.openxmlformats.org/officeDocument/2006/relationships/hyperlink" Target="https://www.telefonica.com/en/web/press-office/-/telefonica-s-three-steps-towards-net-zero-emissions" TargetMode="External"/><Relationship Id="rId28" Type="http://schemas.openxmlformats.org/officeDocument/2006/relationships/hyperlink" Target="https://www.groupelaposte.com/en/news/20-years-of-concrete-commitments-to-fight-climate-change" TargetMode="External"/><Relationship Id="rId49" Type="http://schemas.openxmlformats.org/officeDocument/2006/relationships/hyperlink" Target="https://www.bridgestoneamericas.com/content/dam/bscorpcomm-sites/bridgestone-americas/press/2021/bridgestone-releases-sustainability-report-2020/bridgestone-sustainability-report-2020-21.pdf" TargetMode="External"/><Relationship Id="rId114" Type="http://schemas.openxmlformats.org/officeDocument/2006/relationships/hyperlink" Target="https://www.linkedin.com/pulse/pfizers-renewed-commitments-climate-action-sustainable-caroline-roan"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www.eni.com/assets/documents/documents-en/nuova-mission-da-eni-for-eng.pdf" TargetMode="External"/><Relationship Id="rId299" Type="http://schemas.openxmlformats.org/officeDocument/2006/relationships/hyperlink" Target="https://www.pmi.com/sustainability/climate-change" TargetMode="External"/><Relationship Id="rId21" Type="http://schemas.openxmlformats.org/officeDocument/2006/relationships/hyperlink" Target="https://global.toyota/pages/global_toyota/sustainability/report/er/er19_en.pdf" TargetMode="External"/><Relationship Id="rId63" Type="http://schemas.openxmlformats.org/officeDocument/2006/relationships/hyperlink" Target="https://www.allianz.com/content/dam/onemarketing/azcom/Allianz_com/sustainability/documents/Allianz_Group_Sustainability_Report_2019-web.pdf" TargetMode="External"/><Relationship Id="rId159" Type="http://schemas.openxmlformats.org/officeDocument/2006/relationships/hyperlink" Target="https://www.brookfield.com/sites/default/files/2019-09/BAM_ESG_Report_2018.pdf" TargetMode="External"/><Relationship Id="rId324" Type="http://schemas.openxmlformats.org/officeDocument/2006/relationships/hyperlink" Target="https://uk.gsk.com/en-gb/responsibility/our-planet/our-commitments/" TargetMode="External"/><Relationship Id="rId366" Type="http://schemas.openxmlformats.org/officeDocument/2006/relationships/hyperlink" Target="https://www.swissre.com/sustainability/footprint/greenhouse-neutral-programme.html" TargetMode="External"/><Relationship Id="rId170" Type="http://schemas.openxmlformats.org/officeDocument/2006/relationships/hyperlink" Target="https://www.lloydsbankinggroup.com/globalassets/documents/our-group/responsibility/sustainability-risk-management/lloyds-banking-group-environmental-statement_final_mar20-v2.pdf" TargetMode="External"/><Relationship Id="rId226" Type="http://schemas.openxmlformats.org/officeDocument/2006/relationships/hyperlink" Target="https://www.mitsubishielectric.com/en/sustainability/environment/report/low_carbon/production/index.html" TargetMode="External"/><Relationship Id="rId433" Type="http://schemas.openxmlformats.org/officeDocument/2006/relationships/hyperlink" Target="https://services.google.com/fh/files/misc/google_2019-environmental-report.pdf" TargetMode="External"/><Relationship Id="rId268" Type="http://schemas.openxmlformats.org/officeDocument/2006/relationships/hyperlink" Target="http://www.sompo-hd.com/~/media/hd/en/files/csr/communications/pdf/2013/e_report2013_5.pdf" TargetMode="External"/><Relationship Id="rId32" Type="http://schemas.openxmlformats.org/officeDocument/2006/relationships/hyperlink" Target="https://www.daimler.com/company/corporate-governance/board-of-management/kaellenius/linkedin/ambition-2039.html" TargetMode="External"/><Relationship Id="rId74" Type="http://schemas.openxmlformats.org/officeDocument/2006/relationships/hyperlink" Target="https://newsroom.bankofamerica.com/press-releases/environment/bank-america-achieves-carbon-neutrality" TargetMode="External"/><Relationship Id="rId128" Type="http://schemas.openxmlformats.org/officeDocument/2006/relationships/hyperlink" Target="https://www.hd.eneos.co.jp/english/csr/report/pdf/jxtg_en_2018_f.pdf" TargetMode="External"/><Relationship Id="rId335" Type="http://schemas.openxmlformats.org/officeDocument/2006/relationships/hyperlink" Target="https://www.centrica.com/sustainability/responsible-business-ambitions/climate-change/" TargetMode="External"/><Relationship Id="rId377" Type="http://schemas.openxmlformats.org/officeDocument/2006/relationships/hyperlink" Target="https://www.orange.com/en/Human-Inside/Our-commitment-to-society/pages/Environmental-commitment-Orange-vows-to-be-carbon-neutral-by-2040" TargetMode="External"/><Relationship Id="rId5" Type="http://schemas.openxmlformats.org/officeDocument/2006/relationships/hyperlink" Target="http://www.sgcc.com.cn/html/files/2019-09/20/20190920152835313445345.pdf" TargetMode="External"/><Relationship Id="rId181" Type="http://schemas.openxmlformats.org/officeDocument/2006/relationships/hyperlink" Target="https://www.unilever.com/sustainable-living/reducing-environmental-impact/greenhouse-gases/tackling-climate-impact-in-our-operations/" TargetMode="External"/><Relationship Id="rId237" Type="http://schemas.openxmlformats.org/officeDocument/2006/relationships/hyperlink" Target="https://www.magna.com/docs/default-source/sustainability-policy/magna-intl-annual-information-form---sustainability-report-(online-version)---clean-pdf.pdf?sfvrsn=c57a97d6_0" TargetMode="External"/><Relationship Id="rId402" Type="http://schemas.openxmlformats.org/officeDocument/2006/relationships/hyperlink" Target="https://www.omv.com/en/about-us/energy/omv-and-the-climate" TargetMode="External"/><Relationship Id="rId279" Type="http://schemas.openxmlformats.org/officeDocument/2006/relationships/hyperlink" Target="https://en.mobis.co.kr/en/sustainability/contentsid/2574/index.do" TargetMode="External"/><Relationship Id="rId444" Type="http://schemas.openxmlformats.org/officeDocument/2006/relationships/hyperlink" Target="https://www.vodafone.com/our-purpose/planet/reducing-emissions-in-our-operations" TargetMode="External"/><Relationship Id="rId43" Type="http://schemas.openxmlformats.org/officeDocument/2006/relationships/hyperlink" Target="https://www.cigna.com/about-us/corporate-responsibility/report/environment/sustainability-performance-plan" TargetMode="External"/><Relationship Id="rId139" Type="http://schemas.openxmlformats.org/officeDocument/2006/relationships/hyperlink" Target="https://www.pttplc.com/en/Media/Publications/Report/Sustainabilityreport.aspx" TargetMode="External"/><Relationship Id="rId290" Type="http://schemas.openxmlformats.org/officeDocument/2006/relationships/hyperlink" Target="https://www.airfranceklm.com/en/carbon-footprint" TargetMode="External"/><Relationship Id="rId304" Type="http://schemas.openxmlformats.org/officeDocument/2006/relationships/hyperlink" Target="https://www.bt.com/about/digital-impact-and-sustainability/tackling-climate-change/the-road-to-net-zero" TargetMode="External"/><Relationship Id="rId346" Type="http://schemas.openxmlformats.org/officeDocument/2006/relationships/hyperlink" Target="https://www.goldmansachs.com/what-we-do/sustainable-finance/documents/reports/2019-sustainability-report.pdf" TargetMode="External"/><Relationship Id="rId388" Type="http://schemas.openxmlformats.org/officeDocument/2006/relationships/hyperlink" Target="https://www.michelin.com/en/sustainable-development-mobility/environment/low-carbon-products/" TargetMode="External"/><Relationship Id="rId85" Type="http://schemas.openxmlformats.org/officeDocument/2006/relationships/hyperlink" Target="https://www.anthemcorporateresponsibility.com/environmental-policy-and-commitments" TargetMode="External"/><Relationship Id="rId150" Type="http://schemas.openxmlformats.org/officeDocument/2006/relationships/hyperlink" Target="https://www.allianz.com/en/sustainability/low-carbon-economy/decarbonization.html" TargetMode="External"/><Relationship Id="rId192" Type="http://schemas.openxmlformats.org/officeDocument/2006/relationships/hyperlink" Target="https://www.td.com/document/PDF/ESG/2019-ESG-Report.pdf" TargetMode="External"/><Relationship Id="rId206" Type="http://schemas.openxmlformats.org/officeDocument/2006/relationships/hyperlink" Target="https://www.grupoacs.com/ficheros_editor/File/05_responsabilidad_corporativa/00%20PDFS/6.1.%20Medio%20ambiente_en.pdf" TargetMode="External"/><Relationship Id="rId413" Type="http://schemas.openxmlformats.org/officeDocument/2006/relationships/hyperlink" Target="https://www.bt.com/about/digital-impact-and-sustainability/tackling-climate-change/the-road-to-net-zero" TargetMode="External"/><Relationship Id="rId248" Type="http://schemas.openxmlformats.org/officeDocument/2006/relationships/hyperlink" Target="http://www.vale.com/en/aboutvale/news/pages/vale-advances-on-the-climate-agenda-and-unveils-uss-2-billion-to-reduce-carbon-emissions-within-the-next-ten-years.aspx" TargetMode="External"/><Relationship Id="rId455" Type="http://schemas.openxmlformats.org/officeDocument/2006/relationships/hyperlink" Target="https://www.about.sainsburys.co.uk/~/media/Files/S/Sainsburys/Sainsburys%20Sustainability%20Update%201920%20v3.pdf" TargetMode="External"/><Relationship Id="rId12" Type="http://schemas.openxmlformats.org/officeDocument/2006/relationships/hyperlink" Target="https://www.volkswagenag.com/en/news/stories/2019/12/what-volkswagen-is-doing-for-the-environment.html" TargetMode="External"/><Relationship Id="rId108" Type="http://schemas.openxmlformats.org/officeDocument/2006/relationships/hyperlink" Target="https://www.carrefour.com/sites/default/files/2020-06/Climate%20-%20Press%20release%20Carrefour_05062020%20Eng.pdf" TargetMode="External"/><Relationship Id="rId315" Type="http://schemas.openxmlformats.org/officeDocument/2006/relationships/hyperlink" Target="https://www.guanghui.com/" TargetMode="External"/><Relationship Id="rId357" Type="http://schemas.openxmlformats.org/officeDocument/2006/relationships/hyperlink" Target="https://www.rbc.com/community-social-impact/environment/environmental-footprint.html" TargetMode="External"/><Relationship Id="rId54" Type="http://schemas.openxmlformats.org/officeDocument/2006/relationships/hyperlink" Target="https://services.google.com/fh/files/misc/google_2019-environmental-report.pdf" TargetMode="External"/><Relationship Id="rId96" Type="http://schemas.openxmlformats.org/officeDocument/2006/relationships/hyperlink" Target="https://corporate.delltechnologies.com/en-us/social-impact/reporting/2030-goals.htm" TargetMode="External"/><Relationship Id="rId161" Type="http://schemas.openxmlformats.org/officeDocument/2006/relationships/hyperlink" Target="https://news.pg.com/press-release/pg-corporate-announcements/pg-embraces-natural-climate-solutions-accelerate-progress-c" TargetMode="External"/><Relationship Id="rId217" Type="http://schemas.openxmlformats.org/officeDocument/2006/relationships/hyperlink" Target="https://www.sanofi.com/-/media/Project/One-Sanofi-Web/Websites/Global/Sanofi-COM/Home/common/docs/download-center/Sanofis-Risks-and-Opportunities-related-to-Climate-Change-2019.pdf" TargetMode="External"/><Relationship Id="rId399" Type="http://schemas.openxmlformats.org/officeDocument/2006/relationships/hyperlink" Target="https://www.naturgy.com/en/sustainability/the_environment/climate_change_and_energy_transition" TargetMode="External"/><Relationship Id="rId259" Type="http://schemas.openxmlformats.org/officeDocument/2006/relationships/hyperlink" Target="https://www.about.sainsburys.co.uk/~/media/Files/S/Sainsburys/Sainsburys%20Sustainability%20Update%201920%20v3.pdf" TargetMode="External"/><Relationship Id="rId424" Type="http://schemas.openxmlformats.org/officeDocument/2006/relationships/hyperlink" Target="https://www08.wellsfargomedia.com/assets/pdf/about/corporate-responsibility/environmental-social-governance-report.pdf" TargetMode="External"/><Relationship Id="rId466" Type="http://schemas.openxmlformats.org/officeDocument/2006/relationships/printerSettings" Target="../printerSettings/printerSettings3.bin"/><Relationship Id="rId23" Type="http://schemas.openxmlformats.org/officeDocument/2006/relationships/hyperlink" Target="https://www.apple.com/uk/environment/" TargetMode="External"/><Relationship Id="rId119" Type="http://schemas.openxmlformats.org/officeDocument/2006/relationships/hyperlink" Target="https://www.aeon.info/export/sites/default/common/images/en/pressroom/imgsrc/180328R_3.pdf" TargetMode="External"/><Relationship Id="rId270" Type="http://schemas.openxmlformats.org/officeDocument/2006/relationships/hyperlink" Target="https://www.ldc.com/wp-content/uploads/2019-Juice-SR_FINAL_lores-secured.pdf" TargetMode="External"/><Relationship Id="rId326" Type="http://schemas.openxmlformats.org/officeDocument/2006/relationships/hyperlink" Target="https://blogs.oracle.com/sustainability/oracle-streamlines-tracking-of-global-carbon-footprint-and-greenhouse-gas-emissions" TargetMode="External"/><Relationship Id="rId44" Type="http://schemas.openxmlformats.org/officeDocument/2006/relationships/hyperlink" Target="https://www.costco.com/sustainability-greenhouse-gas-emissions.html" TargetMode="External"/><Relationship Id="rId65" Type="http://schemas.openxmlformats.org/officeDocument/2006/relationships/hyperlink" Target="https://blogs.microsoft.com/blog/2020/01/16/microsoft-will-be-carbon-negative-by-2030/" TargetMode="External"/><Relationship Id="rId86" Type="http://schemas.openxmlformats.org/officeDocument/2006/relationships/hyperlink" Target="https://www.wellsfargo.com/about/corporate-responsibility/environment/" TargetMode="External"/><Relationship Id="rId130" Type="http://schemas.openxmlformats.org/officeDocument/2006/relationships/hyperlink" Target="https://www.aholddelhaize.com/media/10406/climate-strategy-report.pdf" TargetMode="External"/><Relationship Id="rId151" Type="http://schemas.openxmlformats.org/officeDocument/2006/relationships/hyperlink" Target="https://www.hsbc.com/our-approach/building-a-sustainable-future/sustainable-operations" TargetMode="External"/><Relationship Id="rId368" Type="http://schemas.openxmlformats.org/officeDocument/2006/relationships/hyperlink" Target="https://www.swissre.com/sustainability/footprint/co2netzero-programme.html" TargetMode="External"/><Relationship Id="rId389" Type="http://schemas.openxmlformats.org/officeDocument/2006/relationships/hyperlink" Target="https://www.theheinekencompany.com/newsroom/heineken-announces-drop-the-c-programme2/" TargetMode="External"/><Relationship Id="rId172" Type="http://schemas.openxmlformats.org/officeDocument/2006/relationships/hyperlink" Target="https://www.mitsui.com/jp/en/topics/2020/1231567_11245.html" TargetMode="External"/><Relationship Id="rId193" Type="http://schemas.openxmlformats.org/officeDocument/2006/relationships/hyperlink" Target="https://www.td.com/document/PDF/ESG/2019-ESG-Report.pdf" TargetMode="External"/><Relationship Id="rId207" Type="http://schemas.openxmlformats.org/officeDocument/2006/relationships/hyperlink" Target="http://en.shccig.com/about.php?cat_id=1351" TargetMode="External"/><Relationship Id="rId228" Type="http://schemas.openxmlformats.org/officeDocument/2006/relationships/hyperlink" Target="https://www.iberdrola.com/wcorp/gc/prod/en_US/corporativos/docs/IB_Sustainability_Report.pdf" TargetMode="External"/><Relationship Id="rId249" Type="http://schemas.openxmlformats.org/officeDocument/2006/relationships/hyperlink" Target="http://www.vale.com/en/aboutvale/news/pages/vale-advances-on-the-climate-agenda-and-unveils-uss-2-billion-to-reduce-carbon-emissions-within-the-next-ten-years.aspx" TargetMode="External"/><Relationship Id="rId414" Type="http://schemas.openxmlformats.org/officeDocument/2006/relationships/hyperlink" Target="https://sustainability.fb.com/report-pages/renewable-energy/" TargetMode="External"/><Relationship Id="rId435" Type="http://schemas.openxmlformats.org/officeDocument/2006/relationships/hyperlink" Target="https://www.nestle.com/csv/impact/climate-change" TargetMode="External"/><Relationship Id="rId456" Type="http://schemas.openxmlformats.org/officeDocument/2006/relationships/hyperlink" Target="https://www.aisin.com/csr/environment/carbon/" TargetMode="External"/><Relationship Id="rId13" Type="http://schemas.openxmlformats.org/officeDocument/2006/relationships/hyperlink" Target="https://www.volkswagenag.com/en/news/stories/2019/12/what-volkswagen-is-doing-for-the-environment.html" TargetMode="External"/><Relationship Id="rId109" Type="http://schemas.openxmlformats.org/officeDocument/2006/relationships/hyperlink" Target="https://group.bnpparibas/en/news/closer-carbon-neutrality-bnp-paribas" TargetMode="External"/><Relationship Id="rId260" Type="http://schemas.openxmlformats.org/officeDocument/2006/relationships/hyperlink" Target="https://ir.wfscorp.com/news-releases/news-release-details/world-fuel-services-corporation-join-getting-zero-coalition" TargetMode="External"/><Relationship Id="rId281" Type="http://schemas.openxmlformats.org/officeDocument/2006/relationships/hyperlink" Target="https://www.sumitomolife.co.jp/english/annual/pdf/ar2020.pdf" TargetMode="External"/><Relationship Id="rId316" Type="http://schemas.openxmlformats.org/officeDocument/2006/relationships/hyperlink" Target="https://www.sumitomocorp.com/en/jp/sustainability/environmental-management/climate" TargetMode="External"/><Relationship Id="rId337" Type="http://schemas.openxmlformats.org/officeDocument/2006/relationships/hyperlink" Target="https://www.apple.com/uk/environment/" TargetMode="External"/><Relationship Id="rId34" Type="http://schemas.openxmlformats.org/officeDocument/2006/relationships/hyperlink" Target="https://about.att.com/ecms/dam/csr/2019/library/corporate-responsibility/2019-2020-Summary.pdf" TargetMode="External"/><Relationship Id="rId55" Type="http://schemas.openxmlformats.org/officeDocument/2006/relationships/hyperlink" Target="https://services.google.com/fh/files/misc/google_2019-environmental-report.pdf" TargetMode="External"/><Relationship Id="rId76" Type="http://schemas.openxmlformats.org/officeDocument/2006/relationships/hyperlink" Target="https://corporate.homedepot.com/sites/default/files/pdfs/The%20Home%20Depot%20Carbon%20Footprint%20update%20Aug%202019.pdf" TargetMode="External"/><Relationship Id="rId97" Type="http://schemas.openxmlformats.org/officeDocument/2006/relationships/hyperlink" Target="https://www.nestle.com/csv/impact/climate-change" TargetMode="External"/><Relationship Id="rId120" Type="http://schemas.openxmlformats.org/officeDocument/2006/relationships/hyperlink" Target="https://www.airbus.com/company/sustainability/environment/decarbonisation.html" TargetMode="External"/><Relationship Id="rId141" Type="http://schemas.openxmlformats.org/officeDocument/2006/relationships/hyperlink" Target="https://www.dpdhl.com/content/dam/dpdhl/en/media-center/responsibility/dpdhl-sustainability-report-2019.pdf" TargetMode="External"/><Relationship Id="rId358" Type="http://schemas.openxmlformats.org/officeDocument/2006/relationships/hyperlink" Target="https://www.novartis.com/our-company/corporate-responsibility/environmental-sustainability/climate" TargetMode="External"/><Relationship Id="rId379" Type="http://schemas.openxmlformats.org/officeDocument/2006/relationships/hyperlink" Target="https://www.nec.com/en/global/csr/pdf/2019_report.pdf" TargetMode="External"/><Relationship Id="rId7" Type="http://schemas.openxmlformats.org/officeDocument/2006/relationships/hyperlink" Target="https://www.cnpc.com.cn/en/climate/common_index.shtml" TargetMode="External"/><Relationship Id="rId162" Type="http://schemas.openxmlformats.org/officeDocument/2006/relationships/hyperlink" Target="https://www.engie.com/sites/default/files/assets/documents/2020-04/RI-Engie2020-ENG-vdef.pdf" TargetMode="External"/><Relationship Id="rId183" Type="http://schemas.openxmlformats.org/officeDocument/2006/relationships/hyperlink" Target="https://www.societegenerale.com/en/energy-transition-climate-commitments/reducing-our-carbon-footprint" TargetMode="External"/><Relationship Id="rId218" Type="http://schemas.openxmlformats.org/officeDocument/2006/relationships/hyperlink" Target="https://www.chinaunicom.com.hk/en/about/csr.php" TargetMode="External"/><Relationship Id="rId239" Type="http://schemas.openxmlformats.org/officeDocument/2006/relationships/hyperlink" Target="https://www.gd.com/-/media/GD-Corporate/PDF/2018_gd_sustainability_report.ashx" TargetMode="External"/><Relationship Id="rId390" Type="http://schemas.openxmlformats.org/officeDocument/2006/relationships/hyperlink" Target="https://www.lafargeholcim.com/our-co2-emissions-reduction" TargetMode="External"/><Relationship Id="rId404" Type="http://schemas.openxmlformats.org/officeDocument/2006/relationships/hyperlink" Target="https://www.unilever.com/sustainable-living/reducing-environmental-impact/greenhouse-gases/tackling-climate-impact-in-our-operations/" TargetMode="External"/><Relationship Id="rId425" Type="http://schemas.openxmlformats.org/officeDocument/2006/relationships/hyperlink" Target="https://www08.wellsfargomedia.com/assets/pdf/about/corporate-responsibility/environmental-social-governance-report.pdf" TargetMode="External"/><Relationship Id="rId446" Type="http://schemas.openxmlformats.org/officeDocument/2006/relationships/hyperlink" Target="https://www.saint-gobain.com/sites/sgcom.master/files/2019_09_23_net_zero_carbon_va.pdf" TargetMode="External"/><Relationship Id="rId250" Type="http://schemas.openxmlformats.org/officeDocument/2006/relationships/hyperlink" Target="https://www.greenpeace.org/japan/sustainable/press-release/2018/09/14/657/" TargetMode="External"/><Relationship Id="rId271" Type="http://schemas.openxmlformats.org/officeDocument/2006/relationships/hyperlink" Target="https://www.capitalone.com/about/newsroom/climate-change-journey-2030/" TargetMode="External"/><Relationship Id="rId292" Type="http://schemas.openxmlformats.org/officeDocument/2006/relationships/hyperlink" Target="https://www.prnewswire.com/news-releases/schneider-electric-cuts-five-years-from-its-carbon-neutrality-goal-establishing-roadmap-for-the-carbon-neutral-world-300922871.html" TargetMode="External"/><Relationship Id="rId306" Type="http://schemas.openxmlformats.org/officeDocument/2006/relationships/hyperlink" Target="https://www.groupelaposte.com/en/article/carbon-neutrality-the-key-figures" TargetMode="External"/><Relationship Id="rId24" Type="http://schemas.openxmlformats.org/officeDocument/2006/relationships/hyperlink" Target="https://www.apple.com/uk/newsroom/2020/07/apple-commits-to-be-100-percent-carbon-neutral-for-its-supply-chain-and-products-by-2030/" TargetMode="External"/><Relationship Id="rId45" Type="http://schemas.openxmlformats.org/officeDocument/2006/relationships/hyperlink" Target="https://www.axa.com/en/press/press-releases/axa-launches-a-new-phase-in-its-climate-strategy-to-accelerate-its-contribution-to-a-low-carbon-and-more-resilient-economy" TargetMode="External"/><Relationship Id="rId66" Type="http://schemas.openxmlformats.org/officeDocument/2006/relationships/hyperlink" Target="https://blogs.microsoft.com/blog/2020/01/16/microsoft-will-be-carbon-negative-by-2030/" TargetMode="External"/><Relationship Id="rId87" Type="http://schemas.openxmlformats.org/officeDocument/2006/relationships/hyperlink" Target="https://www.citigroup.com/citi/sustainability/" TargetMode="External"/><Relationship Id="rId110" Type="http://schemas.openxmlformats.org/officeDocument/2006/relationships/hyperlink" Target="https://group.bnpparibas/en/news/carbon-neutral-bnp-paribas-commitment-climate" TargetMode="External"/><Relationship Id="rId131" Type="http://schemas.openxmlformats.org/officeDocument/2006/relationships/hyperlink" Target="https://sustainability.ups.com/sustainability-strategy/environmental-responsibility" TargetMode="External"/><Relationship Id="rId327" Type="http://schemas.openxmlformats.org/officeDocument/2006/relationships/hyperlink" Target="https://www.maersk.com/news/articles/2020/07/21/nine-leading-businesses-launch-new-initiative-to-accelerate-progress-to-a-net-zero-future" TargetMode="External"/><Relationship Id="rId348" Type="http://schemas.openxmlformats.org/officeDocument/2006/relationships/hyperlink" Target="https://www.morganstanley.com/press-releases/morgan-stanley-announces-new-goal-of-carbon-neutrality-for-globa" TargetMode="External"/><Relationship Id="rId369" Type="http://schemas.openxmlformats.org/officeDocument/2006/relationships/hyperlink" Target="https://sustainability.idemitsu.com/en/themes/311" TargetMode="External"/><Relationship Id="rId152" Type="http://schemas.openxmlformats.org/officeDocument/2006/relationships/hyperlink" Target="https://www.nestle.com/ask-nestle/environment/answers/nestle-climate-change" TargetMode="External"/><Relationship Id="rId173" Type="http://schemas.openxmlformats.org/officeDocument/2006/relationships/hyperlink" Target="https://www.mitsui.com/jp/en/sustainability/commitment/index.html" TargetMode="External"/><Relationship Id="rId194" Type="http://schemas.openxmlformats.org/officeDocument/2006/relationships/hyperlink" Target="https://www.woolworthsgroup.com.au/icms_docs/195583_2019-sustainability-report.pdf" TargetMode="External"/><Relationship Id="rId208" Type="http://schemas.openxmlformats.org/officeDocument/2006/relationships/hyperlink" Target="https://corporate.bestbuy.com/sustainability/" TargetMode="External"/><Relationship Id="rId229" Type="http://schemas.openxmlformats.org/officeDocument/2006/relationships/hyperlink" Target="https://www.zf.com/master/media/corporate/m_zf_com/company/sustainability/sustainability_reports/ZF-SustainabilityReport2019_EN.pdf" TargetMode="External"/><Relationship Id="rId380" Type="http://schemas.openxmlformats.org/officeDocument/2006/relationships/hyperlink" Target="https://www.safran-group.com/commitments/ecoresponsible-enterprise" TargetMode="External"/><Relationship Id="rId415" Type="http://schemas.openxmlformats.org/officeDocument/2006/relationships/hyperlink" Target="https://www.goldmansachs.com/what-we-do/sustainable-finance/documents/reports/2019-sustainability-report.pdf" TargetMode="External"/><Relationship Id="rId436" Type="http://schemas.openxmlformats.org/officeDocument/2006/relationships/hyperlink" Target="https://www.sony.net/SonyInfo/csr/eco/RoadToZero/gm_en.html" TargetMode="External"/><Relationship Id="rId457" Type="http://schemas.openxmlformats.org/officeDocument/2006/relationships/hyperlink" Target="https://mediaroom.loreal.com/wp-content/uploads/2019/09/CP_ENG.pdf" TargetMode="External"/><Relationship Id="rId240" Type="http://schemas.openxmlformats.org/officeDocument/2006/relationships/hyperlink" Target="https://www.sncf.com/en/commitments/sustainble-development/leading-the-charge-for-the-planet" TargetMode="External"/><Relationship Id="rId261" Type="http://schemas.openxmlformats.org/officeDocument/2006/relationships/hyperlink" Target="http://www.conocophillips.com/sustainability/managing-climate-related-risks/metrics-targets/ghg-target/" TargetMode="External"/><Relationship Id="rId14" Type="http://schemas.openxmlformats.org/officeDocument/2006/relationships/hyperlink" Target="https://www.bp.com/en/global/corporate/news-and-insights/bp-magazine/sustainability-report-carbon-6-ways-bp-taking-action.html" TargetMode="External"/><Relationship Id="rId35" Type="http://schemas.openxmlformats.org/officeDocument/2006/relationships/hyperlink" Target="https://www.amerisourcebergen.com/-/media/assets/amerisourcebergen/corporate_citizenship/abc_corpcitizenship_report_2019_final.pdf?la=en&amp;hash=4277633C393A9824CE096307072597F9715BABC2" TargetMode="External"/><Relationship Id="rId56" Type="http://schemas.openxmlformats.org/officeDocument/2006/relationships/hyperlink" Target="https://www.gm.com/our-stories/commitment/its-time-for-american-leadership-in-zero-emissions-vehicles.html" TargetMode="External"/><Relationship Id="rId77" Type="http://schemas.openxmlformats.org/officeDocument/2006/relationships/hyperlink" Target="https://www.japanpost.jp/en/csr/report/pdf/2019_en.pdf" TargetMode="External"/><Relationship Id="rId100" Type="http://schemas.openxmlformats.org/officeDocument/2006/relationships/hyperlink" Target="https://www.legalandgeneralgroup.com/media-centre/press-releases/legal-general-commits-to-net-zero-carbon-across-its-housing-portfolio/" TargetMode="External"/><Relationship Id="rId282" Type="http://schemas.openxmlformats.org/officeDocument/2006/relationships/hyperlink" Target="https://dam.abbott.com/en-us/documents/pdfs/abbott-citizenship/Abbott2018GlobalSustainabilityReport.pdf" TargetMode="External"/><Relationship Id="rId317" Type="http://schemas.openxmlformats.org/officeDocument/2006/relationships/hyperlink" Target="https://www.iairgroup.com/~/media/Files/I/IAG/documents/flightpath-net-zero-EN-v3.pdf" TargetMode="External"/><Relationship Id="rId338" Type="http://schemas.openxmlformats.org/officeDocument/2006/relationships/hyperlink" Target="https://home.barclays/society/our-position-on-climate-change/" TargetMode="External"/><Relationship Id="rId359" Type="http://schemas.openxmlformats.org/officeDocument/2006/relationships/hyperlink" Target="https://www.novartis.com/our-company/corporate-responsibility/environmental-sustainability/climate" TargetMode="External"/><Relationship Id="rId8" Type="http://schemas.openxmlformats.org/officeDocument/2006/relationships/hyperlink" Target="https://www.cnpc.com.cn/en/climate/common_index.shtml" TargetMode="External"/><Relationship Id="rId98" Type="http://schemas.openxmlformats.org/officeDocument/2006/relationships/hyperlink" Target="https://www.hyundai.com/content/dam/hyundai/ww/en/images/company/sustainability/about-sustainability/hmc-2020-sustainability-report-en-v2.pdf" TargetMode="External"/><Relationship Id="rId121" Type="http://schemas.openxmlformats.org/officeDocument/2006/relationships/hyperlink" Target="https://www.airbus.com/company/sustainability/environment/decarbonisation.html" TargetMode="External"/><Relationship Id="rId142" Type="http://schemas.openxmlformats.org/officeDocument/2006/relationships/hyperlink" Target="https://sustainability.fb.com/report-pages/climate/" TargetMode="External"/><Relationship Id="rId163" Type="http://schemas.openxmlformats.org/officeDocument/2006/relationships/hyperlink" Target="https://www.engie.com/sites/default/files/assets/documents/2020-04/RI-Engie2020-ENG-vdef.pdf" TargetMode="External"/><Relationship Id="rId184" Type="http://schemas.openxmlformats.org/officeDocument/2006/relationships/hyperlink" Target="http://www.posco.com/homepage/docs/eng6/jsp/dn/irinfo/posco_report_2019_eng.pdf" TargetMode="External"/><Relationship Id="rId219" Type="http://schemas.openxmlformats.org/officeDocument/2006/relationships/hyperlink" Target="https://responsibility.db.com/non-financial-report/2017/environment/carbon-neutrality.html" TargetMode="External"/><Relationship Id="rId370" Type="http://schemas.openxmlformats.org/officeDocument/2006/relationships/hyperlink" Target="https://www.saint-gobain.com/en/saint-gobain-net-zero-carbon-2050" TargetMode="External"/><Relationship Id="rId391" Type="http://schemas.openxmlformats.org/officeDocument/2006/relationships/hyperlink" Target="https://stories.starbucks.com/stories/2020/message-from-starbucks-ceo-kevin-johnson-starbucks-new-sustainability-commitment" TargetMode="External"/><Relationship Id="rId405" Type="http://schemas.openxmlformats.org/officeDocument/2006/relationships/hyperlink" Target="https://www.telefonica.com/en/web/press-office/-/telefonica-s-contribution-to-a-green-recovery" TargetMode="External"/><Relationship Id="rId426" Type="http://schemas.openxmlformats.org/officeDocument/2006/relationships/hyperlink" Target="https://www.banktrack.org/download/sustainability_report_201819/sbi_sustainability_report_201819.pdf" TargetMode="External"/><Relationship Id="rId447" Type="http://schemas.openxmlformats.org/officeDocument/2006/relationships/hyperlink" Target="https://www.repsol.com/en/press-room/press-releases/2019/repsol-will-be-a-net-zero-emissions-company-by-2050.cshtml" TargetMode="External"/><Relationship Id="rId230" Type="http://schemas.openxmlformats.org/officeDocument/2006/relationships/hyperlink" Target="https://www.zf.com/master/media/corporate/m_zf_com/company/sustainability/sustainability_reports/ZF-SustainabilityReport2019_EN.pdf" TargetMode="External"/><Relationship Id="rId251" Type="http://schemas.openxmlformats.org/officeDocument/2006/relationships/hyperlink" Target="https://www.coca-colacompany.com/news/reducing-carbon-in-our-value-chain" TargetMode="External"/><Relationship Id="rId25" Type="http://schemas.openxmlformats.org/officeDocument/2006/relationships/hyperlink" Target="https://cvshealth.com/sites/default/files/2019-csr-report.pdf" TargetMode="External"/><Relationship Id="rId46" Type="http://schemas.openxmlformats.org/officeDocument/2006/relationships/hyperlink" Target="https://www.axa.com/en/about-us/environmental-footprint-management" TargetMode="External"/><Relationship Id="rId67" Type="http://schemas.openxmlformats.org/officeDocument/2006/relationships/hyperlink" Target="https://sustainability.marathonpetroleum.com/Reader/Page/15" TargetMode="External"/><Relationship Id="rId272" Type="http://schemas.openxmlformats.org/officeDocument/2006/relationships/hyperlink" Target="https://www.capitalone.com/about/newsroom/climate-change-journey-2030/" TargetMode="External"/><Relationship Id="rId293" Type="http://schemas.openxmlformats.org/officeDocument/2006/relationships/hyperlink" Target="https://www.prnewswire.com/news-releases/schneider-electric-cuts-five-years-from-its-carbon-neutrality-goal-establishing-roadmap-for-the-carbon-neutral-world-300922871.html" TargetMode="External"/><Relationship Id="rId307" Type="http://schemas.openxmlformats.org/officeDocument/2006/relationships/hyperlink" Target="https://raportzintegrowany2019.orlen.pl/en/srodowisko-i-klimat/odpowiedzialnosc-za-srodowisko-i-klimat/" TargetMode="External"/><Relationship Id="rId328" Type="http://schemas.openxmlformats.org/officeDocument/2006/relationships/hyperlink" Target="https://www.abbvie.com/content/dam/abbvie-dotcom/uploads/PDFs/our-position-on-global-climate-change.pdf" TargetMode="External"/><Relationship Id="rId349" Type="http://schemas.openxmlformats.org/officeDocument/2006/relationships/hyperlink" Target="https://www.morganstanley.com/press-releases/morgan-stanley-joins-leadership-of-global-carbon-accounting-part" TargetMode="External"/><Relationship Id="rId88" Type="http://schemas.openxmlformats.org/officeDocument/2006/relationships/hyperlink" Target="https://www.valero.com/en-us/Documents/Climate%20Related%20Risks%20and%20Opportunities/Review_of_Climate-Related_Risks_and_Opportunities_Web.pdf" TargetMode="External"/><Relationship Id="rId111" Type="http://schemas.openxmlformats.org/officeDocument/2006/relationships/hyperlink" Target="https://www.cotecorp.com/Groupe_PSA_2019_CSR_Report.pdf" TargetMode="External"/><Relationship Id="rId132" Type="http://schemas.openxmlformats.org/officeDocument/2006/relationships/hyperlink" Target="https://www.pemex.com/etica_y_transparencia/transparencia/informes/Documents/inf_sustentabilidad_2016_esp_verificacion.pdf" TargetMode="External"/><Relationship Id="rId153" Type="http://schemas.openxmlformats.org/officeDocument/2006/relationships/hyperlink" Target="https://www.nissan-global.com/EN/DOCUMENT/PDF/SR/2019/SR19_E_All.pdf" TargetMode="External"/><Relationship Id="rId174" Type="http://schemas.openxmlformats.org/officeDocument/2006/relationships/hyperlink" Target="https://group.renault.com/wp-content/uploads/2018/08/biodiversity-policy_groupe-renault_en.pdf" TargetMode="External"/><Relationship Id="rId195" Type="http://schemas.openxmlformats.org/officeDocument/2006/relationships/hyperlink" Target="http://www.chng.com.cn/n16/av/chixueng.pdf" TargetMode="External"/><Relationship Id="rId209" Type="http://schemas.openxmlformats.org/officeDocument/2006/relationships/hyperlink" Target="https://www.libertymutualgroup.com/documents/liberty-mutual-2019-esg-report-vfinal.pdf" TargetMode="External"/><Relationship Id="rId360" Type="http://schemas.openxmlformats.org/officeDocument/2006/relationships/hyperlink" Target="https://www.tokiomarinehd.com/en/sustainability/pdf/sustainability_web_2019.pdf" TargetMode="External"/><Relationship Id="rId381" Type="http://schemas.openxmlformats.org/officeDocument/2006/relationships/hyperlink" Target="https://www.danone.com/impact/planet/towards-carbon-neutrality.html" TargetMode="External"/><Relationship Id="rId416" Type="http://schemas.openxmlformats.org/officeDocument/2006/relationships/hyperlink" Target="https://www.ing.com/Sustainability/Our-Stance/Energy.htm" TargetMode="External"/><Relationship Id="rId220" Type="http://schemas.openxmlformats.org/officeDocument/2006/relationships/hyperlink" Target="https://www.tjx.com/responsibility/environment/" TargetMode="External"/><Relationship Id="rId241" Type="http://schemas.openxmlformats.org/officeDocument/2006/relationships/hyperlink" Target="https://s22.q4cdn.com/253594569/files/doc_downloads/2019/09/2019_JD-Sustainability-Report.pdf" TargetMode="External"/><Relationship Id="rId437" Type="http://schemas.openxmlformats.org/officeDocument/2006/relationships/hyperlink" Target="https://www.legalandgeneralgroup.com/media-centre/press-releases/legal-general-commits-to-net-zero-carbon-across-its-housing-portfolio/" TargetMode="External"/><Relationship Id="rId458" Type="http://schemas.openxmlformats.org/officeDocument/2006/relationships/hyperlink" Target="https://www.prnewswire.com/news-releases/schneider-electric-cuts-five-years-from-its-carbon-neutrality-goal-establishing-roadmap-for-the-carbon-neutral-world-300922871.html" TargetMode="External"/><Relationship Id="rId15" Type="http://schemas.openxmlformats.org/officeDocument/2006/relationships/hyperlink" Target="https://www.bp.com/en/global/corporate/sustainability/climate-change/reducing-emissions-in-our-operations.html" TargetMode="External"/><Relationship Id="rId36" Type="http://schemas.openxmlformats.org/officeDocument/2006/relationships/hyperlink" Target="http://v.icbc.com.cn/userfiles/Resources/ICBCLTD/download/2020/2019csrEN1.pdf" TargetMode="External"/><Relationship Id="rId57" Type="http://schemas.openxmlformats.org/officeDocument/2006/relationships/hyperlink" Target="https://www.walgreensbootsalliance.com/sites/www/files/asset/Walgreens-Boots-Alliance-2019-Corporate-Social-Responsibility-Report_2.pdf" TargetMode="External"/><Relationship Id="rId262" Type="http://schemas.openxmlformats.org/officeDocument/2006/relationships/hyperlink" Target="https://www.fujitsu.com/global/microsite/fujitsu-climate-and-energy-vision/" TargetMode="External"/><Relationship Id="rId283" Type="http://schemas.openxmlformats.org/officeDocument/2006/relationships/hyperlink" Target="https://www.crh.com/media/3224/crh1299-sustainability-report-2019_v75_interactive.pdf" TargetMode="External"/><Relationship Id="rId318" Type="http://schemas.openxmlformats.org/officeDocument/2006/relationships/hyperlink" Target="https://www.iairgroup.com/~/media/Files/I/IAG/documents/flightpath-net-zero-EN-v3.pdf" TargetMode="External"/><Relationship Id="rId339" Type="http://schemas.openxmlformats.org/officeDocument/2006/relationships/hyperlink" Target="https://media.ford.com/content/fordmedia/fna/us/en/news/2020/06/24/ford-expands-climate-change-goals.html" TargetMode="External"/><Relationship Id="rId78" Type="http://schemas.openxmlformats.org/officeDocument/2006/relationships/hyperlink" Target="https://www.phillips66.com/Sustainability-site/Documents/Sustainability-Report-2020.pdf" TargetMode="External"/><Relationship Id="rId99" Type="http://schemas.openxmlformats.org/officeDocument/2006/relationships/hyperlink" Target="https://www.telekom.com/en/corporate-responsibility/climate-and-environment/is-01-climate-and-environment-context/reducing-co2-355308" TargetMode="External"/><Relationship Id="rId101" Type="http://schemas.openxmlformats.org/officeDocument/2006/relationships/hyperlink" Target="https://www.legalandgeneralgroup.com/csr/our-journey-to-net-zero/" TargetMode="External"/><Relationship Id="rId122" Type="http://schemas.openxmlformats.org/officeDocument/2006/relationships/hyperlink" Target="https://corporate.target.com/corporate-responsibility/planet/climate" TargetMode="External"/><Relationship Id="rId143" Type="http://schemas.openxmlformats.org/officeDocument/2006/relationships/hyperlink" Target="https://corporate.arcelormittal.com/sustainability/approach/climate-change" TargetMode="External"/><Relationship Id="rId164" Type="http://schemas.openxmlformats.org/officeDocument/2006/relationships/hyperlink" Target="https://www.pepsico.com/sustainability/goals-and-progress" TargetMode="External"/><Relationship Id="rId185" Type="http://schemas.openxmlformats.org/officeDocument/2006/relationships/hyperlink" Target="https://s1.q4cdn.com/692158879/files/doc_downloads/social_reports/2018-2019-American-Express-CSR-Report.pdf" TargetMode="External"/><Relationship Id="rId350" Type="http://schemas.openxmlformats.org/officeDocument/2006/relationships/hyperlink" Target="https://www.lg.com/uk/about-lg/press-media/LG-COMMITS-TO-CARBON-NEUTRALITY-BY-2030" TargetMode="External"/><Relationship Id="rId371" Type="http://schemas.openxmlformats.org/officeDocument/2006/relationships/hyperlink" Target="https://www.saint-gobain.com/sites/sgcom.master/files/2019_09_23_net_zero_carbon_va.pdf" TargetMode="External"/><Relationship Id="rId406" Type="http://schemas.openxmlformats.org/officeDocument/2006/relationships/hyperlink" Target="https://www.vodafone.com/our-purpose/planet/reducing-emissions-in-our-operations" TargetMode="External"/><Relationship Id="rId9" Type="http://schemas.openxmlformats.org/officeDocument/2006/relationships/hyperlink" Target="https://www.shell.com/energy-and-innovation/the-energy-future/what-is-shells-net-carbon-footprint-ambition/faq.html" TargetMode="External"/><Relationship Id="rId210" Type="http://schemas.openxmlformats.org/officeDocument/2006/relationships/hyperlink" Target="https://www.accenture.com/_acnmedia/PDF-120/Accenture-Corporate-Citizenship-Report-2019.pdf" TargetMode="External"/><Relationship Id="rId392" Type="http://schemas.openxmlformats.org/officeDocument/2006/relationships/hyperlink" Target="https://stories.starbucks.com/stories/2020/message-from-starbucks-ceo-kevin-johnson-starbucks-new-sustainability-commitment" TargetMode="External"/><Relationship Id="rId427" Type="http://schemas.openxmlformats.org/officeDocument/2006/relationships/hyperlink" Target="https://www.shell.com/energy-and-innovation/the-energy-future/shells-ambition-to-be-a-net-zero-emissions-energy-business.html" TargetMode="External"/><Relationship Id="rId448" Type="http://schemas.openxmlformats.org/officeDocument/2006/relationships/hyperlink" Target="https://www.orange.com/en/environmental-commitment-orange-vows-achieve-net-zero-carbon-emissions-2040" TargetMode="External"/><Relationship Id="rId26" Type="http://schemas.openxmlformats.org/officeDocument/2006/relationships/hyperlink" Target="https://www.brkenergy.com/environment/renewables" TargetMode="External"/><Relationship Id="rId231" Type="http://schemas.openxmlformats.org/officeDocument/2006/relationships/hyperlink" Target="https://www.lufthansagroup.com/en/responsibility/climate-environment/environmental-strategy.html" TargetMode="External"/><Relationship Id="rId252" Type="http://schemas.openxmlformats.org/officeDocument/2006/relationships/hyperlink" Target="https://www.thephoenixgroup.com/~/media/Files/P/Phoenix-Group-v3/Attachments/pdf/environmental-and-sustainability-statement-2020.pdf" TargetMode="External"/><Relationship Id="rId273" Type="http://schemas.openxmlformats.org/officeDocument/2006/relationships/hyperlink" Target="https://www.loreal.com/en/articles/sharing-beauty-with-all/low-carbon-growth-a-new-ambition/" TargetMode="External"/><Relationship Id="rId294" Type="http://schemas.openxmlformats.org/officeDocument/2006/relationships/hyperlink" Target="https://www.takeda.com/corporate-responsibility/environment/commitment-to-carbon-neutrality-at-takeda/" TargetMode="External"/><Relationship Id="rId308" Type="http://schemas.openxmlformats.org/officeDocument/2006/relationships/hyperlink" Target="https://www.johnsoncontrols.com/-/media/jci/corporate-sustainability/reporting-and-policies/gri/2019/johnson_controls_2020-sustainability-report.pdf?la=en&amp;hash=63C4727C436616C656A41E32DC0613A2421F3657" TargetMode="External"/><Relationship Id="rId329" Type="http://schemas.openxmlformats.org/officeDocument/2006/relationships/hyperlink" Target="https://www.medtronic.com/content/dam/medtronic-com/global/Corporate/citizenship/documents/2019-integrated-performance-report.pdf" TargetMode="External"/><Relationship Id="rId47" Type="http://schemas.openxmlformats.org/officeDocument/2006/relationships/hyperlink" Target="https://www.globalcapital.com/article/b1h9h6htjzl09k/the-path-to-zero-carbon-fast-will-mean-firm" TargetMode="External"/><Relationship Id="rId68" Type="http://schemas.openxmlformats.org/officeDocument/2006/relationships/hyperlink" Target="https://www-file.huawei.com/-/media/corp2020/pdf/sustainability/2019-sustainability-report-en-v2.pdf" TargetMode="External"/><Relationship Id="rId89" Type="http://schemas.openxmlformats.org/officeDocument/2006/relationships/hyperlink" Target="https://www.itochu.co.jp/en/csr/pdf/19fulle32-76.pdf" TargetMode="External"/><Relationship Id="rId112" Type="http://schemas.openxmlformats.org/officeDocument/2006/relationships/hyperlink" Target="https://www.tescoplc.com/sustainability/planet/climate-change/climate-change/" TargetMode="External"/><Relationship Id="rId133" Type="http://schemas.openxmlformats.org/officeDocument/2006/relationships/hyperlink" Target="https://www.munichre.com/content/dam/munichre/global/content-pieces/documents/cr-report-2019.pdf/_jcr_content/renditions/original./cr-report-2019.pdf" TargetMode="External"/><Relationship Id="rId154" Type="http://schemas.openxmlformats.org/officeDocument/2006/relationships/hyperlink" Target="https://www.telekom.com/en/media/media-information/archive/explicit-commitment-to-responsible-action-and-climate-protection-595704" TargetMode="External"/><Relationship Id="rId175" Type="http://schemas.openxmlformats.org/officeDocument/2006/relationships/hyperlink" Target="https://www.toyota-tsusho.com/english/csr/materiality.html" TargetMode="External"/><Relationship Id="rId340" Type="http://schemas.openxmlformats.org/officeDocument/2006/relationships/hyperlink" Target="https://www.mitsui.com/jp/en/sustainability/commitment/index.html" TargetMode="External"/><Relationship Id="rId361" Type="http://schemas.openxmlformats.org/officeDocument/2006/relationships/hyperlink" Target="https://www.vodafone.com/our-purpose/planet/reducing-emissions-in-our-operations" TargetMode="External"/><Relationship Id="rId196" Type="http://schemas.openxmlformats.org/officeDocument/2006/relationships/hyperlink" Target="https://www.bbva.com/en/as-of-january-1st-bbva-set-an-internal-price-for-its-co2-emissions-and-commits-to-being-carbon-neutral-in-2020" TargetMode="External"/><Relationship Id="rId200" Type="http://schemas.openxmlformats.org/officeDocument/2006/relationships/hyperlink" Target="https://www.bradescori.com.br/siteBradescoRI/Uploads/Arquivos/Comunicados/3630/3630_2_Notice%20to%20the%20Market.pdf" TargetMode="External"/><Relationship Id="rId382" Type="http://schemas.openxmlformats.org/officeDocument/2006/relationships/hyperlink" Target="https://www.danone.com/content/dam/danone-corp/danone-com/about-us-impact/policies-and-commitments/en/2016/2016_05_18_ClimatePolicyFullVersion.pdf" TargetMode="External"/><Relationship Id="rId417" Type="http://schemas.openxmlformats.org/officeDocument/2006/relationships/hyperlink" Target="https://www.groupelaposte.com/en/article/carbon-neutrality-the-key-figures" TargetMode="External"/><Relationship Id="rId438" Type="http://schemas.openxmlformats.org/officeDocument/2006/relationships/hyperlink" Target="https://www.dpdhl.com/content/dam/dpdhl/en/media-center/responsibility/dpdhl-sustainability-report-2019.pdf" TargetMode="External"/><Relationship Id="rId459" Type="http://schemas.openxmlformats.org/officeDocument/2006/relationships/hyperlink" Target="https://www.bt.com/about/digital-impact-and-sustainability/tackling-climate-change/the-road-to-net-zero" TargetMode="External"/><Relationship Id="rId16" Type="http://schemas.openxmlformats.org/officeDocument/2006/relationships/hyperlink" Target="https://sustainability.aboutamazon.com/" TargetMode="External"/><Relationship Id="rId221" Type="http://schemas.openxmlformats.org/officeDocument/2006/relationships/hyperlink" Target="http://www.xiangyu-group.com/eng/social-responsibility-111.aspx" TargetMode="External"/><Relationship Id="rId242" Type="http://schemas.openxmlformats.org/officeDocument/2006/relationships/hyperlink" Target="https://www.maersk.com/news/articles/2020/07/21/nine-leading-businesses-launch-new-initiative-to-accelerate-progress-to-a-net-zero-future" TargetMode="External"/><Relationship Id="rId263" Type="http://schemas.openxmlformats.org/officeDocument/2006/relationships/hyperlink" Target="https://www.credit-suisse.com/about-us/en/our-company/corporate-responsibility/environment/greenhouse-gas-neutrality.html" TargetMode="External"/><Relationship Id="rId284" Type="http://schemas.openxmlformats.org/officeDocument/2006/relationships/hyperlink" Target="https://www.inditex.com/our-commitment-to-the-environment/climate-change-and-energy" TargetMode="External"/><Relationship Id="rId319" Type="http://schemas.openxmlformats.org/officeDocument/2006/relationships/hyperlink" Target="https://www.iairgroup.com/~/media/Files/I/IAG/documents/flightpath-net-zero-EN-v3.pdf" TargetMode="External"/><Relationship Id="rId37" Type="http://schemas.openxmlformats.org/officeDocument/2006/relationships/hyperlink" Target="https://www.total.com/media/news/total-adopts-new-climate-ambition-get-net-zero-2050" TargetMode="External"/><Relationship Id="rId58" Type="http://schemas.openxmlformats.org/officeDocument/2006/relationships/hyperlink" Target="https://www.mitsubishicorp.com/jp/en/csr/management/theme/climate/" TargetMode="External"/><Relationship Id="rId79" Type="http://schemas.openxmlformats.org/officeDocument/2006/relationships/hyperlink" Target="https://www.ntt.co.jp/kankyo/e/management/statement.html" TargetMode="External"/><Relationship Id="rId102" Type="http://schemas.openxmlformats.org/officeDocument/2006/relationships/hyperlink" Target="https://www.aviva.com/social-purpose/our-stories/climate-neutral-now/" TargetMode="External"/><Relationship Id="rId123" Type="http://schemas.openxmlformats.org/officeDocument/2006/relationships/hyperlink" Target="https://www.ibm.org/responsibility/2019/IBM-2019-CRR.pdf" TargetMode="External"/><Relationship Id="rId144" Type="http://schemas.openxmlformats.org/officeDocument/2006/relationships/hyperlink" Target="http://sustainability.fedex.com/FedEx_2020_Global_Citizenship_Report.pdf" TargetMode="External"/><Relationship Id="rId330" Type="http://schemas.openxmlformats.org/officeDocument/2006/relationships/hyperlink" Target="https://www.commbank.com.au/guidance/newsroom/our-climate-commitment-201708.html" TargetMode="External"/><Relationship Id="rId90" Type="http://schemas.openxmlformats.org/officeDocument/2006/relationships/hyperlink" Target="https://www.hsbc.com/our-approach/building-a-sustainable-future/sustainable-operations" TargetMode="External"/><Relationship Id="rId165" Type="http://schemas.openxmlformats.org/officeDocument/2006/relationships/hyperlink" Target="http://humanacsrreport.com/environmental-sustainability.html" TargetMode="External"/><Relationship Id="rId186" Type="http://schemas.openxmlformats.org/officeDocument/2006/relationships/hyperlink" Target="https://news.delta.com/delta-commits-1-billion-become-first-carbon-neutral-airline-globally" TargetMode="External"/><Relationship Id="rId351" Type="http://schemas.openxmlformats.org/officeDocument/2006/relationships/hyperlink" Target="http://www.lgnewsroom.com/2019/05/lg-commits-to-carbon-neutrality-by-2030/" TargetMode="External"/><Relationship Id="rId372" Type="http://schemas.openxmlformats.org/officeDocument/2006/relationships/hyperlink" Target="https://www.repsol.com/en/press-room/press-releases/2019/repsol-will-be-a-net-zero-emissions-company-by-2050.cshtml" TargetMode="External"/><Relationship Id="rId393" Type="http://schemas.openxmlformats.org/officeDocument/2006/relationships/hyperlink" Target="https://www.randstad.com/about-randstad/sustainability/sustainability-basics/" TargetMode="External"/><Relationship Id="rId407" Type="http://schemas.openxmlformats.org/officeDocument/2006/relationships/hyperlink" Target="https://www.bhp.com/environment/climate-change/" TargetMode="External"/><Relationship Id="rId428" Type="http://schemas.openxmlformats.org/officeDocument/2006/relationships/hyperlink" Target="https://www.bp.com/en/global/corporate/sustainability/climate-change/reducing-emissions-in-our-operations.html" TargetMode="External"/><Relationship Id="rId449" Type="http://schemas.openxmlformats.org/officeDocument/2006/relationships/hyperlink" Target="https://www.bhp.com/environment/climate-change/" TargetMode="External"/><Relationship Id="rId211" Type="http://schemas.openxmlformats.org/officeDocument/2006/relationships/hyperlink" Target="https://www.riotinto.com/en/news/releases/2020/Rio-Tinto-to-invest-1-billion-to-help-meet-new-climate-change-targets" TargetMode="External"/><Relationship Id="rId232" Type="http://schemas.openxmlformats.org/officeDocument/2006/relationships/hyperlink" Target="https://www.midea-group.com/Investors/financial-reports" TargetMode="External"/><Relationship Id="rId253" Type="http://schemas.openxmlformats.org/officeDocument/2006/relationships/hyperlink" Target="https://www.mhi.com/csr/environment/climat.html" TargetMode="External"/><Relationship Id="rId274" Type="http://schemas.openxmlformats.org/officeDocument/2006/relationships/hyperlink" Target="https://home.barclays/society/our-position-on-climate-change/" TargetMode="External"/><Relationship Id="rId295" Type="http://schemas.openxmlformats.org/officeDocument/2006/relationships/hyperlink" Target="http://www.cma-cgm.com/news/3143/the-cma-cgm-group-heads-towards-carbon-neutrality-by-2050" TargetMode="External"/><Relationship Id="rId309" Type="http://schemas.openxmlformats.org/officeDocument/2006/relationships/hyperlink" Target="https://www.centrica.com/sustainability/responsible-business-ambitions/climate-change/" TargetMode="External"/><Relationship Id="rId460" Type="http://schemas.openxmlformats.org/officeDocument/2006/relationships/hyperlink" Target="https://www.centrica.com/sustainability/responsible-business-ambitions/climate-change/" TargetMode="External"/><Relationship Id="rId27" Type="http://schemas.openxmlformats.org/officeDocument/2006/relationships/hyperlink" Target="https://www.unitedhealthgroup.com/viewer.html?file=/content/dam/UHG/PDF/About/UNH-Environmental-Impact-Statement.pdf" TargetMode="External"/><Relationship Id="rId48" Type="http://schemas.openxmlformats.org/officeDocument/2006/relationships/hyperlink" Target="https://www.chevron.com/-/media/shared-media/documents/2019-corporate-sustainability-report.pdf" TargetMode="External"/><Relationship Id="rId69" Type="http://schemas.openxmlformats.org/officeDocument/2006/relationships/hyperlink" Target="http://www.crecg.com/english/resource/cms/article/4051/10070723/2019052417220772882.pdf" TargetMode="External"/><Relationship Id="rId113" Type="http://schemas.openxmlformats.org/officeDocument/2006/relationships/hyperlink" Target="https://www.jnj.com/global-environmental-health/climate-and-energy" TargetMode="External"/><Relationship Id="rId134" Type="http://schemas.openxmlformats.org/officeDocument/2006/relationships/hyperlink" Target="https://www.munichre.com/en/company/corporate-responsibility/environment.html" TargetMode="External"/><Relationship Id="rId320" Type="http://schemas.openxmlformats.org/officeDocument/2006/relationships/hyperlink" Target="https://www.veolia.com/en/csr-climate-change" TargetMode="External"/><Relationship Id="rId80" Type="http://schemas.openxmlformats.org/officeDocument/2006/relationships/hyperlink" Target="https://update.comcast.com/wp-content/uploads/sites/33/dlm_uploads/2019/05/ComcastNBCU_print_0730-web.pdf" TargetMode="External"/><Relationship Id="rId155" Type="http://schemas.openxmlformats.org/officeDocument/2006/relationships/hyperlink" Target="https://www.enel.com/investors/sustainability/sustainability-topics-and-performances/greenhouse-gas-emission" TargetMode="External"/><Relationship Id="rId176" Type="http://schemas.openxmlformats.org/officeDocument/2006/relationships/hyperlink" Target="https://www.reuters.com/article/us-luxury-environment-idUSKBN1WA2AY" TargetMode="External"/><Relationship Id="rId197" Type="http://schemas.openxmlformats.org/officeDocument/2006/relationships/hyperlink" Target="https://www.eon.com/en/about-us/sustainability/strategy.html" TargetMode="External"/><Relationship Id="rId341" Type="http://schemas.openxmlformats.org/officeDocument/2006/relationships/hyperlink" Target="https://www.vinci.com/vinci.nsf/en/press-releases/pages/20200115-1745.htm" TargetMode="External"/><Relationship Id="rId362" Type="http://schemas.openxmlformats.org/officeDocument/2006/relationships/hyperlink" Target="https://www.vodafone.com/our-purpose/planet/reducing-emissions-in-our-operations" TargetMode="External"/><Relationship Id="rId383" Type="http://schemas.openxmlformats.org/officeDocument/2006/relationships/hyperlink" Target="https://nieuws.achmea.nl/achmea-werkt-in-2030-volledig-klimaatneutraal/" TargetMode="External"/><Relationship Id="rId418" Type="http://schemas.openxmlformats.org/officeDocument/2006/relationships/hyperlink" Target="https://www.environmentalleader.com/2020/02/jpmorgan-chase-renewable-energy-2020/" TargetMode="External"/><Relationship Id="rId439" Type="http://schemas.openxmlformats.org/officeDocument/2006/relationships/hyperlink" Target="https://www.mitsui.com/jp/en/sustainability/commitment/index.html" TargetMode="External"/><Relationship Id="rId201" Type="http://schemas.openxmlformats.org/officeDocument/2006/relationships/hyperlink" Target="https://www.marketscreener.com/BANCO-BRADESCO-55345296/news/Banco-Bradesco-Position-on-climate-change-29947447/" TargetMode="External"/><Relationship Id="rId222" Type="http://schemas.openxmlformats.org/officeDocument/2006/relationships/hyperlink" Target="https://www.bunge.com/sites/default/files/2018_gri_sustainability_report.pdf" TargetMode="External"/><Relationship Id="rId243" Type="http://schemas.openxmlformats.org/officeDocument/2006/relationships/hyperlink" Target="https://www.corporate-responsibility.dzbank.com/content/wertewelt/en/home/environmental_values/climate_strategy.html" TargetMode="External"/><Relationship Id="rId264" Type="http://schemas.openxmlformats.org/officeDocument/2006/relationships/hyperlink" Target="https://www.credit-suisse.com/about-us/en/our-company/corporate-responsibility/environment/greenhouse-gas-neutrality.html" TargetMode="External"/><Relationship Id="rId285" Type="http://schemas.openxmlformats.org/officeDocument/2006/relationships/hyperlink" Target="https://www.mazda-press.com/uk/news/2020/mazda-backs-carbon-neutral-biofuel-research/" TargetMode="External"/><Relationship Id="rId450" Type="http://schemas.openxmlformats.org/officeDocument/2006/relationships/hyperlink" Target="https://www.riotinto.com/en/news/releases/2020/Rio-Tinto-to-invest-1-billion-to-help-meet-new-climate-change-targets" TargetMode="External"/><Relationship Id="rId17" Type="http://schemas.openxmlformats.org/officeDocument/2006/relationships/hyperlink" Target="https://sustainability.aboutamazon.com/" TargetMode="External"/><Relationship Id="rId38" Type="http://schemas.openxmlformats.org/officeDocument/2006/relationships/hyperlink" Target="https://www.foxconn.com/s3/reports/CSR%E5%A0%B1%E5%91%8A%E6%9B%B8/%E8%8B%B1%E6%96%87%E7%89%88/2019%E9%B4%BB%E6%B5%B7%20CSR%20report_en.pdf" TargetMode="External"/><Relationship Id="rId59" Type="http://schemas.openxmlformats.org/officeDocument/2006/relationships/hyperlink" Target="https://pic.bankofchina.com/bocappd/report/202003/P020200327591091297029.pdf" TargetMode="External"/><Relationship Id="rId103" Type="http://schemas.openxmlformats.org/officeDocument/2006/relationships/hyperlink" Target="https://www.aviva.com/social-purpose/environment/" TargetMode="External"/><Relationship Id="rId124" Type="http://schemas.openxmlformats.org/officeDocument/2006/relationships/hyperlink" Target="https://petrobras.com.br/en/society-and-environment/environment/climate-changes/" TargetMode="External"/><Relationship Id="rId310" Type="http://schemas.openxmlformats.org/officeDocument/2006/relationships/hyperlink" Target="https://www.eon.com/en/about-us/sustainability/strategy.html" TargetMode="External"/><Relationship Id="rId70" Type="http://schemas.openxmlformats.org/officeDocument/2006/relationships/hyperlink" Target="https://www.thekrogerco.com/wp-content/uploads/2020/06/The-Kroger-Co_Greenhouse-Gas-Reduction-Goal_2020.pdf" TargetMode="External"/><Relationship Id="rId91" Type="http://schemas.openxmlformats.org/officeDocument/2006/relationships/hyperlink" Target="https://new.siemens.com/global/en/company/sustainability/decarbonization/carbonneutral.html" TargetMode="External"/><Relationship Id="rId145" Type="http://schemas.openxmlformats.org/officeDocument/2006/relationships/hyperlink" Target="https://www.metlife.com/sustainability/MetLife-sustainability/climate/" TargetMode="External"/><Relationship Id="rId166" Type="http://schemas.openxmlformats.org/officeDocument/2006/relationships/hyperlink" Target="https://s1.q4cdn.com/379746662/files/sustainability_reports/2020/FINAL-2019_Sustainability-Report_v3.pdf" TargetMode="External"/><Relationship Id="rId187" Type="http://schemas.openxmlformats.org/officeDocument/2006/relationships/hyperlink" Target="https://news.delta.com/delta-commits-1-billion-become-first-carbon-neutral-airline-globally" TargetMode="External"/><Relationship Id="rId331" Type="http://schemas.openxmlformats.org/officeDocument/2006/relationships/hyperlink" Target="https://www.sumitomocorp.com/en/jp/sustainability/environmental-management/climate" TargetMode="External"/><Relationship Id="rId352" Type="http://schemas.openxmlformats.org/officeDocument/2006/relationships/hyperlink" Target="https://s22.q4cdn.com/604986553/files/doc_downloads/sustainability/2020/07/v2/2019-Sustainability-Report.pdf" TargetMode="External"/><Relationship Id="rId373" Type="http://schemas.openxmlformats.org/officeDocument/2006/relationships/hyperlink" Target="https://www.repsol.com/en/press-room/press-releases/2019/repsol-will-be-a-net-zero-emissions-company-by-2050.cshtml" TargetMode="External"/><Relationship Id="rId394" Type="http://schemas.openxmlformats.org/officeDocument/2006/relationships/hyperlink" Target="https://www.adidas-group.com/en/sustainability/managing-sustainability/environmental-approach/" TargetMode="External"/><Relationship Id="rId408" Type="http://schemas.openxmlformats.org/officeDocument/2006/relationships/hyperlink" Target="http://www.vale.com/en/aboutvale/news/pages/vale-advances-on-the-climate-agenda-and-unveils-uss-2-billion-to-reduce-carbon-emissions-within-the-next-ten-years.aspx" TargetMode="External"/><Relationship Id="rId429" Type="http://schemas.openxmlformats.org/officeDocument/2006/relationships/hyperlink" Target="https://sustainability.aboutamazon.com/" TargetMode="External"/><Relationship Id="rId1" Type="http://schemas.openxmlformats.org/officeDocument/2006/relationships/hyperlink" Target="https://corporate.walmart.com/media-library/document/2018-global-responsibility-report/_proxyDocument?id=00000170-ac54-d808-a9f1-ac7e9d160000" TargetMode="External"/><Relationship Id="rId212" Type="http://schemas.openxmlformats.org/officeDocument/2006/relationships/hyperlink" Target="https://uk.gsk.com/en-gb/responsibility/our-planet/our-commitments/" TargetMode="External"/><Relationship Id="rId233" Type="http://schemas.openxmlformats.org/officeDocument/2006/relationships/hyperlink" Target="https://group.intesasanpaolo.com/en/sustainability/environment" TargetMode="External"/><Relationship Id="rId254" Type="http://schemas.openxmlformats.org/officeDocument/2006/relationships/hyperlink" Target="https://sustainabilityreport2019.abb.com/responsible-operations/climate-action.html" TargetMode="External"/><Relationship Id="rId440" Type="http://schemas.openxmlformats.org/officeDocument/2006/relationships/hyperlink" Target="https://www.unilever.com/news/press-releases/2020/unilever-sets-out-new-actions-to-fight-climate-change-and-protect-and-regenerate-nature-to-preserve-resources-for-future-generations.html" TargetMode="External"/><Relationship Id="rId28" Type="http://schemas.openxmlformats.org/officeDocument/2006/relationships/hyperlink" Target="https://www.mckesson.com/About-McKesson/Corporate-Citizenship/Environmental/" TargetMode="External"/><Relationship Id="rId49" Type="http://schemas.openxmlformats.org/officeDocument/2006/relationships/hyperlink" Target="https://www.cardinalhealth.com/en/about-us/corporate-citizenship/environmental-sustainability.html" TargetMode="External"/><Relationship Id="rId114" Type="http://schemas.openxmlformats.org/officeDocument/2006/relationships/hyperlink" Target="https://www.hitachi.com/environment/vision/low_carbon.html" TargetMode="External"/><Relationship Id="rId275" Type="http://schemas.openxmlformats.org/officeDocument/2006/relationships/hyperlink" Target="https://mediaroom.loreal.com/wp-content/uploads/2019/09/CP_ENG.pdf" TargetMode="External"/><Relationship Id="rId296" Type="http://schemas.openxmlformats.org/officeDocument/2006/relationships/hyperlink" Target="https://cdn.sunlife.com/static/Global/digital_media/MarCom/Sustainability/Sustainability-Report-2019-E.pdf" TargetMode="External"/><Relationship Id="rId300" Type="http://schemas.openxmlformats.org/officeDocument/2006/relationships/hyperlink" Target="https://m.kbfg.com/Eng/about/sustainability/sustainability.jsp" TargetMode="External"/><Relationship Id="rId461" Type="http://schemas.openxmlformats.org/officeDocument/2006/relationships/hyperlink" Target="https://www.iairgroup.com/~/media/Files/I/IAG/documents/IAG%20Annual%20report%20and%20accounts%202019.pdf" TargetMode="External"/><Relationship Id="rId60" Type="http://schemas.openxmlformats.org/officeDocument/2006/relationships/hyperlink" Target="https://www.verizon.com/about/news/verizon-goes-carbon-neutral-2035" TargetMode="External"/><Relationship Id="rId81" Type="http://schemas.openxmlformats.org/officeDocument/2006/relationships/hyperlink" Target="https://s3-us-west-2.amazonaws.com/ungc-production/attachments/cop_2019/476044/original/CNOOC_2018_Sustainability_Report.pdf?1561717781" TargetMode="External"/><Relationship Id="rId135" Type="http://schemas.openxmlformats.org/officeDocument/2006/relationships/hyperlink" Target="https://s21.q4cdn.com/600692695/files/doc_financials/2019/Final-2020-Proxy-Statement.pdf" TargetMode="External"/><Relationship Id="rId156" Type="http://schemas.openxmlformats.org/officeDocument/2006/relationships/hyperlink" Target="https://www.uniper.energy/news/uniper-surpasses-2019-financial-targets-and-aims-for-climate-neutral-power-generation-in-europe-by-2035/" TargetMode="External"/><Relationship Id="rId177" Type="http://schemas.openxmlformats.org/officeDocument/2006/relationships/hyperlink" Target="https://sustainability.lockheedmartin.com/sustainability/downloads/Lockheed_Martin_Sustainability_Report_Full_2019.pdf" TargetMode="External"/><Relationship Id="rId198" Type="http://schemas.openxmlformats.org/officeDocument/2006/relationships/hyperlink" Target="https://www.aacargo.com/about/safeguarding-green-future.html" TargetMode="External"/><Relationship Id="rId321" Type="http://schemas.openxmlformats.org/officeDocument/2006/relationships/hyperlink" Target="https://www.talanx.com/en/newsroom/press_articles/talanx_signs_up_to_un_pri" TargetMode="External"/><Relationship Id="rId342" Type="http://schemas.openxmlformats.org/officeDocument/2006/relationships/hyperlink" Target="https://www.auchan-holding.com/uploads/files/modules/downloads/1554287337_5ca48ae9c5191.pdf" TargetMode="External"/><Relationship Id="rId363" Type="http://schemas.openxmlformats.org/officeDocument/2006/relationships/hyperlink" Target="https://pr.kia.com/en/company/sustainability/eco-friendly-operation/eco-friendly.do" TargetMode="External"/><Relationship Id="rId384" Type="http://schemas.openxmlformats.org/officeDocument/2006/relationships/hyperlink" Target="https://www.mapfre.com/en/strategy/" TargetMode="External"/><Relationship Id="rId419" Type="http://schemas.openxmlformats.org/officeDocument/2006/relationships/hyperlink" Target="https://www.lloydsbankinggroup.com/globalassets/documents/our-group/responsibility/sustainability-risk-management/lloyds-banking-group-environmental-statement_final_mar20-v2.pdf" TargetMode="External"/><Relationship Id="rId202" Type="http://schemas.openxmlformats.org/officeDocument/2006/relationships/hyperlink" Target="http://www.pegatroncorp.com/files/backend/csr_file/2018_CSR_Annual_Report.pdf" TargetMode="External"/><Relationship Id="rId223" Type="http://schemas.openxmlformats.org/officeDocument/2006/relationships/hyperlink" Target="http://www.yankuanggroup.com.cn/node_6404.htm" TargetMode="External"/><Relationship Id="rId244" Type="http://schemas.openxmlformats.org/officeDocument/2006/relationships/hyperlink" Target="https://www.maersk.com/news/articles/2020/07/21/nine-leading-businesses-launch-new-initiative-to-accelerate-progress-to-a-net-zero-future" TargetMode="External"/><Relationship Id="rId430" Type="http://schemas.openxmlformats.org/officeDocument/2006/relationships/hyperlink" Target="https://global.toyota/pages/global_toyota/sustainability/report/er/er19_en.pdf" TargetMode="External"/><Relationship Id="rId18" Type="http://schemas.openxmlformats.org/officeDocument/2006/relationships/hyperlink" Target="https://uk.reuters.com/article/us-amazon-environment/amazon-vows-to-be-carbon-neutral-by-2040-buying-100000-electric-vans-idUKKBN1W41ZV" TargetMode="External"/><Relationship Id="rId39" Type="http://schemas.openxmlformats.org/officeDocument/2006/relationships/hyperlink" Target="https://www.foxconn.com/s3/reports/CSR%E5%A0%B1%E5%91%8A%E6%9B%B8/%E8%8B%B1%E6%96%87%E7%89%88/2019%E9%B4%BB%E6%B5%B7%20CSR%20report_en.pdf" TargetMode="External"/><Relationship Id="rId265" Type="http://schemas.openxmlformats.org/officeDocument/2006/relationships/hyperlink" Target="https://www.newswire.ca/news-releases/scotiabank-to-mobilize-100-billion-by-2025-to-support-the-transition-to-a-lower-carbon-and-more-resilient-economy-818158127.html" TargetMode="External"/><Relationship Id="rId286" Type="http://schemas.openxmlformats.org/officeDocument/2006/relationships/hyperlink" Target="https://www.toshibatec.co.uk/assets/brochures/BR_Carbon%20Zero_1019.pdf" TargetMode="External"/><Relationship Id="rId451" Type="http://schemas.openxmlformats.org/officeDocument/2006/relationships/hyperlink" Target="https://docs.mandg.com/docs/UK/Adviser/MandG-approach-to-climate-change.pdf" TargetMode="External"/><Relationship Id="rId50" Type="http://schemas.openxmlformats.org/officeDocument/2006/relationships/hyperlink" Target="https://global.honda/content/dam/site/global/about/cq_img/sustainability/report/pdf/2020/Honda-SR-2020-en-053-079.pdf" TargetMode="External"/><Relationship Id="rId104" Type="http://schemas.openxmlformats.org/officeDocument/2006/relationships/hyperlink" Target="https://www.santander.com/en/press-room/press-releases/santander-commits-to-becoming-carbon-neutral-in-2020" TargetMode="External"/><Relationship Id="rId125" Type="http://schemas.openxmlformats.org/officeDocument/2006/relationships/hyperlink" Target="https://www.boeing.com/principles/environment/index.page" TargetMode="External"/><Relationship Id="rId146" Type="http://schemas.openxmlformats.org/officeDocument/2006/relationships/hyperlink" Target="https://thewaltdisneycompany.com/environmental-sustainability/" TargetMode="External"/><Relationship Id="rId167" Type="http://schemas.openxmlformats.org/officeDocument/2006/relationships/hyperlink" Target="https://www.adm.com/sustainability" TargetMode="External"/><Relationship Id="rId188" Type="http://schemas.openxmlformats.org/officeDocument/2006/relationships/hyperlink" Target="https://www.ebchinaintl.com/en/ir/press_content-p181107.html" TargetMode="External"/><Relationship Id="rId311" Type="http://schemas.openxmlformats.org/officeDocument/2006/relationships/hyperlink" Target="https://www.media.volvocars.com/global/en-gb/media/pressreleases/259147/volvo-cars-to-radically-reduce-carbon-emissions-as-part-of-new-ambitious-climate-plan" TargetMode="External"/><Relationship Id="rId332" Type="http://schemas.openxmlformats.org/officeDocument/2006/relationships/hyperlink" Target="https://www.aisin.com/csr/environment/carbon/" TargetMode="External"/><Relationship Id="rId353" Type="http://schemas.openxmlformats.org/officeDocument/2006/relationships/hyperlink" Target="https://www.cisco.com/c/dam/m/en_us/about/csr/csr-report/2019/_pdf/csr-report-2019.pdf" TargetMode="External"/><Relationship Id="rId374" Type="http://schemas.openxmlformats.org/officeDocument/2006/relationships/hyperlink" Target="https://www.ms-ad-hd.com/en/csr/summary/kpi.html" TargetMode="External"/><Relationship Id="rId395" Type="http://schemas.openxmlformats.org/officeDocument/2006/relationships/hyperlink" Target="https://www.omv.com/en/about-us/energy/omv-and-the-climate" TargetMode="External"/><Relationship Id="rId409" Type="http://schemas.openxmlformats.org/officeDocument/2006/relationships/hyperlink" Target="https://static.nationwide.com/media/2019%20Environmental%20Responsibility%20Report_tcm826-257815.pdf?r=6" TargetMode="External"/><Relationship Id="rId71" Type="http://schemas.openxmlformats.org/officeDocument/2006/relationships/hyperlink" Target="https://www.gazprom.com/f/posts/64/716836/investor-day-2020-presentation.pdf" TargetMode="External"/><Relationship Id="rId92" Type="http://schemas.openxmlformats.org/officeDocument/2006/relationships/hyperlink" Target="https://www.rosneft.com/upload/site2/document_file/Rosneft_CSR2019_ENG.pdf" TargetMode="External"/><Relationship Id="rId213" Type="http://schemas.openxmlformats.org/officeDocument/2006/relationships/hyperlink" Target="https://investors.dow.com/en/news/news-details/2020/Dow-sets-targets-to-reduce-GHG-emissions-stop-plastic-waste-and-drive-toward-a-circular-economy/default.aspx" TargetMode="External"/><Relationship Id="rId234" Type="http://schemas.openxmlformats.org/officeDocument/2006/relationships/hyperlink" Target="https://www.edeka.de/nachhaltigkeit/unsere-wwf-partnerschaft/die-partnerschaft/intro.jsp" TargetMode="External"/><Relationship Id="rId420" Type="http://schemas.openxmlformats.org/officeDocument/2006/relationships/hyperlink" Target="https://stories.starbucks.com/stories/2020/2019-report-leading-in-sustainability/" TargetMode="External"/><Relationship Id="rId2" Type="http://schemas.openxmlformats.org/officeDocument/2006/relationships/hyperlink" Target="https://corporate.walmart.com/media-library/document/2018-global-responsibility-report/_proxyDocument?id=00000170-ac54-d808-a9f1-ac7e9d160000" TargetMode="External"/><Relationship Id="rId29" Type="http://schemas.openxmlformats.org/officeDocument/2006/relationships/hyperlink" Target="https://www.glencore.com/dam:jcr/5e2559a7-3f43-4d3d-8205-c162c7f33b94/2018+Our+approach+to+sustainability.pdf" TargetMode="External"/><Relationship Id="rId255" Type="http://schemas.openxmlformats.org/officeDocument/2006/relationships/hyperlink" Target="https://www.ing.com/Sustainability/Our-own-operations.htm" TargetMode="External"/><Relationship Id="rId276" Type="http://schemas.openxmlformats.org/officeDocument/2006/relationships/hyperlink" Target="https://www.bat.com/environment" TargetMode="External"/><Relationship Id="rId297" Type="http://schemas.openxmlformats.org/officeDocument/2006/relationships/hyperlink" Target="https://www.angloamerican.com/sustainability/environment/climate-change" TargetMode="External"/><Relationship Id="rId441" Type="http://schemas.openxmlformats.org/officeDocument/2006/relationships/hyperlink" Target="https://www.telefonica.com/en/web/press-office/-/telefonica-s-contribution-to-a-green-recovery" TargetMode="External"/><Relationship Id="rId462" Type="http://schemas.openxmlformats.org/officeDocument/2006/relationships/hyperlink" Target="https://www.danone.com/content/dam/danone-corp/danone-com/about-us-impact/policies-and-commitments/en/2016/2016_05_18_ClimatePolicyFullVersion.pdf" TargetMode="External"/><Relationship Id="rId40" Type="http://schemas.openxmlformats.org/officeDocument/2006/relationships/hyperlink" Target="https://www.exor.com/sites/default/files/2020/document-documents/EXOR%202019%20ANNUAL%20REPORT_0.pdf" TargetMode="External"/><Relationship Id="rId115" Type="http://schemas.openxmlformats.org/officeDocument/2006/relationships/hyperlink" Target="https://www.edf.fr/en/the-edf-group/our-commitments/corporate-social-responsibility/doing-even-more-to-reduce-co2-emissions" TargetMode="External"/><Relationship Id="rId136" Type="http://schemas.openxmlformats.org/officeDocument/2006/relationships/hyperlink" Target="http://csrreportbuilder.intel.com/pdfbuilder/pdfs/CSR-2019-20-Full-Report.pdf" TargetMode="External"/><Relationship Id="rId157" Type="http://schemas.openxmlformats.org/officeDocument/2006/relationships/hyperlink" Target="https://www.metlife.com/sustainability/MetLife-sustainability/climate/energy-emissions/" TargetMode="External"/><Relationship Id="rId178" Type="http://schemas.openxmlformats.org/officeDocument/2006/relationships/hyperlink" Target="https://www.7andi.com/en/csr/policy/environment_02.html" TargetMode="External"/><Relationship Id="rId301" Type="http://schemas.openxmlformats.org/officeDocument/2006/relationships/hyperlink" Target="https://sustainability.suncor.com/en?_ga=2.55463087.58629952.1597325125-170633671.1597325125" TargetMode="External"/><Relationship Id="rId322" Type="http://schemas.openxmlformats.org/officeDocument/2006/relationships/hyperlink" Target="https://corporate.bestbuy.com/sustainability/" TargetMode="External"/><Relationship Id="rId343" Type="http://schemas.openxmlformats.org/officeDocument/2006/relationships/hyperlink" Target="https://www.cnp.fr/en/the-cnp-assurances-group/csr-commitments/commitment-to-the-climate" TargetMode="External"/><Relationship Id="rId364" Type="http://schemas.openxmlformats.org/officeDocument/2006/relationships/hyperlink" Target="https://www.continental.com/en/press/press-releases/continental-press-conference-iaa-2019-186292" TargetMode="External"/><Relationship Id="rId61" Type="http://schemas.openxmlformats.org/officeDocument/2006/relationships/hyperlink" Target="https://www.verizon.com/about/news/verizon-goes-carbon-neutral-2035" TargetMode="External"/><Relationship Id="rId82" Type="http://schemas.openxmlformats.org/officeDocument/2006/relationships/hyperlink" Target="https://www.chinamobileltd.com/en/ir/reports/ar2019/sd2019.pdf" TargetMode="External"/><Relationship Id="rId199" Type="http://schemas.openxmlformats.org/officeDocument/2006/relationships/hyperlink" Target="https://www.bhp.com/environment/climate-change/" TargetMode="External"/><Relationship Id="rId203" Type="http://schemas.openxmlformats.org/officeDocument/2006/relationships/hyperlink" Target="http://www.pegatroncorp.com/files/backend/csr_file/2018_CSR_Annual_Report.pdf" TargetMode="External"/><Relationship Id="rId385" Type="http://schemas.openxmlformats.org/officeDocument/2006/relationships/hyperlink" Target="https://www.usbank.com/about-us-bank/community/sustainability.html" TargetMode="External"/><Relationship Id="rId19" Type="http://schemas.openxmlformats.org/officeDocument/2006/relationships/hyperlink" Target="https://global.toyota/pages/global_toyota/sustainability/report/er/er19_en.pdf" TargetMode="External"/><Relationship Id="rId224" Type="http://schemas.openxmlformats.org/officeDocument/2006/relationships/hyperlink" Target="https://corpo.metro.ca/en/corporate-social-responsibility.html" TargetMode="External"/><Relationship Id="rId245" Type="http://schemas.openxmlformats.org/officeDocument/2006/relationships/hyperlink" Target="https://news.nike.com/news/nike-move-to-zero-climate-change-initiative" TargetMode="External"/><Relationship Id="rId266" Type="http://schemas.openxmlformats.org/officeDocument/2006/relationships/hyperlink" Target="https://www.aisin.com/csr/environment/carbon/" TargetMode="External"/><Relationship Id="rId287" Type="http://schemas.openxmlformats.org/officeDocument/2006/relationships/hyperlink" Target="https://news.sap.com/2017/05/sap-to-go-carbon-neutral-by-2025/" TargetMode="External"/><Relationship Id="rId410" Type="http://schemas.openxmlformats.org/officeDocument/2006/relationships/hyperlink" Target="https://www.hyundai.com/content/dam/hyundai/ww/en/images/company/sustainability/about-sustainability/hmc-2020-sustainability-report-en-v2.pdf" TargetMode="External"/><Relationship Id="rId431" Type="http://schemas.openxmlformats.org/officeDocument/2006/relationships/hyperlink" Target="https://www.total.com/media/news/total-adopts-new-climate-ambition-get-net-zero-2050" TargetMode="External"/><Relationship Id="rId452" Type="http://schemas.openxmlformats.org/officeDocument/2006/relationships/hyperlink" Target="https://www.maersk.com/news/articles/2019/06/26/towards-a-zero-carbon-future" TargetMode="External"/><Relationship Id="rId30" Type="http://schemas.openxmlformats.org/officeDocument/2006/relationships/hyperlink" Target="https://images.samsung.com/is/content/samsung/p5/uk/aboutsamsung/pdf/Sustainability_report_2020_en_F.pdf" TargetMode="External"/><Relationship Id="rId105" Type="http://schemas.openxmlformats.org/officeDocument/2006/relationships/hyperlink" Target="https://www.santander.com/en/press-room/press-releases/santander-commits-to-becoming-carbon-neutral-in-2020" TargetMode="External"/><Relationship Id="rId126" Type="http://schemas.openxmlformats.org/officeDocument/2006/relationships/hyperlink" Target="https://www.sony.net/SonyInfo/csr/eco/RoadToZero/gm_en.html" TargetMode="External"/><Relationship Id="rId147" Type="http://schemas.openxmlformats.org/officeDocument/2006/relationships/hyperlink" Target="https://www.panasonic.com/global/corporate/sustainability/eco/vision.html" TargetMode="External"/><Relationship Id="rId168" Type="http://schemas.openxmlformats.org/officeDocument/2006/relationships/hyperlink" Target="https://www.equinor.com/en/how-and-why/climate.html" TargetMode="External"/><Relationship Id="rId312" Type="http://schemas.openxmlformats.org/officeDocument/2006/relationships/hyperlink" Target="https://apicatalog.mziq.com/filemanager/v2/d/5760dff3-15e1-4962-9e81-322a0b3d0bbd/977f3853-0277-a712-6d3f-9ea407621e0a?origin=2" TargetMode="External"/><Relationship Id="rId333" Type="http://schemas.openxmlformats.org/officeDocument/2006/relationships/hyperlink" Target="https://www.groupelaposte.com/en/article/carbon-neutrality-the-key-figures" TargetMode="External"/><Relationship Id="rId354" Type="http://schemas.openxmlformats.org/officeDocument/2006/relationships/hyperlink" Target="https://www.bayer.com/en/climate-protection.aspx" TargetMode="External"/><Relationship Id="rId51" Type="http://schemas.openxmlformats.org/officeDocument/2006/relationships/hyperlink" Target="https://global.honda/content/dam/site/global/about/cq_img/sustainability/report/pdf/2020/Honda-SR-2020-en-053-079.pdf" TargetMode="External"/><Relationship Id="rId72" Type="http://schemas.openxmlformats.org/officeDocument/2006/relationships/hyperlink" Target="https://www.bmwgroup.com/content/dam/grpw/websites/bmwgroup_com/responsibility/downloads/en/2020/2020-BMW-Group-SVR-2019-Englisch.pdf" TargetMode="External"/><Relationship Id="rId93" Type="http://schemas.openxmlformats.org/officeDocument/2006/relationships/hyperlink" Target="https://www.ge.com/sites/default/files/GEA19007_Climate_Change_Statement_r3.pdf" TargetMode="External"/><Relationship Id="rId189" Type="http://schemas.openxmlformats.org/officeDocument/2006/relationships/hyperlink" Target="https://www.bbva.com/en/as-of-january-1st-bbva-set-an-internal-price-for-its-co2-emissions-and-commits-to-being-carbon-neutral-in-2020/" TargetMode="External"/><Relationship Id="rId375" Type="http://schemas.openxmlformats.org/officeDocument/2006/relationships/hyperlink" Target="https://www.orange.com/en/Human-Inside/Our-commitment-to-society/pages/Environmental-commitment-Orange-vows-to-be-carbon-neutral-by-2040" TargetMode="External"/><Relationship Id="rId396" Type="http://schemas.openxmlformats.org/officeDocument/2006/relationships/hyperlink" Target="https://www.adeccogroup.com/sustainability/environmental-responsibility/" TargetMode="External"/><Relationship Id="rId3" Type="http://schemas.openxmlformats.org/officeDocument/2006/relationships/hyperlink" Target="http://www.sinopecgroup.com/group/en/socialresponsibility/Premium/" TargetMode="External"/><Relationship Id="rId214" Type="http://schemas.openxmlformats.org/officeDocument/2006/relationships/hyperlink" Target="https://investors.dow.com/en/news/news-details/2020/Dow-sets-targets-to-reduce-GHG-emissions-stop-plastic-waste-and-drive-toward-a-circular-economy/default.aspx" TargetMode="External"/><Relationship Id="rId235" Type="http://schemas.openxmlformats.org/officeDocument/2006/relationships/hyperlink" Target="https://www.fresenius.com/financial_reporting/Fresenius_Group_Non_Financial_Report_2019.pdf" TargetMode="External"/><Relationship Id="rId256" Type="http://schemas.openxmlformats.org/officeDocument/2006/relationships/hyperlink" Target="https://www.ing.com/Sustainability/The-world-around-us-1/Reporting.htm" TargetMode="External"/><Relationship Id="rId277" Type="http://schemas.openxmlformats.org/officeDocument/2006/relationships/hyperlink" Target="https://global.canon/en/csr/report/pdf/canon-sus-2019-e-18.pdf" TargetMode="External"/><Relationship Id="rId298" Type="http://schemas.openxmlformats.org/officeDocument/2006/relationships/hyperlink" Target="https://www.pmi.com/sustainability/climate-change" TargetMode="External"/><Relationship Id="rId400" Type="http://schemas.openxmlformats.org/officeDocument/2006/relationships/hyperlink" Target="https://s22.q4cdn.com/604986553/files/doc_downloads/sustainability/2020/07/v2/2019-Sustainability-Report.pdf" TargetMode="External"/><Relationship Id="rId421" Type="http://schemas.openxmlformats.org/officeDocument/2006/relationships/hyperlink" Target="https://www.swissre.com/sustainability/footprint/greenhouse-neutral-programme.html" TargetMode="External"/><Relationship Id="rId442" Type="http://schemas.openxmlformats.org/officeDocument/2006/relationships/hyperlink" Target="http://www.lgnewsroom.com/2019/05/lg-commits-to-carbon-neutrality-by-2030/" TargetMode="External"/><Relationship Id="rId463" Type="http://schemas.openxmlformats.org/officeDocument/2006/relationships/hyperlink" Target="https://www.omv.com/en/about-us/energy/omv-and-the-climate" TargetMode="External"/><Relationship Id="rId116" Type="http://schemas.openxmlformats.org/officeDocument/2006/relationships/hyperlink" Target="https://www.edf.fr/en/the-edf-group/our-commitments/corporate-social-responsibility/doing-even-more-to-reduce-co2-emissions" TargetMode="External"/><Relationship Id="rId137" Type="http://schemas.openxmlformats.org/officeDocument/2006/relationships/hyperlink" Target="https://www.zurich.com/en/sustainability/our-role-in-society/climate-change/minimizing-our-environmental-footprint" TargetMode="External"/><Relationship Id="rId158" Type="http://schemas.openxmlformats.org/officeDocument/2006/relationships/hyperlink" Target="https://www.norincogroup.com.cn/" TargetMode="External"/><Relationship Id="rId302" Type="http://schemas.openxmlformats.org/officeDocument/2006/relationships/hyperlink" Target="https://www.bmo.com/cr/images/BMO_CDP2011en.pdf" TargetMode="External"/><Relationship Id="rId323" Type="http://schemas.openxmlformats.org/officeDocument/2006/relationships/hyperlink" Target="https://hub.united.com/united-cleaner-future-emissions-biofuel--2604671268.html" TargetMode="External"/><Relationship Id="rId344" Type="http://schemas.openxmlformats.org/officeDocument/2006/relationships/hyperlink" Target="https://www.telefonica.com/es/web/press-office/-/telefonica-s-contribution-to-a-green-recovery" TargetMode="External"/><Relationship Id="rId20" Type="http://schemas.openxmlformats.org/officeDocument/2006/relationships/hyperlink" Target="https://global.toyota/en/sustainability/esg/challenge2050/" TargetMode="External"/><Relationship Id="rId41" Type="http://schemas.openxmlformats.org/officeDocument/2006/relationships/hyperlink" Target="https://media.ford.com/content/fordmedia/fna/us/en/news/2020/06/24/ford-expands-climate-change-goals.html" TargetMode="External"/><Relationship Id="rId62" Type="http://schemas.openxmlformats.org/officeDocument/2006/relationships/hyperlink" Target="https://www.allianz.com/content/dam/onemarketing/azcom/Allianz_com/sustainability/documents/Allianz_Group_Sustainability_Report_2019-web.pdf" TargetMode="External"/><Relationship Id="rId83" Type="http://schemas.openxmlformats.org/officeDocument/2006/relationships/hyperlink" Target="https://www.generali.com/it/our-responsibilities/our-commitment-to-the-environment-and-climate/greenhouse-gas-emissions" TargetMode="External"/><Relationship Id="rId179" Type="http://schemas.openxmlformats.org/officeDocument/2006/relationships/hyperlink" Target="https://corpo.couche-tard.com/rapport-EN/" TargetMode="External"/><Relationship Id="rId365" Type="http://schemas.openxmlformats.org/officeDocument/2006/relationships/hyperlink" Target="https://ib.deutschebahn.com/ib2018/en/group-management-report/environmental/our-aspiration-for-climate-noise-and-nature-conservation/" TargetMode="External"/><Relationship Id="rId386" Type="http://schemas.openxmlformats.org/officeDocument/2006/relationships/hyperlink" Target="https://www.unicreditgroup.eu/en/press-media/press-releases/2019/unicredit-announces-new-esg-targets-as-part-of-a-long-term-commi.html" TargetMode="External"/><Relationship Id="rId190" Type="http://schemas.openxmlformats.org/officeDocument/2006/relationships/hyperlink" Target="https://ir.charter.com/corporate-responsibility-report" TargetMode="External"/><Relationship Id="rId204" Type="http://schemas.openxmlformats.org/officeDocument/2006/relationships/hyperlink" Target="https://www.newyorklife.com/redirect?adobe_mc_sdid=SDID%253D10E4475D64A37D33-6809318BB7ED09B5%257CMCORGID%253DA0F6525A5492CD900A4C98C6%2540AdobeOrg%257CTS%253D1597146037&amp;adobe_mc_ref=https%253A%252F%252Fwww.google.com%252F" TargetMode="External"/><Relationship Id="rId225" Type="http://schemas.openxmlformats.org/officeDocument/2006/relationships/hyperlink" Target="https://docs.mandg.com/docs/UK/Adviser/MandG-approach-to-climate-change.pdf" TargetMode="External"/><Relationship Id="rId246" Type="http://schemas.openxmlformats.org/officeDocument/2006/relationships/hyperlink" Target="https://www.progressive.com/about/corporate-responsibility/environment/" TargetMode="External"/><Relationship Id="rId267" Type="http://schemas.openxmlformats.org/officeDocument/2006/relationships/hyperlink" Target="https://www.lyondellbasell.com/en/sustainability/environment/energy-and-greenhouse-gases/" TargetMode="External"/><Relationship Id="rId288" Type="http://schemas.openxmlformats.org/officeDocument/2006/relationships/hyperlink" Target="https://www.subaru.co.jp/en/csr/report/pdf/2019/csr_report_2019_all.pdf" TargetMode="External"/><Relationship Id="rId411" Type="http://schemas.openxmlformats.org/officeDocument/2006/relationships/hyperlink" Target="https://www.danone.com/content/dam/danone-corp/danone-com/about-us-impact/policies-and-commitments/en/2016/2016_05_18_ClimatePolicyFullVersion.pdf" TargetMode="External"/><Relationship Id="rId432" Type="http://schemas.openxmlformats.org/officeDocument/2006/relationships/hyperlink" Target="https://www.apple.com/uk/environment/" TargetMode="External"/><Relationship Id="rId453" Type="http://schemas.openxmlformats.org/officeDocument/2006/relationships/hyperlink" Target="https://home.barclays/society/our-position-on-climate-change/" TargetMode="External"/><Relationship Id="rId106" Type="http://schemas.openxmlformats.org/officeDocument/2006/relationships/hyperlink" Target="https://www.bosch.com/company/sustainability/environment/" TargetMode="External"/><Relationship Id="rId127" Type="http://schemas.openxmlformats.org/officeDocument/2006/relationships/hyperlink" Target="https://www.sony.net/SonyInfo/csr/eco/RoadToZero/gm_en.html" TargetMode="External"/><Relationship Id="rId313" Type="http://schemas.openxmlformats.org/officeDocument/2006/relationships/hyperlink" Target="https://apicatalog.mziq.com/filemanager/v2/d/5760dff3-15e1-4962-9e81-322a0b3d0bbd/977f3853-0277-a712-6d3f-9ea407621e0a?origin=2" TargetMode="External"/><Relationship Id="rId10" Type="http://schemas.openxmlformats.org/officeDocument/2006/relationships/hyperlink" Target="https://www.saudiaramco.com/en/making-a-difference/planet/carbon-capture-utilization-and-storage" TargetMode="External"/><Relationship Id="rId31" Type="http://schemas.openxmlformats.org/officeDocument/2006/relationships/hyperlink" Target="https://www.daimler.com/sustainability/co2-neutral-commercial-vehicle-fleet-until-2039.html" TargetMode="External"/><Relationship Id="rId52" Type="http://schemas.openxmlformats.org/officeDocument/2006/relationships/hyperlink" Target="https://impact.jpmorganchase.com/impact/sustainability" TargetMode="External"/><Relationship Id="rId73" Type="http://schemas.openxmlformats.org/officeDocument/2006/relationships/hyperlink" Target="https://www.lukoil.com/InvestorAndShareholderCenter/ReportsAndPresentations/SustainabilityReport" TargetMode="External"/><Relationship Id="rId94" Type="http://schemas.openxmlformats.org/officeDocument/2006/relationships/hyperlink" Target="http://en.crc.com.cn/whatwebelieve/OurResponsibility_new/newenvironment/" TargetMode="External"/><Relationship Id="rId148" Type="http://schemas.openxmlformats.org/officeDocument/2006/relationships/hyperlink" Target="https://www.shell.com/energy-and-innovation/the-energy-future/what-is-shells-net-carbon-footprint-ambition/faq.html" TargetMode="External"/><Relationship Id="rId169" Type="http://schemas.openxmlformats.org/officeDocument/2006/relationships/hyperlink" Target="https://www.equinor.com/en/how-and-why/climate.html" TargetMode="External"/><Relationship Id="rId334" Type="http://schemas.openxmlformats.org/officeDocument/2006/relationships/hyperlink" Target="https://www.actions-not-words.ch/en/sustainability-topics/conservation/energy-and-climate.html" TargetMode="External"/><Relationship Id="rId355" Type="http://schemas.openxmlformats.org/officeDocument/2006/relationships/hyperlink" Target="https://pfe-pfizercom-d8-prod.s3.amazonaws.com/responsibility/protecting_environment/Pfizer_Climate_Change_Position_Statement.pdf" TargetMode="External"/><Relationship Id="rId376" Type="http://schemas.openxmlformats.org/officeDocument/2006/relationships/hyperlink" Target="https://www.orange.com/en/content/download/53245/1470807/version/11/file/PR_Orange_Engage2025_EN_041219.pdf" TargetMode="External"/><Relationship Id="rId397" Type="http://schemas.openxmlformats.org/officeDocument/2006/relationships/hyperlink" Target="https://www.nokia.com/about-us/sustainability/combatting-climate-change/our-operations/" TargetMode="External"/><Relationship Id="rId4" Type="http://schemas.openxmlformats.org/officeDocument/2006/relationships/hyperlink" Target="http://www.sinopecgroup.com/group/en/socialresponsibility/Premium/" TargetMode="External"/><Relationship Id="rId180" Type="http://schemas.openxmlformats.org/officeDocument/2006/relationships/hyperlink" Target="https://www8.hp.com/h20195/v2/GetPDF.aspx/c06601778.pdf" TargetMode="External"/><Relationship Id="rId215" Type="http://schemas.openxmlformats.org/officeDocument/2006/relationships/hyperlink" Target="https://www.bouygues-construction.com/en/page-engagement/carbon-energy" TargetMode="External"/><Relationship Id="rId236" Type="http://schemas.openxmlformats.org/officeDocument/2006/relationships/hyperlink" Target="https://www.daiwahouse.com/sustainable/csr/pdfs/2019/en_Sustainability_All.pdf" TargetMode="External"/><Relationship Id="rId257" Type="http://schemas.openxmlformats.org/officeDocument/2006/relationships/hyperlink" Target="https://www.about.sainsburys.co.uk/news/latest-news/2020/28-01-20-net-zero" TargetMode="External"/><Relationship Id="rId278" Type="http://schemas.openxmlformats.org/officeDocument/2006/relationships/hyperlink" Target="https://www.slb.com/newsroom/press-release/2019/pr-2019-1219-slb-gs-sbti" TargetMode="External"/><Relationship Id="rId401" Type="http://schemas.openxmlformats.org/officeDocument/2006/relationships/hyperlink" Target="http://www.rbc.com/community-sustainability/_assets-custom/pdf/RBC-Climate-Blueprint.pdf" TargetMode="External"/><Relationship Id="rId422" Type="http://schemas.openxmlformats.org/officeDocument/2006/relationships/hyperlink" Target="https://www.ubs.com/global/en/ubs-society/our-stories/2020/climate.html" TargetMode="External"/><Relationship Id="rId443" Type="http://schemas.openxmlformats.org/officeDocument/2006/relationships/hyperlink" Target="https://s22.q4cdn.com/604986553/files/doc_downloads/sustainability/2020/07/v2/2019-Sustainability-Report.pdf" TargetMode="External"/><Relationship Id="rId464" Type="http://schemas.openxmlformats.org/officeDocument/2006/relationships/hyperlink" Target="https://www.fujitsu.com/global/microsite/fujitsu-climate-and-energy-vision/" TargetMode="External"/><Relationship Id="rId303" Type="http://schemas.openxmlformats.org/officeDocument/2006/relationships/hyperlink" Target="https://press.hp.com/us/en/press-releases/2017/hp-commits-to-reduce-greenhouse-gas-emissions-from-its-global-op.html" TargetMode="External"/><Relationship Id="rId42" Type="http://schemas.openxmlformats.org/officeDocument/2006/relationships/hyperlink" Target="http://www.ccb.com/en/newinvestor/upload/20190328_1553704880/20190328003858392277.pdf" TargetMode="External"/><Relationship Id="rId84" Type="http://schemas.openxmlformats.org/officeDocument/2006/relationships/hyperlink" Target="https://www.ca-cib.com/about-us/committed-and-responsible/management-of-our-direct-environmental-impact" TargetMode="External"/><Relationship Id="rId138" Type="http://schemas.openxmlformats.org/officeDocument/2006/relationships/hyperlink" Target="https://www.zurich.com/en/sustainability/our-role-in-society/climate-change/minimizing-our-environmental-footprint" TargetMode="External"/><Relationship Id="rId345" Type="http://schemas.openxmlformats.org/officeDocument/2006/relationships/hyperlink" Target="https://www.telefonica.com/en/web/responsible-business/environment/energy-and-climate-change-2" TargetMode="External"/><Relationship Id="rId387" Type="http://schemas.openxmlformats.org/officeDocument/2006/relationships/hyperlink" Target="https://www.jreast.co.jp/e/environment/pdf_2019/p094-099.pdf" TargetMode="External"/><Relationship Id="rId191" Type="http://schemas.openxmlformats.org/officeDocument/2006/relationships/hyperlink" Target="https://www.media.volvocars.com/global/en-gb/media/pressreleases/259147/volvo-cars-to-radically-reduce-carbon-emissions-as-part-of-new-ambitious-climate-plan" TargetMode="External"/><Relationship Id="rId205" Type="http://schemas.openxmlformats.org/officeDocument/2006/relationships/hyperlink" Target="https://www.talanx.com/en/newsroom/press_articles/talanx_signs_up_to_un_pri" TargetMode="External"/><Relationship Id="rId247" Type="http://schemas.openxmlformats.org/officeDocument/2006/relationships/hyperlink" Target="https://home.barclays/society/our-position-on-climate-change/" TargetMode="External"/><Relationship Id="rId412" Type="http://schemas.openxmlformats.org/officeDocument/2006/relationships/hyperlink" Target="https://www.citigroup.com/citi/about/esg/download/2019/Global-ESG-Report-2019.pdf?ieNocache=118" TargetMode="External"/><Relationship Id="rId107" Type="http://schemas.openxmlformats.org/officeDocument/2006/relationships/hyperlink" Target="https://www.bosch.com/company/sustainability/environment/" TargetMode="External"/><Relationship Id="rId289" Type="http://schemas.openxmlformats.org/officeDocument/2006/relationships/hyperlink" Target="https://www.colesgroup.com.au/FormBuilder/_Resource/_module/ir5sKeTxxEOndzdh00hWJw/file/Coles_Sustainability_Report_2019.pdf" TargetMode="External"/><Relationship Id="rId454" Type="http://schemas.openxmlformats.org/officeDocument/2006/relationships/hyperlink" Target="http://www.vale.com/en/aboutvale/news/pages/vale-advances-on-the-climate-agenda-and-unveils-uss-2-billion-to-reduce-carbon-emissions-within-the-next-ten-years.aspx" TargetMode="External"/><Relationship Id="rId11" Type="http://schemas.openxmlformats.org/officeDocument/2006/relationships/hyperlink" Target="https://www.saudiaramco.com/en/making-a-difference/planet/carbon-capture-utilization-and-storage" TargetMode="External"/><Relationship Id="rId53" Type="http://schemas.openxmlformats.org/officeDocument/2006/relationships/hyperlink" Target="https://services.google.com/fh/files/misc/google_2019-environmental-report.pdf" TargetMode="External"/><Relationship Id="rId149" Type="http://schemas.openxmlformats.org/officeDocument/2006/relationships/hyperlink" Target="https://www.total.com/media/news/total-adopts-new-climate-ambition-get-net-zero-2050" TargetMode="External"/><Relationship Id="rId314" Type="http://schemas.openxmlformats.org/officeDocument/2006/relationships/hyperlink" Target="https://www.caixabank.com/responsabilidadcorporativa/medioambiente/eficienciaambiental_en.html" TargetMode="External"/><Relationship Id="rId356" Type="http://schemas.openxmlformats.org/officeDocument/2006/relationships/hyperlink" Target="https://www.rbc.com/community-social-impact/environment/environmental-footprint.html" TargetMode="External"/><Relationship Id="rId398" Type="http://schemas.openxmlformats.org/officeDocument/2006/relationships/hyperlink" Target="https://www.westpac.com.au/about-westpac/sustainability/performance-reports/" TargetMode="External"/><Relationship Id="rId95" Type="http://schemas.openxmlformats.org/officeDocument/2006/relationships/hyperlink" Target="https://global.mandg.com/responsibility/environmental-performance" TargetMode="External"/><Relationship Id="rId160" Type="http://schemas.openxmlformats.org/officeDocument/2006/relationships/hyperlink" Target="https://news.pg.com/press-release/pg-corporate-announcements/pg-embraces-natural-climate-solutions-accelerate-progress-c" TargetMode="External"/><Relationship Id="rId216" Type="http://schemas.openxmlformats.org/officeDocument/2006/relationships/hyperlink" Target="https://www.wilmar-international.com/sustainability/responsible-operations/reducing-greenhouse-gas-emissions" TargetMode="External"/><Relationship Id="rId423" Type="http://schemas.openxmlformats.org/officeDocument/2006/relationships/hyperlink" Target="https://www.unilever.com/news/news-and-features/Feature-article/2020/we-now-use-100-renewable-grid-electricity-globally.html" TargetMode="External"/><Relationship Id="rId258" Type="http://schemas.openxmlformats.org/officeDocument/2006/relationships/hyperlink" Target="https://www.about.sainsburys.co.uk/news/latest-news/2020/28-01-20-net-zero" TargetMode="External"/><Relationship Id="rId465" Type="http://schemas.openxmlformats.org/officeDocument/2006/relationships/hyperlink" Target="https://www.panasonic.com/global/corporate/sustainability/eco/co2.html" TargetMode="External"/><Relationship Id="rId22" Type="http://schemas.openxmlformats.org/officeDocument/2006/relationships/hyperlink" Target="https://corporate.exxonmobil.com/Energy-and-environment/Environmental-protection/Climate-change" TargetMode="External"/><Relationship Id="rId64" Type="http://schemas.openxmlformats.org/officeDocument/2006/relationships/hyperlink" Target="https://blogs.microsoft.com/blog/2020/01/16/microsoft-will-be-carbon-negative-by-2030/" TargetMode="External"/><Relationship Id="rId118" Type="http://schemas.openxmlformats.org/officeDocument/2006/relationships/hyperlink" Target="https://www.eni.com/assets/documents/documents-en/nuova-mission-da-eni-for-eng.pdf" TargetMode="External"/><Relationship Id="rId325" Type="http://schemas.openxmlformats.org/officeDocument/2006/relationships/hyperlink" Target="https://www.tysonsustainability.com/cdp/CDP_Climate_Change_2019.pdf" TargetMode="External"/><Relationship Id="rId367" Type="http://schemas.openxmlformats.org/officeDocument/2006/relationships/hyperlink" Target="https://www.swissre.com/sustainability/footprint/co2netzero-programme.html" TargetMode="External"/><Relationship Id="rId171" Type="http://schemas.openxmlformats.org/officeDocument/2006/relationships/hyperlink" Target="https://www.roche.com/sustainability/environment/our_she_goals_and_performance.htm?tab_id=tab1" TargetMode="External"/><Relationship Id="rId227" Type="http://schemas.openxmlformats.org/officeDocument/2006/relationships/hyperlink" Target="https://www.iberdrola.com/press-room/news/detail/iberdrola-se-compromete-a-ser-neutra-en-carbono-en-el-ano-2050-1733946320170314" TargetMode="External"/><Relationship Id="rId269" Type="http://schemas.openxmlformats.org/officeDocument/2006/relationships/hyperlink" Target="https://www.chubb.com/us-en/about-chubb/environment.aspx" TargetMode="External"/><Relationship Id="rId434" Type="http://schemas.openxmlformats.org/officeDocument/2006/relationships/hyperlink" Target="https://blogs.microsoft.com/blog/2020/01/16/microsoft-will-be-carbon-negative-by-2030/" TargetMode="External"/><Relationship Id="rId33" Type="http://schemas.openxmlformats.org/officeDocument/2006/relationships/hyperlink" Target="http://www.pingan.com/app_upload/images/info/upload/1e5bab55-e0b5-43de-b664-155b2a02dde3.pdf" TargetMode="External"/><Relationship Id="rId129" Type="http://schemas.openxmlformats.org/officeDocument/2006/relationships/hyperlink" Target="https://www.aegon.com/newsroom/news/2017/carbon-neutral/" TargetMode="External"/><Relationship Id="rId280" Type="http://schemas.openxmlformats.org/officeDocument/2006/relationships/hyperlink" Target="https://www.bridgestone.com/responsibilities/environment/reduce_co2/operations/" TargetMode="External"/><Relationship Id="rId336" Type="http://schemas.openxmlformats.org/officeDocument/2006/relationships/hyperlink" Target="https://about.americanexpress.com/corporate-responsibility/sustainability/sustainability/default.aspx" TargetMode="External"/><Relationship Id="rId75" Type="http://schemas.openxmlformats.org/officeDocument/2006/relationships/hyperlink" Target="https://newsroom.bankofamerica.com/press-releases/environment" TargetMode="External"/><Relationship Id="rId140" Type="http://schemas.openxmlformats.org/officeDocument/2006/relationships/hyperlink" Target="https://www.dpdhl.com/en/sustainability/environment-and-solutions/gogreen-program.html" TargetMode="External"/><Relationship Id="rId182" Type="http://schemas.openxmlformats.org/officeDocument/2006/relationships/hyperlink" Target="https://www.unilever.com/sustainable-living/reducing-environmental-impact/greenhouse-gases/tackling-climate-impact-in-our-operations/" TargetMode="External"/><Relationship Id="rId378" Type="http://schemas.openxmlformats.org/officeDocument/2006/relationships/hyperlink" Target="https://www.aia.com/content/dam/group/en/esg/HAR20020050_E_AIA_ESG19(1550)F_.pdf" TargetMode="External"/><Relationship Id="rId403" Type="http://schemas.openxmlformats.org/officeDocument/2006/relationships/hyperlink" Target="https://edition.cnn.com/2019/05/13/business/mercedes-benz-carbon-neutral-electric-vehicles/index.html" TargetMode="External"/><Relationship Id="rId6" Type="http://schemas.openxmlformats.org/officeDocument/2006/relationships/hyperlink" Target="http://www.sgcc.com.cn/html/files/2019-09/20/20190920152835313445345.pdf" TargetMode="External"/><Relationship Id="rId238" Type="http://schemas.openxmlformats.org/officeDocument/2006/relationships/hyperlink" Target="http://eng.spic.com.cn/2016SiteEn/Responsibility/report/201808/W020180827506080338577.pdf" TargetMode="External"/><Relationship Id="rId445" Type="http://schemas.openxmlformats.org/officeDocument/2006/relationships/hyperlink" Target="https://www.swissre.com/sustainability/footprint/co2netzero-programme.html" TargetMode="External"/><Relationship Id="rId291" Type="http://schemas.openxmlformats.org/officeDocument/2006/relationships/hyperlink" Target="https://www.veolia.com/en/csr-climate-change" TargetMode="External"/><Relationship Id="rId305" Type="http://schemas.openxmlformats.org/officeDocument/2006/relationships/hyperlink" Target="https://www.bt.com/about/digital-impact-and-sustainability/tackling-climate-change/the-road-to-net-zero" TargetMode="External"/><Relationship Id="rId347" Type="http://schemas.openxmlformats.org/officeDocument/2006/relationships/hyperlink" Target="https://www.goldmansachs.com/what-we-do/sustainable-finance/documents/reports/2019-sustainability-report.pdf"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newsroom.bankofamerica.com/press-releases/environment/bank-america-commits-carbon-neutrality-and-100-percent-renewable" TargetMode="External"/><Relationship Id="rId18" Type="http://schemas.openxmlformats.org/officeDocument/2006/relationships/hyperlink" Target="https://www.credit-suisse.com/corporate/en/responsibility/environment/climate-protection.html" TargetMode="External"/><Relationship Id="rId26" Type="http://schemas.openxmlformats.org/officeDocument/2006/relationships/hyperlink" Target="https://www.fujitsu.com/global/microsite/fujitsu-climate-and-energy-vision/" TargetMode="External"/><Relationship Id="rId39" Type="http://schemas.openxmlformats.org/officeDocument/2006/relationships/hyperlink" Target="https://news.sap.com/2017/05/sap-to-go-carbon-neutral-by-2025/" TargetMode="External"/><Relationship Id="rId3" Type="http://schemas.openxmlformats.org/officeDocument/2006/relationships/hyperlink" Target="https://www.centrica.com/responsibility/our-focus-areas/climate-change" TargetMode="External"/><Relationship Id="rId21" Type="http://schemas.openxmlformats.org/officeDocument/2006/relationships/hyperlink" Target="https://www.db.com/cr/en/concrete-energy-and-climate-strategy.htm" TargetMode="External"/><Relationship Id="rId34" Type="http://schemas.openxmlformats.org/officeDocument/2006/relationships/hyperlink" Target="https://www.metlife.com/corporate-responsibility/environment/carbon-neutrality/" TargetMode="External"/><Relationship Id="rId42" Type="http://schemas.openxmlformats.org/officeDocument/2006/relationships/hyperlink" Target="https://www.td.com/corporate-responsibility/environment/operational-footprint/energy-and-emissions.jsp" TargetMode="External"/><Relationship Id="rId47" Type="http://schemas.openxmlformats.org/officeDocument/2006/relationships/hyperlink" Target="https://www.centrica.com/responsibility/our-focus-areas/climate-change" TargetMode="External"/><Relationship Id="rId7" Type="http://schemas.openxmlformats.org/officeDocument/2006/relationships/hyperlink" Target="https://www.munichre.com/site/corporate/get/documents_E1169291126/mr/assetpool.shared/Documents/4_Corporate_Responsibility/Downloads/MunichRe-CR-Report-2018.pdf" TargetMode="External"/><Relationship Id="rId12" Type="http://schemas.openxmlformats.org/officeDocument/2006/relationships/hyperlink" Target="https://www.allianz.com/en/sustainability/low-carbon-economy/decarbonization.html" TargetMode="External"/><Relationship Id="rId17" Type="http://schemas.openxmlformats.org/officeDocument/2006/relationships/hyperlink" Target="https://www.actions-not-words.ch/en/sustainability-topics/conservation/energy-and-climate.html" TargetMode="External"/><Relationship Id="rId25" Type="http://schemas.openxmlformats.org/officeDocument/2006/relationships/hyperlink" Target="https://www.eni.com/en_IT/sustainability/decarbonization/strategy-investments.page" TargetMode="External"/><Relationship Id="rId33" Type="http://schemas.openxmlformats.org/officeDocument/2006/relationships/hyperlink" Target="https://www.maersk.com/news/articles/2019/06/26/towards-a-zero-carbon-future" TargetMode="External"/><Relationship Id="rId38" Type="http://schemas.openxmlformats.org/officeDocument/2006/relationships/hyperlink" Target="https://www.novartis.com/our-company/corporate-responsibility/environmental-sustainability/climate" TargetMode="External"/><Relationship Id="rId46" Type="http://schemas.openxmlformats.org/officeDocument/2006/relationships/hyperlink" Target="https://www.zurich.com/en/sustainability/climate-change/carbon-neutral" TargetMode="External"/><Relationship Id="rId2" Type="http://schemas.openxmlformats.org/officeDocument/2006/relationships/hyperlink" Target="https://press.ext.hp.com/us/en/press-releases/2019/hp-pledges-to-making-every-page-printed-forest-positive.html" TargetMode="External"/><Relationship Id="rId16" Type="http://schemas.openxmlformats.org/officeDocument/2006/relationships/hyperlink" Target="https://environment.capitalone.com/" TargetMode="External"/><Relationship Id="rId20" Type="http://schemas.openxmlformats.org/officeDocument/2006/relationships/hyperlink" Target="https://www.danone.com/content/dam/danone-corp/about-us-impact/policies-and-commitments/en/2016/2016_05_18_ClimatePolicy.pdf" TargetMode="External"/><Relationship Id="rId29" Type="http://schemas.openxmlformats.org/officeDocument/2006/relationships/hyperlink" Target="https://www.ing.com/Sustainability/Our-direction/INGs-approach-to-climate-action.htm" TargetMode="External"/><Relationship Id="rId41" Type="http://schemas.openxmlformats.org/officeDocument/2006/relationships/hyperlink" Target="https://www.swissre.com/about-us/corporate-responsibility/footprint/greenhouse-neutral-programme-second-phase.html" TargetMode="External"/><Relationship Id="rId1" Type="http://schemas.openxmlformats.org/officeDocument/2006/relationships/hyperlink" Target="https://www.sony.net/SonyInfo/csr/eco/RoadToZero/gm_en.html" TargetMode="External"/><Relationship Id="rId6" Type="http://schemas.openxmlformats.org/officeDocument/2006/relationships/hyperlink" Target="https://www.unilever.com/sustainable-living/reducing-environmental-impact/greenhouse-gases/how-were-becoming-carbon-positive-in-our-operations/" TargetMode="External"/><Relationship Id="rId11" Type="http://schemas.openxmlformats.org/officeDocument/2006/relationships/hyperlink" Target="https://www.achmea.nl/en/sustainability/co2" TargetMode="External"/><Relationship Id="rId24" Type="http://schemas.openxmlformats.org/officeDocument/2006/relationships/hyperlink" Target="https://www.edf.fr/en/the-edf-group/our-commitments/corporate-social-responsibility/doing-even-more-to-reduce-co2-emissions" TargetMode="External"/><Relationship Id="rId32" Type="http://schemas.openxmlformats.org/officeDocument/2006/relationships/hyperlink" Target="https://www.loreal.com/sharing-beauty-with-all-producing/reducing-co2-emissions/low-carbon-growth--a-major-step-forward" TargetMode="External"/><Relationship Id="rId37" Type="http://schemas.openxmlformats.org/officeDocument/2006/relationships/hyperlink" Target="https://www.nab.com.au/about-us/social-impact/environment/climate-change" TargetMode="External"/><Relationship Id="rId40" Type="http://schemas.openxmlformats.org/officeDocument/2006/relationships/hyperlink" Target="https://www.schneider-electric.co.uk/en/about-us/press/news/2018/schneider-electric-strengthens-its-commitment-to-become-carbon-neutral.jsp" TargetMode="External"/><Relationship Id="rId45" Type="http://schemas.openxmlformats.org/officeDocument/2006/relationships/hyperlink" Target="https://www.volkswagenag.com/en/news/stories/2018/12/volkswagen-accepts-climate-responsibility.html" TargetMode="External"/><Relationship Id="rId5" Type="http://schemas.openxmlformats.org/officeDocument/2006/relationships/hyperlink" Target="https://www.goldmansachs.com/citizenship/environmental-stewardship/our-operational-impact/carbon-energy/" TargetMode="External"/><Relationship Id="rId15" Type="http://schemas.openxmlformats.org/officeDocument/2006/relationships/hyperlink" Target="https://www.btplc.com/Digitalimpactandsustainability/Ourreport/2019summary/assets/documents/Tackling-climate-change-and-environmental-challenges.pdf" TargetMode="External"/><Relationship Id="rId23" Type="http://schemas.openxmlformats.org/officeDocument/2006/relationships/hyperlink" Target="https://www.eon.com/en/about-us/sustainability/people-and-environment.html" TargetMode="External"/><Relationship Id="rId28" Type="http://schemas.openxmlformats.org/officeDocument/2006/relationships/hyperlink" Target="https://www.iberdrola.com/press-room/news/detail/iberdrola-se-compromete-a-ser-neutra-en-carbono-en-el-ano-2050-1733946320170314" TargetMode="External"/><Relationship Id="rId36" Type="http://schemas.openxmlformats.org/officeDocument/2006/relationships/hyperlink" Target="https://www.morganstanley.com/press-releases/morgan-stanley-announces-new-goal-of-carbon-neutrality-for-globa" TargetMode="External"/><Relationship Id="rId49" Type="http://schemas.openxmlformats.org/officeDocument/2006/relationships/printerSettings" Target="../printerSettings/printerSettings4.bin"/><Relationship Id="rId10" Type="http://schemas.openxmlformats.org/officeDocument/2006/relationships/hyperlink" Target="https://global.toyota/en/sustainability/esg/challenge2050/" TargetMode="External"/><Relationship Id="rId19" Type="http://schemas.openxmlformats.org/officeDocument/2006/relationships/hyperlink" Target="https://blog.daimler.com/en/2019/05/13/mercedes-carbon-neutral-e-mobility/" TargetMode="External"/><Relationship Id="rId31" Type="http://schemas.openxmlformats.org/officeDocument/2006/relationships/hyperlink" Target="https://www.lg.com/uk/press-release/lg-commits-to-carbon-neutrality-by-2030" TargetMode="External"/><Relationship Id="rId44" Type="http://schemas.openxmlformats.org/officeDocument/2006/relationships/hyperlink" Target="https://www.verizon.com/about/news/verizon-goes-carbon-neutral-2035" TargetMode="External"/><Relationship Id="rId4" Type="http://schemas.openxmlformats.org/officeDocument/2006/relationships/hyperlink" Target="https://corporate.arcelormittal.com/news-and-media/press-releases/2019/may/29-05-2019" TargetMode="External"/><Relationship Id="rId9" Type="http://schemas.openxmlformats.org/officeDocument/2006/relationships/hyperlink" Target="https://new.siemens.com/global/en/company/sustainability/decarbonization/carbonneutral.html" TargetMode="External"/><Relationship Id="rId14" Type="http://schemas.openxmlformats.org/officeDocument/2006/relationships/hyperlink" Target="https://www.bosch-presse.de/pressportal/de/en/climate-action-bosch-to-be-carbon-neutral-world-wide-by-2020-188800.html" TargetMode="External"/><Relationship Id="rId22" Type="http://schemas.openxmlformats.org/officeDocument/2006/relationships/hyperlink" Target="https://www.dpdhl.com/en/responsibility/environment-and-solutions.html" TargetMode="External"/><Relationship Id="rId27" Type="http://schemas.openxmlformats.org/officeDocument/2006/relationships/hyperlink" Target="https://uk.gsk.com/en-gb/responsibility/our-planet/our-commitments/" TargetMode="External"/><Relationship Id="rId30" Type="http://schemas.openxmlformats.org/officeDocument/2006/relationships/hyperlink" Target="https://postandparcel.info/45592/news/la-poste-to-be-first-major-postal-operator-to-go-carbon-neutral/" TargetMode="External"/><Relationship Id="rId35" Type="http://schemas.openxmlformats.org/officeDocument/2006/relationships/hyperlink" Target="https://www.microsoft.com/en-us/environment/carbon" TargetMode="External"/><Relationship Id="rId43" Type="http://schemas.openxmlformats.org/officeDocument/2006/relationships/hyperlink" Target="https://www.toshiba-business.com.au/News/2017/May/Carbon-Zero" TargetMode="External"/><Relationship Id="rId48" Type="http://schemas.openxmlformats.org/officeDocument/2006/relationships/hyperlink" Target="https://press.ext.hp.com/us/en/press-releases/2019/hp-pledges-to-making-every-page-printed-forest-positive.html" TargetMode="External"/><Relationship Id="rId8" Type="http://schemas.openxmlformats.org/officeDocument/2006/relationships/hyperlink" Target="https://www.enel.com/aboutus/vis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FF168-8B95-40ED-9B56-FE74DD754AA4}">
  <dimension ref="A1:DG508"/>
  <sheetViews>
    <sheetView tabSelected="1" topLeftCell="BW1" workbookViewId="0">
      <pane ySplit="1" topLeftCell="A4" activePane="bottomLeft" state="frozen"/>
      <selection pane="bottomLeft" activeCell="DF5" sqref="DF5:DF21"/>
    </sheetView>
  </sheetViews>
  <sheetFormatPr defaultColWidth="8.81640625" defaultRowHeight="14.5"/>
  <cols>
    <col min="2" max="2" width="40" bestFit="1" customWidth="1"/>
    <col min="3" max="3" width="10.7265625" customWidth="1"/>
    <col min="6" max="6" width="13.7265625" customWidth="1"/>
    <col min="8" max="8" width="19.7265625" style="169" bestFit="1" customWidth="1"/>
    <col min="11" max="12" width="8.81640625" customWidth="1"/>
    <col min="13" max="13" width="8.81640625" style="167" customWidth="1"/>
    <col min="14" max="15" width="8.81640625" customWidth="1"/>
    <col min="16" max="16" width="20.81640625" style="167" customWidth="1"/>
    <col min="17" max="21" width="20.81640625" customWidth="1"/>
    <col min="22" max="22" width="20.81640625" style="168" customWidth="1"/>
    <col min="23" max="23" width="20.81640625" customWidth="1"/>
    <col min="24" max="24" width="8.81640625" style="167" customWidth="1"/>
    <col min="25" max="39" width="8.81640625" customWidth="1"/>
    <col min="40" max="40" width="8.81640625" style="167" customWidth="1"/>
    <col min="41" max="55" width="8.81640625" customWidth="1"/>
    <col min="56" max="56" width="8.81640625" style="167" customWidth="1"/>
    <col min="57" max="57" width="8.81640625" customWidth="1"/>
    <col min="58" max="58" width="8.81640625" style="226" customWidth="1"/>
    <col min="59" max="61" width="8.81640625" customWidth="1"/>
    <col min="62" max="62" width="8.81640625" style="167"/>
    <col min="83" max="83" width="15.26953125" customWidth="1"/>
  </cols>
  <sheetData>
    <row r="1" spans="1:111" s="189" customFormat="1" ht="26.5" customHeight="1">
      <c r="A1" s="190" t="s">
        <v>1944</v>
      </c>
      <c r="B1" s="190" t="s">
        <v>8294</v>
      </c>
      <c r="C1" s="190" t="s">
        <v>8293</v>
      </c>
      <c r="D1" s="190" t="s">
        <v>8292</v>
      </c>
      <c r="E1" s="190" t="s">
        <v>8291</v>
      </c>
      <c r="F1" s="190" t="s">
        <v>8290</v>
      </c>
      <c r="G1" s="190" t="s">
        <v>8289</v>
      </c>
      <c r="H1" s="191" t="s">
        <v>8288</v>
      </c>
      <c r="I1" s="190" t="s">
        <v>8287</v>
      </c>
      <c r="J1" s="190" t="s">
        <v>8286</v>
      </c>
      <c r="K1" s="190" t="s">
        <v>1926</v>
      </c>
      <c r="L1" s="190" t="s">
        <v>4152</v>
      </c>
      <c r="M1" s="190" t="s">
        <v>8285</v>
      </c>
      <c r="N1" s="190" t="s">
        <v>8284</v>
      </c>
      <c r="O1" s="190" t="s">
        <v>8283</v>
      </c>
      <c r="P1" s="190" t="s">
        <v>8282</v>
      </c>
      <c r="Q1" s="190" t="s">
        <v>8281</v>
      </c>
      <c r="R1" s="190" t="s">
        <v>8280</v>
      </c>
      <c r="S1" s="190" t="s">
        <v>8279</v>
      </c>
      <c r="T1" s="190" t="s">
        <v>8278</v>
      </c>
      <c r="U1" s="190" t="s">
        <v>8277</v>
      </c>
      <c r="V1" s="190" t="s">
        <v>8276</v>
      </c>
      <c r="W1" s="190" t="s">
        <v>8275</v>
      </c>
      <c r="X1" s="190" t="s">
        <v>8274</v>
      </c>
      <c r="Y1" s="190" t="s">
        <v>8273</v>
      </c>
      <c r="Z1" s="190" t="s">
        <v>8272</v>
      </c>
      <c r="AA1" s="190" t="s">
        <v>8271</v>
      </c>
      <c r="AB1" s="190" t="s">
        <v>8270</v>
      </c>
      <c r="AC1" s="190" t="s">
        <v>8269</v>
      </c>
      <c r="AD1" s="190" t="s">
        <v>8268</v>
      </c>
      <c r="AE1" s="190" t="s">
        <v>8267</v>
      </c>
      <c r="AF1" s="190" t="s">
        <v>8266</v>
      </c>
      <c r="AG1" s="190" t="s">
        <v>8265</v>
      </c>
      <c r="AH1" s="190" t="s">
        <v>8264</v>
      </c>
      <c r="AI1" s="190" t="s">
        <v>8263</v>
      </c>
      <c r="AJ1" s="190" t="s">
        <v>8262</v>
      </c>
      <c r="AK1" s="190" t="s">
        <v>8261</v>
      </c>
      <c r="AL1" s="190" t="s">
        <v>1916</v>
      </c>
      <c r="AM1" s="190" t="s">
        <v>8260</v>
      </c>
      <c r="AN1" s="190" t="s">
        <v>8259</v>
      </c>
      <c r="AO1" s="190" t="s">
        <v>8258</v>
      </c>
      <c r="AP1" s="190" t="s">
        <v>8257</v>
      </c>
      <c r="AQ1" s="190" t="s">
        <v>8256</v>
      </c>
      <c r="AR1" s="190" t="s">
        <v>8255</v>
      </c>
      <c r="AS1" s="190" t="s">
        <v>8254</v>
      </c>
      <c r="AT1" s="190" t="s">
        <v>8253</v>
      </c>
      <c r="AU1" s="190" t="s">
        <v>8252</v>
      </c>
      <c r="AV1" s="190" t="s">
        <v>8251</v>
      </c>
      <c r="AW1" s="190" t="s">
        <v>8250</v>
      </c>
      <c r="AX1" s="190" t="s">
        <v>8249</v>
      </c>
      <c r="AY1" s="190" t="s">
        <v>8248</v>
      </c>
      <c r="AZ1" s="190" t="s">
        <v>8247</v>
      </c>
      <c r="BA1" s="190" t="s">
        <v>8246</v>
      </c>
      <c r="BB1" s="190" t="s">
        <v>8245</v>
      </c>
      <c r="BC1" s="190" t="s">
        <v>1917</v>
      </c>
      <c r="BD1" s="190" t="s">
        <v>8244</v>
      </c>
      <c r="BE1" s="190" t="s">
        <v>8243</v>
      </c>
      <c r="BF1" s="224" t="s">
        <v>8242</v>
      </c>
      <c r="BG1" s="190" t="s">
        <v>8241</v>
      </c>
      <c r="BH1" s="190" t="s">
        <v>8240</v>
      </c>
      <c r="BI1" s="190" t="s">
        <v>8239</v>
      </c>
      <c r="BJ1" s="190" t="s">
        <v>8238</v>
      </c>
      <c r="BK1" s="190" t="s">
        <v>8237</v>
      </c>
      <c r="BL1" s="190" t="s">
        <v>8236</v>
      </c>
      <c r="BM1" s="190" t="s">
        <v>8235</v>
      </c>
      <c r="BN1" s="190" t="s">
        <v>8234</v>
      </c>
      <c r="BO1" s="190" t="s">
        <v>8233</v>
      </c>
      <c r="BP1" s="190" t="s">
        <v>8232</v>
      </c>
      <c r="BQ1" s="190" t="s">
        <v>8231</v>
      </c>
      <c r="BR1" s="190" t="s">
        <v>8230</v>
      </c>
      <c r="BS1" s="190" t="s">
        <v>8229</v>
      </c>
      <c r="BT1" s="190" t="s">
        <v>8228</v>
      </c>
      <c r="BU1" s="190" t="s">
        <v>8227</v>
      </c>
      <c r="BV1" s="190" t="s">
        <v>8226</v>
      </c>
      <c r="BW1" s="190" t="s">
        <v>8225</v>
      </c>
      <c r="BX1" s="190" t="s">
        <v>8224</v>
      </c>
      <c r="BY1" s="190" t="s">
        <v>8223</v>
      </c>
      <c r="BZ1" s="190" t="s">
        <v>8222</v>
      </c>
      <c r="CA1" s="190" t="s">
        <v>8221</v>
      </c>
      <c r="CB1" s="190" t="s">
        <v>8220</v>
      </c>
      <c r="CC1" s="190" t="s">
        <v>8219</v>
      </c>
      <c r="CD1" s="190" t="s">
        <v>8218</v>
      </c>
      <c r="CE1" s="190" t="s">
        <v>8217</v>
      </c>
      <c r="CF1" s="190" t="s">
        <v>8216</v>
      </c>
      <c r="CG1" s="190" t="s">
        <v>8215</v>
      </c>
      <c r="CH1" s="190" t="s">
        <v>8214</v>
      </c>
      <c r="CI1" s="190" t="s">
        <v>8213</v>
      </c>
      <c r="CJ1" s="190" t="s">
        <v>8212</v>
      </c>
      <c r="CK1" s="190" t="s">
        <v>8211</v>
      </c>
      <c r="CL1" s="190" t="s">
        <v>8210</v>
      </c>
      <c r="CM1" s="189" t="s">
        <v>8367</v>
      </c>
    </row>
    <row r="2" spans="1:111">
      <c r="A2" s="171">
        <v>489</v>
      </c>
      <c r="B2" s="171" t="s">
        <v>574</v>
      </c>
      <c r="C2" s="171">
        <v>443</v>
      </c>
      <c r="D2" s="171" t="str">
        <f t="shared" ref="D2:D65" si="0">CONCATENATE((IF(BM2=1, "CN", "")),(IF(BQ2=1, " NZ", "")),(IF(BU2=1, " SBT", "")),(IF(BY2=1, " RE100", "")))</f>
        <v>CN SBT RE100</v>
      </c>
      <c r="E2" s="171" t="s">
        <v>7259</v>
      </c>
      <c r="F2" s="174">
        <v>45511</v>
      </c>
      <c r="G2" s="171" t="s">
        <v>7220</v>
      </c>
      <c r="H2" s="173">
        <v>-6995</v>
      </c>
      <c r="I2" s="171"/>
      <c r="J2" s="171" t="s">
        <v>66</v>
      </c>
      <c r="K2" s="171" t="s">
        <v>4457</v>
      </c>
      <c r="L2" s="171" t="s">
        <v>2029</v>
      </c>
      <c r="M2" s="171" t="s">
        <v>4174</v>
      </c>
      <c r="N2" s="171">
        <v>2019</v>
      </c>
      <c r="O2" s="171">
        <v>2050</v>
      </c>
      <c r="P2" s="171" t="s">
        <v>5032</v>
      </c>
      <c r="Q2" s="171" t="s">
        <v>165</v>
      </c>
      <c r="R2" s="171"/>
      <c r="S2" s="171">
        <v>2030</v>
      </c>
      <c r="T2" s="171" t="s">
        <v>1</v>
      </c>
      <c r="U2" s="171"/>
      <c r="V2" s="172">
        <v>45231</v>
      </c>
      <c r="W2" s="171">
        <v>2023</v>
      </c>
      <c r="X2" s="171" t="s">
        <v>1957</v>
      </c>
      <c r="Y2" s="171" t="s">
        <v>1659</v>
      </c>
      <c r="Z2" s="171" t="s">
        <v>3283</v>
      </c>
      <c r="AA2" s="171" t="s">
        <v>1957</v>
      </c>
      <c r="AB2" s="171">
        <v>2050</v>
      </c>
      <c r="AC2" s="171">
        <v>2021</v>
      </c>
      <c r="AD2" s="171"/>
      <c r="AE2" s="171"/>
      <c r="AF2" s="171"/>
      <c r="AG2" s="171" t="s">
        <v>4174</v>
      </c>
      <c r="AH2" s="171"/>
      <c r="AI2" s="171" t="s">
        <v>4174</v>
      </c>
      <c r="AJ2" s="171"/>
      <c r="AK2" s="171"/>
      <c r="AL2" s="171" t="s">
        <v>8209</v>
      </c>
      <c r="AM2" s="171"/>
      <c r="AN2" s="171" t="s">
        <v>5032</v>
      </c>
      <c r="AO2" s="171"/>
      <c r="AP2" s="171"/>
      <c r="AQ2" s="171" t="s">
        <v>5032</v>
      </c>
      <c r="AR2" s="171"/>
      <c r="AS2" s="171"/>
      <c r="AT2" s="171"/>
      <c r="AU2" s="171"/>
      <c r="AV2" s="171"/>
      <c r="AW2" s="171"/>
      <c r="AX2" s="171"/>
      <c r="AY2" s="171"/>
      <c r="AZ2" s="171"/>
      <c r="BA2" s="171"/>
      <c r="BB2" s="171"/>
      <c r="BC2" s="171"/>
      <c r="BD2" s="171"/>
      <c r="BE2" s="171"/>
      <c r="BF2" s="225"/>
      <c r="BG2" s="171"/>
      <c r="BH2" s="171"/>
      <c r="BI2" s="171"/>
      <c r="BJ2" s="171"/>
      <c r="BK2" s="171"/>
      <c r="BL2" s="171">
        <v>1</v>
      </c>
      <c r="BM2" s="171">
        <v>1</v>
      </c>
      <c r="BN2" s="171"/>
      <c r="BO2" s="171"/>
      <c r="BP2" s="171"/>
      <c r="BQ2" s="171"/>
      <c r="BR2" s="171"/>
      <c r="BS2" s="171">
        <v>1</v>
      </c>
      <c r="BT2" s="171"/>
      <c r="BU2" s="171">
        <v>1</v>
      </c>
      <c r="BV2" s="171"/>
      <c r="BW2" s="171"/>
      <c r="BX2" s="171">
        <v>1</v>
      </c>
      <c r="BY2" s="171">
        <v>1</v>
      </c>
      <c r="BZ2" s="171">
        <v>1</v>
      </c>
      <c r="CA2" s="171"/>
      <c r="CB2" s="171">
        <v>1</v>
      </c>
      <c r="CC2" s="171">
        <v>1</v>
      </c>
      <c r="CD2" s="171"/>
      <c r="CE2" s="171">
        <v>1</v>
      </c>
      <c r="CF2" s="171"/>
      <c r="CG2" s="171">
        <v>1</v>
      </c>
      <c r="CH2" s="171">
        <v>1</v>
      </c>
      <c r="CI2" s="171"/>
      <c r="CJ2" s="171"/>
      <c r="CK2" s="171"/>
      <c r="CL2" s="171"/>
    </row>
    <row r="3" spans="1:111">
      <c r="A3" s="171">
        <v>498</v>
      </c>
      <c r="B3" s="171" t="s">
        <v>730</v>
      </c>
      <c r="C3" s="171"/>
      <c r="D3" s="171" t="str">
        <f t="shared" si="0"/>
        <v xml:space="preserve"> NZ SBT RE100</v>
      </c>
      <c r="E3" s="171" t="s">
        <v>7223</v>
      </c>
      <c r="F3" s="174">
        <v>45512</v>
      </c>
      <c r="G3" s="171"/>
      <c r="H3" s="173">
        <v>3745</v>
      </c>
      <c r="I3" s="181" t="s">
        <v>495</v>
      </c>
      <c r="J3" s="171" t="s">
        <v>4459</v>
      </c>
      <c r="K3" s="171" t="s">
        <v>287</v>
      </c>
      <c r="L3" s="171" t="s">
        <v>1951</v>
      </c>
      <c r="M3" s="171" t="s">
        <v>4174</v>
      </c>
      <c r="N3" s="171">
        <v>2021</v>
      </c>
      <c r="O3" s="171">
        <v>2030</v>
      </c>
      <c r="P3" s="171" t="s">
        <v>4174</v>
      </c>
      <c r="Q3" s="171" t="s">
        <v>22</v>
      </c>
      <c r="R3" s="171" t="s">
        <v>2499</v>
      </c>
      <c r="S3" s="171">
        <v>2030</v>
      </c>
      <c r="T3" s="171" t="s">
        <v>361</v>
      </c>
      <c r="U3" s="171">
        <v>2050</v>
      </c>
      <c r="V3" s="175" t="s">
        <v>7565</v>
      </c>
      <c r="W3" s="171">
        <v>2021</v>
      </c>
      <c r="X3" s="171" t="s">
        <v>5032</v>
      </c>
      <c r="Y3" s="171"/>
      <c r="Z3" s="171"/>
      <c r="AA3" s="171" t="s">
        <v>5032</v>
      </c>
      <c r="AB3" s="171"/>
      <c r="AC3" s="171"/>
      <c r="AD3" s="171"/>
      <c r="AE3" s="171"/>
      <c r="AF3" s="171"/>
      <c r="AG3" s="171"/>
      <c r="AH3" s="171"/>
      <c r="AI3" s="171"/>
      <c r="AJ3" s="171"/>
      <c r="AK3" s="171"/>
      <c r="AL3" s="171"/>
      <c r="AM3" s="171"/>
      <c r="AN3" s="171" t="s">
        <v>4172</v>
      </c>
      <c r="AO3" s="171" t="s">
        <v>7716</v>
      </c>
      <c r="AP3" s="171" t="s">
        <v>2072</v>
      </c>
      <c r="AQ3" s="171" t="s">
        <v>4172</v>
      </c>
      <c r="AR3" s="171">
        <v>2050</v>
      </c>
      <c r="AS3" s="171">
        <v>2021</v>
      </c>
      <c r="AT3" s="171"/>
      <c r="AU3" s="171"/>
      <c r="AV3" s="171"/>
      <c r="AW3" s="171" t="s">
        <v>7247</v>
      </c>
      <c r="AX3" s="176" t="s">
        <v>8208</v>
      </c>
      <c r="AY3" s="171">
        <v>2023</v>
      </c>
      <c r="AZ3" s="171" t="s">
        <v>4174</v>
      </c>
      <c r="BA3" s="176" t="s">
        <v>8207</v>
      </c>
      <c r="BB3" s="171"/>
      <c r="BC3" s="171"/>
      <c r="BD3" s="171"/>
      <c r="BE3" s="171"/>
      <c r="BF3" s="225"/>
      <c r="BG3" s="171"/>
      <c r="BH3" s="171"/>
      <c r="BI3" s="171"/>
      <c r="BJ3" s="171"/>
      <c r="BK3" s="171"/>
      <c r="BL3" s="171"/>
      <c r="BM3" s="171"/>
      <c r="BN3" s="171"/>
      <c r="BO3" s="171"/>
      <c r="BP3" s="171">
        <v>1</v>
      </c>
      <c r="BQ3" s="171">
        <v>1</v>
      </c>
      <c r="BR3" s="171"/>
      <c r="BS3" s="171">
        <v>1</v>
      </c>
      <c r="BT3" s="171"/>
      <c r="BU3" s="171">
        <v>1</v>
      </c>
      <c r="BV3" s="171"/>
      <c r="BW3" s="171">
        <v>1</v>
      </c>
      <c r="BX3" s="171"/>
      <c r="BY3" s="171">
        <v>1</v>
      </c>
      <c r="BZ3" s="171">
        <v>1</v>
      </c>
      <c r="CA3" s="171"/>
      <c r="CB3" s="171">
        <v>1</v>
      </c>
      <c r="CC3" s="171">
        <v>1</v>
      </c>
      <c r="CD3" s="171"/>
      <c r="CE3" s="171">
        <v>1</v>
      </c>
      <c r="CF3" s="171"/>
      <c r="CG3" s="171">
        <v>1</v>
      </c>
      <c r="CH3" s="171">
        <v>1</v>
      </c>
      <c r="CI3" s="171"/>
      <c r="CJ3" s="171"/>
      <c r="CK3" s="171">
        <v>1</v>
      </c>
      <c r="CL3" s="171">
        <v>1</v>
      </c>
      <c r="CM3">
        <f t="shared" ref="CM3:CM66" si="1">MAX(U3,AR3)</f>
        <v>2050</v>
      </c>
      <c r="CR3" s="216" t="s">
        <v>8311</v>
      </c>
      <c r="CS3" s="217"/>
      <c r="CT3" s="218"/>
      <c r="CU3" s="216" t="s">
        <v>3034</v>
      </c>
      <c r="CV3" s="217"/>
      <c r="CW3" s="218"/>
      <c r="CX3" s="216" t="s">
        <v>32</v>
      </c>
      <c r="CY3" s="217"/>
      <c r="CZ3" s="218"/>
      <c r="DA3" s="216" t="s">
        <v>2072</v>
      </c>
      <c r="DB3" s="217"/>
      <c r="DC3" s="218"/>
      <c r="DD3" s="200" t="s">
        <v>7213</v>
      </c>
    </row>
    <row r="4" spans="1:111">
      <c r="A4" s="171">
        <v>376</v>
      </c>
      <c r="B4" s="171" t="s">
        <v>443</v>
      </c>
      <c r="C4" s="171">
        <v>338</v>
      </c>
      <c r="D4" s="171" t="str">
        <f t="shared" si="0"/>
        <v xml:space="preserve"> SBT</v>
      </c>
      <c r="E4" s="171" t="s">
        <v>7228</v>
      </c>
      <c r="F4" s="174">
        <v>45482</v>
      </c>
      <c r="G4" s="171" t="s">
        <v>7220</v>
      </c>
      <c r="H4" s="173">
        <v>5723</v>
      </c>
      <c r="I4" s="171"/>
      <c r="J4" s="171" t="s">
        <v>4201</v>
      </c>
      <c r="K4" s="171" t="s">
        <v>4457</v>
      </c>
      <c r="L4" s="171" t="s">
        <v>2029</v>
      </c>
      <c r="M4" s="171" t="s">
        <v>5032</v>
      </c>
      <c r="N4" s="171"/>
      <c r="O4" s="171"/>
      <c r="P4" s="171" t="s">
        <v>4174</v>
      </c>
      <c r="Q4" s="171" t="s">
        <v>22</v>
      </c>
      <c r="R4" s="171" t="s">
        <v>7277</v>
      </c>
      <c r="S4" s="171">
        <v>2030</v>
      </c>
      <c r="T4" s="171" t="s">
        <v>1</v>
      </c>
      <c r="U4" s="171"/>
      <c r="V4" s="172">
        <v>44805</v>
      </c>
      <c r="W4" s="171">
        <v>2022</v>
      </c>
      <c r="X4" s="171" t="s">
        <v>5032</v>
      </c>
      <c r="Y4" s="171"/>
      <c r="Z4" s="171"/>
      <c r="AA4" s="171" t="s">
        <v>5032</v>
      </c>
      <c r="AB4" s="171"/>
      <c r="AC4" s="171"/>
      <c r="AD4" s="171"/>
      <c r="AE4" s="171"/>
      <c r="AF4" s="171"/>
      <c r="AG4" s="171"/>
      <c r="AH4" s="171"/>
      <c r="AI4" s="171"/>
      <c r="AJ4" s="171"/>
      <c r="AK4" s="171"/>
      <c r="AL4" s="171"/>
      <c r="AM4" s="171"/>
      <c r="AN4" s="171" t="s">
        <v>5032</v>
      </c>
      <c r="AO4" s="171"/>
      <c r="AP4" s="171"/>
      <c r="AQ4" s="171" t="s">
        <v>5032</v>
      </c>
      <c r="AR4" s="171"/>
      <c r="AS4" s="171"/>
      <c r="AT4" s="171"/>
      <c r="AU4" s="171"/>
      <c r="AV4" s="171"/>
      <c r="AW4" s="171"/>
      <c r="AX4" s="171"/>
      <c r="AY4" s="171"/>
      <c r="AZ4" s="171"/>
      <c r="BA4" s="171"/>
      <c r="BB4" s="171"/>
      <c r="BC4" s="171"/>
      <c r="BD4" s="171" t="s">
        <v>1957</v>
      </c>
      <c r="BE4" s="171" t="s">
        <v>8206</v>
      </c>
      <c r="BF4" s="225"/>
      <c r="BG4" s="171"/>
      <c r="BH4" s="171"/>
      <c r="BI4" s="171"/>
      <c r="BJ4" s="171"/>
      <c r="BK4" s="171"/>
      <c r="BL4" s="171"/>
      <c r="BM4" s="171"/>
      <c r="BN4" s="171"/>
      <c r="BO4" s="171"/>
      <c r="BP4" s="171"/>
      <c r="BQ4" s="171"/>
      <c r="BR4" s="171"/>
      <c r="BS4" s="171">
        <v>1</v>
      </c>
      <c r="BT4" s="171"/>
      <c r="BU4" s="171">
        <v>1</v>
      </c>
      <c r="BV4" s="171"/>
      <c r="BW4" s="171"/>
      <c r="BX4" s="171"/>
      <c r="BY4" s="171"/>
      <c r="BZ4" s="171"/>
      <c r="CA4" s="171"/>
      <c r="CB4" s="171"/>
      <c r="CC4" s="171"/>
      <c r="CD4" s="171"/>
      <c r="CE4" s="171">
        <v>1</v>
      </c>
      <c r="CF4" s="171"/>
      <c r="CG4" s="171">
        <v>1</v>
      </c>
      <c r="CH4" s="171">
        <v>1</v>
      </c>
      <c r="CI4" s="171"/>
      <c r="CJ4" s="171"/>
      <c r="CK4" s="171"/>
      <c r="CL4" s="171"/>
      <c r="CQ4" s="200" t="s">
        <v>1915</v>
      </c>
      <c r="CR4" s="201" t="s">
        <v>8365</v>
      </c>
      <c r="CS4" s="201" t="s">
        <v>8366</v>
      </c>
      <c r="CT4" s="201" t="s">
        <v>8314</v>
      </c>
      <c r="CU4" s="201" t="s">
        <v>8365</v>
      </c>
      <c r="CV4" s="201" t="s">
        <v>8366</v>
      </c>
      <c r="CW4" s="201" t="s">
        <v>8314</v>
      </c>
      <c r="CX4" s="201" t="s">
        <v>8365</v>
      </c>
      <c r="CY4" s="201" t="s">
        <v>8366</v>
      </c>
      <c r="CZ4" s="201" t="s">
        <v>8314</v>
      </c>
      <c r="DA4" s="201" t="s">
        <v>8365</v>
      </c>
      <c r="DB4" s="201" t="s">
        <v>8366</v>
      </c>
      <c r="DC4" s="201" t="s">
        <v>8314</v>
      </c>
      <c r="DD4" s="201"/>
      <c r="DE4" s="227" t="s">
        <v>361</v>
      </c>
      <c r="DF4" s="227" t="s">
        <v>1</v>
      </c>
      <c r="DG4" s="227" t="s">
        <v>8368</v>
      </c>
    </row>
    <row r="5" spans="1:111">
      <c r="A5" s="171">
        <v>259</v>
      </c>
      <c r="B5" s="171" t="s">
        <v>566</v>
      </c>
      <c r="C5" s="171">
        <v>240</v>
      </c>
      <c r="D5" s="171" t="str">
        <f t="shared" si="0"/>
        <v xml:space="preserve"> NZ SBT</v>
      </c>
      <c r="E5" s="171" t="s">
        <v>7220</v>
      </c>
      <c r="F5" s="174">
        <v>45477</v>
      </c>
      <c r="G5" s="171" t="s">
        <v>7220</v>
      </c>
      <c r="H5" s="173">
        <v>4863</v>
      </c>
      <c r="I5" s="171"/>
      <c r="J5" s="171" t="s">
        <v>4201</v>
      </c>
      <c r="K5" s="171" t="s">
        <v>4457</v>
      </c>
      <c r="L5" s="171" t="s">
        <v>2029</v>
      </c>
      <c r="M5" s="171" t="s">
        <v>5032</v>
      </c>
      <c r="N5" s="171"/>
      <c r="O5" s="171"/>
      <c r="P5" s="171" t="s">
        <v>4174</v>
      </c>
      <c r="Q5" s="171" t="s">
        <v>22</v>
      </c>
      <c r="R5" s="171" t="s">
        <v>7233</v>
      </c>
      <c r="S5" s="171">
        <v>2030</v>
      </c>
      <c r="T5" s="171" t="s">
        <v>1</v>
      </c>
      <c r="U5" s="171"/>
      <c r="V5" s="172">
        <v>45017</v>
      </c>
      <c r="W5" s="171">
        <v>2023</v>
      </c>
      <c r="X5" s="171" t="s">
        <v>5032</v>
      </c>
      <c r="Y5" s="171"/>
      <c r="Z5" s="171"/>
      <c r="AA5" s="171" t="s">
        <v>5032</v>
      </c>
      <c r="AB5" s="171"/>
      <c r="AC5" s="171"/>
      <c r="AD5" s="171"/>
      <c r="AE5" s="171"/>
      <c r="AF5" s="171"/>
      <c r="AG5" s="171"/>
      <c r="AH5" s="171"/>
      <c r="AI5" s="171"/>
      <c r="AJ5" s="171"/>
      <c r="AK5" s="171"/>
      <c r="AL5" s="171"/>
      <c r="AM5" s="171"/>
      <c r="AN5" s="171" t="s">
        <v>1957</v>
      </c>
      <c r="AO5" s="171" t="s">
        <v>109</v>
      </c>
      <c r="AP5" s="171" t="s">
        <v>2555</v>
      </c>
      <c r="AQ5" s="171" t="s">
        <v>1957</v>
      </c>
      <c r="AR5" s="171">
        <v>2050</v>
      </c>
      <c r="AS5" s="171">
        <v>2021</v>
      </c>
      <c r="AT5" s="171"/>
      <c r="AU5" s="171"/>
      <c r="AV5" s="171"/>
      <c r="AW5" s="171" t="s">
        <v>4174</v>
      </c>
      <c r="AX5" s="171" t="s">
        <v>8205</v>
      </c>
      <c r="AY5" s="171"/>
      <c r="AZ5" s="171"/>
      <c r="BA5" s="171"/>
      <c r="BB5" s="171"/>
      <c r="BC5" s="171"/>
      <c r="BD5" s="171"/>
      <c r="BE5" s="171"/>
      <c r="BF5" s="225"/>
      <c r="BG5" s="171"/>
      <c r="BH5" s="171"/>
      <c r="BI5" s="171"/>
      <c r="BJ5" s="171"/>
      <c r="BK5" s="171"/>
      <c r="BL5" s="171"/>
      <c r="BM5" s="171"/>
      <c r="BN5" s="171"/>
      <c r="BO5" s="171"/>
      <c r="BP5" s="171">
        <v>1</v>
      </c>
      <c r="BQ5" s="171">
        <v>1</v>
      </c>
      <c r="BR5" s="171"/>
      <c r="BS5" s="171">
        <v>1</v>
      </c>
      <c r="BT5" s="171"/>
      <c r="BU5" s="171">
        <v>1</v>
      </c>
      <c r="BV5" s="171"/>
      <c r="BW5" s="171"/>
      <c r="BX5" s="171"/>
      <c r="BY5" s="171"/>
      <c r="BZ5" s="171">
        <v>1</v>
      </c>
      <c r="CA5" s="171"/>
      <c r="CB5" s="171">
        <v>1</v>
      </c>
      <c r="CC5" s="171">
        <v>1</v>
      </c>
      <c r="CD5" s="171"/>
      <c r="CE5" s="171">
        <v>1</v>
      </c>
      <c r="CF5" s="171"/>
      <c r="CG5" s="171">
        <v>1</v>
      </c>
      <c r="CH5" s="171">
        <v>1</v>
      </c>
      <c r="CI5" s="171"/>
      <c r="CJ5" s="171"/>
      <c r="CK5" s="171"/>
      <c r="CL5" s="171"/>
      <c r="CM5">
        <f t="shared" si="1"/>
        <v>2050</v>
      </c>
      <c r="CQ5" s="202" t="s">
        <v>4260</v>
      </c>
      <c r="CR5" s="199">
        <f>COUNTIFS($J$2:$J$501,CQ5,$S$2:$S$501,"&lt;=2024")</f>
        <v>0</v>
      </c>
      <c r="CS5" s="199">
        <f>COUNTIFS($J$2:$J$501,CQ5,$S$2:$S$501,"&gt;=2025",$S$2:$S$501,"&lt;=2030")</f>
        <v>1</v>
      </c>
      <c r="CT5" s="199">
        <f>COUNTIFS($J$2:$J$501,CQ5,$S$2:$S$501,"&gt;2030")</f>
        <v>0</v>
      </c>
      <c r="CU5" s="199">
        <f>COUNTIFS($J$2:$J$501,CQ5,$O$2:$O$501,"&lt;=2024")</f>
        <v>0</v>
      </c>
      <c r="CV5" s="199">
        <f>COUNTIFS($J$2:$J$501,CQ5,$O$2:$O$501,"&gt;=2025",$O$2:$O$501,"&lt;=2030")</f>
        <v>0</v>
      </c>
      <c r="CW5" s="199">
        <f>COUNTIFS($J$2:$J$501,CQ5,$O$5:$O$504,"&gt;2030")</f>
        <v>0</v>
      </c>
      <c r="CX5" s="199">
        <f>COUNTIFS($J$2:$J$501,CQ5,$AB$2:$AB$501,"&lt;=2024")</f>
        <v>1</v>
      </c>
      <c r="CY5" s="199">
        <f>COUNTIFS($J$2:$J$501,CQ5,$AB$2:$AB$501,"&gt;=2024",$AB$2:$AB$501,"&lt;=2030")</f>
        <v>0</v>
      </c>
      <c r="CZ5" s="199">
        <f>COUNTIFS($J$2:$J$501,CQ5,$AB$2:$AB$501,"&gt;2030")</f>
        <v>1</v>
      </c>
      <c r="DA5" s="199">
        <f>COUNTIFS($J$2:$J$501,CQ5,$CM$2:$CM$501,"&lt;=2024")</f>
        <v>0</v>
      </c>
      <c r="DB5" s="199">
        <f>COUNTIFS($J$2:$J$501,CQ5,$CM$2:$CM$501,"&gt;=2025",$CM$2:$CM$501,"&lt;=2030")</f>
        <v>0</v>
      </c>
      <c r="DC5" s="199">
        <f>COUNTIFS($J$2:$J$501,CQ5,$CM$2:$CM$501,"&gt;2030")</f>
        <v>4</v>
      </c>
      <c r="DD5" s="199">
        <f>SUM(CR5:DC5)</f>
        <v>7</v>
      </c>
      <c r="DE5">
        <f>COUNTIFS($J$2:$J$501, CQ5, $CC$2:$CC$501, "1")</f>
        <v>4</v>
      </c>
      <c r="DF5">
        <f>COUNTIFS($J$2:$J$501, CQ5, $CD$2:$CD$501, "1")</f>
        <v>0</v>
      </c>
      <c r="DG5">
        <f>COUNTIF($J$2:$J$501, CQ5)-DF5-DE5</f>
        <v>6</v>
      </c>
    </row>
    <row r="6" spans="1:111">
      <c r="A6" s="171">
        <v>211</v>
      </c>
      <c r="B6" s="171" t="s">
        <v>830</v>
      </c>
      <c r="C6" s="171">
        <v>220</v>
      </c>
      <c r="D6" s="171" t="str">
        <f t="shared" si="0"/>
        <v xml:space="preserve"> NZ SBT RE100</v>
      </c>
      <c r="E6" s="171" t="s">
        <v>7220</v>
      </c>
      <c r="F6" s="174">
        <v>45477</v>
      </c>
      <c r="G6" s="171" t="s">
        <v>7220</v>
      </c>
      <c r="H6" s="173">
        <v>6871.6</v>
      </c>
      <c r="I6" s="171"/>
      <c r="J6" s="171" t="s">
        <v>4465</v>
      </c>
      <c r="K6" s="171" t="s">
        <v>400</v>
      </c>
      <c r="L6" s="171" t="s">
        <v>1951</v>
      </c>
      <c r="M6" s="171" t="s">
        <v>4174</v>
      </c>
      <c r="N6" s="171">
        <v>2019</v>
      </c>
      <c r="O6" s="171">
        <v>2023</v>
      </c>
      <c r="P6" s="171" t="s">
        <v>4174</v>
      </c>
      <c r="Q6" s="171" t="s">
        <v>22</v>
      </c>
      <c r="R6" s="171" t="s">
        <v>7233</v>
      </c>
      <c r="S6" s="171">
        <v>2030</v>
      </c>
      <c r="T6" s="171" t="s">
        <v>361</v>
      </c>
      <c r="U6" s="171">
        <v>2040</v>
      </c>
      <c r="V6" s="172">
        <v>45444</v>
      </c>
      <c r="W6" s="171">
        <v>2024</v>
      </c>
      <c r="X6" s="171" t="s">
        <v>5032</v>
      </c>
      <c r="Y6" s="171"/>
      <c r="Z6" s="171"/>
      <c r="AA6" s="171" t="s">
        <v>5032</v>
      </c>
      <c r="AB6" s="171"/>
      <c r="AC6" s="171"/>
      <c r="AD6" s="171"/>
      <c r="AE6" s="171"/>
      <c r="AF6" s="171"/>
      <c r="AG6" s="171"/>
      <c r="AH6" s="171"/>
      <c r="AI6" s="171"/>
      <c r="AJ6" s="171"/>
      <c r="AK6" s="171"/>
      <c r="AL6" s="171"/>
      <c r="AM6" s="171"/>
      <c r="AN6" s="171" t="s">
        <v>4172</v>
      </c>
      <c r="AO6" s="171" t="s">
        <v>1435</v>
      </c>
      <c r="AP6" s="171" t="s">
        <v>2072</v>
      </c>
      <c r="AQ6" s="171" t="s">
        <v>4172</v>
      </c>
      <c r="AR6" s="171">
        <v>2040</v>
      </c>
      <c r="AS6" s="171">
        <v>2020</v>
      </c>
      <c r="AT6" s="171"/>
      <c r="AU6" s="171"/>
      <c r="AV6" s="171"/>
      <c r="AW6" s="171" t="s">
        <v>4174</v>
      </c>
      <c r="AX6" s="171" t="s">
        <v>8204</v>
      </c>
      <c r="AY6" s="171"/>
      <c r="AZ6" s="171"/>
      <c r="BA6" s="171"/>
      <c r="BB6" s="171"/>
      <c r="BC6" s="171"/>
      <c r="BD6" s="171"/>
      <c r="BE6" s="171"/>
      <c r="BF6" s="225"/>
      <c r="BG6" s="171"/>
      <c r="BH6" s="171"/>
      <c r="BI6" s="171"/>
      <c r="BJ6" s="171"/>
      <c r="BK6" s="171"/>
      <c r="BL6" s="171"/>
      <c r="BM6" s="171"/>
      <c r="BN6" s="171"/>
      <c r="BO6" s="171"/>
      <c r="BP6" s="171">
        <v>1</v>
      </c>
      <c r="BQ6" s="171">
        <v>1</v>
      </c>
      <c r="BR6" s="171"/>
      <c r="BS6" s="171">
        <v>1</v>
      </c>
      <c r="BT6" s="171"/>
      <c r="BU6" s="171">
        <v>1</v>
      </c>
      <c r="BV6" s="171">
        <v>1</v>
      </c>
      <c r="BW6" s="171"/>
      <c r="BX6" s="171"/>
      <c r="BY6" s="171">
        <v>1</v>
      </c>
      <c r="BZ6" s="171">
        <v>1</v>
      </c>
      <c r="CA6" s="171">
        <v>1</v>
      </c>
      <c r="CB6" s="171">
        <v>1</v>
      </c>
      <c r="CC6" s="171">
        <v>1</v>
      </c>
      <c r="CD6" s="171"/>
      <c r="CE6" s="171">
        <v>1</v>
      </c>
      <c r="CF6" s="171">
        <v>1</v>
      </c>
      <c r="CG6" s="171">
        <v>1</v>
      </c>
      <c r="CH6" s="171">
        <v>1</v>
      </c>
      <c r="CI6" s="171"/>
      <c r="CJ6" s="171"/>
      <c r="CK6" s="171">
        <v>1</v>
      </c>
      <c r="CL6" s="171">
        <v>1</v>
      </c>
      <c r="CM6">
        <f t="shared" si="1"/>
        <v>2040</v>
      </c>
      <c r="CQ6" s="202" t="s">
        <v>4476</v>
      </c>
      <c r="CR6" s="199">
        <f t="shared" ref="CR6:CR21" si="2">COUNTIFS($J$2:$J$501,CQ6,$S$2:$S$501,"&lt;=2024")</f>
        <v>0</v>
      </c>
      <c r="CS6" s="199">
        <f t="shared" ref="CS6:CS21" si="3">COUNTIFS($J$2:$J$501,CQ6,$S$2:$S$501,"&gt;=2025",$S$2:$S$501,"&lt;=2030")</f>
        <v>16</v>
      </c>
      <c r="CT6" s="199">
        <f t="shared" ref="CT6:CT21" si="4">COUNTIFS($J$2:$J$501,CQ6,$S$2:$S$501,"&gt;2030")</f>
        <v>3</v>
      </c>
      <c r="CU6" s="199">
        <f t="shared" ref="CU6:CU21" si="5">COUNTIFS($J$2:$J$501,CQ6,$O$2:$O$501,"&lt;=2024")</f>
        <v>0</v>
      </c>
      <c r="CV6" s="199">
        <f t="shared" ref="CV6:CV21" si="6">COUNTIFS($J$2:$J$501,CQ6,$O$2:$O$501,"&gt;=2025",$O$2:$O$501,"&lt;=2030")</f>
        <v>1</v>
      </c>
      <c r="CW6" s="199">
        <f t="shared" ref="CW6:CW21" si="7">COUNTIFS($J$2:$J$501,CQ6,$O$5:$O$504,"&gt;2030")</f>
        <v>2</v>
      </c>
      <c r="CX6" s="199">
        <f t="shared" ref="CX6:CX21" si="8">COUNTIFS($J$2:$J$501,CQ6,$AB$2:$AB$501,"&lt;=2024")</f>
        <v>2</v>
      </c>
      <c r="CY6" s="199">
        <f t="shared" ref="CY6:CY21" si="9">COUNTIFS($J$2:$J$501,CQ6,$AB$2:$AB$501,"&gt;=2024",$AB$2:$AB$501,"&lt;=2030")</f>
        <v>3</v>
      </c>
      <c r="CZ6" s="199">
        <f t="shared" ref="CZ6:CZ21" si="10">COUNTIFS($J$2:$J$501,CQ6,$AB$2:$AB$501,"&gt;2030")</f>
        <v>21</v>
      </c>
      <c r="DA6" s="199">
        <f t="shared" ref="DA6:DA21" si="11">COUNTIFS($J$2:$J$501,CQ6,$CM$2:$CM$501,"&lt;=2024")</f>
        <v>0</v>
      </c>
      <c r="DB6" s="199">
        <f t="shared" ref="DB6:DB21" si="12">COUNTIFS($J$2:$J$501,CQ6,$CM$2:$CM$501,"&gt;=2025",$CM$2:$CM$501,"&lt;=2030")</f>
        <v>0</v>
      </c>
      <c r="DC6" s="199">
        <f t="shared" ref="DC6:DC21" si="13">COUNTIFS($J$2:$J$501,CQ6,$CM$2:$CM$501,"&gt;2030")</f>
        <v>7</v>
      </c>
      <c r="DD6" s="199">
        <f t="shared" ref="DD6:DD21" si="14">SUM(CR6:DC6)</f>
        <v>55</v>
      </c>
      <c r="DE6">
        <f t="shared" ref="DE6:DE21" si="15">COUNTIFS($J$2:$J$501, CQ6, $CC$2:$CC$501, "1")</f>
        <v>17</v>
      </c>
      <c r="DF6">
        <f t="shared" ref="DF6:DF21" si="16">COUNTIFS($J$2:$J$501, CQ6, $CD$2:$CD$501, "1")</f>
        <v>0</v>
      </c>
      <c r="DG6">
        <f t="shared" ref="DG6:DG21" si="17">COUNTIF($J$2:$J$501, CQ6)-DF6-DE6</f>
        <v>20</v>
      </c>
    </row>
    <row r="7" spans="1:111">
      <c r="A7" s="171">
        <v>391</v>
      </c>
      <c r="B7" s="171" t="s">
        <v>927</v>
      </c>
      <c r="C7" s="171">
        <v>428</v>
      </c>
      <c r="D7" s="171" t="str">
        <f t="shared" si="0"/>
        <v>CN</v>
      </c>
      <c r="E7" s="171" t="s">
        <v>7223</v>
      </c>
      <c r="F7" s="174">
        <v>45511</v>
      </c>
      <c r="G7" s="171" t="s">
        <v>7223</v>
      </c>
      <c r="H7" s="173">
        <v>843.4</v>
      </c>
      <c r="I7" s="171"/>
      <c r="J7" s="171" t="s">
        <v>4197</v>
      </c>
      <c r="K7" s="171" t="s">
        <v>267</v>
      </c>
      <c r="L7" s="171" t="s">
        <v>1951</v>
      </c>
      <c r="M7" s="171" t="s">
        <v>5032</v>
      </c>
      <c r="N7" s="171"/>
      <c r="O7" s="171"/>
      <c r="P7" s="171" t="s">
        <v>5032</v>
      </c>
      <c r="Q7" s="171"/>
      <c r="R7" s="171"/>
      <c r="S7" s="171"/>
      <c r="T7" s="171"/>
      <c r="U7" s="171"/>
      <c r="V7" s="175"/>
      <c r="W7" s="171"/>
      <c r="X7" s="171" t="s">
        <v>1957</v>
      </c>
      <c r="Y7" s="171" t="s">
        <v>4511</v>
      </c>
      <c r="Z7" s="171" t="s">
        <v>3390</v>
      </c>
      <c r="AA7" s="171" t="s">
        <v>1957</v>
      </c>
      <c r="AB7" s="171">
        <v>2045</v>
      </c>
      <c r="AC7" s="171">
        <v>2021</v>
      </c>
      <c r="AD7" s="171"/>
      <c r="AE7" s="171"/>
      <c r="AF7" s="171"/>
      <c r="AG7" s="171" t="s">
        <v>2082</v>
      </c>
      <c r="AH7" s="171">
        <v>2024</v>
      </c>
      <c r="AI7" s="171" t="s">
        <v>4174</v>
      </c>
      <c r="AJ7" s="176" t="s">
        <v>8203</v>
      </c>
      <c r="AK7" s="171"/>
      <c r="AL7" s="176" t="s">
        <v>8202</v>
      </c>
      <c r="AM7" s="171"/>
      <c r="AN7" s="171" t="s">
        <v>5032</v>
      </c>
      <c r="AO7" s="171"/>
      <c r="AP7" s="171"/>
      <c r="AQ7" s="171" t="s">
        <v>5032</v>
      </c>
      <c r="AR7" s="171"/>
      <c r="AS7" s="171"/>
      <c r="AT7" s="171"/>
      <c r="AU7" s="171"/>
      <c r="AV7" s="171"/>
      <c r="AW7" s="171"/>
      <c r="AX7" s="171"/>
      <c r="AY7" s="171"/>
      <c r="AZ7" s="171"/>
      <c r="BA7" s="171"/>
      <c r="BB7" s="171"/>
      <c r="BC7" s="171"/>
      <c r="BD7" s="171"/>
      <c r="BE7" s="171"/>
      <c r="BF7" s="225"/>
      <c r="BG7" s="171"/>
      <c r="BH7" s="171"/>
      <c r="BI7" s="171"/>
      <c r="BJ7" s="171"/>
      <c r="BK7" s="171"/>
      <c r="BL7" s="171">
        <v>1</v>
      </c>
      <c r="BM7" s="171">
        <v>1</v>
      </c>
      <c r="BN7" s="171"/>
      <c r="BO7" s="171"/>
      <c r="BP7" s="171"/>
      <c r="BQ7" s="171"/>
      <c r="BR7" s="171"/>
      <c r="BS7" s="171"/>
      <c r="BT7" s="171"/>
      <c r="BU7" s="171"/>
      <c r="BV7" s="171"/>
      <c r="BW7" s="171"/>
      <c r="BX7" s="171"/>
      <c r="BY7" s="171"/>
      <c r="BZ7" s="171">
        <v>1</v>
      </c>
      <c r="CA7" s="171"/>
      <c r="CB7" s="171">
        <v>1</v>
      </c>
      <c r="CC7" s="171"/>
      <c r="CD7" s="171"/>
      <c r="CE7" s="171">
        <v>1</v>
      </c>
      <c r="CF7" s="171"/>
      <c r="CG7" s="171"/>
      <c r="CH7" s="171">
        <v>1</v>
      </c>
      <c r="CI7" s="171"/>
      <c r="CJ7" s="171"/>
      <c r="CK7" s="171"/>
      <c r="CL7" s="171"/>
      <c r="CQ7" s="202" t="s">
        <v>66</v>
      </c>
      <c r="CR7" s="199">
        <f t="shared" si="2"/>
        <v>0</v>
      </c>
      <c r="CS7" s="199">
        <f t="shared" si="3"/>
        <v>2</v>
      </c>
      <c r="CT7" s="199">
        <f t="shared" si="4"/>
        <v>1</v>
      </c>
      <c r="CU7" s="199">
        <f t="shared" si="5"/>
        <v>0</v>
      </c>
      <c r="CV7" s="199">
        <f t="shared" si="6"/>
        <v>0</v>
      </c>
      <c r="CW7" s="199">
        <f t="shared" si="7"/>
        <v>0</v>
      </c>
      <c r="CX7" s="199">
        <f t="shared" si="8"/>
        <v>0</v>
      </c>
      <c r="CY7" s="199">
        <f t="shared" si="9"/>
        <v>1</v>
      </c>
      <c r="CZ7" s="199">
        <f t="shared" si="10"/>
        <v>4</v>
      </c>
      <c r="DA7" s="199">
        <f t="shared" si="11"/>
        <v>0</v>
      </c>
      <c r="DB7" s="199">
        <f t="shared" si="12"/>
        <v>0</v>
      </c>
      <c r="DC7" s="199">
        <f t="shared" si="13"/>
        <v>3</v>
      </c>
      <c r="DD7" s="199">
        <f t="shared" si="14"/>
        <v>11</v>
      </c>
      <c r="DE7">
        <f t="shared" si="15"/>
        <v>5</v>
      </c>
      <c r="DF7">
        <f t="shared" si="16"/>
        <v>0</v>
      </c>
      <c r="DG7">
        <f t="shared" si="17"/>
        <v>5</v>
      </c>
    </row>
    <row r="8" spans="1:111">
      <c r="A8" s="171">
        <v>203</v>
      </c>
      <c r="B8" s="171" t="s">
        <v>1453</v>
      </c>
      <c r="C8" s="171">
        <v>189</v>
      </c>
      <c r="D8" s="171" t="str">
        <f t="shared" si="0"/>
        <v xml:space="preserve"> NZ SBT RE100</v>
      </c>
      <c r="E8" s="171" t="s">
        <v>7228</v>
      </c>
      <c r="F8" s="174">
        <v>45477</v>
      </c>
      <c r="G8" s="171" t="s">
        <v>7220</v>
      </c>
      <c r="H8" s="173">
        <v>312.2</v>
      </c>
      <c r="I8" s="171"/>
      <c r="J8" s="171" t="s">
        <v>4467</v>
      </c>
      <c r="K8" s="171" t="s">
        <v>207</v>
      </c>
      <c r="L8" s="171" t="s">
        <v>1994</v>
      </c>
      <c r="M8" s="171" t="s">
        <v>4174</v>
      </c>
      <c r="N8" s="171">
        <v>2018</v>
      </c>
      <c r="O8" s="171">
        <v>2030</v>
      </c>
      <c r="P8" s="171" t="s">
        <v>4174</v>
      </c>
      <c r="Q8" s="171" t="s">
        <v>22</v>
      </c>
      <c r="R8" s="171" t="s">
        <v>7233</v>
      </c>
      <c r="S8" s="171">
        <v>2030</v>
      </c>
      <c r="T8" s="171" t="s">
        <v>361</v>
      </c>
      <c r="U8" s="171"/>
      <c r="V8" s="172">
        <v>44409</v>
      </c>
      <c r="W8" s="171">
        <v>2021</v>
      </c>
      <c r="X8" s="171" t="s">
        <v>5032</v>
      </c>
      <c r="Y8" s="171"/>
      <c r="Z8" s="171"/>
      <c r="AA8" s="171" t="s">
        <v>5032</v>
      </c>
      <c r="AB8" s="171"/>
      <c r="AC8" s="171"/>
      <c r="AD8" s="171"/>
      <c r="AE8" s="171"/>
      <c r="AF8" s="171"/>
      <c r="AG8" s="171"/>
      <c r="AH8" s="171"/>
      <c r="AI8" s="171"/>
      <c r="AJ8" s="171"/>
      <c r="AK8" s="171"/>
      <c r="AL8" s="171"/>
      <c r="AM8" s="171"/>
      <c r="AN8" s="171" t="s">
        <v>1957</v>
      </c>
      <c r="AO8" s="171" t="s">
        <v>6370</v>
      </c>
      <c r="AP8" s="171" t="s">
        <v>2072</v>
      </c>
      <c r="AQ8" s="171" t="s">
        <v>1957</v>
      </c>
      <c r="AR8" s="171">
        <v>2040</v>
      </c>
      <c r="AS8" s="171">
        <v>2021</v>
      </c>
      <c r="AT8" s="171"/>
      <c r="AU8" s="171"/>
      <c r="AV8" s="171"/>
      <c r="AW8" s="171" t="s">
        <v>4174</v>
      </c>
      <c r="AX8" s="171" t="s">
        <v>4866</v>
      </c>
      <c r="AY8" s="171">
        <v>2023</v>
      </c>
      <c r="AZ8" s="171" t="s">
        <v>4174</v>
      </c>
      <c r="BA8" s="171" t="s">
        <v>8201</v>
      </c>
      <c r="BB8" s="171"/>
      <c r="BC8" s="171"/>
      <c r="BD8" s="171"/>
      <c r="BE8" s="171"/>
      <c r="BF8" s="225"/>
      <c r="BG8" s="171"/>
      <c r="BH8" s="171"/>
      <c r="BI8" s="171"/>
      <c r="BJ8" s="171"/>
      <c r="BK8" s="171"/>
      <c r="BL8" s="171"/>
      <c r="BM8" s="171"/>
      <c r="BN8" s="171"/>
      <c r="BO8" s="171"/>
      <c r="BP8" s="171">
        <v>1</v>
      </c>
      <c r="BQ8" s="171">
        <v>1</v>
      </c>
      <c r="BR8" s="171"/>
      <c r="BS8" s="171">
        <v>1</v>
      </c>
      <c r="BT8" s="171"/>
      <c r="BU8" s="171">
        <v>1</v>
      </c>
      <c r="BV8" s="171"/>
      <c r="BW8" s="171">
        <v>1</v>
      </c>
      <c r="BX8" s="171"/>
      <c r="BY8" s="171">
        <v>1</v>
      </c>
      <c r="BZ8" s="171">
        <v>1</v>
      </c>
      <c r="CA8" s="171"/>
      <c r="CB8" s="171">
        <v>1</v>
      </c>
      <c r="CC8" s="171">
        <v>1</v>
      </c>
      <c r="CD8" s="171"/>
      <c r="CE8" s="171">
        <v>1</v>
      </c>
      <c r="CF8" s="171"/>
      <c r="CG8" s="171">
        <v>1</v>
      </c>
      <c r="CH8" s="171">
        <v>1</v>
      </c>
      <c r="CI8" s="171"/>
      <c r="CJ8" s="171"/>
      <c r="CK8" s="171"/>
      <c r="CL8" s="171"/>
      <c r="CM8">
        <f t="shared" si="1"/>
        <v>2040</v>
      </c>
      <c r="CQ8" s="202" t="s">
        <v>4199</v>
      </c>
      <c r="CR8" s="199">
        <f t="shared" si="2"/>
        <v>1</v>
      </c>
      <c r="CS8" s="199">
        <f t="shared" si="3"/>
        <v>5</v>
      </c>
      <c r="CT8" s="199">
        <f t="shared" si="4"/>
        <v>2</v>
      </c>
      <c r="CU8" s="199">
        <f t="shared" si="5"/>
        <v>0</v>
      </c>
      <c r="CV8" s="199">
        <f t="shared" si="6"/>
        <v>0</v>
      </c>
      <c r="CW8" s="199">
        <f t="shared" si="7"/>
        <v>0</v>
      </c>
      <c r="CX8" s="199">
        <f t="shared" si="8"/>
        <v>1</v>
      </c>
      <c r="CY8" s="199">
        <f t="shared" si="9"/>
        <v>2</v>
      </c>
      <c r="CZ8" s="199">
        <f t="shared" si="10"/>
        <v>12</v>
      </c>
      <c r="DA8" s="199">
        <f t="shared" si="11"/>
        <v>0</v>
      </c>
      <c r="DB8" s="199">
        <f t="shared" si="12"/>
        <v>0</v>
      </c>
      <c r="DC8" s="199">
        <f t="shared" si="13"/>
        <v>8</v>
      </c>
      <c r="DD8" s="199">
        <f t="shared" si="14"/>
        <v>31</v>
      </c>
      <c r="DE8">
        <f t="shared" si="15"/>
        <v>9</v>
      </c>
      <c r="DF8">
        <f t="shared" si="16"/>
        <v>0</v>
      </c>
      <c r="DG8">
        <f t="shared" si="17"/>
        <v>13</v>
      </c>
    </row>
    <row r="9" spans="1:111">
      <c r="A9" s="171">
        <v>34</v>
      </c>
      <c r="B9" s="171" t="s">
        <v>1763</v>
      </c>
      <c r="C9" s="171">
        <v>32</v>
      </c>
      <c r="D9" s="171" t="str">
        <f t="shared" si="0"/>
        <v/>
      </c>
      <c r="E9" s="171" t="s">
        <v>7228</v>
      </c>
      <c r="F9" s="174">
        <v>45474</v>
      </c>
      <c r="G9" s="171" t="s">
        <v>7220</v>
      </c>
      <c r="H9" s="173">
        <v>38048.699999999997</v>
      </c>
      <c r="I9" s="171"/>
      <c r="J9" s="171" t="s">
        <v>4465</v>
      </c>
      <c r="K9" s="171" t="s">
        <v>73</v>
      </c>
      <c r="L9" s="171" t="s">
        <v>1994</v>
      </c>
      <c r="M9" s="171" t="s">
        <v>5032</v>
      </c>
      <c r="N9" s="171"/>
      <c r="O9" s="171"/>
      <c r="P9" s="171" t="s">
        <v>5032</v>
      </c>
      <c r="Q9" s="171"/>
      <c r="R9" s="171"/>
      <c r="S9" s="171"/>
      <c r="T9" s="171"/>
      <c r="U9" s="171"/>
      <c r="V9" s="175"/>
      <c r="W9" s="171"/>
      <c r="X9" s="171" t="s">
        <v>4519</v>
      </c>
      <c r="Y9" s="171" t="s">
        <v>1659</v>
      </c>
      <c r="Z9" s="171" t="s">
        <v>7225</v>
      </c>
      <c r="AA9" s="171" t="s">
        <v>4519</v>
      </c>
      <c r="AB9" s="171">
        <v>2060</v>
      </c>
      <c r="AC9" s="171">
        <v>2023</v>
      </c>
      <c r="AD9" s="171"/>
      <c r="AE9" s="171"/>
      <c r="AF9" s="171"/>
      <c r="AG9" s="171"/>
      <c r="AH9" s="171"/>
      <c r="AI9" s="171"/>
      <c r="AJ9" s="171"/>
      <c r="AK9" s="171"/>
      <c r="AL9" s="171" t="s">
        <v>8200</v>
      </c>
      <c r="AM9" s="171"/>
      <c r="AN9" s="171" t="s">
        <v>5032</v>
      </c>
      <c r="AO9" s="171"/>
      <c r="AP9" s="171"/>
      <c r="AQ9" s="171" t="s">
        <v>5032</v>
      </c>
      <c r="AR9" s="171"/>
      <c r="AS9" s="171"/>
      <c r="AT9" s="171"/>
      <c r="AU9" s="171"/>
      <c r="AV9" s="171"/>
      <c r="AW9" s="171"/>
      <c r="AX9" s="171"/>
      <c r="AY9" s="171"/>
      <c r="AZ9" s="171"/>
      <c r="BA9" s="171"/>
      <c r="BB9" s="171"/>
      <c r="BC9" s="171"/>
      <c r="BD9" s="171"/>
      <c r="BE9" s="171"/>
      <c r="BF9" s="225"/>
      <c r="BG9" s="171"/>
      <c r="BH9" s="171" t="s">
        <v>8199</v>
      </c>
      <c r="BI9" s="171"/>
      <c r="BJ9" s="171"/>
      <c r="BK9" s="171"/>
      <c r="BL9" s="171"/>
      <c r="BM9" s="171"/>
      <c r="BN9" s="171"/>
      <c r="BO9" s="171"/>
      <c r="BP9" s="171"/>
      <c r="BQ9" s="171"/>
      <c r="BR9" s="171"/>
      <c r="BS9" s="171"/>
      <c r="BT9" s="171"/>
      <c r="BU9" s="171"/>
      <c r="BV9" s="171"/>
      <c r="BW9" s="171"/>
      <c r="BX9" s="171"/>
      <c r="BY9" s="171"/>
      <c r="BZ9" s="171"/>
      <c r="CA9" s="171"/>
      <c r="CB9" s="171"/>
      <c r="CC9" s="171"/>
      <c r="CD9" s="171"/>
      <c r="CE9" s="171"/>
      <c r="CF9" s="171"/>
      <c r="CG9" s="171"/>
      <c r="CH9" s="171"/>
      <c r="CI9" s="171"/>
      <c r="CJ9" s="171"/>
      <c r="CK9" s="171"/>
      <c r="CL9" s="171"/>
      <c r="CQ9" s="202" t="s">
        <v>4197</v>
      </c>
      <c r="CR9" s="199">
        <f t="shared" si="2"/>
        <v>0</v>
      </c>
      <c r="CS9" s="199">
        <f t="shared" si="3"/>
        <v>3</v>
      </c>
      <c r="CT9" s="199">
        <f t="shared" si="4"/>
        <v>0</v>
      </c>
      <c r="CU9" s="199">
        <f t="shared" si="5"/>
        <v>1</v>
      </c>
      <c r="CV9" s="199">
        <f t="shared" si="6"/>
        <v>0</v>
      </c>
      <c r="CW9" s="199">
        <f t="shared" si="7"/>
        <v>1</v>
      </c>
      <c r="CX9" s="199">
        <f t="shared" si="8"/>
        <v>0</v>
      </c>
      <c r="CY9" s="199">
        <f t="shared" si="9"/>
        <v>0</v>
      </c>
      <c r="CZ9" s="199">
        <f t="shared" si="10"/>
        <v>8</v>
      </c>
      <c r="DA9" s="199">
        <f t="shared" si="11"/>
        <v>0</v>
      </c>
      <c r="DB9" s="199">
        <f t="shared" si="12"/>
        <v>0</v>
      </c>
      <c r="DC9" s="199">
        <f t="shared" si="13"/>
        <v>1</v>
      </c>
      <c r="DD9" s="199">
        <f t="shared" si="14"/>
        <v>14</v>
      </c>
      <c r="DE9">
        <f t="shared" si="15"/>
        <v>1</v>
      </c>
      <c r="DF9">
        <f t="shared" si="16"/>
        <v>0</v>
      </c>
      <c r="DG9">
        <f t="shared" si="17"/>
        <v>17</v>
      </c>
    </row>
    <row r="10" spans="1:111">
      <c r="A10" s="171">
        <v>446</v>
      </c>
      <c r="B10" s="171" t="s">
        <v>539</v>
      </c>
      <c r="C10" s="171"/>
      <c r="D10" s="171" t="str">
        <f t="shared" si="0"/>
        <v xml:space="preserve"> NZ SBT</v>
      </c>
      <c r="E10" s="171" t="s">
        <v>7223</v>
      </c>
      <c r="F10" s="174">
        <v>45512</v>
      </c>
      <c r="G10" s="171"/>
      <c r="H10" s="173">
        <v>3764</v>
      </c>
      <c r="I10" s="171" t="s">
        <v>8198</v>
      </c>
      <c r="J10" s="171" t="s">
        <v>4465</v>
      </c>
      <c r="K10" s="171" t="s">
        <v>4338</v>
      </c>
      <c r="L10" s="171" t="s">
        <v>1994</v>
      </c>
      <c r="M10" s="171" t="s">
        <v>5032</v>
      </c>
      <c r="N10" s="171"/>
      <c r="O10" s="171"/>
      <c r="P10" s="171" t="s">
        <v>4174</v>
      </c>
      <c r="Q10" s="171" t="s">
        <v>22</v>
      </c>
      <c r="R10" s="171" t="s">
        <v>2499</v>
      </c>
      <c r="S10" s="171">
        <v>2030</v>
      </c>
      <c r="T10" s="171" t="s">
        <v>1</v>
      </c>
      <c r="U10" s="171"/>
      <c r="V10" s="175" t="s">
        <v>8197</v>
      </c>
      <c r="W10" s="171">
        <v>2023</v>
      </c>
      <c r="X10" s="171" t="s">
        <v>5032</v>
      </c>
      <c r="Y10" s="171"/>
      <c r="Z10" s="171"/>
      <c r="AA10" s="171" t="s">
        <v>5032</v>
      </c>
      <c r="AB10" s="171"/>
      <c r="AC10" s="171"/>
      <c r="AD10" s="171"/>
      <c r="AE10" s="171"/>
      <c r="AF10" s="171"/>
      <c r="AG10" s="171"/>
      <c r="AH10" s="171"/>
      <c r="AI10" s="171"/>
      <c r="AJ10" s="171"/>
      <c r="AK10" s="171"/>
      <c r="AL10" s="171"/>
      <c r="AM10" s="171"/>
      <c r="AN10" s="171" t="s">
        <v>1957</v>
      </c>
      <c r="AO10" s="171" t="s">
        <v>418</v>
      </c>
      <c r="AP10" s="171" t="s">
        <v>2072</v>
      </c>
      <c r="AQ10" s="171" t="s">
        <v>1957</v>
      </c>
      <c r="AR10" s="171">
        <v>2050</v>
      </c>
      <c r="AS10" s="171">
        <v>2021</v>
      </c>
      <c r="AT10" s="171"/>
      <c r="AU10" s="171"/>
      <c r="AV10" s="171"/>
      <c r="AW10" s="171" t="s">
        <v>2082</v>
      </c>
      <c r="AX10" s="176" t="s">
        <v>8196</v>
      </c>
      <c r="AY10" s="171">
        <v>2023</v>
      </c>
      <c r="AZ10" s="171" t="s">
        <v>4174</v>
      </c>
      <c r="BA10" s="176" t="s">
        <v>8196</v>
      </c>
      <c r="BB10" s="171"/>
      <c r="BC10" s="171"/>
      <c r="BD10" s="171"/>
      <c r="BE10" s="171"/>
      <c r="BF10" s="225"/>
      <c r="BG10" s="171"/>
      <c r="BH10" s="171"/>
      <c r="BI10" s="171"/>
      <c r="BJ10" s="171"/>
      <c r="BK10" s="171"/>
      <c r="BL10" s="171"/>
      <c r="BM10" s="171"/>
      <c r="BN10" s="171"/>
      <c r="BO10" s="171"/>
      <c r="BP10" s="171">
        <v>1</v>
      </c>
      <c r="BQ10" s="171">
        <v>1</v>
      </c>
      <c r="BR10" s="171"/>
      <c r="BS10" s="171">
        <v>1</v>
      </c>
      <c r="BT10" s="171"/>
      <c r="BU10" s="171">
        <v>1</v>
      </c>
      <c r="BV10" s="171"/>
      <c r="BW10" s="171"/>
      <c r="BX10" s="171"/>
      <c r="BY10" s="171"/>
      <c r="BZ10" s="171">
        <v>1</v>
      </c>
      <c r="CA10" s="171"/>
      <c r="CB10" s="171">
        <v>1</v>
      </c>
      <c r="CC10" s="171"/>
      <c r="CD10" s="171"/>
      <c r="CE10" s="171">
        <v>1</v>
      </c>
      <c r="CF10" s="171"/>
      <c r="CG10" s="171">
        <v>1</v>
      </c>
      <c r="CH10" s="171">
        <v>1</v>
      </c>
      <c r="CI10" s="171"/>
      <c r="CJ10" s="171"/>
      <c r="CK10" s="171"/>
      <c r="CL10" s="171"/>
      <c r="CM10">
        <f t="shared" si="1"/>
        <v>2050</v>
      </c>
      <c r="CQ10" s="202" t="s">
        <v>4465</v>
      </c>
      <c r="CR10" s="199">
        <f t="shared" si="2"/>
        <v>0</v>
      </c>
      <c r="CS10" s="199">
        <f t="shared" si="3"/>
        <v>17</v>
      </c>
      <c r="CT10" s="199">
        <f t="shared" si="4"/>
        <v>1</v>
      </c>
      <c r="CU10" s="199">
        <f t="shared" si="5"/>
        <v>11</v>
      </c>
      <c r="CV10" s="199">
        <f t="shared" si="6"/>
        <v>9</v>
      </c>
      <c r="CW10" s="199">
        <f t="shared" si="7"/>
        <v>2</v>
      </c>
      <c r="CX10" s="199">
        <f t="shared" si="8"/>
        <v>29</v>
      </c>
      <c r="CY10" s="199">
        <f t="shared" si="9"/>
        <v>13</v>
      </c>
      <c r="CZ10" s="199">
        <f t="shared" si="10"/>
        <v>25</v>
      </c>
      <c r="DA10" s="199">
        <f t="shared" si="11"/>
        <v>0</v>
      </c>
      <c r="DB10" s="199">
        <f t="shared" si="12"/>
        <v>15</v>
      </c>
      <c r="DC10" s="199">
        <f t="shared" si="13"/>
        <v>52</v>
      </c>
      <c r="DD10" s="199">
        <f t="shared" si="14"/>
        <v>174</v>
      </c>
      <c r="DE10">
        <f t="shared" si="15"/>
        <v>67</v>
      </c>
      <c r="DF10">
        <f t="shared" si="16"/>
        <v>2</v>
      </c>
      <c r="DG10">
        <f t="shared" si="17"/>
        <v>58</v>
      </c>
    </row>
    <row r="11" spans="1:111">
      <c r="A11" s="171">
        <v>324</v>
      </c>
      <c r="B11" s="171" t="s">
        <v>1037</v>
      </c>
      <c r="C11" s="171">
        <v>248</v>
      </c>
      <c r="D11" s="171" t="str">
        <f t="shared" si="0"/>
        <v xml:space="preserve"> NZ</v>
      </c>
      <c r="E11" s="171" t="s">
        <v>7223</v>
      </c>
      <c r="F11" s="174">
        <v>45477</v>
      </c>
      <c r="G11" s="171" t="s">
        <v>7223</v>
      </c>
      <c r="H11" s="173">
        <v>3643</v>
      </c>
      <c r="I11" s="171"/>
      <c r="J11" s="171" t="s">
        <v>4465</v>
      </c>
      <c r="K11" s="171" t="s">
        <v>4457</v>
      </c>
      <c r="L11" s="171" t="s">
        <v>2029</v>
      </c>
      <c r="M11" s="171" t="s">
        <v>5032</v>
      </c>
      <c r="N11" s="171"/>
      <c r="O11" s="171"/>
      <c r="P11" s="171" t="s">
        <v>5032</v>
      </c>
      <c r="Q11" s="171"/>
      <c r="R11" s="171"/>
      <c r="S11" s="171"/>
      <c r="T11" s="171"/>
      <c r="U11" s="171"/>
      <c r="V11" s="175"/>
      <c r="W11" s="171"/>
      <c r="X11" s="171" t="s">
        <v>5032</v>
      </c>
      <c r="Y11" s="171"/>
      <c r="Z11" s="171"/>
      <c r="AA11" s="171" t="s">
        <v>5032</v>
      </c>
      <c r="AB11" s="171"/>
      <c r="AC11" s="171"/>
      <c r="AD11" s="171"/>
      <c r="AE11" s="171"/>
      <c r="AF11" s="171"/>
      <c r="AG11" s="171"/>
      <c r="AH11" s="171"/>
      <c r="AI11" s="171"/>
      <c r="AJ11" s="171"/>
      <c r="AK11" s="171"/>
      <c r="AL11" s="171"/>
      <c r="AM11" s="171"/>
      <c r="AN11" s="171" t="s">
        <v>7414</v>
      </c>
      <c r="AO11" s="171" t="s">
        <v>8195</v>
      </c>
      <c r="AP11" s="171" t="s">
        <v>7355</v>
      </c>
      <c r="AQ11" s="171" t="s">
        <v>7414</v>
      </c>
      <c r="AR11" s="171">
        <v>2050</v>
      </c>
      <c r="AS11" s="171">
        <v>2022</v>
      </c>
      <c r="AT11" s="171"/>
      <c r="AU11" s="171"/>
      <c r="AV11" s="171"/>
      <c r="AW11" s="171" t="s">
        <v>2082</v>
      </c>
      <c r="AX11" s="171" t="s">
        <v>8194</v>
      </c>
      <c r="AY11" s="171"/>
      <c r="AZ11" s="171"/>
      <c r="BA11" s="171"/>
      <c r="BB11" s="171"/>
      <c r="BC11" s="171"/>
      <c r="BD11" s="171"/>
      <c r="BE11" s="171"/>
      <c r="BF11" s="225" t="s">
        <v>5032</v>
      </c>
      <c r="BG11" s="171"/>
      <c r="BH11" s="171"/>
      <c r="BI11" s="171"/>
      <c r="BJ11" s="171"/>
      <c r="BK11" s="171"/>
      <c r="BL11" s="171"/>
      <c r="BM11" s="171"/>
      <c r="BN11" s="171"/>
      <c r="BO11" s="171"/>
      <c r="BP11" s="171">
        <v>1</v>
      </c>
      <c r="BQ11" s="171">
        <v>1</v>
      </c>
      <c r="BR11" s="171"/>
      <c r="BS11" s="171"/>
      <c r="BT11" s="171"/>
      <c r="BU11" s="171"/>
      <c r="BV11" s="171"/>
      <c r="BW11" s="171"/>
      <c r="BX11" s="171"/>
      <c r="BY11" s="171"/>
      <c r="BZ11" s="171">
        <v>1</v>
      </c>
      <c r="CA11" s="171"/>
      <c r="CB11" s="171">
        <v>1</v>
      </c>
      <c r="CC11" s="171"/>
      <c r="CD11" s="171"/>
      <c r="CE11" s="171">
        <v>1</v>
      </c>
      <c r="CF11" s="171"/>
      <c r="CG11" s="171"/>
      <c r="CH11" s="171">
        <v>1</v>
      </c>
      <c r="CI11" s="171"/>
      <c r="CJ11" s="171"/>
      <c r="CK11" s="171">
        <v>1</v>
      </c>
      <c r="CL11" s="171">
        <v>1</v>
      </c>
      <c r="CM11">
        <f t="shared" si="1"/>
        <v>2050</v>
      </c>
      <c r="CQ11" s="202" t="s">
        <v>4455</v>
      </c>
      <c r="CR11" s="199">
        <f t="shared" si="2"/>
        <v>0</v>
      </c>
      <c r="CS11" s="199">
        <f t="shared" si="3"/>
        <v>15</v>
      </c>
      <c r="CT11" s="199">
        <f t="shared" si="4"/>
        <v>1</v>
      </c>
      <c r="CU11" s="199">
        <f t="shared" si="5"/>
        <v>1</v>
      </c>
      <c r="CV11" s="199">
        <f t="shared" si="6"/>
        <v>3</v>
      </c>
      <c r="CW11" s="199">
        <f t="shared" si="7"/>
        <v>2</v>
      </c>
      <c r="CX11" s="199">
        <f t="shared" si="8"/>
        <v>0</v>
      </c>
      <c r="CY11" s="199">
        <f t="shared" si="9"/>
        <v>3</v>
      </c>
      <c r="CZ11" s="199">
        <f t="shared" si="10"/>
        <v>0</v>
      </c>
      <c r="DA11" s="199">
        <f t="shared" si="11"/>
        <v>0</v>
      </c>
      <c r="DB11" s="199">
        <f t="shared" si="12"/>
        <v>0</v>
      </c>
      <c r="DC11" s="199">
        <f t="shared" si="13"/>
        <v>13</v>
      </c>
      <c r="DD11" s="199">
        <f t="shared" si="14"/>
        <v>38</v>
      </c>
      <c r="DE11">
        <f t="shared" si="15"/>
        <v>8</v>
      </c>
      <c r="DF11">
        <f t="shared" si="16"/>
        <v>0</v>
      </c>
      <c r="DG11">
        <f t="shared" si="17"/>
        <v>13</v>
      </c>
    </row>
    <row r="12" spans="1:111">
      <c r="A12" s="171">
        <v>496</v>
      </c>
      <c r="B12" s="171" t="s">
        <v>482</v>
      </c>
      <c r="C12" s="171"/>
      <c r="D12" s="171" t="str">
        <f t="shared" si="0"/>
        <v xml:space="preserve"> NZ SBT</v>
      </c>
      <c r="E12" s="171" t="s">
        <v>7223</v>
      </c>
      <c r="F12" s="174">
        <v>45512</v>
      </c>
      <c r="G12" s="171"/>
      <c r="H12" s="173">
        <v>1009.7</v>
      </c>
      <c r="I12" s="181" t="s">
        <v>177</v>
      </c>
      <c r="J12" s="171" t="s">
        <v>4179</v>
      </c>
      <c r="K12" s="171" t="s">
        <v>63</v>
      </c>
      <c r="L12" s="171" t="s">
        <v>1951</v>
      </c>
      <c r="M12" s="171" t="s">
        <v>5032</v>
      </c>
      <c r="N12" s="171"/>
      <c r="O12" s="171"/>
      <c r="P12" s="171" t="s">
        <v>4174</v>
      </c>
      <c r="Q12" s="171" t="s">
        <v>22</v>
      </c>
      <c r="R12" s="171" t="s">
        <v>7566</v>
      </c>
      <c r="S12" s="171">
        <v>2030</v>
      </c>
      <c r="T12" s="171" t="s">
        <v>1</v>
      </c>
      <c r="U12" s="171"/>
      <c r="V12" s="175" t="s">
        <v>7672</v>
      </c>
      <c r="W12" s="171">
        <v>2023</v>
      </c>
      <c r="X12" s="171" t="s">
        <v>5032</v>
      </c>
      <c r="Y12" s="171"/>
      <c r="Z12" s="171"/>
      <c r="AA12" s="171" t="s">
        <v>5032</v>
      </c>
      <c r="AB12" s="171"/>
      <c r="AC12" s="171"/>
      <c r="AD12" s="171"/>
      <c r="AE12" s="171"/>
      <c r="AF12" s="171"/>
      <c r="AG12" s="171"/>
      <c r="AH12" s="171"/>
      <c r="AI12" s="171"/>
      <c r="AJ12" s="171"/>
      <c r="AK12" s="171"/>
      <c r="AL12" s="171"/>
      <c r="AM12" s="171"/>
      <c r="AN12" s="171" t="s">
        <v>7236</v>
      </c>
      <c r="AO12" s="171" t="s">
        <v>5894</v>
      </c>
      <c r="AP12" s="171" t="s">
        <v>2072</v>
      </c>
      <c r="AQ12" s="171" t="s">
        <v>7236</v>
      </c>
      <c r="AR12" s="171">
        <v>2050</v>
      </c>
      <c r="AS12" s="171">
        <v>2021</v>
      </c>
      <c r="AT12" s="171"/>
      <c r="AU12" s="171"/>
      <c r="AV12" s="171"/>
      <c r="AW12" s="171" t="s">
        <v>2082</v>
      </c>
      <c r="AX12" s="176" t="s">
        <v>8193</v>
      </c>
      <c r="AY12" s="171">
        <v>2022</v>
      </c>
      <c r="AZ12" s="171" t="s">
        <v>4174</v>
      </c>
      <c r="BA12" s="176" t="s">
        <v>8192</v>
      </c>
      <c r="BB12" s="171"/>
      <c r="BC12" s="171"/>
      <c r="BD12" s="171"/>
      <c r="BE12" s="171"/>
      <c r="BF12" s="225"/>
      <c r="BG12" s="171"/>
      <c r="BH12" s="171"/>
      <c r="BI12" s="171"/>
      <c r="BJ12" s="171"/>
      <c r="BK12" s="171"/>
      <c r="BL12" s="171"/>
      <c r="BM12" s="171"/>
      <c r="BN12" s="171"/>
      <c r="BO12" s="171"/>
      <c r="BP12" s="171">
        <v>1</v>
      </c>
      <c r="BQ12" s="171">
        <v>1</v>
      </c>
      <c r="BR12" s="171"/>
      <c r="BS12" s="171">
        <v>1</v>
      </c>
      <c r="BT12" s="171"/>
      <c r="BU12" s="171">
        <v>1</v>
      </c>
      <c r="BV12" s="171"/>
      <c r="BW12" s="171"/>
      <c r="BX12" s="171"/>
      <c r="BY12" s="171"/>
      <c r="BZ12" s="171">
        <v>1</v>
      </c>
      <c r="CA12" s="171"/>
      <c r="CB12" s="171">
        <v>1</v>
      </c>
      <c r="CC12" s="171"/>
      <c r="CD12" s="171"/>
      <c r="CE12" s="171">
        <v>1</v>
      </c>
      <c r="CF12" s="171"/>
      <c r="CG12" s="171">
        <v>1</v>
      </c>
      <c r="CH12" s="171">
        <v>1</v>
      </c>
      <c r="CI12" s="171"/>
      <c r="CJ12" s="171"/>
      <c r="CK12" s="171"/>
      <c r="CL12" s="171"/>
      <c r="CM12">
        <f t="shared" si="1"/>
        <v>2050</v>
      </c>
      <c r="CQ12" s="202" t="s">
        <v>4201</v>
      </c>
      <c r="CR12" s="199">
        <f t="shared" si="2"/>
        <v>0</v>
      </c>
      <c r="CS12" s="199">
        <f t="shared" si="3"/>
        <v>15</v>
      </c>
      <c r="CT12" s="199">
        <f t="shared" si="4"/>
        <v>1</v>
      </c>
      <c r="CU12" s="199">
        <f t="shared" si="5"/>
        <v>1</v>
      </c>
      <c r="CV12" s="199">
        <f t="shared" si="6"/>
        <v>8</v>
      </c>
      <c r="CW12" s="199">
        <f t="shared" si="7"/>
        <v>2</v>
      </c>
      <c r="CX12" s="199">
        <f t="shared" si="8"/>
        <v>1</v>
      </c>
      <c r="CY12" s="199">
        <f t="shared" si="9"/>
        <v>8</v>
      </c>
      <c r="CZ12" s="199">
        <f t="shared" si="10"/>
        <v>3</v>
      </c>
      <c r="DA12" s="199">
        <f t="shared" si="11"/>
        <v>0</v>
      </c>
      <c r="DB12" s="199">
        <f t="shared" si="12"/>
        <v>1</v>
      </c>
      <c r="DC12" s="199">
        <f t="shared" si="13"/>
        <v>14</v>
      </c>
      <c r="DD12" s="199">
        <f t="shared" si="14"/>
        <v>54</v>
      </c>
      <c r="DE12">
        <f t="shared" si="15"/>
        <v>12</v>
      </c>
      <c r="DF12">
        <f t="shared" si="16"/>
        <v>1</v>
      </c>
      <c r="DG12">
        <f t="shared" si="17"/>
        <v>12</v>
      </c>
    </row>
    <row r="13" spans="1:111">
      <c r="A13" s="171">
        <v>183</v>
      </c>
      <c r="B13" s="171" t="s">
        <v>1431</v>
      </c>
      <c r="C13" s="171">
        <v>219</v>
      </c>
      <c r="D13" s="171" t="str">
        <f t="shared" si="0"/>
        <v xml:space="preserve"> NZ SBT</v>
      </c>
      <c r="E13" s="171" t="s">
        <v>7221</v>
      </c>
      <c r="F13" s="174">
        <v>45477</v>
      </c>
      <c r="G13" s="171" t="s">
        <v>7220</v>
      </c>
      <c r="H13" s="173">
        <v>4096.1000000000004</v>
      </c>
      <c r="I13" s="171"/>
      <c r="J13" s="171" t="s">
        <v>4260</v>
      </c>
      <c r="K13" s="171" t="s">
        <v>96</v>
      </c>
      <c r="L13" s="171" t="s">
        <v>1951</v>
      </c>
      <c r="M13" s="171" t="s">
        <v>5032</v>
      </c>
      <c r="N13" s="171"/>
      <c r="O13" s="171"/>
      <c r="P13" s="171" t="s">
        <v>4174</v>
      </c>
      <c r="Q13" s="171" t="s">
        <v>22</v>
      </c>
      <c r="R13" s="171" t="s">
        <v>7233</v>
      </c>
      <c r="S13" s="171">
        <v>2030</v>
      </c>
      <c r="T13" s="171" t="s">
        <v>1</v>
      </c>
      <c r="U13" s="171"/>
      <c r="V13" s="172">
        <v>44958</v>
      </c>
      <c r="W13" s="171">
        <v>2023</v>
      </c>
      <c r="X13" s="171" t="s">
        <v>5032</v>
      </c>
      <c r="Y13" s="171"/>
      <c r="Z13" s="171"/>
      <c r="AA13" s="171" t="s">
        <v>5032</v>
      </c>
      <c r="AB13" s="171"/>
      <c r="AC13" s="171"/>
      <c r="AD13" s="171"/>
      <c r="AE13" s="171"/>
      <c r="AF13" s="171"/>
      <c r="AG13" s="171"/>
      <c r="AH13" s="171"/>
      <c r="AI13" s="171"/>
      <c r="AJ13" s="171"/>
      <c r="AK13" s="171"/>
      <c r="AL13" s="171"/>
      <c r="AM13" s="171"/>
      <c r="AN13" s="171" t="s">
        <v>1957</v>
      </c>
      <c r="AO13" s="171" t="s">
        <v>5131</v>
      </c>
      <c r="AP13" s="171" t="s">
        <v>2072</v>
      </c>
      <c r="AQ13" s="171" t="s">
        <v>1957</v>
      </c>
      <c r="AR13" s="171">
        <v>2050</v>
      </c>
      <c r="AS13" s="171">
        <v>2020</v>
      </c>
      <c r="AT13" s="171"/>
      <c r="AU13" s="171"/>
      <c r="AV13" s="171"/>
      <c r="AW13" s="171" t="s">
        <v>4174</v>
      </c>
      <c r="AX13" s="171" t="s">
        <v>8191</v>
      </c>
      <c r="AY13" s="171"/>
      <c r="AZ13" s="171"/>
      <c r="BA13" s="171"/>
      <c r="BB13" s="171"/>
      <c r="BC13" s="171"/>
      <c r="BD13" s="171"/>
      <c r="BE13" s="171"/>
      <c r="BF13" s="225"/>
      <c r="BG13" s="171"/>
      <c r="BH13" s="171"/>
      <c r="BI13" s="171"/>
      <c r="BJ13" s="171"/>
      <c r="BK13" s="171"/>
      <c r="BL13" s="171"/>
      <c r="BM13" s="171"/>
      <c r="BN13" s="171"/>
      <c r="BO13" s="171"/>
      <c r="BP13" s="171">
        <v>1</v>
      </c>
      <c r="BQ13" s="171">
        <v>1</v>
      </c>
      <c r="BR13" s="171"/>
      <c r="BS13" s="171">
        <v>1</v>
      </c>
      <c r="BT13" s="171"/>
      <c r="BU13" s="171">
        <v>1</v>
      </c>
      <c r="BV13" s="171"/>
      <c r="BW13" s="171"/>
      <c r="BX13" s="171"/>
      <c r="BY13" s="171"/>
      <c r="BZ13" s="171">
        <v>1</v>
      </c>
      <c r="CA13" s="171"/>
      <c r="CB13" s="171">
        <v>1</v>
      </c>
      <c r="CC13" s="171">
        <v>1</v>
      </c>
      <c r="CD13" s="171"/>
      <c r="CE13" s="171">
        <v>1</v>
      </c>
      <c r="CF13" s="171"/>
      <c r="CG13" s="171">
        <v>1</v>
      </c>
      <c r="CH13" s="171">
        <v>1</v>
      </c>
      <c r="CI13" s="171"/>
      <c r="CJ13" s="171"/>
      <c r="CK13" s="171"/>
      <c r="CL13" s="171"/>
      <c r="CM13">
        <f t="shared" si="1"/>
        <v>2050</v>
      </c>
      <c r="CQ13" s="202" t="s">
        <v>4643</v>
      </c>
      <c r="CR13" s="199">
        <f t="shared" si="2"/>
        <v>0</v>
      </c>
      <c r="CS13" s="199">
        <f t="shared" si="3"/>
        <v>4</v>
      </c>
      <c r="CT13" s="199">
        <f t="shared" si="4"/>
        <v>0</v>
      </c>
      <c r="CU13" s="199">
        <f t="shared" si="5"/>
        <v>0</v>
      </c>
      <c r="CV13" s="199">
        <f t="shared" si="6"/>
        <v>3</v>
      </c>
      <c r="CW13" s="199">
        <f t="shared" si="7"/>
        <v>0</v>
      </c>
      <c r="CX13" s="199">
        <f t="shared" si="8"/>
        <v>1</v>
      </c>
      <c r="CY13" s="199">
        <f t="shared" si="9"/>
        <v>1</v>
      </c>
      <c r="CZ13" s="199">
        <f t="shared" si="10"/>
        <v>0</v>
      </c>
      <c r="DA13" s="199">
        <f t="shared" si="11"/>
        <v>0</v>
      </c>
      <c r="DB13" s="199">
        <f t="shared" si="12"/>
        <v>0</v>
      </c>
      <c r="DC13" s="199">
        <f t="shared" si="13"/>
        <v>5</v>
      </c>
      <c r="DD13" s="199">
        <f t="shared" si="14"/>
        <v>14</v>
      </c>
      <c r="DE13">
        <f t="shared" si="15"/>
        <v>2</v>
      </c>
      <c r="DF13">
        <f t="shared" si="16"/>
        <v>2</v>
      </c>
      <c r="DG13">
        <f t="shared" si="17"/>
        <v>3</v>
      </c>
    </row>
    <row r="14" spans="1:111">
      <c r="A14" s="171">
        <v>462</v>
      </c>
      <c r="B14" s="171" t="s">
        <v>4439</v>
      </c>
      <c r="C14" s="171">
        <v>470</v>
      </c>
      <c r="D14" s="171" t="str">
        <f t="shared" si="0"/>
        <v>CN SBT</v>
      </c>
      <c r="E14" s="171" t="s">
        <v>7259</v>
      </c>
      <c r="F14" s="174">
        <v>45511</v>
      </c>
      <c r="G14" s="171" t="s">
        <v>7220</v>
      </c>
      <c r="H14" s="173">
        <v>628.29999999999995</v>
      </c>
      <c r="I14" s="171"/>
      <c r="J14" s="171" t="s">
        <v>4476</v>
      </c>
      <c r="K14" s="171" t="s">
        <v>207</v>
      </c>
      <c r="L14" s="171" t="s">
        <v>1994</v>
      </c>
      <c r="M14" s="171" t="s">
        <v>5032</v>
      </c>
      <c r="N14" s="171"/>
      <c r="O14" s="171"/>
      <c r="P14" s="171" t="s">
        <v>4174</v>
      </c>
      <c r="Q14" s="171" t="s">
        <v>22</v>
      </c>
      <c r="R14" s="171" t="s">
        <v>7233</v>
      </c>
      <c r="S14" s="171">
        <v>2031</v>
      </c>
      <c r="T14" s="171" t="s">
        <v>1</v>
      </c>
      <c r="U14" s="171"/>
      <c r="V14" s="172">
        <v>45261</v>
      </c>
      <c r="W14" s="171">
        <v>2023</v>
      </c>
      <c r="X14" s="171" t="s">
        <v>1957</v>
      </c>
      <c r="Y14" s="171" t="s">
        <v>8190</v>
      </c>
      <c r="Z14" s="171" t="s">
        <v>7238</v>
      </c>
      <c r="AA14" s="171" t="s">
        <v>1957</v>
      </c>
      <c r="AB14" s="171">
        <v>2035</v>
      </c>
      <c r="AC14" s="171">
        <v>2021</v>
      </c>
      <c r="AD14" s="171"/>
      <c r="AE14" s="171"/>
      <c r="AF14" s="171"/>
      <c r="AG14" s="171" t="s">
        <v>4174</v>
      </c>
      <c r="AH14" s="171">
        <v>2023</v>
      </c>
      <c r="AI14" s="171" t="s">
        <v>4174</v>
      </c>
      <c r="AJ14" s="176" t="s">
        <v>8189</v>
      </c>
      <c r="AK14" s="171"/>
      <c r="AL14" s="171" t="s">
        <v>5166</v>
      </c>
      <c r="AM14" s="171"/>
      <c r="AN14" s="171" t="s">
        <v>5032</v>
      </c>
      <c r="AO14" s="171"/>
      <c r="AP14" s="171"/>
      <c r="AQ14" s="171" t="s">
        <v>5032</v>
      </c>
      <c r="AR14" s="171"/>
      <c r="AS14" s="171"/>
      <c r="AT14" s="171"/>
      <c r="AU14" s="171"/>
      <c r="AV14" s="171"/>
      <c r="AW14" s="171"/>
      <c r="AX14" s="171"/>
      <c r="AY14" s="171"/>
      <c r="AZ14" s="171"/>
      <c r="BA14" s="171"/>
      <c r="BB14" s="171"/>
      <c r="BC14" s="171"/>
      <c r="BD14" s="171"/>
      <c r="BE14" s="171"/>
      <c r="BF14" s="225"/>
      <c r="BG14" s="171"/>
      <c r="BH14" s="171"/>
      <c r="BI14" s="171"/>
      <c r="BJ14" s="171"/>
      <c r="BK14" s="171"/>
      <c r="BL14" s="171">
        <v>1</v>
      </c>
      <c r="BM14" s="171">
        <v>1</v>
      </c>
      <c r="BN14" s="171"/>
      <c r="BO14" s="171"/>
      <c r="BP14" s="171"/>
      <c r="BQ14" s="171"/>
      <c r="BR14" s="171"/>
      <c r="BS14" s="171"/>
      <c r="BT14" s="171">
        <v>1</v>
      </c>
      <c r="BU14" s="171">
        <v>1</v>
      </c>
      <c r="BV14" s="171"/>
      <c r="BW14" s="171"/>
      <c r="BX14" s="171"/>
      <c r="BY14" s="171"/>
      <c r="BZ14" s="171">
        <v>1</v>
      </c>
      <c r="CA14" s="171"/>
      <c r="CB14" s="171">
        <v>1</v>
      </c>
      <c r="CC14" s="171">
        <v>1</v>
      </c>
      <c r="CD14" s="171"/>
      <c r="CE14" s="171">
        <v>1</v>
      </c>
      <c r="CF14" s="171"/>
      <c r="CG14" s="171"/>
      <c r="CH14" s="171">
        <v>1</v>
      </c>
      <c r="CI14" s="171"/>
      <c r="CJ14" s="171"/>
      <c r="CK14" s="171"/>
      <c r="CL14" s="171"/>
      <c r="CQ14" s="202" t="s">
        <v>4459</v>
      </c>
      <c r="CR14" s="199">
        <f t="shared" si="2"/>
        <v>0</v>
      </c>
      <c r="CS14" s="199">
        <f t="shared" si="3"/>
        <v>16</v>
      </c>
      <c r="CT14" s="199">
        <f t="shared" si="4"/>
        <v>2</v>
      </c>
      <c r="CU14" s="199">
        <f t="shared" si="5"/>
        <v>0</v>
      </c>
      <c r="CV14" s="199">
        <f t="shared" si="6"/>
        <v>5</v>
      </c>
      <c r="CW14" s="199">
        <f t="shared" si="7"/>
        <v>2</v>
      </c>
      <c r="CX14" s="199">
        <f t="shared" si="8"/>
        <v>0</v>
      </c>
      <c r="CY14" s="199">
        <f t="shared" si="9"/>
        <v>5</v>
      </c>
      <c r="CZ14" s="199">
        <f t="shared" si="10"/>
        <v>7</v>
      </c>
      <c r="DA14" s="199">
        <f t="shared" si="11"/>
        <v>0</v>
      </c>
      <c r="DB14" s="199">
        <f t="shared" si="12"/>
        <v>2</v>
      </c>
      <c r="DC14" s="199">
        <f t="shared" si="13"/>
        <v>18</v>
      </c>
      <c r="DD14" s="199">
        <f t="shared" si="14"/>
        <v>57</v>
      </c>
      <c r="DE14">
        <f t="shared" si="15"/>
        <v>13</v>
      </c>
      <c r="DF14">
        <f t="shared" si="16"/>
        <v>0</v>
      </c>
      <c r="DG14">
        <f t="shared" si="17"/>
        <v>21</v>
      </c>
    </row>
    <row r="15" spans="1:111">
      <c r="A15" s="171">
        <v>152</v>
      </c>
      <c r="B15" s="171" t="s">
        <v>4032</v>
      </c>
      <c r="C15" s="171">
        <v>164</v>
      </c>
      <c r="D15" s="171" t="str">
        <f t="shared" si="0"/>
        <v xml:space="preserve"> NZ SBT</v>
      </c>
      <c r="E15" s="171" t="s">
        <v>7220</v>
      </c>
      <c r="F15" s="174">
        <v>45476</v>
      </c>
      <c r="G15" s="171" t="s">
        <v>7223</v>
      </c>
      <c r="H15" s="173">
        <v>1296</v>
      </c>
      <c r="I15" s="171"/>
      <c r="J15" s="171" t="s">
        <v>4467</v>
      </c>
      <c r="K15" s="171" t="s">
        <v>4457</v>
      </c>
      <c r="L15" s="171" t="s">
        <v>2029</v>
      </c>
      <c r="M15" s="171" t="s">
        <v>5032</v>
      </c>
      <c r="N15" s="171"/>
      <c r="O15" s="171"/>
      <c r="P15" s="171" t="s">
        <v>4174</v>
      </c>
      <c r="Q15" s="171" t="s">
        <v>22</v>
      </c>
      <c r="R15" s="171" t="s">
        <v>7233</v>
      </c>
      <c r="S15" s="171">
        <v>2030</v>
      </c>
      <c r="T15" s="171" t="s">
        <v>1</v>
      </c>
      <c r="U15" s="171"/>
      <c r="V15" s="172">
        <v>44652</v>
      </c>
      <c r="W15" s="171">
        <v>2022</v>
      </c>
      <c r="X15" s="171" t="s">
        <v>5032</v>
      </c>
      <c r="Y15" s="171"/>
      <c r="Z15" s="171"/>
      <c r="AA15" s="171" t="s">
        <v>5032</v>
      </c>
      <c r="AB15" s="171"/>
      <c r="AC15" s="171"/>
      <c r="AD15" s="171"/>
      <c r="AE15" s="171"/>
      <c r="AF15" s="171"/>
      <c r="AG15" s="171"/>
      <c r="AH15" s="171"/>
      <c r="AI15" s="171"/>
      <c r="AJ15" s="171"/>
      <c r="AK15" s="171"/>
      <c r="AL15" s="171"/>
      <c r="AM15" s="171"/>
      <c r="AN15" s="171" t="s">
        <v>1957</v>
      </c>
      <c r="AO15" s="171" t="s">
        <v>109</v>
      </c>
      <c r="AP15" s="171" t="s">
        <v>2072</v>
      </c>
      <c r="AQ15" s="171" t="s">
        <v>1957</v>
      </c>
      <c r="AR15" s="171">
        <v>2040</v>
      </c>
      <c r="AS15" s="171">
        <v>2022</v>
      </c>
      <c r="AT15" s="171"/>
      <c r="AU15" s="171"/>
      <c r="AV15" s="171"/>
      <c r="AW15" s="171" t="s">
        <v>4174</v>
      </c>
      <c r="AX15" s="171" t="s">
        <v>8188</v>
      </c>
      <c r="AY15" s="171"/>
      <c r="AZ15" s="171"/>
      <c r="BA15" s="171"/>
      <c r="BB15" s="171"/>
      <c r="BC15" s="171" t="s">
        <v>8187</v>
      </c>
      <c r="BD15" s="171"/>
      <c r="BE15" s="171"/>
      <c r="BF15" s="225"/>
      <c r="BG15" s="171"/>
      <c r="BH15" s="171"/>
      <c r="BI15" s="171"/>
      <c r="BJ15" s="171"/>
      <c r="BK15" s="171"/>
      <c r="BL15" s="171"/>
      <c r="BM15" s="171"/>
      <c r="BN15" s="171"/>
      <c r="BO15" s="171"/>
      <c r="BP15" s="171">
        <v>1</v>
      </c>
      <c r="BQ15" s="171">
        <v>1</v>
      </c>
      <c r="BR15" s="171"/>
      <c r="BS15" s="171">
        <v>1</v>
      </c>
      <c r="BT15" s="171"/>
      <c r="BU15" s="171">
        <v>1</v>
      </c>
      <c r="BV15" s="171"/>
      <c r="BW15" s="171"/>
      <c r="BX15" s="171"/>
      <c r="BY15" s="171"/>
      <c r="BZ15" s="171">
        <v>1</v>
      </c>
      <c r="CA15" s="171"/>
      <c r="CB15" s="171">
        <v>1</v>
      </c>
      <c r="CC15" s="171">
        <v>1</v>
      </c>
      <c r="CD15" s="171"/>
      <c r="CE15" s="171">
        <v>1</v>
      </c>
      <c r="CF15" s="171"/>
      <c r="CG15" s="171">
        <v>1</v>
      </c>
      <c r="CH15" s="171">
        <v>1</v>
      </c>
      <c r="CI15" s="171"/>
      <c r="CJ15" s="171"/>
      <c r="CK15" s="171"/>
      <c r="CL15" s="171"/>
      <c r="CM15">
        <f t="shared" si="1"/>
        <v>2040</v>
      </c>
      <c r="CQ15" s="202" t="s">
        <v>4494</v>
      </c>
      <c r="CR15" s="199">
        <f t="shared" si="2"/>
        <v>0</v>
      </c>
      <c r="CS15" s="199">
        <f t="shared" si="3"/>
        <v>1</v>
      </c>
      <c r="CT15" s="199">
        <f t="shared" si="4"/>
        <v>0</v>
      </c>
      <c r="CU15" s="199">
        <f t="shared" si="5"/>
        <v>0</v>
      </c>
      <c r="CV15" s="199">
        <f t="shared" si="6"/>
        <v>0</v>
      </c>
      <c r="CW15" s="199">
        <f t="shared" si="7"/>
        <v>1</v>
      </c>
      <c r="CX15" s="199">
        <f t="shared" si="8"/>
        <v>0</v>
      </c>
      <c r="CY15" s="199">
        <f t="shared" si="9"/>
        <v>0</v>
      </c>
      <c r="CZ15" s="199">
        <f t="shared" si="10"/>
        <v>19</v>
      </c>
      <c r="DA15" s="199">
        <f t="shared" si="11"/>
        <v>0</v>
      </c>
      <c r="DB15" s="199">
        <f t="shared" si="12"/>
        <v>0</v>
      </c>
      <c r="DC15" s="199">
        <f t="shared" si="13"/>
        <v>10</v>
      </c>
      <c r="DD15" s="199">
        <f t="shared" si="14"/>
        <v>31</v>
      </c>
      <c r="DE15">
        <f t="shared" si="15"/>
        <v>9</v>
      </c>
      <c r="DF15">
        <f t="shared" si="16"/>
        <v>0</v>
      </c>
      <c r="DG15">
        <f t="shared" si="17"/>
        <v>31</v>
      </c>
    </row>
    <row r="16" spans="1:111">
      <c r="A16" s="171">
        <v>70</v>
      </c>
      <c r="B16" s="171" t="s">
        <v>1221</v>
      </c>
      <c r="C16" s="171">
        <v>68</v>
      </c>
      <c r="D16" s="171" t="str">
        <f t="shared" si="0"/>
        <v>CN SBT</v>
      </c>
      <c r="E16" s="171" t="s">
        <v>7221</v>
      </c>
      <c r="F16" s="174">
        <v>45475</v>
      </c>
      <c r="G16" s="171" t="s">
        <v>7220</v>
      </c>
      <c r="H16" s="173">
        <v>11165.1</v>
      </c>
      <c r="I16" s="171"/>
      <c r="J16" s="171" t="s">
        <v>4467</v>
      </c>
      <c r="K16" s="171" t="s">
        <v>73</v>
      </c>
      <c r="L16" s="171" t="s">
        <v>1994</v>
      </c>
      <c r="M16" s="171" t="s">
        <v>5032</v>
      </c>
      <c r="N16" s="171"/>
      <c r="O16" s="171"/>
      <c r="P16" s="171" t="s">
        <v>5032</v>
      </c>
      <c r="Q16" s="171" t="s">
        <v>165</v>
      </c>
      <c r="R16" s="171"/>
      <c r="S16" s="171">
        <v>2030</v>
      </c>
      <c r="T16" s="171" t="s">
        <v>361</v>
      </c>
      <c r="U16" s="171"/>
      <c r="V16" s="172">
        <v>44531</v>
      </c>
      <c r="W16" s="171">
        <v>2021</v>
      </c>
      <c r="X16" s="171" t="s">
        <v>1957</v>
      </c>
      <c r="Y16" s="171" t="s">
        <v>1659</v>
      </c>
      <c r="Z16" s="171" t="s">
        <v>7533</v>
      </c>
      <c r="AA16" s="171" t="s">
        <v>1957</v>
      </c>
      <c r="AB16" s="171">
        <v>2030</v>
      </c>
      <c r="AC16" s="171">
        <v>2021</v>
      </c>
      <c r="AD16" s="171"/>
      <c r="AE16" s="171"/>
      <c r="AF16" s="171"/>
      <c r="AG16" s="171" t="s">
        <v>4174</v>
      </c>
      <c r="AH16" s="171">
        <v>2023</v>
      </c>
      <c r="AI16" s="171" t="s">
        <v>4174</v>
      </c>
      <c r="AJ16" s="171" t="s">
        <v>8186</v>
      </c>
      <c r="AK16" s="171"/>
      <c r="AL16" s="176" t="s">
        <v>8186</v>
      </c>
      <c r="AM16" s="171" t="s">
        <v>8185</v>
      </c>
      <c r="AN16" s="171" t="s">
        <v>5032</v>
      </c>
      <c r="AO16" s="171"/>
      <c r="AP16" s="171"/>
      <c r="AQ16" s="171" t="s">
        <v>5032</v>
      </c>
      <c r="AR16" s="171"/>
      <c r="AS16" s="171"/>
      <c r="AT16" s="171"/>
      <c r="AU16" s="171"/>
      <c r="AV16" s="171"/>
      <c r="AW16" s="171"/>
      <c r="AX16" s="171"/>
      <c r="AY16" s="171"/>
      <c r="AZ16" s="171"/>
      <c r="BA16" s="171"/>
      <c r="BB16" s="171"/>
      <c r="BC16" s="171"/>
      <c r="BD16" s="171"/>
      <c r="BE16" s="171"/>
      <c r="BF16" s="225"/>
      <c r="BG16" s="171"/>
      <c r="BH16" s="171"/>
      <c r="BI16" s="171"/>
      <c r="BJ16" s="171"/>
      <c r="BK16" s="171">
        <v>1</v>
      </c>
      <c r="BL16" s="171"/>
      <c r="BM16" s="171">
        <v>1</v>
      </c>
      <c r="BN16" s="171"/>
      <c r="BO16" s="171"/>
      <c r="BP16" s="171"/>
      <c r="BQ16" s="171"/>
      <c r="BR16" s="171"/>
      <c r="BS16" s="171">
        <v>1</v>
      </c>
      <c r="BT16" s="171"/>
      <c r="BU16" s="171">
        <v>1</v>
      </c>
      <c r="BV16" s="171"/>
      <c r="BW16" s="171"/>
      <c r="BX16" s="171"/>
      <c r="BY16" s="171"/>
      <c r="BZ16" s="171">
        <v>1</v>
      </c>
      <c r="CA16" s="171">
        <v>1</v>
      </c>
      <c r="CB16" s="171">
        <v>1</v>
      </c>
      <c r="CC16" s="171">
        <v>1</v>
      </c>
      <c r="CD16" s="171"/>
      <c r="CE16" s="171">
        <v>1</v>
      </c>
      <c r="CF16" s="171"/>
      <c r="CG16" s="171">
        <v>1</v>
      </c>
      <c r="CH16" s="171">
        <v>1</v>
      </c>
      <c r="CI16" s="171"/>
      <c r="CJ16" s="171"/>
      <c r="CK16" s="171"/>
      <c r="CL16" s="171"/>
      <c r="CQ16" s="202" t="s">
        <v>3498</v>
      </c>
      <c r="CR16" s="199">
        <f t="shared" si="2"/>
        <v>0</v>
      </c>
      <c r="CS16" s="199">
        <f t="shared" si="3"/>
        <v>0</v>
      </c>
      <c r="CT16" s="199">
        <f t="shared" si="4"/>
        <v>0</v>
      </c>
      <c r="CU16" s="199">
        <f t="shared" si="5"/>
        <v>0</v>
      </c>
      <c r="CV16" s="199">
        <f t="shared" si="6"/>
        <v>0</v>
      </c>
      <c r="CW16" s="199">
        <f t="shared" si="7"/>
        <v>3</v>
      </c>
      <c r="CX16" s="199">
        <f t="shared" si="8"/>
        <v>0</v>
      </c>
      <c r="CY16" s="199">
        <f t="shared" si="9"/>
        <v>3</v>
      </c>
      <c r="CZ16" s="199">
        <f t="shared" si="10"/>
        <v>12</v>
      </c>
      <c r="DA16" s="199">
        <f t="shared" si="11"/>
        <v>0</v>
      </c>
      <c r="DB16" s="199">
        <f t="shared" si="12"/>
        <v>0</v>
      </c>
      <c r="DC16" s="199">
        <f t="shared" si="13"/>
        <v>20</v>
      </c>
      <c r="DD16" s="199">
        <f t="shared" si="14"/>
        <v>38</v>
      </c>
      <c r="DE16">
        <f t="shared" si="15"/>
        <v>22</v>
      </c>
      <c r="DF16">
        <f t="shared" si="16"/>
        <v>0</v>
      </c>
      <c r="DG16">
        <f t="shared" si="17"/>
        <v>21</v>
      </c>
    </row>
    <row r="17" spans="1:111">
      <c r="A17" s="171">
        <v>177</v>
      </c>
      <c r="B17" s="171" t="s">
        <v>1130</v>
      </c>
      <c r="C17" s="171">
        <v>214</v>
      </c>
      <c r="D17" s="171" t="str">
        <f t="shared" si="0"/>
        <v>CN</v>
      </c>
      <c r="E17" s="171" t="s">
        <v>7223</v>
      </c>
      <c r="F17" s="174">
        <v>45476</v>
      </c>
      <c r="G17" s="171" t="s">
        <v>7220</v>
      </c>
      <c r="H17" s="173">
        <v>3090.9</v>
      </c>
      <c r="I17" s="171"/>
      <c r="J17" s="171" t="s">
        <v>4467</v>
      </c>
      <c r="K17" s="171" t="s">
        <v>78</v>
      </c>
      <c r="L17" s="171" t="s">
        <v>2029</v>
      </c>
      <c r="M17" s="171" t="s">
        <v>5032</v>
      </c>
      <c r="N17" s="171"/>
      <c r="O17" s="171"/>
      <c r="P17" s="171" t="s">
        <v>5032</v>
      </c>
      <c r="Q17" s="171"/>
      <c r="R17" s="171"/>
      <c r="S17" s="171"/>
      <c r="T17" s="171"/>
      <c r="U17" s="171"/>
      <c r="V17" s="175"/>
      <c r="W17" s="171"/>
      <c r="X17" s="171" t="s">
        <v>1957</v>
      </c>
      <c r="Y17" s="171" t="s">
        <v>3793</v>
      </c>
      <c r="Z17" s="171" t="s">
        <v>3283</v>
      </c>
      <c r="AA17" s="171" t="s">
        <v>1957</v>
      </c>
      <c r="AB17" s="171">
        <v>2030</v>
      </c>
      <c r="AC17" s="171">
        <v>2024</v>
      </c>
      <c r="AD17" s="171"/>
      <c r="AE17" s="171"/>
      <c r="AF17" s="171"/>
      <c r="AG17" s="171" t="s">
        <v>4174</v>
      </c>
      <c r="AH17" s="171">
        <v>2024</v>
      </c>
      <c r="AI17" s="171" t="s">
        <v>4174</v>
      </c>
      <c r="AJ17" s="171" t="s">
        <v>8184</v>
      </c>
      <c r="AK17" s="171"/>
      <c r="AL17" s="176" t="s">
        <v>8184</v>
      </c>
      <c r="AM17" s="171"/>
      <c r="AN17" s="171" t="s">
        <v>5032</v>
      </c>
      <c r="AO17" s="171"/>
      <c r="AP17" s="171"/>
      <c r="AQ17" s="171" t="s">
        <v>5032</v>
      </c>
      <c r="AR17" s="171"/>
      <c r="AS17" s="171"/>
      <c r="AT17" s="171"/>
      <c r="AU17" s="171"/>
      <c r="AV17" s="171"/>
      <c r="AW17" s="171"/>
      <c r="AX17" s="171"/>
      <c r="AY17" s="171"/>
      <c r="AZ17" s="171"/>
      <c r="BA17" s="171"/>
      <c r="BB17" s="171"/>
      <c r="BC17" s="171"/>
      <c r="BD17" s="171" t="s">
        <v>4174</v>
      </c>
      <c r="BE17" s="171" t="s">
        <v>8184</v>
      </c>
      <c r="BF17" s="225" t="s">
        <v>5032</v>
      </c>
      <c r="BG17" s="171"/>
      <c r="BH17" s="171"/>
      <c r="BI17" s="171" t="s">
        <v>8183</v>
      </c>
      <c r="BJ17" s="171"/>
      <c r="BK17" s="171">
        <v>1</v>
      </c>
      <c r="BL17" s="171"/>
      <c r="BM17" s="171">
        <v>1</v>
      </c>
      <c r="BN17" s="171"/>
      <c r="BO17" s="171"/>
      <c r="BP17" s="171"/>
      <c r="BQ17" s="171"/>
      <c r="BR17" s="171"/>
      <c r="BS17" s="171"/>
      <c r="BT17" s="171"/>
      <c r="BU17" s="171"/>
      <c r="BV17" s="171"/>
      <c r="BW17" s="171"/>
      <c r="BX17" s="171"/>
      <c r="BY17" s="171"/>
      <c r="BZ17" s="171">
        <v>1</v>
      </c>
      <c r="CA17" s="171">
        <v>1</v>
      </c>
      <c r="CB17" s="171">
        <v>1</v>
      </c>
      <c r="CC17" s="171">
        <v>1</v>
      </c>
      <c r="CD17" s="171"/>
      <c r="CE17" s="171">
        <v>1</v>
      </c>
      <c r="CF17" s="171"/>
      <c r="CG17" s="171">
        <v>1</v>
      </c>
      <c r="CH17" s="171">
        <v>1</v>
      </c>
      <c r="CI17" s="171"/>
      <c r="CJ17" s="171"/>
      <c r="CK17" s="171"/>
      <c r="CL17" s="171"/>
      <c r="CQ17" s="202" t="s">
        <v>976</v>
      </c>
      <c r="CR17" s="199">
        <f t="shared" si="2"/>
        <v>0</v>
      </c>
      <c r="CS17" s="199">
        <f t="shared" si="3"/>
        <v>0</v>
      </c>
      <c r="CT17" s="199">
        <f t="shared" si="4"/>
        <v>0</v>
      </c>
      <c r="CU17" s="199">
        <f t="shared" si="5"/>
        <v>0</v>
      </c>
      <c r="CV17" s="199">
        <f t="shared" si="6"/>
        <v>0</v>
      </c>
      <c r="CW17" s="199">
        <f t="shared" si="7"/>
        <v>0</v>
      </c>
      <c r="CX17" s="199">
        <f t="shared" si="8"/>
        <v>0</v>
      </c>
      <c r="CY17" s="199">
        <f t="shared" si="9"/>
        <v>0</v>
      </c>
      <c r="CZ17" s="199">
        <f t="shared" si="10"/>
        <v>2</v>
      </c>
      <c r="DA17" s="199">
        <f t="shared" si="11"/>
        <v>0</v>
      </c>
      <c r="DB17" s="199">
        <f t="shared" si="12"/>
        <v>0</v>
      </c>
      <c r="DC17" s="199">
        <f t="shared" si="13"/>
        <v>0</v>
      </c>
      <c r="DD17" s="199">
        <f t="shared" si="14"/>
        <v>2</v>
      </c>
      <c r="DE17">
        <f t="shared" si="15"/>
        <v>0</v>
      </c>
      <c r="DF17">
        <f t="shared" si="16"/>
        <v>0</v>
      </c>
      <c r="DG17">
        <f t="shared" si="17"/>
        <v>3</v>
      </c>
    </row>
    <row r="18" spans="1:111">
      <c r="A18" s="171">
        <v>82</v>
      </c>
      <c r="B18" s="171" t="s">
        <v>1731</v>
      </c>
      <c r="C18" s="171">
        <v>67</v>
      </c>
      <c r="D18" s="171" t="str">
        <f t="shared" si="0"/>
        <v>CN NZ RE100</v>
      </c>
      <c r="E18" s="171" t="s">
        <v>7220</v>
      </c>
      <c r="F18" s="174">
        <v>45475</v>
      </c>
      <c r="G18" s="171" t="s">
        <v>7220</v>
      </c>
      <c r="H18" s="173">
        <v>9233.2999999999993</v>
      </c>
      <c r="I18" s="171"/>
      <c r="J18" s="171" t="s">
        <v>4465</v>
      </c>
      <c r="K18" s="171" t="s">
        <v>146</v>
      </c>
      <c r="L18" s="171" t="s">
        <v>1951</v>
      </c>
      <c r="M18" s="171" t="s">
        <v>4174</v>
      </c>
      <c r="N18" s="171">
        <v>2018</v>
      </c>
      <c r="O18" s="171">
        <v>2023</v>
      </c>
      <c r="P18" s="171" t="s">
        <v>5032</v>
      </c>
      <c r="Q18" s="171"/>
      <c r="R18" s="171"/>
      <c r="S18" s="171"/>
      <c r="T18" s="171"/>
      <c r="U18" s="171"/>
      <c r="V18" s="175"/>
      <c r="W18" s="171"/>
      <c r="X18" s="171" t="s">
        <v>1957</v>
      </c>
      <c r="Y18" s="171" t="s">
        <v>1659</v>
      </c>
      <c r="Z18" s="171" t="s">
        <v>3283</v>
      </c>
      <c r="AA18" s="171" t="s">
        <v>1957</v>
      </c>
      <c r="AB18" s="171">
        <v>2012</v>
      </c>
      <c r="AC18" s="171">
        <v>2019</v>
      </c>
      <c r="AD18" s="171"/>
      <c r="AE18" s="171"/>
      <c r="AF18" s="171"/>
      <c r="AG18" s="171" t="s">
        <v>4174</v>
      </c>
      <c r="AH18" s="171">
        <v>2022</v>
      </c>
      <c r="AI18" s="171" t="s">
        <v>4174</v>
      </c>
      <c r="AJ18" s="171" t="s">
        <v>6877</v>
      </c>
      <c r="AK18" s="171"/>
      <c r="AL18" s="171" t="s">
        <v>6877</v>
      </c>
      <c r="AM18" s="171"/>
      <c r="AN18" s="171" t="s">
        <v>5050</v>
      </c>
      <c r="AO18" s="171" t="s">
        <v>8182</v>
      </c>
      <c r="AP18" s="171" t="s">
        <v>2072</v>
      </c>
      <c r="AQ18" s="171" t="s">
        <v>5050</v>
      </c>
      <c r="AR18" s="171">
        <v>2050</v>
      </c>
      <c r="AS18" s="171">
        <v>2020</v>
      </c>
      <c r="AT18" s="171"/>
      <c r="AU18" s="171"/>
      <c r="AV18" s="171"/>
      <c r="AW18" s="171" t="s">
        <v>7247</v>
      </c>
      <c r="AX18" s="171" t="s">
        <v>8181</v>
      </c>
      <c r="AY18" s="171"/>
      <c r="AZ18" s="171"/>
      <c r="BA18" s="171"/>
      <c r="BB18" s="171"/>
      <c r="BC18" s="171" t="s">
        <v>8180</v>
      </c>
      <c r="BD18" s="171"/>
      <c r="BE18" s="171"/>
      <c r="BF18" s="225"/>
      <c r="BG18" s="171"/>
      <c r="BH18" s="171"/>
      <c r="BI18" s="171"/>
      <c r="BJ18" s="171">
        <v>1</v>
      </c>
      <c r="BK18" s="171"/>
      <c r="BL18" s="171"/>
      <c r="BM18" s="171">
        <v>1</v>
      </c>
      <c r="BN18" s="171"/>
      <c r="BO18" s="171"/>
      <c r="BP18" s="171">
        <v>1</v>
      </c>
      <c r="BQ18" s="171">
        <v>1</v>
      </c>
      <c r="BR18" s="171"/>
      <c r="BS18" s="171"/>
      <c r="BT18" s="171"/>
      <c r="BU18" s="171"/>
      <c r="BV18" s="171">
        <v>1</v>
      </c>
      <c r="BW18" s="171"/>
      <c r="BX18" s="171"/>
      <c r="BY18" s="171">
        <v>1</v>
      </c>
      <c r="BZ18" s="171">
        <v>1</v>
      </c>
      <c r="CA18" s="171">
        <v>1</v>
      </c>
      <c r="CB18" s="171">
        <v>1</v>
      </c>
      <c r="CC18" s="171">
        <v>1</v>
      </c>
      <c r="CD18" s="171"/>
      <c r="CE18" s="171">
        <v>1</v>
      </c>
      <c r="CF18" s="171">
        <v>1</v>
      </c>
      <c r="CG18" s="171">
        <v>1</v>
      </c>
      <c r="CH18" s="171">
        <v>1</v>
      </c>
      <c r="CI18" s="171"/>
      <c r="CJ18" s="171"/>
      <c r="CK18" s="171">
        <v>1</v>
      </c>
      <c r="CL18" s="171">
        <v>1</v>
      </c>
      <c r="CM18">
        <f t="shared" si="1"/>
        <v>2050</v>
      </c>
      <c r="CQ18" s="202" t="s">
        <v>4467</v>
      </c>
      <c r="CR18" s="199">
        <f t="shared" si="2"/>
        <v>1</v>
      </c>
      <c r="CS18" s="199">
        <f t="shared" si="3"/>
        <v>24</v>
      </c>
      <c r="CT18" s="199">
        <f t="shared" si="4"/>
        <v>3</v>
      </c>
      <c r="CU18" s="199">
        <f t="shared" si="5"/>
        <v>0</v>
      </c>
      <c r="CV18" s="199">
        <f t="shared" si="6"/>
        <v>6</v>
      </c>
      <c r="CW18" s="199">
        <f t="shared" si="7"/>
        <v>1</v>
      </c>
      <c r="CX18" s="199">
        <f t="shared" si="8"/>
        <v>1</v>
      </c>
      <c r="CY18" s="199">
        <f t="shared" si="9"/>
        <v>3</v>
      </c>
      <c r="CZ18" s="199">
        <f t="shared" si="10"/>
        <v>6</v>
      </c>
      <c r="DA18" s="199">
        <f t="shared" si="11"/>
        <v>0</v>
      </c>
      <c r="DB18" s="199">
        <f t="shared" si="12"/>
        <v>0</v>
      </c>
      <c r="DC18" s="199">
        <f t="shared" si="13"/>
        <v>25</v>
      </c>
      <c r="DD18" s="199">
        <f t="shared" si="14"/>
        <v>70</v>
      </c>
      <c r="DE18">
        <f t="shared" si="15"/>
        <v>15</v>
      </c>
      <c r="DF18">
        <f t="shared" si="16"/>
        <v>2</v>
      </c>
      <c r="DG18">
        <f t="shared" si="17"/>
        <v>29</v>
      </c>
    </row>
    <row r="19" spans="1:111">
      <c r="A19" s="171">
        <v>244</v>
      </c>
      <c r="B19" s="171" t="s">
        <v>798</v>
      </c>
      <c r="C19" s="171">
        <v>276</v>
      </c>
      <c r="D19" s="171" t="str">
        <f t="shared" si="0"/>
        <v xml:space="preserve"> NZ</v>
      </c>
      <c r="E19" s="171" t="s">
        <v>7228</v>
      </c>
      <c r="F19" s="174">
        <v>45477</v>
      </c>
      <c r="G19" s="171" t="s">
        <v>7223</v>
      </c>
      <c r="H19" s="173">
        <v>-188</v>
      </c>
      <c r="I19" s="171"/>
      <c r="J19" s="171" t="s">
        <v>4465</v>
      </c>
      <c r="K19" s="171" t="s">
        <v>4457</v>
      </c>
      <c r="L19" s="171" t="s">
        <v>2029</v>
      </c>
      <c r="M19" s="171" t="s">
        <v>5032</v>
      </c>
      <c r="N19" s="171"/>
      <c r="O19" s="171"/>
      <c r="P19" s="171" t="s">
        <v>5032</v>
      </c>
      <c r="Q19" s="171"/>
      <c r="R19" s="171"/>
      <c r="S19" s="171"/>
      <c r="T19" s="171"/>
      <c r="U19" s="171"/>
      <c r="V19" s="175"/>
      <c r="W19" s="171"/>
      <c r="X19" s="171" t="s">
        <v>5032</v>
      </c>
      <c r="Y19" s="171"/>
      <c r="Z19" s="171"/>
      <c r="AA19" s="171" t="s">
        <v>5032</v>
      </c>
      <c r="AB19" s="171"/>
      <c r="AC19" s="171"/>
      <c r="AD19" s="171"/>
      <c r="AE19" s="171"/>
      <c r="AF19" s="171"/>
      <c r="AG19" s="171"/>
      <c r="AH19" s="171"/>
      <c r="AI19" s="171"/>
      <c r="AJ19" s="171"/>
      <c r="AK19" s="171"/>
      <c r="AL19" s="171"/>
      <c r="AM19" s="171"/>
      <c r="AN19" s="171" t="s">
        <v>1957</v>
      </c>
      <c r="AO19" s="171" t="s">
        <v>4432</v>
      </c>
      <c r="AP19" s="171" t="s">
        <v>2072</v>
      </c>
      <c r="AQ19" s="171" t="s">
        <v>1957</v>
      </c>
      <c r="AR19" s="171">
        <v>2030</v>
      </c>
      <c r="AS19" s="171">
        <v>2022</v>
      </c>
      <c r="AT19" s="171"/>
      <c r="AU19" s="171"/>
      <c r="AV19" s="171"/>
      <c r="AW19" s="171" t="s">
        <v>2082</v>
      </c>
      <c r="AX19" s="171" t="s">
        <v>8179</v>
      </c>
      <c r="AY19" s="171"/>
      <c r="AZ19" s="171"/>
      <c r="BA19" s="171"/>
      <c r="BB19" s="171"/>
      <c r="BC19" s="171" t="s">
        <v>8178</v>
      </c>
      <c r="BD19" s="171"/>
      <c r="BE19" s="171"/>
      <c r="BF19" s="225"/>
      <c r="BG19" s="171"/>
      <c r="BH19" s="171"/>
      <c r="BI19" s="171"/>
      <c r="BJ19" s="171"/>
      <c r="BK19" s="171"/>
      <c r="BL19" s="171"/>
      <c r="BM19" s="171"/>
      <c r="BN19" s="171"/>
      <c r="BO19" s="171">
        <v>1</v>
      </c>
      <c r="BP19" s="171"/>
      <c r="BQ19" s="171">
        <v>1</v>
      </c>
      <c r="BR19" s="171"/>
      <c r="BS19" s="171"/>
      <c r="BT19" s="171"/>
      <c r="BU19" s="171"/>
      <c r="BV19" s="171"/>
      <c r="BW19" s="171"/>
      <c r="BX19" s="171"/>
      <c r="BY19" s="171"/>
      <c r="BZ19" s="171">
        <v>1</v>
      </c>
      <c r="CA19" s="171">
        <v>1</v>
      </c>
      <c r="CB19" s="171">
        <v>1</v>
      </c>
      <c r="CC19" s="171"/>
      <c r="CD19" s="171"/>
      <c r="CE19" s="171">
        <v>1</v>
      </c>
      <c r="CF19" s="171"/>
      <c r="CG19" s="171">
        <v>1</v>
      </c>
      <c r="CH19" s="171">
        <v>1</v>
      </c>
      <c r="CI19" s="171"/>
      <c r="CJ19" s="171"/>
      <c r="CK19" s="171"/>
      <c r="CL19" s="171"/>
      <c r="CM19">
        <f t="shared" si="1"/>
        <v>2030</v>
      </c>
      <c r="CQ19" s="202" t="s">
        <v>186</v>
      </c>
      <c r="CR19" s="199">
        <f t="shared" si="2"/>
        <v>1</v>
      </c>
      <c r="CS19" s="199">
        <f t="shared" si="3"/>
        <v>10</v>
      </c>
      <c r="CT19" s="199">
        <f t="shared" si="4"/>
        <v>3</v>
      </c>
      <c r="CU19" s="199">
        <f t="shared" si="5"/>
        <v>4</v>
      </c>
      <c r="CV19" s="199">
        <f t="shared" si="6"/>
        <v>1</v>
      </c>
      <c r="CW19" s="199">
        <f t="shared" si="7"/>
        <v>0</v>
      </c>
      <c r="CX19" s="199">
        <f t="shared" si="8"/>
        <v>3</v>
      </c>
      <c r="CY19" s="199">
        <f t="shared" si="9"/>
        <v>2</v>
      </c>
      <c r="CZ19" s="199">
        <f t="shared" si="10"/>
        <v>2</v>
      </c>
      <c r="DA19" s="199">
        <f t="shared" si="11"/>
        <v>2</v>
      </c>
      <c r="DB19" s="199">
        <f t="shared" si="12"/>
        <v>3</v>
      </c>
      <c r="DC19" s="199">
        <f t="shared" si="13"/>
        <v>5</v>
      </c>
      <c r="DD19" s="199">
        <f t="shared" si="14"/>
        <v>36</v>
      </c>
      <c r="DE19">
        <f t="shared" si="15"/>
        <v>11</v>
      </c>
      <c r="DF19">
        <f t="shared" si="16"/>
        <v>0</v>
      </c>
      <c r="DG19">
        <f t="shared" si="17"/>
        <v>6</v>
      </c>
    </row>
    <row r="20" spans="1:111">
      <c r="A20" s="171">
        <v>17</v>
      </c>
      <c r="B20" s="171" t="s">
        <v>1759</v>
      </c>
      <c r="C20" s="171">
        <v>17</v>
      </c>
      <c r="D20" s="171" t="str">
        <f t="shared" si="0"/>
        <v xml:space="preserve"> NZ SBT</v>
      </c>
      <c r="E20" s="171" t="s">
        <v>7220</v>
      </c>
      <c r="F20" s="174">
        <v>45475</v>
      </c>
      <c r="G20" s="171" t="s">
        <v>7223</v>
      </c>
      <c r="H20" s="173">
        <v>73795</v>
      </c>
      <c r="I20" s="171"/>
      <c r="J20" s="171" t="s">
        <v>186</v>
      </c>
      <c r="K20" s="171" t="s">
        <v>4457</v>
      </c>
      <c r="L20" s="171" t="s">
        <v>2029</v>
      </c>
      <c r="M20" s="171" t="s">
        <v>5032</v>
      </c>
      <c r="N20" s="171"/>
      <c r="O20" s="171"/>
      <c r="P20" s="171" t="s">
        <v>5032</v>
      </c>
      <c r="Q20" s="171" t="s">
        <v>165</v>
      </c>
      <c r="R20" s="171"/>
      <c r="S20" s="171">
        <v>2030</v>
      </c>
      <c r="T20" s="171" t="s">
        <v>1</v>
      </c>
      <c r="U20" s="171"/>
      <c r="V20" s="172">
        <v>44805</v>
      </c>
      <c r="W20" s="171">
        <v>2022</v>
      </c>
      <c r="X20" s="171" t="s">
        <v>5032</v>
      </c>
      <c r="Y20" s="171"/>
      <c r="Z20" s="171"/>
      <c r="AA20" s="171" t="s">
        <v>5032</v>
      </c>
      <c r="AB20" s="171"/>
      <c r="AC20" s="171"/>
      <c r="AD20" s="171"/>
      <c r="AE20" s="171"/>
      <c r="AF20" s="171"/>
      <c r="AG20" s="171"/>
      <c r="AH20" s="171"/>
      <c r="AI20" s="171"/>
      <c r="AJ20" s="171"/>
      <c r="AK20" s="171"/>
      <c r="AL20" s="171"/>
      <c r="AM20" s="171"/>
      <c r="AN20" s="171" t="s">
        <v>4172</v>
      </c>
      <c r="AO20" s="171" t="s">
        <v>4471</v>
      </c>
      <c r="AP20" s="171" t="s">
        <v>2072</v>
      </c>
      <c r="AQ20" s="171" t="s">
        <v>4172</v>
      </c>
      <c r="AR20" s="171">
        <v>2030</v>
      </c>
      <c r="AS20" s="171">
        <v>2020</v>
      </c>
      <c r="AT20" s="171"/>
      <c r="AU20" s="171"/>
      <c r="AV20" s="171"/>
      <c r="AW20" s="171" t="s">
        <v>4174</v>
      </c>
      <c r="AX20" s="171" t="s">
        <v>8177</v>
      </c>
      <c r="AY20" s="171">
        <v>2024</v>
      </c>
      <c r="AZ20" s="171" t="s">
        <v>4174</v>
      </c>
      <c r="BA20" s="171" t="s">
        <v>8176</v>
      </c>
      <c r="BB20" s="171"/>
      <c r="BC20" s="171" t="s">
        <v>8175</v>
      </c>
      <c r="BD20" s="171"/>
      <c r="BE20" s="171"/>
      <c r="BF20" s="225"/>
      <c r="BG20" s="171"/>
      <c r="BH20" s="171"/>
      <c r="BI20" s="171"/>
      <c r="BJ20" s="171"/>
      <c r="BK20" s="171"/>
      <c r="BL20" s="171"/>
      <c r="BM20" s="171"/>
      <c r="BN20" s="171"/>
      <c r="BO20" s="171">
        <v>1</v>
      </c>
      <c r="BP20" s="171"/>
      <c r="BQ20" s="171">
        <v>1</v>
      </c>
      <c r="BR20" s="171"/>
      <c r="BS20" s="171">
        <v>1</v>
      </c>
      <c r="BT20" s="171"/>
      <c r="BU20" s="171">
        <v>1</v>
      </c>
      <c r="BV20" s="171"/>
      <c r="BW20" s="171"/>
      <c r="BX20" s="171"/>
      <c r="BY20" s="171"/>
      <c r="BZ20" s="171">
        <v>1</v>
      </c>
      <c r="CA20" s="171"/>
      <c r="CB20" s="171">
        <v>1</v>
      </c>
      <c r="CC20" s="171">
        <v>1</v>
      </c>
      <c r="CD20" s="171"/>
      <c r="CE20" s="171">
        <v>1</v>
      </c>
      <c r="CF20" s="171"/>
      <c r="CG20" s="171">
        <v>1</v>
      </c>
      <c r="CH20" s="171">
        <v>1</v>
      </c>
      <c r="CI20" s="171"/>
      <c r="CJ20" s="171">
        <v>1</v>
      </c>
      <c r="CK20" s="171"/>
      <c r="CL20" s="171">
        <v>1</v>
      </c>
      <c r="CM20">
        <f t="shared" si="1"/>
        <v>2030</v>
      </c>
      <c r="CQ20" s="202" t="s">
        <v>4190</v>
      </c>
      <c r="CR20" s="199">
        <f t="shared" si="2"/>
        <v>1</v>
      </c>
      <c r="CS20" s="199">
        <f t="shared" si="3"/>
        <v>11</v>
      </c>
      <c r="CT20" s="199">
        <f t="shared" si="4"/>
        <v>1</v>
      </c>
      <c r="CU20" s="199">
        <f t="shared" si="5"/>
        <v>1</v>
      </c>
      <c r="CV20" s="199">
        <f t="shared" si="6"/>
        <v>4</v>
      </c>
      <c r="CW20" s="199">
        <f t="shared" si="7"/>
        <v>2</v>
      </c>
      <c r="CX20" s="199">
        <f t="shared" si="8"/>
        <v>0</v>
      </c>
      <c r="CY20" s="199">
        <f t="shared" si="9"/>
        <v>3</v>
      </c>
      <c r="CZ20" s="199">
        <f t="shared" si="10"/>
        <v>8</v>
      </c>
      <c r="DA20" s="199">
        <f t="shared" si="11"/>
        <v>1</v>
      </c>
      <c r="DB20" s="199">
        <f t="shared" si="12"/>
        <v>1</v>
      </c>
      <c r="DC20" s="199">
        <f t="shared" si="13"/>
        <v>7</v>
      </c>
      <c r="DD20" s="199">
        <f t="shared" si="14"/>
        <v>40</v>
      </c>
      <c r="DE20">
        <f t="shared" si="15"/>
        <v>8</v>
      </c>
      <c r="DF20">
        <f t="shared" si="16"/>
        <v>0</v>
      </c>
      <c r="DG20">
        <f t="shared" si="17"/>
        <v>12</v>
      </c>
    </row>
    <row r="21" spans="1:111">
      <c r="A21" s="171">
        <v>214</v>
      </c>
      <c r="B21" s="171" t="s">
        <v>987</v>
      </c>
      <c r="C21" s="171">
        <v>166</v>
      </c>
      <c r="D21" s="171" t="str">
        <f t="shared" si="0"/>
        <v/>
      </c>
      <c r="E21" s="171" t="s">
        <v>7220</v>
      </c>
      <c r="F21" s="174">
        <v>45476</v>
      </c>
      <c r="G21" s="171" t="s">
        <v>7223</v>
      </c>
      <c r="H21" s="173">
        <v>876.5</v>
      </c>
      <c r="I21" s="171"/>
      <c r="J21" s="171" t="s">
        <v>4494</v>
      </c>
      <c r="K21" s="171" t="s">
        <v>73</v>
      </c>
      <c r="L21" s="171" t="s">
        <v>1994</v>
      </c>
      <c r="M21" s="171" t="s">
        <v>5032</v>
      </c>
      <c r="N21" s="171"/>
      <c r="O21" s="171"/>
      <c r="P21" s="171" t="s">
        <v>5032</v>
      </c>
      <c r="Q21" s="171"/>
      <c r="R21" s="171"/>
      <c r="S21" s="171"/>
      <c r="T21" s="171"/>
      <c r="U21" s="171"/>
      <c r="V21" s="175"/>
      <c r="W21" s="171"/>
      <c r="X21" s="171" t="s">
        <v>4519</v>
      </c>
      <c r="Y21" s="171" t="s">
        <v>109</v>
      </c>
      <c r="Z21" s="171" t="s">
        <v>7238</v>
      </c>
      <c r="AA21" s="171" t="s">
        <v>4519</v>
      </c>
      <c r="AB21" s="171">
        <v>2060</v>
      </c>
      <c r="AC21" s="171">
        <v>2021</v>
      </c>
      <c r="AD21" s="171"/>
      <c r="AE21" s="171"/>
      <c r="AF21" s="171"/>
      <c r="AG21" s="171"/>
      <c r="AH21" s="171"/>
      <c r="AI21" s="171"/>
      <c r="AJ21" s="171"/>
      <c r="AK21" s="171"/>
      <c r="AL21" s="171" t="s">
        <v>8174</v>
      </c>
      <c r="AM21" s="171" t="s">
        <v>8173</v>
      </c>
      <c r="AN21" s="171" t="s">
        <v>5032</v>
      </c>
      <c r="AO21" s="171"/>
      <c r="AP21" s="171"/>
      <c r="AQ21" s="171" t="s">
        <v>5032</v>
      </c>
      <c r="AR21" s="171"/>
      <c r="AS21" s="171"/>
      <c r="AT21" s="171"/>
      <c r="AU21" s="171"/>
      <c r="AV21" s="171"/>
      <c r="AW21" s="171"/>
      <c r="AX21" s="171"/>
      <c r="AY21" s="171"/>
      <c r="AZ21" s="171"/>
      <c r="BA21" s="171"/>
      <c r="BB21" s="171"/>
      <c r="BC21" s="171"/>
      <c r="BD21" s="171"/>
      <c r="BE21" s="171"/>
      <c r="BF21" s="225"/>
      <c r="BG21" s="171"/>
      <c r="BH21" s="171"/>
      <c r="BI21" s="171"/>
      <c r="BJ21" s="171"/>
      <c r="BK21" s="171"/>
      <c r="BL21" s="171"/>
      <c r="BM21" s="171"/>
      <c r="BN21" s="171"/>
      <c r="BO21" s="171"/>
      <c r="BP21" s="171"/>
      <c r="BQ21" s="171"/>
      <c r="BR21" s="171"/>
      <c r="BS21" s="171"/>
      <c r="BT21" s="171"/>
      <c r="BU21" s="171"/>
      <c r="BV21" s="171"/>
      <c r="BW21" s="171"/>
      <c r="BX21" s="171"/>
      <c r="BY21" s="171"/>
      <c r="BZ21" s="171"/>
      <c r="CA21" s="171"/>
      <c r="CB21" s="171"/>
      <c r="CC21" s="171"/>
      <c r="CD21" s="171"/>
      <c r="CE21" s="171"/>
      <c r="CF21" s="171"/>
      <c r="CG21" s="171"/>
      <c r="CH21" s="171"/>
      <c r="CI21" s="171"/>
      <c r="CJ21" s="171"/>
      <c r="CK21" s="171"/>
      <c r="CL21" s="171"/>
      <c r="CQ21" s="202" t="s">
        <v>4179</v>
      </c>
      <c r="CR21" s="199">
        <f t="shared" si="2"/>
        <v>0</v>
      </c>
      <c r="CS21" s="199">
        <f t="shared" si="3"/>
        <v>8</v>
      </c>
      <c r="CT21" s="199">
        <f t="shared" si="4"/>
        <v>3</v>
      </c>
      <c r="CU21" s="199">
        <f t="shared" si="5"/>
        <v>0</v>
      </c>
      <c r="CV21" s="199">
        <f t="shared" si="6"/>
        <v>0</v>
      </c>
      <c r="CW21" s="199">
        <f t="shared" si="7"/>
        <v>0</v>
      </c>
      <c r="CX21" s="199">
        <f t="shared" si="8"/>
        <v>1</v>
      </c>
      <c r="CY21" s="199">
        <f t="shared" si="9"/>
        <v>0</v>
      </c>
      <c r="CZ21" s="199">
        <f t="shared" si="10"/>
        <v>8</v>
      </c>
      <c r="DA21" s="199">
        <f t="shared" si="11"/>
        <v>0</v>
      </c>
      <c r="DB21" s="199">
        <f t="shared" si="12"/>
        <v>0</v>
      </c>
      <c r="DC21" s="199">
        <f t="shared" si="13"/>
        <v>9</v>
      </c>
      <c r="DD21" s="199">
        <f t="shared" si="14"/>
        <v>29</v>
      </c>
      <c r="DE21">
        <f t="shared" si="15"/>
        <v>5</v>
      </c>
      <c r="DF21">
        <f t="shared" si="16"/>
        <v>1</v>
      </c>
      <c r="DG21">
        <f t="shared" si="17"/>
        <v>14</v>
      </c>
    </row>
    <row r="22" spans="1:111">
      <c r="A22" s="171">
        <v>2</v>
      </c>
      <c r="B22" s="171" t="s">
        <v>3995</v>
      </c>
      <c r="C22" s="171">
        <v>4</v>
      </c>
      <c r="D22" s="171" t="str">
        <f t="shared" si="0"/>
        <v xml:space="preserve"> NZ</v>
      </c>
      <c r="E22" s="171" t="s">
        <v>7220</v>
      </c>
      <c r="F22" s="174">
        <v>45474</v>
      </c>
      <c r="G22" s="171" t="s">
        <v>7223</v>
      </c>
      <c r="H22" s="173">
        <v>30425</v>
      </c>
      <c r="I22" s="171"/>
      <c r="J22" s="171" t="s">
        <v>4467</v>
      </c>
      <c r="K22" s="171" t="s">
        <v>4457</v>
      </c>
      <c r="L22" s="171" t="s">
        <v>2029</v>
      </c>
      <c r="M22" s="171" t="s">
        <v>5032</v>
      </c>
      <c r="N22" s="171"/>
      <c r="O22" s="171"/>
      <c r="P22" s="171" t="s">
        <v>5032</v>
      </c>
      <c r="Q22" s="171" t="s">
        <v>7290</v>
      </c>
      <c r="R22" s="171"/>
      <c r="S22" s="171"/>
      <c r="T22" s="171" t="s">
        <v>1</v>
      </c>
      <c r="U22" s="171"/>
      <c r="V22" s="172">
        <v>43983</v>
      </c>
      <c r="W22" s="171">
        <v>2020</v>
      </c>
      <c r="X22" s="171" t="s">
        <v>5032</v>
      </c>
      <c r="Y22" s="171"/>
      <c r="Z22" s="171"/>
      <c r="AA22" s="171" t="s">
        <v>5032</v>
      </c>
      <c r="AB22" s="171"/>
      <c r="AC22" s="171"/>
      <c r="AD22" s="171"/>
      <c r="AE22" s="171"/>
      <c r="AF22" s="171"/>
      <c r="AG22" s="171"/>
      <c r="AH22" s="171"/>
      <c r="AI22" s="171"/>
      <c r="AJ22" s="171"/>
      <c r="AK22" s="171"/>
      <c r="AL22" s="171"/>
      <c r="AM22" s="171"/>
      <c r="AN22" s="171" t="s">
        <v>1957</v>
      </c>
      <c r="AO22" s="171" t="s">
        <v>109</v>
      </c>
      <c r="AP22" s="171" t="s">
        <v>2072</v>
      </c>
      <c r="AQ22" s="171" t="s">
        <v>1957</v>
      </c>
      <c r="AR22" s="171">
        <v>2040</v>
      </c>
      <c r="AS22" s="171">
        <v>2019</v>
      </c>
      <c r="AT22" s="171"/>
      <c r="AU22" s="171"/>
      <c r="AV22" s="171"/>
      <c r="AW22" s="171" t="s">
        <v>4174</v>
      </c>
      <c r="AX22" s="171" t="s">
        <v>8172</v>
      </c>
      <c r="AY22" s="171">
        <v>2023</v>
      </c>
      <c r="AZ22" s="171" t="s">
        <v>4174</v>
      </c>
      <c r="BA22" s="171" t="s">
        <v>8171</v>
      </c>
      <c r="BB22" s="171"/>
      <c r="BC22" s="171"/>
      <c r="BD22" s="171"/>
      <c r="BE22" s="171"/>
      <c r="BF22" s="225"/>
      <c r="BG22" s="171"/>
      <c r="BH22" s="171"/>
      <c r="BI22" s="171"/>
      <c r="BJ22" s="171"/>
      <c r="BK22" s="171"/>
      <c r="BL22" s="171"/>
      <c r="BM22" s="171"/>
      <c r="BN22" s="171"/>
      <c r="BO22" s="171"/>
      <c r="BP22" s="171">
        <v>1</v>
      </c>
      <c r="BQ22" s="171">
        <v>1</v>
      </c>
      <c r="BR22" s="171"/>
      <c r="BS22" s="171"/>
      <c r="BT22" s="171"/>
      <c r="BU22" s="171"/>
      <c r="BV22" s="171"/>
      <c r="BW22" s="171"/>
      <c r="BX22" s="171"/>
      <c r="BY22" s="171"/>
      <c r="BZ22" s="171">
        <v>1</v>
      </c>
      <c r="CA22" s="171"/>
      <c r="CB22" s="171">
        <v>1</v>
      </c>
      <c r="CC22" s="171">
        <v>1</v>
      </c>
      <c r="CD22" s="171"/>
      <c r="CE22" s="171">
        <v>1</v>
      </c>
      <c r="CF22" s="171"/>
      <c r="CG22" s="171"/>
      <c r="CH22" s="171">
        <v>1</v>
      </c>
      <c r="CI22" s="171"/>
      <c r="CJ22" s="171"/>
      <c r="CK22" s="171"/>
      <c r="CL22" s="171"/>
      <c r="CM22">
        <f t="shared" si="1"/>
        <v>2040</v>
      </c>
      <c r="CQ22" s="203" t="s">
        <v>7213</v>
      </c>
      <c r="CR22" s="204">
        <f t="shared" ref="CR22:DB22" si="18">SUM(CR5:CR21)</f>
        <v>4</v>
      </c>
      <c r="CS22" s="204">
        <f t="shared" si="18"/>
        <v>148</v>
      </c>
      <c r="CT22" s="204">
        <f t="shared" si="18"/>
        <v>21</v>
      </c>
      <c r="CU22" s="204">
        <f t="shared" si="18"/>
        <v>19</v>
      </c>
      <c r="CV22" s="204">
        <f t="shared" si="18"/>
        <v>40</v>
      </c>
      <c r="CW22" s="204">
        <f t="shared" si="18"/>
        <v>18</v>
      </c>
      <c r="CX22" s="204">
        <f t="shared" si="18"/>
        <v>40</v>
      </c>
      <c r="CY22" s="204">
        <f t="shared" si="18"/>
        <v>47</v>
      </c>
      <c r="CZ22" s="204">
        <f t="shared" si="18"/>
        <v>138</v>
      </c>
      <c r="DA22" s="204">
        <f t="shared" si="18"/>
        <v>3</v>
      </c>
      <c r="DB22" s="204">
        <f t="shared" si="18"/>
        <v>22</v>
      </c>
      <c r="DC22" s="204">
        <f>SUM(DC5:DC21)</f>
        <v>201</v>
      </c>
      <c r="DD22" s="204">
        <f t="shared" ref="DD22:DF22" si="19">SUM(DD5:DD21)</f>
        <v>701</v>
      </c>
      <c r="DE22">
        <f t="shared" si="19"/>
        <v>208</v>
      </c>
      <c r="DF22">
        <f t="shared" si="19"/>
        <v>8</v>
      </c>
      <c r="DG22">
        <f>SUM(DG5:DG21)</f>
        <v>284</v>
      </c>
    </row>
    <row r="23" spans="1:111">
      <c r="A23" s="171">
        <v>328</v>
      </c>
      <c r="B23" s="171" t="s">
        <v>1178</v>
      </c>
      <c r="C23" s="171">
        <v>349</v>
      </c>
      <c r="D23" s="171" t="str">
        <f t="shared" si="0"/>
        <v xml:space="preserve"> SBT</v>
      </c>
      <c r="E23" s="171" t="s">
        <v>7228</v>
      </c>
      <c r="F23" s="174">
        <v>45482</v>
      </c>
      <c r="G23" s="171" t="s">
        <v>7220</v>
      </c>
      <c r="H23" s="173">
        <v>4291.5</v>
      </c>
      <c r="I23" s="171"/>
      <c r="J23" s="171" t="s">
        <v>4190</v>
      </c>
      <c r="K23" s="171" t="s">
        <v>4457</v>
      </c>
      <c r="L23" s="171" t="s">
        <v>2029</v>
      </c>
      <c r="M23" s="171" t="s">
        <v>5032</v>
      </c>
      <c r="N23" s="171"/>
      <c r="O23" s="171"/>
      <c r="P23" s="171" t="s">
        <v>4174</v>
      </c>
      <c r="Q23" s="171" t="s">
        <v>22</v>
      </c>
      <c r="R23" s="171" t="s">
        <v>7233</v>
      </c>
      <c r="S23" s="171">
        <v>2030</v>
      </c>
      <c r="T23" s="171" t="s">
        <v>1</v>
      </c>
      <c r="U23" s="171"/>
      <c r="V23" s="172">
        <v>44044</v>
      </c>
      <c r="W23" s="171">
        <v>2020</v>
      </c>
      <c r="X23" s="171" t="s">
        <v>5032</v>
      </c>
      <c r="Y23" s="171"/>
      <c r="Z23" s="171"/>
      <c r="AA23" s="171" t="s">
        <v>5032</v>
      </c>
      <c r="AB23" s="171"/>
      <c r="AC23" s="171"/>
      <c r="AD23" s="171"/>
      <c r="AE23" s="171"/>
      <c r="AF23" s="171"/>
      <c r="AG23" s="171"/>
      <c r="AH23" s="171"/>
      <c r="AI23" s="171"/>
      <c r="AJ23" s="171"/>
      <c r="AK23" s="171"/>
      <c r="AL23" s="171"/>
      <c r="AM23" s="171"/>
      <c r="AN23" s="171" t="s">
        <v>5032</v>
      </c>
      <c r="AO23" s="171"/>
      <c r="AP23" s="171"/>
      <c r="AQ23" s="171" t="s">
        <v>5032</v>
      </c>
      <c r="AR23" s="171"/>
      <c r="AS23" s="171"/>
      <c r="AT23" s="171"/>
      <c r="AU23" s="171"/>
      <c r="AV23" s="171"/>
      <c r="AW23" s="171"/>
      <c r="AX23" s="171"/>
      <c r="AY23" s="171"/>
      <c r="AZ23" s="171"/>
      <c r="BA23" s="171"/>
      <c r="BB23" s="171"/>
      <c r="BC23" s="171"/>
      <c r="BD23" s="171"/>
      <c r="BE23" s="171"/>
      <c r="BF23" s="225"/>
      <c r="BG23" s="171"/>
      <c r="BH23" s="171"/>
      <c r="BI23" s="171"/>
      <c r="BJ23" s="171"/>
      <c r="BK23" s="171"/>
      <c r="BL23" s="171"/>
      <c r="BM23" s="171"/>
      <c r="BN23" s="171"/>
      <c r="BO23" s="171"/>
      <c r="BP23" s="171"/>
      <c r="BQ23" s="171"/>
      <c r="BR23" s="171"/>
      <c r="BS23" s="171">
        <v>1</v>
      </c>
      <c r="BT23" s="171"/>
      <c r="BU23" s="171">
        <v>1</v>
      </c>
      <c r="BV23" s="171"/>
      <c r="BW23" s="171"/>
      <c r="BX23" s="171"/>
      <c r="BY23" s="171"/>
      <c r="BZ23" s="171"/>
      <c r="CA23" s="171"/>
      <c r="CB23" s="171"/>
      <c r="CC23" s="171"/>
      <c r="CD23" s="171"/>
      <c r="CE23" s="171">
        <v>1</v>
      </c>
      <c r="CF23" s="171"/>
      <c r="CG23" s="171">
        <v>1</v>
      </c>
      <c r="CH23" s="171">
        <v>1</v>
      </c>
      <c r="CI23" s="171"/>
      <c r="CJ23" s="171"/>
      <c r="CK23" s="171"/>
      <c r="CL23" s="171"/>
      <c r="CR23" s="216" t="s">
        <v>8311</v>
      </c>
      <c r="CS23" s="217"/>
      <c r="CT23" s="218"/>
      <c r="CU23" s="216" t="s">
        <v>3034</v>
      </c>
      <c r="CV23" s="217"/>
      <c r="CW23" s="218"/>
      <c r="CX23" s="216" t="s">
        <v>32</v>
      </c>
      <c r="CY23" s="217"/>
      <c r="CZ23" s="218"/>
      <c r="DA23" s="216" t="s">
        <v>2072</v>
      </c>
      <c r="DB23" s="217"/>
      <c r="DC23" s="218"/>
      <c r="DD23" s="200" t="s">
        <v>7213</v>
      </c>
    </row>
    <row r="24" spans="1:111">
      <c r="A24" s="171">
        <v>278</v>
      </c>
      <c r="B24" s="171" t="s">
        <v>964</v>
      </c>
      <c r="C24" s="171">
        <v>291</v>
      </c>
      <c r="D24" s="171" t="str">
        <f t="shared" si="0"/>
        <v xml:space="preserve"> NZ SBT</v>
      </c>
      <c r="E24" s="171" t="s">
        <v>7220</v>
      </c>
      <c r="F24" s="174">
        <v>45478</v>
      </c>
      <c r="G24" s="171" t="s">
        <v>7223</v>
      </c>
      <c r="H24" s="173">
        <v>822</v>
      </c>
      <c r="I24" s="171"/>
      <c r="J24" s="171" t="s">
        <v>4376</v>
      </c>
      <c r="K24" s="171" t="s">
        <v>4457</v>
      </c>
      <c r="L24" s="171" t="s">
        <v>2029</v>
      </c>
      <c r="M24" s="171" t="s">
        <v>5032</v>
      </c>
      <c r="N24" s="171"/>
      <c r="O24" s="171"/>
      <c r="P24" s="171" t="s">
        <v>4174</v>
      </c>
      <c r="Q24" s="171" t="s">
        <v>22</v>
      </c>
      <c r="R24" s="171" t="s">
        <v>7277</v>
      </c>
      <c r="S24" s="171">
        <v>2035</v>
      </c>
      <c r="T24" s="171" t="s">
        <v>1</v>
      </c>
      <c r="U24" s="171"/>
      <c r="V24" s="172">
        <v>44652</v>
      </c>
      <c r="W24" s="171">
        <v>2022</v>
      </c>
      <c r="X24" s="171" t="s">
        <v>5032</v>
      </c>
      <c r="Y24" s="171"/>
      <c r="Z24" s="171"/>
      <c r="AA24" s="171" t="s">
        <v>5032</v>
      </c>
      <c r="AB24" s="171"/>
      <c r="AC24" s="171"/>
      <c r="AD24" s="171"/>
      <c r="AE24" s="171"/>
      <c r="AF24" s="171"/>
      <c r="AG24" s="171"/>
      <c r="AH24" s="171"/>
      <c r="AI24" s="171"/>
      <c r="AJ24" s="171"/>
      <c r="AK24" s="171"/>
      <c r="AL24" s="171"/>
      <c r="AM24" s="171"/>
      <c r="AN24" s="171" t="s">
        <v>1957</v>
      </c>
      <c r="AO24" s="171" t="s">
        <v>5131</v>
      </c>
      <c r="AP24" s="171" t="s">
        <v>2072</v>
      </c>
      <c r="AQ24" s="171" t="s">
        <v>1957</v>
      </c>
      <c r="AR24" s="171">
        <v>2050</v>
      </c>
      <c r="AS24" s="171">
        <v>2020</v>
      </c>
      <c r="AT24" s="171"/>
      <c r="AU24" s="171"/>
      <c r="AV24" s="171"/>
      <c r="AW24" s="171" t="s">
        <v>4174</v>
      </c>
      <c r="AX24" s="171" t="s">
        <v>8170</v>
      </c>
      <c r="AY24" s="171"/>
      <c r="AZ24" s="171"/>
      <c r="BA24" s="171"/>
      <c r="BB24" s="171"/>
      <c r="BC24" s="171"/>
      <c r="BD24" s="171"/>
      <c r="BE24" s="171"/>
      <c r="BF24" s="225"/>
      <c r="BG24" s="171"/>
      <c r="BH24" s="171"/>
      <c r="BI24" s="171"/>
      <c r="BJ24" s="171"/>
      <c r="BK24" s="171"/>
      <c r="BL24" s="171"/>
      <c r="BM24" s="171"/>
      <c r="BN24" s="171"/>
      <c r="BO24" s="171"/>
      <c r="BP24" s="171">
        <v>1</v>
      </c>
      <c r="BQ24" s="171">
        <v>1</v>
      </c>
      <c r="BR24" s="171"/>
      <c r="BS24" s="171"/>
      <c r="BT24" s="171">
        <v>1</v>
      </c>
      <c r="BU24" s="171">
        <v>1</v>
      </c>
      <c r="BV24" s="171"/>
      <c r="BW24" s="171"/>
      <c r="BX24" s="171"/>
      <c r="BY24" s="171"/>
      <c r="BZ24" s="171">
        <v>1</v>
      </c>
      <c r="CA24" s="171"/>
      <c r="CB24" s="171">
        <v>1</v>
      </c>
      <c r="CC24" s="171">
        <v>1</v>
      </c>
      <c r="CD24" s="171"/>
      <c r="CE24" s="171">
        <v>1</v>
      </c>
      <c r="CF24" s="171"/>
      <c r="CG24" s="171"/>
      <c r="CH24" s="171">
        <v>1</v>
      </c>
      <c r="CI24" s="171"/>
      <c r="CJ24" s="171"/>
      <c r="CK24" s="171"/>
      <c r="CL24" s="171"/>
      <c r="CM24">
        <f t="shared" si="1"/>
        <v>2050</v>
      </c>
      <c r="CQ24" s="200" t="s">
        <v>8315</v>
      </c>
      <c r="CR24" s="201" t="s">
        <v>8365</v>
      </c>
      <c r="CS24" s="201" t="s">
        <v>8366</v>
      </c>
      <c r="CT24" s="201" t="s">
        <v>8314</v>
      </c>
      <c r="CU24" s="201" t="s">
        <v>8365</v>
      </c>
      <c r="CV24" s="201" t="s">
        <v>8366</v>
      </c>
      <c r="CW24" s="201" t="s">
        <v>8314</v>
      </c>
      <c r="CX24" s="201" t="s">
        <v>8365</v>
      </c>
      <c r="CY24" s="201" t="s">
        <v>8366</v>
      </c>
      <c r="CZ24" s="201" t="s">
        <v>8314</v>
      </c>
      <c r="DA24" s="201" t="s">
        <v>8365</v>
      </c>
      <c r="DB24" s="201" t="s">
        <v>8366</v>
      </c>
      <c r="DC24" s="201" t="s">
        <v>8314</v>
      </c>
      <c r="DD24" s="201"/>
    </row>
    <row r="25" spans="1:111">
      <c r="A25" s="171">
        <v>195</v>
      </c>
      <c r="B25" s="171" t="s">
        <v>932</v>
      </c>
      <c r="C25" s="171">
        <v>253</v>
      </c>
      <c r="D25" s="171" t="str">
        <f t="shared" si="0"/>
        <v>CN NZ SBT RE100</v>
      </c>
      <c r="E25" s="171" t="s">
        <v>7223</v>
      </c>
      <c r="F25" s="174">
        <v>45477</v>
      </c>
      <c r="G25" s="171" t="s">
        <v>7223</v>
      </c>
      <c r="H25" s="173">
        <v>8374</v>
      </c>
      <c r="I25" s="171"/>
      <c r="J25" s="171" t="s">
        <v>4465</v>
      </c>
      <c r="K25" s="171" t="s">
        <v>4457</v>
      </c>
      <c r="L25" s="171" t="s">
        <v>2029</v>
      </c>
      <c r="M25" s="171" t="s">
        <v>4174</v>
      </c>
      <c r="N25" s="171">
        <v>2020</v>
      </c>
      <c r="O25" s="171">
        <v>2025</v>
      </c>
      <c r="P25" s="171" t="s">
        <v>5032</v>
      </c>
      <c r="Q25" s="171" t="s">
        <v>165</v>
      </c>
      <c r="R25" s="171"/>
      <c r="S25" s="171">
        <v>2030</v>
      </c>
      <c r="T25" s="171" t="s">
        <v>1</v>
      </c>
      <c r="U25" s="171"/>
      <c r="V25" s="172">
        <v>44440</v>
      </c>
      <c r="W25" s="171">
        <v>2021</v>
      </c>
      <c r="X25" s="171" t="s">
        <v>1957</v>
      </c>
      <c r="Y25" s="171" t="s">
        <v>8169</v>
      </c>
      <c r="Z25" s="171" t="s">
        <v>3283</v>
      </c>
      <c r="AA25" s="171" t="s">
        <v>1957</v>
      </c>
      <c r="AB25" s="171">
        <v>2018</v>
      </c>
      <c r="AC25" s="171">
        <v>2018</v>
      </c>
      <c r="AD25" s="171"/>
      <c r="AE25" s="171"/>
      <c r="AF25" s="171"/>
      <c r="AG25" s="171" t="s">
        <v>4174</v>
      </c>
      <c r="AH25" s="171">
        <v>2023</v>
      </c>
      <c r="AI25" s="171" t="s">
        <v>4174</v>
      </c>
      <c r="AJ25" s="171" t="s">
        <v>6082</v>
      </c>
      <c r="AK25" s="171"/>
      <c r="AL25" s="176" t="s">
        <v>8167</v>
      </c>
      <c r="AM25" s="171"/>
      <c r="AN25" s="171" t="s">
        <v>4172</v>
      </c>
      <c r="AO25" s="171" t="s">
        <v>8168</v>
      </c>
      <c r="AP25" s="171" t="s">
        <v>2072</v>
      </c>
      <c r="AQ25" s="171" t="s">
        <v>4172</v>
      </c>
      <c r="AR25" s="171">
        <v>2035</v>
      </c>
      <c r="AS25" s="171">
        <v>2021</v>
      </c>
      <c r="AT25" s="171"/>
      <c r="AU25" s="171"/>
      <c r="AV25" s="171"/>
      <c r="AW25" s="171" t="s">
        <v>2082</v>
      </c>
      <c r="AX25" s="171" t="s">
        <v>8167</v>
      </c>
      <c r="AY25" s="171"/>
      <c r="AZ25" s="171"/>
      <c r="BA25" s="171"/>
      <c r="BB25" s="171"/>
      <c r="BC25" s="171"/>
      <c r="BD25" s="171"/>
      <c r="BE25" s="171"/>
      <c r="BF25" s="225"/>
      <c r="BG25" s="171"/>
      <c r="BH25" s="171"/>
      <c r="BI25" s="171"/>
      <c r="BJ25" s="171">
        <v>1</v>
      </c>
      <c r="BK25" s="171"/>
      <c r="BL25" s="171"/>
      <c r="BM25" s="171">
        <v>1</v>
      </c>
      <c r="BN25" s="171"/>
      <c r="BO25" s="171"/>
      <c r="BP25" s="171">
        <v>1</v>
      </c>
      <c r="BQ25" s="171">
        <v>1</v>
      </c>
      <c r="BR25" s="171"/>
      <c r="BS25" s="171">
        <v>1</v>
      </c>
      <c r="BT25" s="171"/>
      <c r="BU25" s="171">
        <v>1</v>
      </c>
      <c r="BV25" s="171"/>
      <c r="BW25" s="171">
        <v>1</v>
      </c>
      <c r="BX25" s="171"/>
      <c r="BY25" s="171">
        <v>1</v>
      </c>
      <c r="BZ25" s="171">
        <v>1</v>
      </c>
      <c r="CA25" s="171">
        <v>1</v>
      </c>
      <c r="CB25" s="171">
        <v>1</v>
      </c>
      <c r="CC25" s="171">
        <v>1</v>
      </c>
      <c r="CD25" s="171"/>
      <c r="CE25" s="171">
        <v>1</v>
      </c>
      <c r="CF25" s="171">
        <v>1</v>
      </c>
      <c r="CG25" s="171">
        <v>1</v>
      </c>
      <c r="CH25" s="171">
        <v>1</v>
      </c>
      <c r="CI25" s="171"/>
      <c r="CJ25" s="171"/>
      <c r="CK25" s="171">
        <v>1</v>
      </c>
      <c r="CL25" s="171">
        <v>1</v>
      </c>
      <c r="CM25">
        <f t="shared" si="1"/>
        <v>2035</v>
      </c>
      <c r="CQ25" s="202" t="s">
        <v>1994</v>
      </c>
      <c r="CR25" s="199">
        <f>COUNTIFS($L$2:$L$501,CQ25,$S$2:$S$501,"&lt;=2024")</f>
        <v>0</v>
      </c>
      <c r="CS25" s="199">
        <f>COUNTIFS($L$2:$L$501,CQ25,$S$2:$S$501,"&gt;=2025",$S$2:$S$501,"&lt;=2030")</f>
        <v>30</v>
      </c>
      <c r="CT25" s="199">
        <f>COUNTIFS($L$2:$L$501,CQ25,$S$2:$S$501,"&gt;2030")</f>
        <v>4</v>
      </c>
      <c r="CU25" s="199">
        <f>COUNTIFS($L$2:$L$501,CQ25,$O$2:$O$501,"&lt;=2024")</f>
        <v>1</v>
      </c>
      <c r="CV25" s="199">
        <f>COUNTIFS($L$2:$L$501,CQ25,$O$2:$O$501,"&gt;=2025",$O$2:$O$501,"&lt;=2030")</f>
        <v>3</v>
      </c>
      <c r="CW25" s="199">
        <f>COUNTIFS($L$2:$L$501,CQ25,$O$5:$O$504,"&gt;2030")</f>
        <v>8</v>
      </c>
      <c r="CX25" s="199">
        <f>COUNTIFS($L$2:$L$501,CQ25,$AB$2:$AB$501,"&lt;=2024")</f>
        <v>3</v>
      </c>
      <c r="CY25" s="199">
        <f>COUNTIFS($L$2:$L$501,CQ25,$AB$2:$AB$501,"&gt;=2024",$AB$2:$AB$501,"&lt;=2030")</f>
        <v>15</v>
      </c>
      <c r="CZ25" s="199">
        <f>COUNTIFS($L$2:$L$501,CQ25,$AB$2:$AB$501,"&gt;2030")</f>
        <v>89</v>
      </c>
      <c r="DA25" s="199">
        <f>COUNTIFS($L$2:$L$501,CQ25,$CM$2:$CM$501,"&lt;=2024")</f>
        <v>0</v>
      </c>
      <c r="DB25" s="199">
        <f>COUNTIFS($L$2:$L$501,CQ25,$CM$2:$CM$501,"&gt;=2025",$CM$2:$CM$501,"&lt;=2030")</f>
        <v>3</v>
      </c>
      <c r="DC25" s="199">
        <f>COUNTIFS($L$2:$L$501,CQ25,$CM$2:$CM$501,"&gt;2030")</f>
        <v>46</v>
      </c>
      <c r="DD25" s="206">
        <f>SUM(CR25:DC25)</f>
        <v>202</v>
      </c>
      <c r="DE25">
        <f>COUNTIFS($L$2:$L$501, CQ25, $BF$2:$BF$501, "Y")</f>
        <v>6</v>
      </c>
      <c r="DF25">
        <f>COUNTIFS($L$2:$L$501, CQ25, $BF$2:$BF$501, "N")</f>
        <v>16</v>
      </c>
      <c r="DG25">
        <f>COUNTIFS($L$2:$L$501, CQ25)-DF25-DE25</f>
        <v>188</v>
      </c>
    </row>
    <row r="26" spans="1:111">
      <c r="A26" s="171">
        <v>231</v>
      </c>
      <c r="B26" s="171" t="s">
        <v>1188</v>
      </c>
      <c r="C26" s="171">
        <v>241</v>
      </c>
      <c r="D26" s="171" t="str">
        <f t="shared" si="0"/>
        <v xml:space="preserve"> NZ SBT RE100</v>
      </c>
      <c r="E26" s="171" t="s">
        <v>7220</v>
      </c>
      <c r="F26" s="174">
        <v>45477</v>
      </c>
      <c r="G26" s="171" t="s">
        <v>7220</v>
      </c>
      <c r="H26" s="173">
        <v>5341</v>
      </c>
      <c r="I26" s="171"/>
      <c r="J26" s="171" t="s">
        <v>4455</v>
      </c>
      <c r="K26" s="171" t="s">
        <v>1192</v>
      </c>
      <c r="L26" s="171" t="s">
        <v>1951</v>
      </c>
      <c r="M26" s="171" t="s">
        <v>4174</v>
      </c>
      <c r="N26" s="171">
        <v>2017</v>
      </c>
      <c r="O26" s="171">
        <v>2025</v>
      </c>
      <c r="P26" s="171" t="s">
        <v>4174</v>
      </c>
      <c r="Q26" s="171" t="s">
        <v>22</v>
      </c>
      <c r="R26" s="171" t="s">
        <v>2499</v>
      </c>
      <c r="S26" s="171">
        <v>2025</v>
      </c>
      <c r="T26" s="171" t="s">
        <v>361</v>
      </c>
      <c r="U26" s="171"/>
      <c r="V26" s="175"/>
      <c r="W26" s="171">
        <v>2018</v>
      </c>
      <c r="X26" s="171" t="s">
        <v>5032</v>
      </c>
      <c r="Y26" s="171"/>
      <c r="Z26" s="171"/>
      <c r="AA26" s="171" t="s">
        <v>5032</v>
      </c>
      <c r="AB26" s="171"/>
      <c r="AC26" s="171"/>
      <c r="AD26" s="171"/>
      <c r="AE26" s="171"/>
      <c r="AF26" s="171"/>
      <c r="AG26" s="171"/>
      <c r="AH26" s="171"/>
      <c r="AI26" s="171"/>
      <c r="AJ26" s="171"/>
      <c r="AK26" s="171"/>
      <c r="AL26" s="171"/>
      <c r="AM26" s="171"/>
      <c r="AN26" s="171" t="s">
        <v>4172</v>
      </c>
      <c r="AO26" s="171" t="s">
        <v>1435</v>
      </c>
      <c r="AP26" s="171" t="s">
        <v>2072</v>
      </c>
      <c r="AQ26" s="171" t="s">
        <v>4172</v>
      </c>
      <c r="AR26" s="171">
        <v>2040</v>
      </c>
      <c r="AS26" s="171">
        <v>2021</v>
      </c>
      <c r="AT26" s="171"/>
      <c r="AU26" s="171"/>
      <c r="AV26" s="171"/>
      <c r="AW26" s="171" t="s">
        <v>4174</v>
      </c>
      <c r="AX26" s="171" t="s">
        <v>6143</v>
      </c>
      <c r="AY26" s="171"/>
      <c r="AZ26" s="171"/>
      <c r="BA26" s="171"/>
      <c r="BB26" s="171"/>
      <c r="BC26" s="171"/>
      <c r="BD26" s="171"/>
      <c r="BE26" s="171"/>
      <c r="BF26" s="225"/>
      <c r="BG26" s="171"/>
      <c r="BH26" s="171"/>
      <c r="BI26" s="171"/>
      <c r="BJ26" s="171"/>
      <c r="BK26" s="171"/>
      <c r="BL26" s="171"/>
      <c r="BM26" s="171"/>
      <c r="BN26" s="171"/>
      <c r="BO26" s="171"/>
      <c r="BP26" s="171">
        <v>1</v>
      </c>
      <c r="BQ26" s="171">
        <v>1</v>
      </c>
      <c r="BR26" s="171"/>
      <c r="BS26" s="171">
        <v>1</v>
      </c>
      <c r="BT26" s="171"/>
      <c r="BU26" s="171">
        <v>1</v>
      </c>
      <c r="BV26" s="171"/>
      <c r="BW26" s="171">
        <v>1</v>
      </c>
      <c r="BX26" s="171"/>
      <c r="BY26" s="171">
        <v>1</v>
      </c>
      <c r="BZ26" s="171">
        <v>1</v>
      </c>
      <c r="CA26" s="171"/>
      <c r="CB26" s="171">
        <v>1</v>
      </c>
      <c r="CC26" s="171">
        <v>1</v>
      </c>
      <c r="CD26" s="171"/>
      <c r="CE26" s="171">
        <v>1</v>
      </c>
      <c r="CF26" s="171"/>
      <c r="CG26" s="171">
        <v>1</v>
      </c>
      <c r="CH26" s="171">
        <v>1</v>
      </c>
      <c r="CI26" s="171"/>
      <c r="CJ26" s="171"/>
      <c r="CK26" s="171">
        <v>1</v>
      </c>
      <c r="CL26" s="171">
        <v>1</v>
      </c>
      <c r="CM26">
        <f t="shared" si="1"/>
        <v>2040</v>
      </c>
      <c r="CQ26" s="202" t="s">
        <v>1951</v>
      </c>
      <c r="CR26" s="199">
        <f t="shared" ref="CR26:CR28" si="20">COUNTIFS($L$2:$L$501,CQ26,$S$2:$S$501,"&lt;=2024")</f>
        <v>1</v>
      </c>
      <c r="CS26" s="199">
        <f t="shared" ref="CS26:CS28" si="21">COUNTIFS($L$2:$L$501,CQ26,$S$2:$S$501,"&gt;=2025",$S$2:$S$501,"&lt;=2030")</f>
        <v>64</v>
      </c>
      <c r="CT26" s="199">
        <f t="shared" ref="CT26:CT28" si="22">COUNTIFS($L$2:$L$501,CQ26,$S$2:$S$501,"&gt;2030")</f>
        <v>5</v>
      </c>
      <c r="CU26" s="199">
        <f t="shared" ref="CU26:CU28" si="23">COUNTIFS($L$2:$L$501,CQ26,$O$2:$O$501,"&lt;=2024")</f>
        <v>9</v>
      </c>
      <c r="CV26" s="199">
        <f t="shared" ref="CV26:CV28" si="24">COUNTIFS($L$2:$L$501,CQ26,$O$2:$O$501,"&gt;=2025",$O$2:$O$501,"&lt;=2030")</f>
        <v>21</v>
      </c>
      <c r="CW26" s="199">
        <f t="shared" ref="CW26:CW28" si="25">COUNTIFS($L$2:$L$501,CQ26,$O$5:$O$504,"&gt;2030")</f>
        <v>5</v>
      </c>
      <c r="CX26" s="199">
        <f t="shared" ref="CX26:CX28" si="26">COUNTIFS($L$2:$L$501,CQ26,$AB$2:$AB$501,"&lt;=2024")</f>
        <v>13</v>
      </c>
      <c r="CY26" s="199">
        <f t="shared" ref="CY26:CY28" si="27">COUNTIFS($L$2:$L$501,CQ26,$AB$2:$AB$501,"&gt;=2024",$AB$2:$AB$501,"&lt;=2030")</f>
        <v>16</v>
      </c>
      <c r="CZ26" s="199">
        <f t="shared" ref="CZ26:CZ28" si="28">COUNTIFS($L$2:$L$501,CQ26,$AB$2:$AB$501,"&gt;2030")</f>
        <v>31</v>
      </c>
      <c r="DA26" s="199">
        <f t="shared" ref="DA26:DA28" si="29">COUNTIFS($L$2:$L$501,CQ26,$CM$2:$CM$501,"&lt;=2024")</f>
        <v>0</v>
      </c>
      <c r="DB26" s="199">
        <f t="shared" ref="DB26:DB28" si="30">COUNTIFS($L$2:$L$501,CQ26,$CM$2:$CM$501,"&gt;=2025",$CM$2:$CM$501,"&lt;=2030")</f>
        <v>11</v>
      </c>
      <c r="DC26" s="199">
        <f t="shared" ref="DC26:DC28" si="31">COUNTIFS($L$2:$L$501,CQ26,$CM$2:$CM$501,"&gt;2030")</f>
        <v>73</v>
      </c>
      <c r="DD26" s="206">
        <f t="shared" ref="DD26:DD28" si="32">SUM(CR26:DC26)</f>
        <v>249</v>
      </c>
      <c r="DE26">
        <f t="shared" ref="DE26:DE28" si="33">COUNTIFS($L$2:$L$501, CQ26, $BF$2:$BF$501, "Y")</f>
        <v>6</v>
      </c>
      <c r="DF26">
        <f t="shared" ref="DF26:DF28" si="34">COUNTIFS($L$2:$L$501, CQ26, $BF$2:$BF$501, "N")</f>
        <v>10</v>
      </c>
      <c r="DG26">
        <f t="shared" ref="DG26:DG28" si="35">COUNTIFS($L$2:$L$501, CQ26)-DF26-DE26</f>
        <v>101</v>
      </c>
    </row>
    <row r="27" spans="1:111">
      <c r="A27" s="171">
        <v>371</v>
      </c>
      <c r="B27" s="171" t="s">
        <v>549</v>
      </c>
      <c r="C27" s="171">
        <v>283</v>
      </c>
      <c r="D27" s="171" t="str">
        <f t="shared" si="0"/>
        <v/>
      </c>
      <c r="E27" s="171" t="s">
        <v>7223</v>
      </c>
      <c r="F27" s="174">
        <v>45478</v>
      </c>
      <c r="G27" s="171" t="s">
        <v>7223</v>
      </c>
      <c r="H27" s="173">
        <v>-83.1</v>
      </c>
      <c r="I27" s="171"/>
      <c r="J27" s="171" t="s">
        <v>4494</v>
      </c>
      <c r="K27" s="171" t="s">
        <v>73</v>
      </c>
      <c r="L27" s="171" t="s">
        <v>1994</v>
      </c>
      <c r="M27" s="171" t="s">
        <v>5032</v>
      </c>
      <c r="N27" s="171"/>
      <c r="O27" s="171"/>
      <c r="P27" s="171" t="s">
        <v>5032</v>
      </c>
      <c r="Q27" s="171"/>
      <c r="R27" s="171"/>
      <c r="S27" s="171"/>
      <c r="T27" s="171"/>
      <c r="U27" s="171"/>
      <c r="V27" s="175"/>
      <c r="W27" s="171"/>
      <c r="X27" s="171" t="s">
        <v>4519</v>
      </c>
      <c r="Y27" s="171" t="s">
        <v>8166</v>
      </c>
      <c r="Z27" s="171" t="s">
        <v>7225</v>
      </c>
      <c r="AA27" s="171" t="s">
        <v>4519</v>
      </c>
      <c r="AB27" s="171">
        <v>2060</v>
      </c>
      <c r="AC27" s="171">
        <v>2021</v>
      </c>
      <c r="AD27" s="171"/>
      <c r="AE27" s="171"/>
      <c r="AF27" s="171"/>
      <c r="AG27" s="171"/>
      <c r="AH27" s="171"/>
      <c r="AI27" s="171"/>
      <c r="AJ27" s="171"/>
      <c r="AK27" s="171"/>
      <c r="AL27" s="171" t="s">
        <v>5965</v>
      </c>
      <c r="AM27" s="171"/>
      <c r="AN27" s="171" t="s">
        <v>5032</v>
      </c>
      <c r="AO27" s="171"/>
      <c r="AP27" s="171"/>
      <c r="AQ27" s="171" t="s">
        <v>5032</v>
      </c>
      <c r="AR27" s="171"/>
      <c r="AS27" s="171"/>
      <c r="AT27" s="171"/>
      <c r="AU27" s="171"/>
      <c r="AV27" s="171"/>
      <c r="AW27" s="171"/>
      <c r="AX27" s="171"/>
      <c r="AY27" s="171"/>
      <c r="AZ27" s="171"/>
      <c r="BA27" s="171"/>
      <c r="BB27" s="171"/>
      <c r="BC27" s="171"/>
      <c r="BD27" s="171"/>
      <c r="BE27" s="171"/>
      <c r="BF27" s="225"/>
      <c r="BG27" s="171"/>
      <c r="BH27" s="171"/>
      <c r="BI27" s="171"/>
      <c r="BJ27" s="171"/>
      <c r="BK27" s="171"/>
      <c r="BL27" s="171"/>
      <c r="BM27" s="171"/>
      <c r="BN27" s="171"/>
      <c r="BO27" s="171"/>
      <c r="BP27" s="171"/>
      <c r="BQ27" s="171"/>
      <c r="BR27" s="171"/>
      <c r="BS27" s="171"/>
      <c r="BT27" s="171"/>
      <c r="BU27" s="171"/>
      <c r="BV27" s="171"/>
      <c r="BW27" s="171"/>
      <c r="BX27" s="171"/>
      <c r="BY27" s="171"/>
      <c r="BZ27" s="171"/>
      <c r="CA27" s="171"/>
      <c r="CB27" s="171"/>
      <c r="CC27" s="171"/>
      <c r="CD27" s="171"/>
      <c r="CE27" s="171"/>
      <c r="CF27" s="171"/>
      <c r="CG27" s="171"/>
      <c r="CH27" s="171"/>
      <c r="CI27" s="171"/>
      <c r="CJ27" s="171"/>
      <c r="CK27" s="171"/>
      <c r="CL27" s="171"/>
      <c r="CQ27" s="202" t="s">
        <v>2029</v>
      </c>
      <c r="CR27" s="199">
        <f t="shared" si="20"/>
        <v>3</v>
      </c>
      <c r="CS27" s="199">
        <f t="shared" si="21"/>
        <v>52</v>
      </c>
      <c r="CT27" s="199">
        <f t="shared" si="22"/>
        <v>12</v>
      </c>
      <c r="CU27" s="199">
        <f t="shared" si="23"/>
        <v>9</v>
      </c>
      <c r="CV27" s="199">
        <f t="shared" si="24"/>
        <v>13</v>
      </c>
      <c r="CW27" s="199">
        <f t="shared" si="25"/>
        <v>5</v>
      </c>
      <c r="CX27" s="199">
        <f t="shared" si="26"/>
        <v>21</v>
      </c>
      <c r="CY27" s="199">
        <f t="shared" si="27"/>
        <v>14</v>
      </c>
      <c r="CZ27" s="199">
        <f t="shared" si="28"/>
        <v>17</v>
      </c>
      <c r="DA27" s="199">
        <f t="shared" si="29"/>
        <v>3</v>
      </c>
      <c r="DB27" s="199">
        <f t="shared" si="30"/>
        <v>8</v>
      </c>
      <c r="DC27" s="199">
        <f t="shared" si="31"/>
        <v>71</v>
      </c>
      <c r="DD27" s="206">
        <f t="shared" si="32"/>
        <v>228</v>
      </c>
      <c r="DE27">
        <f t="shared" si="33"/>
        <v>8</v>
      </c>
      <c r="DF27">
        <f t="shared" si="34"/>
        <v>14</v>
      </c>
      <c r="DG27">
        <f t="shared" si="35"/>
        <v>135</v>
      </c>
    </row>
    <row r="28" spans="1:111">
      <c r="A28" s="171">
        <v>323</v>
      </c>
      <c r="B28" s="171" t="s">
        <v>8165</v>
      </c>
      <c r="C28" s="171"/>
      <c r="D28" s="171" t="str">
        <f t="shared" si="0"/>
        <v xml:space="preserve"> NZ RE100</v>
      </c>
      <c r="E28" s="171" t="s">
        <v>7223</v>
      </c>
      <c r="F28" s="174">
        <v>45511</v>
      </c>
      <c r="G28" s="171"/>
      <c r="H28" s="173">
        <v>4724</v>
      </c>
      <c r="I28" s="181" t="s">
        <v>795</v>
      </c>
      <c r="J28" s="171" t="s">
        <v>4465</v>
      </c>
      <c r="K28" s="171" t="s">
        <v>161</v>
      </c>
      <c r="L28" s="171" t="s">
        <v>8320</v>
      </c>
      <c r="M28" s="171" t="s">
        <v>4174</v>
      </c>
      <c r="N28" s="171">
        <v>2019</v>
      </c>
      <c r="O28" s="171">
        <v>2025</v>
      </c>
      <c r="P28" s="171" t="s">
        <v>5032</v>
      </c>
      <c r="Q28" s="171"/>
      <c r="R28" s="171"/>
      <c r="S28" s="171"/>
      <c r="T28" s="171"/>
      <c r="U28" s="171"/>
      <c r="V28" s="175"/>
      <c r="W28" s="171"/>
      <c r="X28" s="171" t="s">
        <v>5032</v>
      </c>
      <c r="Y28" s="171"/>
      <c r="Z28" s="171"/>
      <c r="AA28" s="171" t="s">
        <v>5032</v>
      </c>
      <c r="AB28" s="171"/>
      <c r="AC28" s="171"/>
      <c r="AD28" s="171"/>
      <c r="AE28" s="171"/>
      <c r="AF28" s="171"/>
      <c r="AG28" s="171"/>
      <c r="AH28" s="171"/>
      <c r="AI28" s="171"/>
      <c r="AJ28" s="171"/>
      <c r="AK28" s="171"/>
      <c r="AL28" s="171"/>
      <c r="AM28" s="171"/>
      <c r="AN28" s="171" t="s">
        <v>1957</v>
      </c>
      <c r="AO28" s="171" t="s">
        <v>8164</v>
      </c>
      <c r="AP28" s="171" t="s">
        <v>2072</v>
      </c>
      <c r="AQ28" s="171" t="s">
        <v>1957</v>
      </c>
      <c r="AR28" s="171">
        <v>2050</v>
      </c>
      <c r="AS28" s="171">
        <v>2021</v>
      </c>
      <c r="AT28" s="171"/>
      <c r="AU28" s="171"/>
      <c r="AV28" s="171"/>
      <c r="AW28" s="171" t="s">
        <v>2082</v>
      </c>
      <c r="AX28" s="176" t="s">
        <v>8163</v>
      </c>
      <c r="AY28" s="171">
        <v>2023</v>
      </c>
      <c r="AZ28" s="171" t="s">
        <v>4174</v>
      </c>
      <c r="BA28" s="176" t="s">
        <v>8162</v>
      </c>
      <c r="BB28" s="171"/>
      <c r="BC28" s="171"/>
      <c r="BD28" s="171"/>
      <c r="BE28" s="171"/>
      <c r="BF28" s="225"/>
      <c r="BG28" s="171"/>
      <c r="BH28" s="171"/>
      <c r="BI28" s="171"/>
      <c r="BJ28" s="171"/>
      <c r="BK28" s="171"/>
      <c r="BL28" s="171"/>
      <c r="BM28" s="171"/>
      <c r="BN28" s="171"/>
      <c r="BO28" s="171"/>
      <c r="BP28" s="171">
        <v>1</v>
      </c>
      <c r="BQ28" s="171">
        <v>1</v>
      </c>
      <c r="BR28" s="171"/>
      <c r="BS28" s="171"/>
      <c r="BT28" s="171"/>
      <c r="BU28" s="171"/>
      <c r="BV28" s="171"/>
      <c r="BW28" s="171">
        <v>1</v>
      </c>
      <c r="BX28" s="171"/>
      <c r="BY28" s="171">
        <v>1</v>
      </c>
      <c r="BZ28" s="171">
        <v>1</v>
      </c>
      <c r="CA28" s="171"/>
      <c r="CB28" s="171">
        <v>1</v>
      </c>
      <c r="CC28" s="171"/>
      <c r="CD28" s="171"/>
      <c r="CE28" s="171">
        <v>1</v>
      </c>
      <c r="CF28" s="171"/>
      <c r="CG28" s="171">
        <v>1</v>
      </c>
      <c r="CH28" s="171">
        <v>1</v>
      </c>
      <c r="CI28" s="171"/>
      <c r="CJ28" s="171"/>
      <c r="CK28" s="171"/>
      <c r="CL28" s="171"/>
      <c r="CM28">
        <f t="shared" si="1"/>
        <v>2050</v>
      </c>
      <c r="CQ28" s="202" t="s">
        <v>8322</v>
      </c>
      <c r="CR28" s="199">
        <f t="shared" si="20"/>
        <v>0</v>
      </c>
      <c r="CS28" s="199">
        <f t="shared" si="21"/>
        <v>2</v>
      </c>
      <c r="CT28" s="199">
        <f t="shared" si="22"/>
        <v>0</v>
      </c>
      <c r="CU28" s="199">
        <f t="shared" si="23"/>
        <v>0</v>
      </c>
      <c r="CV28" s="199">
        <f t="shared" si="24"/>
        <v>3</v>
      </c>
      <c r="CW28" s="199">
        <f t="shared" si="25"/>
        <v>0</v>
      </c>
      <c r="CX28" s="199">
        <f t="shared" si="26"/>
        <v>3</v>
      </c>
      <c r="CY28" s="199">
        <f t="shared" si="27"/>
        <v>2</v>
      </c>
      <c r="CZ28" s="199">
        <f t="shared" si="28"/>
        <v>1</v>
      </c>
      <c r="DA28" s="199">
        <f t="shared" si="29"/>
        <v>0</v>
      </c>
      <c r="DB28" s="199">
        <f t="shared" si="30"/>
        <v>0</v>
      </c>
      <c r="DC28" s="199">
        <f t="shared" si="31"/>
        <v>11</v>
      </c>
      <c r="DD28" s="206">
        <f t="shared" si="32"/>
        <v>22</v>
      </c>
      <c r="DE28">
        <f t="shared" si="33"/>
        <v>1</v>
      </c>
      <c r="DF28">
        <f t="shared" si="34"/>
        <v>2</v>
      </c>
      <c r="DG28">
        <f t="shared" si="35"/>
        <v>13</v>
      </c>
    </row>
    <row r="29" spans="1:111" ht="16">
      <c r="A29" s="171">
        <v>491</v>
      </c>
      <c r="B29" s="171" t="s">
        <v>8161</v>
      </c>
      <c r="C29" s="171"/>
      <c r="D29" s="171" t="str">
        <f t="shared" si="0"/>
        <v>CN</v>
      </c>
      <c r="E29" s="171" t="s">
        <v>7223</v>
      </c>
      <c r="F29" s="174">
        <v>45512</v>
      </c>
      <c r="G29" s="185"/>
      <c r="H29" s="173">
        <v>5047</v>
      </c>
      <c r="I29" s="181" t="s">
        <v>112</v>
      </c>
      <c r="J29" s="171" t="s">
        <v>4465</v>
      </c>
      <c r="K29" s="171" t="s">
        <v>4457</v>
      </c>
      <c r="L29" s="171" t="s">
        <v>2029</v>
      </c>
      <c r="M29" s="171" t="s">
        <v>5032</v>
      </c>
      <c r="N29" s="171"/>
      <c r="O29" s="171"/>
      <c r="P29" s="171" t="s">
        <v>5032</v>
      </c>
      <c r="Q29" s="171"/>
      <c r="R29" s="171"/>
      <c r="S29" s="171"/>
      <c r="T29" s="171"/>
      <c r="U29" s="171"/>
      <c r="V29" s="175"/>
      <c r="W29" s="171"/>
      <c r="X29" s="171" t="s">
        <v>1957</v>
      </c>
      <c r="Y29" s="171" t="s">
        <v>8001</v>
      </c>
      <c r="Z29" s="188" t="s">
        <v>8160</v>
      </c>
      <c r="AA29" s="171" t="s">
        <v>1957</v>
      </c>
      <c r="AB29" s="171">
        <v>2023</v>
      </c>
      <c r="AC29" s="171">
        <v>2023</v>
      </c>
      <c r="AD29" s="171"/>
      <c r="AE29" s="171"/>
      <c r="AF29" s="171"/>
      <c r="AG29" s="171" t="s">
        <v>4174</v>
      </c>
      <c r="AH29" s="171">
        <v>2023</v>
      </c>
      <c r="AI29" s="171" t="s">
        <v>4174</v>
      </c>
      <c r="AJ29" s="176" t="s">
        <v>8159</v>
      </c>
      <c r="AK29" s="171"/>
      <c r="AL29" s="176" t="s">
        <v>8159</v>
      </c>
      <c r="AM29" s="171"/>
      <c r="AN29" s="171" t="s">
        <v>5032</v>
      </c>
      <c r="AO29" s="171"/>
      <c r="AP29" s="171"/>
      <c r="AQ29" s="171" t="s">
        <v>5032</v>
      </c>
      <c r="AR29" s="171"/>
      <c r="AS29" s="171"/>
      <c r="AT29" s="171"/>
      <c r="AU29" s="171"/>
      <c r="AV29" s="171"/>
      <c r="AW29" s="171"/>
      <c r="AX29" s="171"/>
      <c r="AY29" s="171"/>
      <c r="AZ29" s="171"/>
      <c r="BA29" s="171"/>
      <c r="BB29" s="171"/>
      <c r="BC29" s="171"/>
      <c r="BD29" s="171"/>
      <c r="BE29" s="171"/>
      <c r="BF29" s="225"/>
      <c r="BG29" s="171"/>
      <c r="BH29" s="171"/>
      <c r="BI29" s="171"/>
      <c r="BJ29" s="171">
        <v>1</v>
      </c>
      <c r="BK29" s="171"/>
      <c r="BL29" s="171"/>
      <c r="BM29" s="171">
        <v>1</v>
      </c>
      <c r="BN29" s="171"/>
      <c r="BO29" s="171"/>
      <c r="BP29" s="171"/>
      <c r="BQ29" s="171"/>
      <c r="BR29" s="171"/>
      <c r="BS29" s="171"/>
      <c r="BT29" s="171"/>
      <c r="BU29" s="171"/>
      <c r="BV29" s="171"/>
      <c r="BW29" s="171"/>
      <c r="BX29" s="171"/>
      <c r="BY29" s="171"/>
      <c r="BZ29" s="171">
        <v>1</v>
      </c>
      <c r="CA29" s="171">
        <v>1</v>
      </c>
      <c r="CB29" s="171">
        <v>1</v>
      </c>
      <c r="CC29" s="171">
        <v>1</v>
      </c>
      <c r="CD29" s="171"/>
      <c r="CE29" s="171">
        <v>1</v>
      </c>
      <c r="CF29" s="171">
        <v>1</v>
      </c>
      <c r="CG29" s="171">
        <v>1</v>
      </c>
      <c r="CH29" s="171">
        <v>1</v>
      </c>
      <c r="CI29" s="171"/>
      <c r="CJ29" s="171"/>
      <c r="CK29" s="171"/>
      <c r="CL29" s="171"/>
      <c r="CQ29" s="203" t="s">
        <v>7213</v>
      </c>
      <c r="CR29" s="204">
        <f>SUM(CR25:CR28)</f>
        <v>4</v>
      </c>
      <c r="CS29" s="204">
        <f>SUM(CS25:CS28)</f>
        <v>148</v>
      </c>
      <c r="CT29" s="204">
        <f>SUM(CT25:CT28)</f>
        <v>21</v>
      </c>
      <c r="CU29" s="204">
        <f>SUM(CU25:CU28)</f>
        <v>19</v>
      </c>
      <c r="CV29" s="204">
        <f>SUM(CV25:CV28)</f>
        <v>40</v>
      </c>
      <c r="CW29" s="206">
        <f>SUM(CW25:CW28)</f>
        <v>18</v>
      </c>
      <c r="CX29" s="206">
        <f>SUM(CX25:CX28)</f>
        <v>40</v>
      </c>
      <c r="CY29" s="206">
        <f>SUM(CY25:CY28)</f>
        <v>47</v>
      </c>
      <c r="CZ29" s="205">
        <f>SUM(CZ25:CZ28)</f>
        <v>138</v>
      </c>
      <c r="DA29" s="206">
        <f>SUM(DA25:DA28)</f>
        <v>3</v>
      </c>
      <c r="DB29" s="206">
        <f>SUM(DB25:DB28)</f>
        <v>22</v>
      </c>
      <c r="DC29" s="206">
        <f>SUM(DC25:DC28)</f>
        <v>201</v>
      </c>
      <c r="DD29" s="206">
        <f>SUM(DD25:DD28)</f>
        <v>701</v>
      </c>
      <c r="DE29">
        <f t="shared" ref="DE29:DF29" si="36">SUM(DE25:DE28)</f>
        <v>21</v>
      </c>
      <c r="DF29">
        <f t="shared" si="36"/>
        <v>42</v>
      </c>
      <c r="DG29">
        <f>SUM(DG25:DG28)</f>
        <v>437</v>
      </c>
    </row>
    <row r="30" spans="1:111">
      <c r="A30" s="171">
        <v>7</v>
      </c>
      <c r="B30" s="171" t="s">
        <v>1846</v>
      </c>
      <c r="C30" s="171">
        <v>8</v>
      </c>
      <c r="D30" s="171" t="str">
        <f t="shared" si="0"/>
        <v>CN SBT RE100</v>
      </c>
      <c r="E30" s="171" t="s">
        <v>7220</v>
      </c>
      <c r="F30" s="174">
        <v>45474</v>
      </c>
      <c r="G30" s="171" t="s">
        <v>7223</v>
      </c>
      <c r="H30" s="173">
        <v>96995</v>
      </c>
      <c r="I30" s="171"/>
      <c r="J30" s="171" t="s">
        <v>186</v>
      </c>
      <c r="K30" s="171" t="s">
        <v>4457</v>
      </c>
      <c r="L30" s="171" t="s">
        <v>2029</v>
      </c>
      <c r="M30" s="171" t="s">
        <v>4174</v>
      </c>
      <c r="N30" s="171">
        <v>2016</v>
      </c>
      <c r="O30" s="171">
        <v>2021</v>
      </c>
      <c r="P30" s="171" t="s">
        <v>4174</v>
      </c>
      <c r="Q30" s="171" t="s">
        <v>22</v>
      </c>
      <c r="R30" s="171" t="s">
        <v>7233</v>
      </c>
      <c r="S30" s="171">
        <v>2030</v>
      </c>
      <c r="T30" s="171" t="s">
        <v>1</v>
      </c>
      <c r="U30" s="171"/>
      <c r="V30" s="172">
        <v>44317</v>
      </c>
      <c r="W30" s="171">
        <v>2021</v>
      </c>
      <c r="X30" s="171" t="s">
        <v>7227</v>
      </c>
      <c r="Y30" s="171" t="s">
        <v>8158</v>
      </c>
      <c r="Z30" s="171" t="s">
        <v>7225</v>
      </c>
      <c r="AA30" s="171" t="s">
        <v>1957</v>
      </c>
      <c r="AB30" s="171">
        <v>2020</v>
      </c>
      <c r="AC30" s="171">
        <v>2020</v>
      </c>
      <c r="AD30" s="171" t="s">
        <v>4172</v>
      </c>
      <c r="AE30" s="171">
        <v>2030</v>
      </c>
      <c r="AF30" s="171">
        <v>2020</v>
      </c>
      <c r="AG30" s="171" t="s">
        <v>7247</v>
      </c>
      <c r="AH30" s="171">
        <v>2024</v>
      </c>
      <c r="AI30" s="171" t="s">
        <v>4174</v>
      </c>
      <c r="AJ30" s="176" t="s">
        <v>8157</v>
      </c>
      <c r="AK30" s="171"/>
      <c r="AL30" s="171" t="s">
        <v>8157</v>
      </c>
      <c r="AM30" s="171" t="s">
        <v>8156</v>
      </c>
      <c r="AN30" s="171" t="s">
        <v>5032</v>
      </c>
      <c r="AO30" s="171"/>
      <c r="AP30" s="171"/>
      <c r="AQ30" s="171" t="s">
        <v>5032</v>
      </c>
      <c r="AR30" s="171"/>
      <c r="AS30" s="171"/>
      <c r="AT30" s="171"/>
      <c r="AU30" s="171"/>
      <c r="AV30" s="171"/>
      <c r="AW30" s="171"/>
      <c r="AX30" s="171"/>
      <c r="AY30" s="171"/>
      <c r="AZ30" s="171"/>
      <c r="BA30" s="171"/>
      <c r="BB30" s="171"/>
      <c r="BC30" s="171"/>
      <c r="BD30" s="171"/>
      <c r="BE30" s="171"/>
      <c r="BF30" s="225"/>
      <c r="BG30" s="171"/>
      <c r="BH30" s="171"/>
      <c r="BI30" s="171"/>
      <c r="BJ30" s="171">
        <v>1</v>
      </c>
      <c r="BK30" s="171"/>
      <c r="BL30" s="171"/>
      <c r="BM30" s="171">
        <v>1</v>
      </c>
      <c r="BN30" s="171"/>
      <c r="BO30" s="171"/>
      <c r="BP30" s="171"/>
      <c r="BQ30" s="171"/>
      <c r="BR30" s="171"/>
      <c r="BS30" s="171">
        <v>1</v>
      </c>
      <c r="BT30" s="171"/>
      <c r="BU30" s="171">
        <v>1</v>
      </c>
      <c r="BV30" s="171">
        <v>1</v>
      </c>
      <c r="BW30" s="171"/>
      <c r="BX30" s="171"/>
      <c r="BY30" s="171">
        <v>1</v>
      </c>
      <c r="BZ30" s="171">
        <v>1</v>
      </c>
      <c r="CA30" s="171">
        <v>1</v>
      </c>
      <c r="CB30" s="171">
        <v>1</v>
      </c>
      <c r="CC30" s="171">
        <v>1</v>
      </c>
      <c r="CD30" s="171"/>
      <c r="CE30" s="171">
        <v>1</v>
      </c>
      <c r="CF30" s="171">
        <v>1</v>
      </c>
      <c r="CG30" s="171">
        <v>1</v>
      </c>
      <c r="CH30" s="171">
        <v>1</v>
      </c>
      <c r="CI30" s="171"/>
      <c r="CJ30" s="171"/>
      <c r="CK30" s="171"/>
      <c r="CL30" s="171"/>
    </row>
    <row r="31" spans="1:111">
      <c r="A31" s="171">
        <v>190</v>
      </c>
      <c r="B31" s="171" t="s">
        <v>1445</v>
      </c>
      <c r="C31" s="171">
        <v>155</v>
      </c>
      <c r="D31" s="171" t="str">
        <f t="shared" si="0"/>
        <v>CN NZ</v>
      </c>
      <c r="E31" s="171" t="s">
        <v>7220</v>
      </c>
      <c r="F31" s="174">
        <v>45476</v>
      </c>
      <c r="G31" s="171" t="s">
        <v>7223</v>
      </c>
      <c r="H31" s="173">
        <v>919</v>
      </c>
      <c r="I31" s="171"/>
      <c r="J31" s="171" t="s">
        <v>4494</v>
      </c>
      <c r="K31" s="171" t="s">
        <v>1443</v>
      </c>
      <c r="L31" s="171" t="s">
        <v>1951</v>
      </c>
      <c r="M31" s="171" t="s">
        <v>5032</v>
      </c>
      <c r="N31" s="171"/>
      <c r="O31" s="171"/>
      <c r="P31" s="171" t="s">
        <v>5032</v>
      </c>
      <c r="Q31" s="171" t="s">
        <v>7290</v>
      </c>
      <c r="R31" s="171"/>
      <c r="S31" s="171"/>
      <c r="T31" s="171" t="s">
        <v>1</v>
      </c>
      <c r="U31" s="171"/>
      <c r="V31" s="172">
        <v>44593</v>
      </c>
      <c r="W31" s="171">
        <v>2022</v>
      </c>
      <c r="X31" s="171" t="s">
        <v>1957</v>
      </c>
      <c r="Y31" s="171" t="s">
        <v>109</v>
      </c>
      <c r="Z31" s="171" t="s">
        <v>2790</v>
      </c>
      <c r="AA31" s="171" t="s">
        <v>1957</v>
      </c>
      <c r="AB31" s="171">
        <v>2050</v>
      </c>
      <c r="AC31" s="171">
        <v>2020</v>
      </c>
      <c r="AD31" s="171"/>
      <c r="AE31" s="171"/>
      <c r="AF31" s="171"/>
      <c r="AG31" s="171" t="s">
        <v>4174</v>
      </c>
      <c r="AH31" s="171"/>
      <c r="AI31" s="171" t="s">
        <v>4174</v>
      </c>
      <c r="AJ31" s="171"/>
      <c r="AK31" s="171"/>
      <c r="AL31" s="171" t="s">
        <v>8155</v>
      </c>
      <c r="AM31" s="171"/>
      <c r="AN31" s="171" t="s">
        <v>1957</v>
      </c>
      <c r="AO31" s="171" t="s">
        <v>109</v>
      </c>
      <c r="AP31" s="171" t="s">
        <v>2072</v>
      </c>
      <c r="AQ31" s="171" t="s">
        <v>1957</v>
      </c>
      <c r="AR31" s="171">
        <v>2050</v>
      </c>
      <c r="AS31" s="171">
        <v>2020</v>
      </c>
      <c r="AT31" s="171"/>
      <c r="AU31" s="171"/>
      <c r="AV31" s="171"/>
      <c r="AW31" s="171" t="s">
        <v>4174</v>
      </c>
      <c r="AX31" s="171" t="s">
        <v>8154</v>
      </c>
      <c r="AY31" s="171"/>
      <c r="AZ31" s="171"/>
      <c r="BA31" s="171"/>
      <c r="BB31" s="171"/>
      <c r="BC31" s="171"/>
      <c r="BD31" s="171"/>
      <c r="BE31" s="171"/>
      <c r="BF31" s="225"/>
      <c r="BG31" s="171"/>
      <c r="BH31" s="171"/>
      <c r="BI31" s="171"/>
      <c r="BJ31" s="171"/>
      <c r="BK31" s="171"/>
      <c r="BL31" s="171">
        <v>1</v>
      </c>
      <c r="BM31" s="171">
        <v>1</v>
      </c>
      <c r="BN31" s="171"/>
      <c r="BO31" s="171"/>
      <c r="BP31" s="171">
        <v>1</v>
      </c>
      <c r="BQ31" s="171">
        <v>1</v>
      </c>
      <c r="BR31" s="171"/>
      <c r="BS31" s="171"/>
      <c r="BT31" s="171"/>
      <c r="BU31" s="171"/>
      <c r="BV31" s="171"/>
      <c r="BW31" s="171"/>
      <c r="BX31" s="171"/>
      <c r="BY31" s="171"/>
      <c r="BZ31" s="171">
        <v>1</v>
      </c>
      <c r="CA31" s="171"/>
      <c r="CB31" s="171">
        <v>1</v>
      </c>
      <c r="CC31" s="171">
        <v>1</v>
      </c>
      <c r="CD31" s="171"/>
      <c r="CE31" s="171">
        <v>1</v>
      </c>
      <c r="CF31" s="171"/>
      <c r="CG31" s="171"/>
      <c r="CH31" s="171">
        <v>1</v>
      </c>
      <c r="CI31" s="171"/>
      <c r="CJ31" s="171"/>
      <c r="CK31" s="171"/>
      <c r="CL31" s="171"/>
      <c r="CM31">
        <f t="shared" si="1"/>
        <v>2050</v>
      </c>
    </row>
    <row r="32" spans="1:111">
      <c r="A32" s="171">
        <v>117</v>
      </c>
      <c r="B32" s="171" t="s">
        <v>1307</v>
      </c>
      <c r="C32" s="171">
        <v>98</v>
      </c>
      <c r="D32" s="171" t="str">
        <f t="shared" si="0"/>
        <v xml:space="preserve"> SBT</v>
      </c>
      <c r="E32" s="171" t="s">
        <v>7228</v>
      </c>
      <c r="F32" s="174">
        <v>45475</v>
      </c>
      <c r="G32" s="171" t="s">
        <v>7220</v>
      </c>
      <c r="H32" s="173">
        <v>3483</v>
      </c>
      <c r="I32" s="171"/>
      <c r="J32" s="171" t="s">
        <v>4455</v>
      </c>
      <c r="K32" s="171" t="s">
        <v>4457</v>
      </c>
      <c r="L32" s="171" t="s">
        <v>2029</v>
      </c>
      <c r="M32" s="171" t="s">
        <v>5032</v>
      </c>
      <c r="N32" s="171"/>
      <c r="O32" s="171"/>
      <c r="P32" s="171" t="s">
        <v>5032</v>
      </c>
      <c r="Q32" s="171" t="s">
        <v>165</v>
      </c>
      <c r="R32" s="171"/>
      <c r="S32" s="171">
        <v>2030</v>
      </c>
      <c r="T32" s="171" t="s">
        <v>1</v>
      </c>
      <c r="U32" s="171"/>
      <c r="V32" s="172">
        <v>44652</v>
      </c>
      <c r="W32" s="171">
        <v>2022</v>
      </c>
      <c r="X32" s="171" t="s">
        <v>5032</v>
      </c>
      <c r="Y32" s="171"/>
      <c r="Z32" s="171"/>
      <c r="AA32" s="171" t="s">
        <v>5032</v>
      </c>
      <c r="AB32" s="171"/>
      <c r="AC32" s="171"/>
      <c r="AD32" s="171"/>
      <c r="AE32" s="171"/>
      <c r="AF32" s="171"/>
      <c r="AG32" s="171"/>
      <c r="AH32" s="171"/>
      <c r="AI32" s="171"/>
      <c r="AJ32" s="171"/>
      <c r="AK32" s="171"/>
      <c r="AL32" s="171" t="s">
        <v>8153</v>
      </c>
      <c r="AM32" s="171"/>
      <c r="AN32" s="171" t="s">
        <v>5032</v>
      </c>
      <c r="AO32" s="171"/>
      <c r="AP32" s="171"/>
      <c r="AQ32" s="171" t="s">
        <v>5032</v>
      </c>
      <c r="AR32" s="171"/>
      <c r="AS32" s="171"/>
      <c r="AT32" s="171"/>
      <c r="AU32" s="171"/>
      <c r="AV32" s="171"/>
      <c r="AW32" s="171"/>
      <c r="AX32" s="171" t="s">
        <v>8153</v>
      </c>
      <c r="AY32" s="171"/>
      <c r="AZ32" s="171"/>
      <c r="BA32" s="171"/>
      <c r="BB32" s="171"/>
      <c r="BC32" s="171"/>
      <c r="BD32" s="171"/>
      <c r="BE32" s="171"/>
      <c r="BF32" s="225"/>
      <c r="BG32" s="171"/>
      <c r="BH32" s="171"/>
      <c r="BI32" s="171"/>
      <c r="BJ32" s="171"/>
      <c r="BK32" s="171"/>
      <c r="BL32" s="171"/>
      <c r="BM32" s="171"/>
      <c r="BN32" s="171"/>
      <c r="BO32" s="171"/>
      <c r="BP32" s="171"/>
      <c r="BQ32" s="171"/>
      <c r="BR32" s="171"/>
      <c r="BS32" s="171">
        <v>1</v>
      </c>
      <c r="BT32" s="171"/>
      <c r="BU32" s="171">
        <v>1</v>
      </c>
      <c r="BV32" s="171"/>
      <c r="BW32" s="171"/>
      <c r="BX32" s="171"/>
      <c r="BY32" s="171"/>
      <c r="BZ32" s="171"/>
      <c r="CA32" s="171"/>
      <c r="CB32" s="171"/>
      <c r="CC32" s="171"/>
      <c r="CD32" s="171"/>
      <c r="CE32" s="171">
        <v>1</v>
      </c>
      <c r="CF32" s="171"/>
      <c r="CG32" s="171">
        <v>1</v>
      </c>
      <c r="CH32" s="171">
        <v>1</v>
      </c>
      <c r="CI32" s="171"/>
      <c r="CJ32" s="171"/>
      <c r="CK32" s="171"/>
      <c r="CL32" s="171"/>
    </row>
    <row r="33" spans="1:91">
      <c r="A33" s="171">
        <v>481</v>
      </c>
      <c r="B33" s="171" t="s">
        <v>393</v>
      </c>
      <c r="C33" s="171">
        <v>404</v>
      </c>
      <c r="D33" s="171" t="str">
        <f t="shared" si="0"/>
        <v xml:space="preserve"> SBT</v>
      </c>
      <c r="E33" s="171" t="s">
        <v>7259</v>
      </c>
      <c r="F33" s="174">
        <v>45511</v>
      </c>
      <c r="G33" s="171" t="s">
        <v>7220</v>
      </c>
      <c r="H33" s="173">
        <v>903.5</v>
      </c>
      <c r="I33" s="171"/>
      <c r="J33" s="171" t="s">
        <v>4467</v>
      </c>
      <c r="K33" s="171" t="s">
        <v>4457</v>
      </c>
      <c r="L33" s="171" t="s">
        <v>2029</v>
      </c>
      <c r="M33" s="171" t="s">
        <v>5032</v>
      </c>
      <c r="N33" s="171"/>
      <c r="O33" s="171"/>
      <c r="P33" s="171" t="s">
        <v>5032</v>
      </c>
      <c r="Q33" s="171" t="s">
        <v>165</v>
      </c>
      <c r="R33" s="171"/>
      <c r="S33" s="171">
        <v>2030</v>
      </c>
      <c r="T33" s="171" t="s">
        <v>1</v>
      </c>
      <c r="U33" s="171"/>
      <c r="V33" s="172">
        <v>45170</v>
      </c>
      <c r="W33" s="171">
        <v>2023</v>
      </c>
      <c r="X33" s="171" t="s">
        <v>5032</v>
      </c>
      <c r="Y33" s="171"/>
      <c r="Z33" s="171"/>
      <c r="AA33" s="171" t="s">
        <v>5032</v>
      </c>
      <c r="AB33" s="171"/>
      <c r="AC33" s="171"/>
      <c r="AD33" s="171"/>
      <c r="AE33" s="171"/>
      <c r="AF33" s="171"/>
      <c r="AG33" s="171"/>
      <c r="AH33" s="171"/>
      <c r="AI33" s="171"/>
      <c r="AJ33" s="171"/>
      <c r="AK33" s="171"/>
      <c r="AL33" s="171"/>
      <c r="AM33" s="171"/>
      <c r="AN33" s="171" t="s">
        <v>5032</v>
      </c>
      <c r="AO33" s="171"/>
      <c r="AP33" s="171"/>
      <c r="AQ33" s="171" t="s">
        <v>5032</v>
      </c>
      <c r="AR33" s="171"/>
      <c r="AS33" s="171"/>
      <c r="AT33" s="171"/>
      <c r="AU33" s="171"/>
      <c r="AV33" s="171"/>
      <c r="AW33" s="171"/>
      <c r="AX33" s="171"/>
      <c r="AY33" s="171"/>
      <c r="AZ33" s="171"/>
      <c r="BA33" s="171"/>
      <c r="BB33" s="171"/>
      <c r="BC33" s="171"/>
      <c r="BD33" s="171"/>
      <c r="BE33" s="171"/>
      <c r="BF33" s="225"/>
      <c r="BG33" s="171"/>
      <c r="BH33" s="171"/>
      <c r="BI33" s="171"/>
      <c r="BJ33" s="171"/>
      <c r="BK33" s="171"/>
      <c r="BL33" s="171"/>
      <c r="BM33" s="171"/>
      <c r="BN33" s="171"/>
      <c r="BO33" s="171"/>
      <c r="BP33" s="171"/>
      <c r="BQ33" s="171"/>
      <c r="BR33" s="171"/>
      <c r="BS33" s="171">
        <v>1</v>
      </c>
      <c r="BT33" s="171"/>
      <c r="BU33" s="171">
        <v>1</v>
      </c>
      <c r="BV33" s="171"/>
      <c r="BW33" s="171"/>
      <c r="BX33" s="171"/>
      <c r="BY33" s="171"/>
      <c r="BZ33" s="171"/>
      <c r="CA33" s="171"/>
      <c r="CB33" s="171"/>
      <c r="CC33" s="171"/>
      <c r="CD33" s="171"/>
      <c r="CE33" s="171">
        <v>1</v>
      </c>
      <c r="CF33" s="171"/>
      <c r="CG33" s="171">
        <v>1</v>
      </c>
      <c r="CH33" s="171">
        <v>1</v>
      </c>
      <c r="CI33" s="171"/>
      <c r="CJ33" s="171"/>
      <c r="CK33" s="171"/>
      <c r="CL33" s="171"/>
    </row>
    <row r="34" spans="1:91">
      <c r="A34" s="171">
        <v>245</v>
      </c>
      <c r="B34" s="171" t="s">
        <v>1562</v>
      </c>
      <c r="C34" s="171">
        <v>137</v>
      </c>
      <c r="D34" s="171" t="str">
        <f t="shared" si="0"/>
        <v xml:space="preserve"> NZ</v>
      </c>
      <c r="E34" s="171" t="s">
        <v>7223</v>
      </c>
      <c r="F34" s="174">
        <v>45476</v>
      </c>
      <c r="G34" s="171" t="s">
        <v>7223</v>
      </c>
      <c r="H34" s="173">
        <v>4050.7</v>
      </c>
      <c r="I34" s="171"/>
      <c r="J34" s="171" t="s">
        <v>4465</v>
      </c>
      <c r="K34" s="171" t="s">
        <v>376</v>
      </c>
      <c r="L34" s="171" t="s">
        <v>1951</v>
      </c>
      <c r="M34" s="171" t="s">
        <v>5032</v>
      </c>
      <c r="N34" s="171"/>
      <c r="O34" s="171"/>
      <c r="P34" s="171" t="s">
        <v>5032</v>
      </c>
      <c r="Q34" s="171"/>
      <c r="R34" s="171"/>
      <c r="S34" s="171"/>
      <c r="T34" s="171"/>
      <c r="U34" s="171"/>
      <c r="V34" s="175"/>
      <c r="W34" s="171"/>
      <c r="X34" s="171" t="s">
        <v>5032</v>
      </c>
      <c r="Y34" s="171"/>
      <c r="Z34" s="171"/>
      <c r="AA34" s="171" t="s">
        <v>5032</v>
      </c>
      <c r="AB34" s="171"/>
      <c r="AC34" s="171"/>
      <c r="AD34" s="171"/>
      <c r="AE34" s="171"/>
      <c r="AF34" s="171"/>
      <c r="AG34" s="171"/>
      <c r="AH34" s="171"/>
      <c r="AI34" s="171"/>
      <c r="AJ34" s="171"/>
      <c r="AK34" s="171"/>
      <c r="AL34" s="171"/>
      <c r="AM34" s="171"/>
      <c r="AN34" s="171" t="s">
        <v>7218</v>
      </c>
      <c r="AO34" s="171" t="s">
        <v>8152</v>
      </c>
      <c r="AP34" s="171" t="s">
        <v>7350</v>
      </c>
      <c r="AQ34" s="171" t="s">
        <v>1957</v>
      </c>
      <c r="AR34" s="171">
        <v>2040</v>
      </c>
      <c r="AS34" s="171">
        <v>2021</v>
      </c>
      <c r="AT34" s="171" t="s">
        <v>7622</v>
      </c>
      <c r="AU34" s="171">
        <v>2050</v>
      </c>
      <c r="AV34" s="171">
        <v>2021</v>
      </c>
      <c r="AW34" s="171" t="s">
        <v>7247</v>
      </c>
      <c r="AX34" s="171" t="s">
        <v>4950</v>
      </c>
      <c r="AY34" s="171"/>
      <c r="AZ34" s="171"/>
      <c r="BA34" s="171"/>
      <c r="BB34" s="171"/>
      <c r="BC34" s="171" t="s">
        <v>8151</v>
      </c>
      <c r="BD34" s="171" t="s">
        <v>4174</v>
      </c>
      <c r="BE34" s="171" t="s">
        <v>8150</v>
      </c>
      <c r="BF34" s="225" t="s">
        <v>5032</v>
      </c>
      <c r="BG34" s="171"/>
      <c r="BH34" s="171"/>
      <c r="BI34" s="171"/>
      <c r="BJ34" s="171"/>
      <c r="BK34" s="171"/>
      <c r="BL34" s="171"/>
      <c r="BM34" s="171"/>
      <c r="BN34" s="171"/>
      <c r="BO34" s="171"/>
      <c r="BP34" s="171">
        <v>1</v>
      </c>
      <c r="BQ34" s="171">
        <v>1</v>
      </c>
      <c r="BR34" s="171"/>
      <c r="BS34" s="171"/>
      <c r="BT34" s="171"/>
      <c r="BU34" s="171"/>
      <c r="BV34" s="171"/>
      <c r="BW34" s="171"/>
      <c r="BX34" s="171"/>
      <c r="BY34" s="171"/>
      <c r="BZ34" s="171">
        <v>1</v>
      </c>
      <c r="CA34" s="171"/>
      <c r="CB34" s="171">
        <v>1</v>
      </c>
      <c r="CC34" s="171">
        <v>1</v>
      </c>
      <c r="CD34" s="171"/>
      <c r="CE34" s="171">
        <v>1</v>
      </c>
      <c r="CF34" s="171"/>
      <c r="CG34" s="171"/>
      <c r="CH34" s="171">
        <v>1</v>
      </c>
      <c r="CI34" s="171"/>
      <c r="CJ34" s="171"/>
      <c r="CK34" s="171">
        <v>1</v>
      </c>
      <c r="CL34" s="171">
        <v>1</v>
      </c>
      <c r="CM34">
        <f t="shared" si="1"/>
        <v>2040</v>
      </c>
    </row>
    <row r="35" spans="1:91">
      <c r="A35" s="171">
        <v>329</v>
      </c>
      <c r="B35" s="171" t="s">
        <v>4429</v>
      </c>
      <c r="C35" s="171">
        <v>331</v>
      </c>
      <c r="D35" s="171" t="str">
        <f t="shared" si="0"/>
        <v xml:space="preserve"> NZ SBT RE100</v>
      </c>
      <c r="E35" s="171" t="s">
        <v>7228</v>
      </c>
      <c r="F35" s="174">
        <v>45482</v>
      </c>
      <c r="G35" s="171" t="s">
        <v>7220</v>
      </c>
      <c r="H35" s="173">
        <v>5955</v>
      </c>
      <c r="I35" s="171"/>
      <c r="J35" s="171" t="s">
        <v>4201</v>
      </c>
      <c r="K35" s="171" t="s">
        <v>4195</v>
      </c>
      <c r="L35" s="171" t="s">
        <v>1951</v>
      </c>
      <c r="M35" s="171" t="s">
        <v>4174</v>
      </c>
      <c r="N35" s="171">
        <v>2016</v>
      </c>
      <c r="O35" s="171">
        <v>2025</v>
      </c>
      <c r="P35" s="171" t="s">
        <v>4174</v>
      </c>
      <c r="Q35" s="171" t="s">
        <v>22</v>
      </c>
      <c r="R35" s="171" t="s">
        <v>7233</v>
      </c>
      <c r="S35" s="171">
        <v>2026</v>
      </c>
      <c r="T35" s="171" t="s">
        <v>361</v>
      </c>
      <c r="U35" s="171">
        <v>2045</v>
      </c>
      <c r="V35" s="172">
        <v>44470</v>
      </c>
      <c r="W35" s="171">
        <v>2021</v>
      </c>
      <c r="X35" s="171" t="s">
        <v>5032</v>
      </c>
      <c r="Y35" s="171"/>
      <c r="Z35" s="171"/>
      <c r="AA35" s="171" t="s">
        <v>5032</v>
      </c>
      <c r="AB35" s="171"/>
      <c r="AC35" s="171"/>
      <c r="AD35" s="171"/>
      <c r="AE35" s="171"/>
      <c r="AF35" s="171"/>
      <c r="AG35" s="171"/>
      <c r="AH35" s="171"/>
      <c r="AI35" s="171"/>
      <c r="AJ35" s="171"/>
      <c r="AK35" s="171"/>
      <c r="AL35" s="171"/>
      <c r="AM35" s="171"/>
      <c r="AN35" s="171" t="s">
        <v>4172</v>
      </c>
      <c r="AO35" s="171" t="s">
        <v>7595</v>
      </c>
      <c r="AP35" s="171" t="s">
        <v>2072</v>
      </c>
      <c r="AQ35" s="171" t="s">
        <v>4172</v>
      </c>
      <c r="AR35" s="171">
        <v>2045</v>
      </c>
      <c r="AS35" s="171">
        <v>2020</v>
      </c>
      <c r="AT35" s="171"/>
      <c r="AU35" s="171"/>
      <c r="AV35" s="171"/>
      <c r="AW35" s="171" t="s">
        <v>4174</v>
      </c>
      <c r="AX35" s="171" t="s">
        <v>8149</v>
      </c>
      <c r="AY35" s="171"/>
      <c r="AZ35" s="171"/>
      <c r="BA35" s="171"/>
      <c r="BB35" s="171"/>
      <c r="BC35" s="171" t="s">
        <v>8148</v>
      </c>
      <c r="BD35" s="171"/>
      <c r="BE35" s="171"/>
      <c r="BF35" s="225"/>
      <c r="BG35" s="171"/>
      <c r="BH35" s="171"/>
      <c r="BI35" s="171"/>
      <c r="BJ35" s="171"/>
      <c r="BK35" s="171"/>
      <c r="BL35" s="171"/>
      <c r="BM35" s="171"/>
      <c r="BN35" s="171"/>
      <c r="BO35" s="171"/>
      <c r="BP35" s="171">
        <v>1</v>
      </c>
      <c r="BQ35" s="171">
        <v>1</v>
      </c>
      <c r="BR35" s="171"/>
      <c r="BS35" s="171">
        <v>1</v>
      </c>
      <c r="BT35" s="171"/>
      <c r="BU35" s="171">
        <v>1</v>
      </c>
      <c r="BV35" s="171"/>
      <c r="BW35" s="171">
        <v>1</v>
      </c>
      <c r="BX35" s="171"/>
      <c r="BY35" s="171">
        <v>1</v>
      </c>
      <c r="BZ35" s="171">
        <v>1</v>
      </c>
      <c r="CA35" s="171"/>
      <c r="CB35" s="171">
        <v>1</v>
      </c>
      <c r="CC35" s="171">
        <v>1</v>
      </c>
      <c r="CD35" s="171"/>
      <c r="CE35" s="171">
        <v>1</v>
      </c>
      <c r="CF35" s="171"/>
      <c r="CG35" s="171">
        <v>1</v>
      </c>
      <c r="CH35" s="171">
        <v>1</v>
      </c>
      <c r="CI35" s="171"/>
      <c r="CJ35" s="171"/>
      <c r="CK35" s="171">
        <v>1</v>
      </c>
      <c r="CL35" s="171">
        <v>1</v>
      </c>
      <c r="CM35">
        <f t="shared" si="1"/>
        <v>2045</v>
      </c>
    </row>
    <row r="36" spans="1:91">
      <c r="A36" s="171">
        <v>74</v>
      </c>
      <c r="B36" s="171" t="s">
        <v>1800</v>
      </c>
      <c r="C36" s="171">
        <v>78</v>
      </c>
      <c r="D36" s="171" t="str">
        <f t="shared" si="0"/>
        <v>CN SBT</v>
      </c>
      <c r="E36" s="171" t="s">
        <v>7221</v>
      </c>
      <c r="F36" s="174">
        <v>45475</v>
      </c>
      <c r="G36" s="171" t="s">
        <v>7220</v>
      </c>
      <c r="H36" s="173">
        <v>14400</v>
      </c>
      <c r="I36" s="171"/>
      <c r="J36" s="171" t="s">
        <v>4190</v>
      </c>
      <c r="K36" s="171" t="s">
        <v>4457</v>
      </c>
      <c r="L36" s="171" t="s">
        <v>2029</v>
      </c>
      <c r="M36" s="171" t="s">
        <v>5032</v>
      </c>
      <c r="N36" s="171"/>
      <c r="O36" s="171"/>
      <c r="P36" s="171" t="s">
        <v>4174</v>
      </c>
      <c r="Q36" s="171" t="s">
        <v>22</v>
      </c>
      <c r="R36" s="171" t="s">
        <v>7233</v>
      </c>
      <c r="S36" s="171">
        <v>2024</v>
      </c>
      <c r="T36" s="171" t="s">
        <v>1</v>
      </c>
      <c r="U36" s="171"/>
      <c r="V36" s="187">
        <v>43891</v>
      </c>
      <c r="W36" s="171">
        <v>2020</v>
      </c>
      <c r="X36" s="171" t="s">
        <v>1957</v>
      </c>
      <c r="Y36" s="171" t="s">
        <v>8147</v>
      </c>
      <c r="Z36" s="171" t="s">
        <v>2286</v>
      </c>
      <c r="AA36" s="171" t="s">
        <v>1957</v>
      </c>
      <c r="AB36" s="171">
        <v>2035</v>
      </c>
      <c r="AC36" s="171">
        <v>2018</v>
      </c>
      <c r="AD36" s="171"/>
      <c r="AE36" s="171"/>
      <c r="AF36" s="171"/>
      <c r="AG36" s="171" t="s">
        <v>4174</v>
      </c>
      <c r="AH36" s="171"/>
      <c r="AI36" s="171" t="s">
        <v>4174</v>
      </c>
      <c r="AJ36" s="171"/>
      <c r="AK36" s="171"/>
      <c r="AL36" s="171" t="s">
        <v>8146</v>
      </c>
      <c r="AM36" s="171" t="s">
        <v>8145</v>
      </c>
      <c r="AN36" s="171" t="s">
        <v>5032</v>
      </c>
      <c r="AO36" s="171"/>
      <c r="AP36" s="171"/>
      <c r="AQ36" s="171" t="s">
        <v>5032</v>
      </c>
      <c r="AR36" s="171"/>
      <c r="AS36" s="171"/>
      <c r="AT36" s="171"/>
      <c r="AU36" s="171"/>
      <c r="AV36" s="171"/>
      <c r="AW36" s="171"/>
      <c r="AX36" s="171"/>
      <c r="AY36" s="171"/>
      <c r="AZ36" s="171"/>
      <c r="BA36" s="171"/>
      <c r="BB36" s="171"/>
      <c r="BC36" s="171"/>
      <c r="BD36" s="171"/>
      <c r="BE36" s="171"/>
      <c r="BF36" s="225"/>
      <c r="BG36" s="171"/>
      <c r="BH36" s="171"/>
      <c r="BI36" s="171"/>
      <c r="BJ36" s="171"/>
      <c r="BK36" s="171"/>
      <c r="BL36" s="171">
        <v>1</v>
      </c>
      <c r="BM36" s="171">
        <v>1</v>
      </c>
      <c r="BN36" s="171"/>
      <c r="BO36" s="171"/>
      <c r="BP36" s="171"/>
      <c r="BQ36" s="171"/>
      <c r="BR36" s="171"/>
      <c r="BS36" s="171">
        <v>1</v>
      </c>
      <c r="BT36" s="171"/>
      <c r="BU36" s="171">
        <v>1</v>
      </c>
      <c r="BV36" s="171"/>
      <c r="BW36" s="171"/>
      <c r="BX36" s="171"/>
      <c r="BY36" s="171"/>
      <c r="BZ36" s="171">
        <v>1</v>
      </c>
      <c r="CA36" s="171"/>
      <c r="CB36" s="171">
        <v>1</v>
      </c>
      <c r="CC36" s="171">
        <v>1</v>
      </c>
      <c r="CD36" s="171"/>
      <c r="CE36" s="171">
        <v>1</v>
      </c>
      <c r="CF36" s="171"/>
      <c r="CG36" s="171">
        <v>1</v>
      </c>
      <c r="CH36" s="171">
        <v>1</v>
      </c>
      <c r="CI36" s="171"/>
      <c r="CJ36" s="171"/>
      <c r="CK36" s="171"/>
      <c r="CL36" s="171"/>
    </row>
    <row r="37" spans="1:91">
      <c r="A37" s="171">
        <v>147</v>
      </c>
      <c r="B37" s="171" t="s">
        <v>1325</v>
      </c>
      <c r="C37" s="171">
        <v>150</v>
      </c>
      <c r="D37" s="171" t="str">
        <f t="shared" si="0"/>
        <v xml:space="preserve"> NZ</v>
      </c>
      <c r="E37" s="171" t="s">
        <v>7220</v>
      </c>
      <c r="F37" s="174">
        <v>45476</v>
      </c>
      <c r="G37" s="171" t="s">
        <v>7223</v>
      </c>
      <c r="H37" s="173">
        <v>1644.1</v>
      </c>
      <c r="I37" s="171"/>
      <c r="J37" s="171" t="s">
        <v>4260</v>
      </c>
      <c r="K37" s="171" t="s">
        <v>73</v>
      </c>
      <c r="L37" s="171" t="s">
        <v>1994</v>
      </c>
      <c r="M37" s="171" t="s">
        <v>5032</v>
      </c>
      <c r="N37" s="171"/>
      <c r="O37" s="171"/>
      <c r="P37" s="171" t="s">
        <v>5032</v>
      </c>
      <c r="Q37" s="171"/>
      <c r="R37" s="171"/>
      <c r="S37" s="171"/>
      <c r="T37" s="171"/>
      <c r="U37" s="171"/>
      <c r="V37" s="175"/>
      <c r="W37" s="171"/>
      <c r="X37" s="171" t="s">
        <v>7229</v>
      </c>
      <c r="Y37" s="171"/>
      <c r="Z37" s="171"/>
      <c r="AA37" s="171" t="s">
        <v>7229</v>
      </c>
      <c r="AB37" s="171"/>
      <c r="AC37" s="171"/>
      <c r="AD37" s="171"/>
      <c r="AE37" s="171"/>
      <c r="AF37" s="171"/>
      <c r="AG37" s="171"/>
      <c r="AH37" s="171"/>
      <c r="AI37" s="171"/>
      <c r="AJ37" s="171"/>
      <c r="AK37" s="171"/>
      <c r="AL37" s="171"/>
      <c r="AM37" s="171"/>
      <c r="AN37" s="171" t="s">
        <v>4172</v>
      </c>
      <c r="AO37" s="171" t="s">
        <v>1435</v>
      </c>
      <c r="AP37" s="171" t="s">
        <v>2072</v>
      </c>
      <c r="AQ37" s="171" t="s">
        <v>4172</v>
      </c>
      <c r="AR37" s="171">
        <v>2050</v>
      </c>
      <c r="AS37" s="171">
        <v>2021</v>
      </c>
      <c r="AT37" s="171"/>
      <c r="AU37" s="171"/>
      <c r="AV37" s="171"/>
      <c r="AW37" s="171" t="s">
        <v>4174</v>
      </c>
      <c r="AX37" s="171" t="s">
        <v>8144</v>
      </c>
      <c r="AY37" s="171"/>
      <c r="AZ37" s="171"/>
      <c r="BA37" s="171"/>
      <c r="BB37" s="171"/>
      <c r="BC37" s="171" t="s">
        <v>8143</v>
      </c>
      <c r="BD37" s="171"/>
      <c r="BE37" s="171"/>
      <c r="BF37" s="225"/>
      <c r="BG37" s="171"/>
      <c r="BH37" s="171"/>
      <c r="BI37" s="171"/>
      <c r="BJ37" s="171"/>
      <c r="BK37" s="171"/>
      <c r="BL37" s="171"/>
      <c r="BM37" s="171"/>
      <c r="BN37" s="171"/>
      <c r="BO37" s="171"/>
      <c r="BP37" s="171">
        <v>1</v>
      </c>
      <c r="BQ37" s="171">
        <v>1</v>
      </c>
      <c r="BR37" s="171"/>
      <c r="BS37" s="171"/>
      <c r="BT37" s="171"/>
      <c r="BU37" s="171"/>
      <c r="BV37" s="171"/>
      <c r="BW37" s="171"/>
      <c r="BX37" s="171"/>
      <c r="BY37" s="171"/>
      <c r="BZ37" s="171">
        <v>1</v>
      </c>
      <c r="CA37" s="171"/>
      <c r="CB37" s="171">
        <v>1</v>
      </c>
      <c r="CC37" s="171">
        <v>1</v>
      </c>
      <c r="CD37" s="171"/>
      <c r="CE37" s="171">
        <v>1</v>
      </c>
      <c r="CF37" s="171"/>
      <c r="CG37" s="171"/>
      <c r="CH37" s="171">
        <v>1</v>
      </c>
      <c r="CI37" s="171"/>
      <c r="CJ37" s="171"/>
      <c r="CK37" s="171">
        <v>1</v>
      </c>
      <c r="CL37" s="171">
        <v>1</v>
      </c>
      <c r="CM37">
        <f t="shared" si="1"/>
        <v>2050</v>
      </c>
    </row>
    <row r="38" spans="1:91">
      <c r="A38" s="171">
        <v>126</v>
      </c>
      <c r="B38" s="171" t="s">
        <v>1725</v>
      </c>
      <c r="C38" s="171">
        <v>91</v>
      </c>
      <c r="D38" s="171" t="str">
        <f t="shared" si="0"/>
        <v>CN NZ SBT RE100</v>
      </c>
      <c r="E38" s="171" t="s">
        <v>7221</v>
      </c>
      <c r="F38" s="174">
        <v>45475</v>
      </c>
      <c r="G38" s="171" t="s">
        <v>7220</v>
      </c>
      <c r="H38" s="173">
        <v>7771.7</v>
      </c>
      <c r="I38" s="171"/>
      <c r="J38" s="171" t="s">
        <v>4465</v>
      </c>
      <c r="K38" s="171" t="s">
        <v>63</v>
      </c>
      <c r="L38" s="171" t="s">
        <v>1951</v>
      </c>
      <c r="M38" s="171" t="s">
        <v>4174</v>
      </c>
      <c r="N38" s="171">
        <v>2017</v>
      </c>
      <c r="O38" s="171">
        <v>2025</v>
      </c>
      <c r="P38" s="171" t="s">
        <v>5032</v>
      </c>
      <c r="Q38" s="171" t="s">
        <v>165</v>
      </c>
      <c r="R38" s="171"/>
      <c r="S38" s="171">
        <v>2030</v>
      </c>
      <c r="T38" s="171" t="s">
        <v>1</v>
      </c>
      <c r="U38" s="171"/>
      <c r="V38" s="172">
        <v>42156</v>
      </c>
      <c r="W38" s="171">
        <v>2015</v>
      </c>
      <c r="X38" s="171" t="s">
        <v>7227</v>
      </c>
      <c r="Y38" s="171" t="s">
        <v>8142</v>
      </c>
      <c r="Z38" s="171" t="s">
        <v>3283</v>
      </c>
      <c r="AA38" s="171" t="s">
        <v>1957</v>
      </c>
      <c r="AB38" s="171">
        <v>2020</v>
      </c>
      <c r="AC38" s="171">
        <v>2020</v>
      </c>
      <c r="AD38" s="171" t="s">
        <v>4172</v>
      </c>
      <c r="AE38" s="171">
        <v>2025</v>
      </c>
      <c r="AF38" s="171">
        <v>2020</v>
      </c>
      <c r="AG38" s="171" t="s">
        <v>4174</v>
      </c>
      <c r="AH38" s="171">
        <v>2024</v>
      </c>
      <c r="AI38" s="171" t="s">
        <v>4174</v>
      </c>
      <c r="AJ38" s="171" t="s">
        <v>8141</v>
      </c>
      <c r="AK38" s="171"/>
      <c r="AL38" s="176" t="s">
        <v>8140</v>
      </c>
      <c r="AM38" s="171"/>
      <c r="AN38" s="171" t="s">
        <v>5050</v>
      </c>
      <c r="AO38" s="171" t="s">
        <v>6157</v>
      </c>
      <c r="AP38" s="171" t="s">
        <v>7375</v>
      </c>
      <c r="AQ38" s="171" t="s">
        <v>5050</v>
      </c>
      <c r="AR38" s="171">
        <v>2050</v>
      </c>
      <c r="AS38" s="171">
        <v>2023</v>
      </c>
      <c r="AT38" s="171"/>
      <c r="AU38" s="171"/>
      <c r="AV38" s="171"/>
      <c r="AW38" s="171" t="s">
        <v>2082</v>
      </c>
      <c r="AX38" s="171" t="s">
        <v>8139</v>
      </c>
      <c r="AY38" s="171"/>
      <c r="AZ38" s="171"/>
      <c r="BA38" s="171"/>
      <c r="BB38" s="171"/>
      <c r="BC38" s="171"/>
      <c r="BD38" s="171"/>
      <c r="BE38" s="171"/>
      <c r="BF38" s="225"/>
      <c r="BG38" s="171"/>
      <c r="BH38" s="171"/>
      <c r="BI38" s="171"/>
      <c r="BJ38" s="171">
        <v>1</v>
      </c>
      <c r="BK38" s="171"/>
      <c r="BL38" s="171"/>
      <c r="BM38" s="171">
        <v>1</v>
      </c>
      <c r="BN38" s="171"/>
      <c r="BO38" s="171"/>
      <c r="BP38" s="171">
        <v>1</v>
      </c>
      <c r="BQ38" s="171">
        <v>1</v>
      </c>
      <c r="BR38" s="171"/>
      <c r="BS38" s="171">
        <v>1</v>
      </c>
      <c r="BT38" s="171"/>
      <c r="BU38" s="171">
        <v>1</v>
      </c>
      <c r="BV38" s="171"/>
      <c r="BW38" s="171">
        <v>1</v>
      </c>
      <c r="BX38" s="171"/>
      <c r="BY38" s="171">
        <v>1</v>
      </c>
      <c r="BZ38" s="171">
        <v>1</v>
      </c>
      <c r="CA38" s="171">
        <v>1</v>
      </c>
      <c r="CB38" s="171">
        <v>1</v>
      </c>
      <c r="CC38" s="171">
        <v>1</v>
      </c>
      <c r="CD38" s="171"/>
      <c r="CE38" s="171">
        <v>1</v>
      </c>
      <c r="CF38" s="171">
        <v>1</v>
      </c>
      <c r="CG38" s="171">
        <v>1</v>
      </c>
      <c r="CH38" s="171">
        <v>1</v>
      </c>
      <c r="CI38" s="171"/>
      <c r="CJ38" s="171"/>
      <c r="CK38" s="171">
        <v>1</v>
      </c>
      <c r="CL38" s="171">
        <v>1</v>
      </c>
      <c r="CM38">
        <f t="shared" si="1"/>
        <v>2050</v>
      </c>
    </row>
    <row r="39" spans="1:91">
      <c r="A39" s="171">
        <v>200</v>
      </c>
      <c r="B39" s="171" t="s">
        <v>1044</v>
      </c>
      <c r="C39" s="171">
        <v>318</v>
      </c>
      <c r="D39" s="171" t="str">
        <f t="shared" si="0"/>
        <v>CN NZ SBT</v>
      </c>
      <c r="E39" s="171" t="s">
        <v>7228</v>
      </c>
      <c r="F39" s="174">
        <v>45481</v>
      </c>
      <c r="G39" s="171" t="s">
        <v>7223</v>
      </c>
      <c r="H39" s="173">
        <v>8669</v>
      </c>
      <c r="I39" s="171"/>
      <c r="J39" s="171" t="s">
        <v>4465</v>
      </c>
      <c r="K39" s="171" t="s">
        <v>267</v>
      </c>
      <c r="L39" s="171" t="s">
        <v>1951</v>
      </c>
      <c r="M39" s="171" t="s">
        <v>5032</v>
      </c>
      <c r="N39" s="171"/>
      <c r="O39" s="171"/>
      <c r="P39" s="171" t="s">
        <v>5032</v>
      </c>
      <c r="Q39" s="171" t="s">
        <v>165</v>
      </c>
      <c r="R39" s="171"/>
      <c r="S39" s="171">
        <v>2030</v>
      </c>
      <c r="T39" s="171" t="s">
        <v>1</v>
      </c>
      <c r="U39" s="171"/>
      <c r="V39" s="172">
        <v>43101</v>
      </c>
      <c r="W39" s="171">
        <v>2018</v>
      </c>
      <c r="X39" s="171" t="s">
        <v>1957</v>
      </c>
      <c r="Y39" s="171" t="s">
        <v>3793</v>
      </c>
      <c r="Z39" s="171" t="s">
        <v>3283</v>
      </c>
      <c r="AA39" s="171" t="s">
        <v>1957</v>
      </c>
      <c r="AB39" s="171">
        <v>2020</v>
      </c>
      <c r="AC39" s="171">
        <v>2020</v>
      </c>
      <c r="AD39" s="171"/>
      <c r="AE39" s="171"/>
      <c r="AF39" s="171"/>
      <c r="AG39" s="171" t="s">
        <v>4174</v>
      </c>
      <c r="AH39" s="171">
        <v>2024</v>
      </c>
      <c r="AI39" s="171" t="s">
        <v>4174</v>
      </c>
      <c r="AJ39" s="171"/>
      <c r="AK39" s="171" t="s">
        <v>8136</v>
      </c>
      <c r="AL39" s="176" t="s">
        <v>8138</v>
      </c>
      <c r="AM39" s="171"/>
      <c r="AN39" s="171" t="s">
        <v>4172</v>
      </c>
      <c r="AO39" s="171" t="s">
        <v>4630</v>
      </c>
      <c r="AP39" s="171" t="s">
        <v>8137</v>
      </c>
      <c r="AQ39" s="171" t="s">
        <v>4172</v>
      </c>
      <c r="AR39" s="171">
        <v>2050</v>
      </c>
      <c r="AS39" s="171">
        <v>2021</v>
      </c>
      <c r="AT39" s="171"/>
      <c r="AU39" s="171"/>
      <c r="AV39" s="171"/>
      <c r="AW39" s="171" t="s">
        <v>4174</v>
      </c>
      <c r="AX39" s="171" t="s">
        <v>8136</v>
      </c>
      <c r="AY39" s="171"/>
      <c r="AZ39" s="171"/>
      <c r="BA39" s="171"/>
      <c r="BB39" s="171"/>
      <c r="BC39" s="171" t="s">
        <v>4659</v>
      </c>
      <c r="BD39" s="171"/>
      <c r="BE39" s="171"/>
      <c r="BF39" s="225"/>
      <c r="BG39" s="171"/>
      <c r="BH39" s="171"/>
      <c r="BI39" s="171"/>
      <c r="BJ39" s="171">
        <v>1</v>
      </c>
      <c r="BK39" s="171"/>
      <c r="BL39" s="171"/>
      <c r="BM39" s="171">
        <v>1</v>
      </c>
      <c r="BN39" s="171"/>
      <c r="BO39" s="171"/>
      <c r="BP39" s="171">
        <v>1</v>
      </c>
      <c r="BQ39" s="171">
        <v>1</v>
      </c>
      <c r="BR39" s="171"/>
      <c r="BS39" s="171">
        <v>1</v>
      </c>
      <c r="BT39" s="171"/>
      <c r="BU39" s="171">
        <v>1</v>
      </c>
      <c r="BV39" s="171"/>
      <c r="BW39" s="171"/>
      <c r="BX39" s="171"/>
      <c r="BY39" s="171"/>
      <c r="BZ39" s="171">
        <v>1</v>
      </c>
      <c r="CA39" s="171">
        <v>1</v>
      </c>
      <c r="CB39" s="171">
        <v>1</v>
      </c>
      <c r="CC39" s="171">
        <v>1</v>
      </c>
      <c r="CD39" s="171"/>
      <c r="CE39" s="171">
        <v>1</v>
      </c>
      <c r="CF39" s="171">
        <v>1</v>
      </c>
      <c r="CG39" s="171">
        <v>1</v>
      </c>
      <c r="CH39" s="171">
        <v>1</v>
      </c>
      <c r="CI39" s="171"/>
      <c r="CJ39" s="171"/>
      <c r="CK39" s="171">
        <v>1</v>
      </c>
      <c r="CL39" s="171">
        <v>1</v>
      </c>
      <c r="CM39">
        <f t="shared" si="1"/>
        <v>2050</v>
      </c>
    </row>
    <row r="40" spans="1:91">
      <c r="A40" s="171">
        <v>252</v>
      </c>
      <c r="B40" s="171" t="s">
        <v>1099</v>
      </c>
      <c r="C40" s="171">
        <v>273</v>
      </c>
      <c r="D40" s="171" t="str">
        <f t="shared" si="0"/>
        <v>CN NZ</v>
      </c>
      <c r="E40" s="171" t="s">
        <v>7228</v>
      </c>
      <c r="F40" s="174">
        <v>45477</v>
      </c>
      <c r="G40" s="171" t="s">
        <v>7223</v>
      </c>
      <c r="H40" s="173">
        <v>2854.2</v>
      </c>
      <c r="I40" s="171"/>
      <c r="J40" s="171" t="s">
        <v>4465</v>
      </c>
      <c r="K40" s="171" t="s">
        <v>68</v>
      </c>
      <c r="L40" s="171" t="s">
        <v>8320</v>
      </c>
      <c r="M40" s="171" t="s">
        <v>5032</v>
      </c>
      <c r="N40" s="171"/>
      <c r="O40" s="171"/>
      <c r="P40" s="171" t="s">
        <v>5032</v>
      </c>
      <c r="Q40" s="171"/>
      <c r="R40" s="171"/>
      <c r="S40" s="171"/>
      <c r="T40" s="171"/>
      <c r="U40" s="171"/>
      <c r="V40" s="175"/>
      <c r="W40" s="171"/>
      <c r="X40" s="171" t="s">
        <v>1957</v>
      </c>
      <c r="Y40" s="171" t="s">
        <v>8135</v>
      </c>
      <c r="Z40" s="171" t="s">
        <v>8134</v>
      </c>
      <c r="AA40" s="171" t="s">
        <v>1957</v>
      </c>
      <c r="AB40" s="171">
        <v>2006</v>
      </c>
      <c r="AC40" s="171">
        <v>2006</v>
      </c>
      <c r="AD40" s="171" t="s">
        <v>1957</v>
      </c>
      <c r="AE40" s="171">
        <v>2019</v>
      </c>
      <c r="AF40" s="171">
        <v>2019</v>
      </c>
      <c r="AG40" s="171" t="s">
        <v>4174</v>
      </c>
      <c r="AH40" s="171">
        <v>2024</v>
      </c>
      <c r="AI40" s="171" t="s">
        <v>4174</v>
      </c>
      <c r="AJ40" s="176" t="s">
        <v>8133</v>
      </c>
      <c r="AK40" s="171"/>
      <c r="AL40" s="171" t="s">
        <v>8133</v>
      </c>
      <c r="AM40" s="171"/>
      <c r="AN40" s="171" t="s">
        <v>7414</v>
      </c>
      <c r="AO40" s="171" t="s">
        <v>8132</v>
      </c>
      <c r="AP40" s="171" t="s">
        <v>7475</v>
      </c>
      <c r="AQ40" s="171" t="s">
        <v>7414</v>
      </c>
      <c r="AR40" s="171">
        <v>2050</v>
      </c>
      <c r="AS40" s="171">
        <v>2021</v>
      </c>
      <c r="AT40" s="171"/>
      <c r="AU40" s="171"/>
      <c r="AV40" s="171"/>
      <c r="AW40" s="171" t="s">
        <v>4174</v>
      </c>
      <c r="AX40" s="171" t="s">
        <v>8131</v>
      </c>
      <c r="AY40" s="171"/>
      <c r="AZ40" s="171"/>
      <c r="BA40" s="171"/>
      <c r="BB40" s="171"/>
      <c r="BC40" s="171"/>
      <c r="BD40" s="171"/>
      <c r="BE40" s="171"/>
      <c r="BF40" s="225"/>
      <c r="BG40" s="171"/>
      <c r="BH40" s="171"/>
      <c r="BI40" s="171"/>
      <c r="BJ40" s="171">
        <v>1</v>
      </c>
      <c r="BK40" s="171"/>
      <c r="BL40" s="171"/>
      <c r="BM40" s="171">
        <v>1</v>
      </c>
      <c r="BN40" s="171"/>
      <c r="BO40" s="171"/>
      <c r="BP40" s="171">
        <v>1</v>
      </c>
      <c r="BQ40" s="171">
        <v>1</v>
      </c>
      <c r="BR40" s="171"/>
      <c r="BS40" s="171"/>
      <c r="BT40" s="171"/>
      <c r="BU40" s="171"/>
      <c r="BV40" s="171"/>
      <c r="BW40" s="171"/>
      <c r="BX40" s="171"/>
      <c r="BY40" s="171"/>
      <c r="BZ40" s="171">
        <v>1</v>
      </c>
      <c r="CA40" s="171">
        <v>1</v>
      </c>
      <c r="CB40" s="171">
        <v>1</v>
      </c>
      <c r="CC40" s="171">
        <v>1</v>
      </c>
      <c r="CD40" s="171"/>
      <c r="CE40" s="171">
        <v>1</v>
      </c>
      <c r="CF40" s="171">
        <v>1</v>
      </c>
      <c r="CG40" s="171">
        <v>1</v>
      </c>
      <c r="CH40" s="171">
        <v>1</v>
      </c>
      <c r="CI40" s="171"/>
      <c r="CJ40" s="171"/>
      <c r="CK40" s="171">
        <v>1</v>
      </c>
      <c r="CL40" s="171">
        <v>1</v>
      </c>
      <c r="CM40">
        <f t="shared" si="1"/>
        <v>2050</v>
      </c>
    </row>
    <row r="41" spans="1:91">
      <c r="A41" s="171">
        <v>217</v>
      </c>
      <c r="B41" s="171" t="s">
        <v>936</v>
      </c>
      <c r="C41" s="171">
        <v>251</v>
      </c>
      <c r="D41" s="171" t="str">
        <f t="shared" si="0"/>
        <v>CN SBT</v>
      </c>
      <c r="E41" s="171" t="s">
        <v>7223</v>
      </c>
      <c r="F41" s="174">
        <v>45477</v>
      </c>
      <c r="G41" s="171" t="s">
        <v>7223</v>
      </c>
      <c r="H41" s="173">
        <v>5980.4</v>
      </c>
      <c r="I41" s="171"/>
      <c r="J41" s="171" t="s">
        <v>4465</v>
      </c>
      <c r="K41" s="171" t="s">
        <v>68</v>
      </c>
      <c r="L41" s="171" t="s">
        <v>8320</v>
      </c>
      <c r="M41" s="171" t="s">
        <v>5032</v>
      </c>
      <c r="N41" s="171"/>
      <c r="O41" s="171"/>
      <c r="P41" s="171" t="s">
        <v>5032</v>
      </c>
      <c r="Q41" s="171" t="s">
        <v>165</v>
      </c>
      <c r="R41" s="171"/>
      <c r="S41" s="171">
        <v>2030</v>
      </c>
      <c r="T41" s="171" t="s">
        <v>361</v>
      </c>
      <c r="U41" s="171"/>
      <c r="V41" s="172">
        <v>44197</v>
      </c>
      <c r="W41" s="171">
        <v>2021</v>
      </c>
      <c r="X41" s="171" t="s">
        <v>7218</v>
      </c>
      <c r="Y41" s="171" t="s">
        <v>8130</v>
      </c>
      <c r="Z41" s="171" t="s">
        <v>8129</v>
      </c>
      <c r="AA41" s="171" t="s">
        <v>1957</v>
      </c>
      <c r="AB41" s="171">
        <v>2030</v>
      </c>
      <c r="AC41" s="171">
        <v>2023</v>
      </c>
      <c r="AD41" s="171" t="s">
        <v>7622</v>
      </c>
      <c r="AE41" s="171">
        <v>2050</v>
      </c>
      <c r="AF41" s="171">
        <v>2023</v>
      </c>
      <c r="AG41" s="171" t="s">
        <v>4174</v>
      </c>
      <c r="AH41" s="171">
        <v>2022</v>
      </c>
      <c r="AI41" s="171" t="s">
        <v>4174</v>
      </c>
      <c r="AJ41" s="171" t="s">
        <v>8128</v>
      </c>
      <c r="AK41" s="171"/>
      <c r="AL41" s="176" t="s">
        <v>8128</v>
      </c>
      <c r="AM41" s="171"/>
      <c r="AN41" s="171" t="s">
        <v>5032</v>
      </c>
      <c r="AO41" s="171"/>
      <c r="AP41" s="171"/>
      <c r="AQ41" s="171" t="s">
        <v>5032</v>
      </c>
      <c r="AR41" s="171"/>
      <c r="AS41" s="171"/>
      <c r="AT41" s="171"/>
      <c r="AU41" s="171"/>
      <c r="AV41" s="171"/>
      <c r="AW41" s="171"/>
      <c r="AX41" s="171"/>
      <c r="AY41" s="171"/>
      <c r="AZ41" s="171"/>
      <c r="BA41" s="171"/>
      <c r="BB41" s="171"/>
      <c r="BC41" s="171"/>
      <c r="BD41" s="171" t="s">
        <v>4174</v>
      </c>
      <c r="BE41" s="171" t="s">
        <v>8128</v>
      </c>
      <c r="BF41" s="225" t="s">
        <v>5032</v>
      </c>
      <c r="BG41" s="171"/>
      <c r="BH41" s="171"/>
      <c r="BI41" s="171" t="s">
        <v>8127</v>
      </c>
      <c r="BJ41" s="171"/>
      <c r="BK41" s="171">
        <v>1</v>
      </c>
      <c r="BL41" s="171"/>
      <c r="BM41" s="171">
        <v>1</v>
      </c>
      <c r="BN41" s="171"/>
      <c r="BO41" s="171"/>
      <c r="BP41" s="171"/>
      <c r="BQ41" s="171"/>
      <c r="BR41" s="171"/>
      <c r="BS41" s="171">
        <v>1</v>
      </c>
      <c r="BT41" s="171"/>
      <c r="BU41" s="171">
        <v>1</v>
      </c>
      <c r="BV41" s="171"/>
      <c r="BW41" s="171"/>
      <c r="BX41" s="171"/>
      <c r="BY41" s="171"/>
      <c r="BZ41" s="171">
        <v>1</v>
      </c>
      <c r="CA41" s="171">
        <v>1</v>
      </c>
      <c r="CB41" s="171">
        <v>1</v>
      </c>
      <c r="CC41" s="171">
        <v>1</v>
      </c>
      <c r="CD41" s="171"/>
      <c r="CE41" s="171">
        <v>1</v>
      </c>
      <c r="CF41" s="171"/>
      <c r="CG41" s="171">
        <v>1</v>
      </c>
      <c r="CH41" s="171">
        <v>1</v>
      </c>
      <c r="CI41" s="171"/>
      <c r="CJ41" s="171"/>
      <c r="CK41" s="171"/>
      <c r="CL41" s="171"/>
    </row>
    <row r="42" spans="1:91">
      <c r="A42" s="171">
        <v>62</v>
      </c>
      <c r="B42" s="171" t="s">
        <v>1597</v>
      </c>
      <c r="C42" s="171">
        <v>104</v>
      </c>
      <c r="D42" s="171" t="str">
        <f t="shared" si="0"/>
        <v>CN NZ</v>
      </c>
      <c r="E42" s="171" t="s">
        <v>7228</v>
      </c>
      <c r="F42" s="174">
        <v>45475</v>
      </c>
      <c r="G42" s="171" t="s">
        <v>7220</v>
      </c>
      <c r="H42" s="173">
        <v>11973.8</v>
      </c>
      <c r="I42" s="171"/>
      <c r="J42" s="171" t="s">
        <v>4465</v>
      </c>
      <c r="K42" s="171" t="s">
        <v>267</v>
      </c>
      <c r="L42" s="171" t="s">
        <v>1951</v>
      </c>
      <c r="M42" s="171" t="s">
        <v>5032</v>
      </c>
      <c r="N42" s="171"/>
      <c r="O42" s="171"/>
      <c r="P42" s="171" t="s">
        <v>5032</v>
      </c>
      <c r="Q42" s="171"/>
      <c r="R42" s="171"/>
      <c r="S42" s="171"/>
      <c r="T42" s="171"/>
      <c r="U42" s="171"/>
      <c r="V42" s="175"/>
      <c r="W42" s="171"/>
      <c r="X42" s="171" t="s">
        <v>1957</v>
      </c>
      <c r="Y42" s="171" t="s">
        <v>4223</v>
      </c>
      <c r="Z42" s="171" t="s">
        <v>3283</v>
      </c>
      <c r="AA42" s="171" t="s">
        <v>1957</v>
      </c>
      <c r="AB42" s="171">
        <v>2020</v>
      </c>
      <c r="AC42" s="171">
        <v>2019</v>
      </c>
      <c r="AD42" s="171"/>
      <c r="AE42" s="171"/>
      <c r="AF42" s="171"/>
      <c r="AG42" s="171" t="s">
        <v>4174</v>
      </c>
      <c r="AH42" s="171">
        <v>2022</v>
      </c>
      <c r="AI42" s="171" t="s">
        <v>4174</v>
      </c>
      <c r="AJ42" s="176" t="s">
        <v>8126</v>
      </c>
      <c r="AK42" s="171"/>
      <c r="AL42" s="176" t="s">
        <v>6714</v>
      </c>
      <c r="AM42" s="171"/>
      <c r="AN42" s="171" t="s">
        <v>7218</v>
      </c>
      <c r="AO42" s="171" t="s">
        <v>8125</v>
      </c>
      <c r="AP42" s="171" t="s">
        <v>2072</v>
      </c>
      <c r="AQ42" s="171" t="s">
        <v>1957</v>
      </c>
      <c r="AR42" s="171">
        <v>2050</v>
      </c>
      <c r="AS42" s="171">
        <v>2021</v>
      </c>
      <c r="AT42" s="171" t="s">
        <v>5050</v>
      </c>
      <c r="AU42" s="171">
        <v>2050</v>
      </c>
      <c r="AV42" s="171">
        <v>2021</v>
      </c>
      <c r="AW42" s="171" t="s">
        <v>4174</v>
      </c>
      <c r="AX42" s="171" t="s">
        <v>8124</v>
      </c>
      <c r="AY42" s="171">
        <v>2023</v>
      </c>
      <c r="AZ42" s="171" t="s">
        <v>4174</v>
      </c>
      <c r="BA42" s="171" t="s">
        <v>8123</v>
      </c>
      <c r="BB42" s="171"/>
      <c r="BC42" s="171"/>
      <c r="BD42" s="171"/>
      <c r="BE42" s="171"/>
      <c r="BF42" s="225"/>
      <c r="BG42" s="171"/>
      <c r="BH42" s="171"/>
      <c r="BI42" s="171"/>
      <c r="BJ42" s="171">
        <v>1</v>
      </c>
      <c r="BK42" s="171"/>
      <c r="BL42" s="171"/>
      <c r="BM42" s="171">
        <v>1</v>
      </c>
      <c r="BN42" s="171"/>
      <c r="BO42" s="171"/>
      <c r="BP42" s="171">
        <v>1</v>
      </c>
      <c r="BQ42" s="171">
        <v>1</v>
      </c>
      <c r="BR42" s="171"/>
      <c r="BS42" s="171"/>
      <c r="BT42" s="171"/>
      <c r="BU42" s="171"/>
      <c r="BV42" s="171"/>
      <c r="BW42" s="171"/>
      <c r="BX42" s="171"/>
      <c r="BY42" s="171"/>
      <c r="BZ42" s="171">
        <v>1</v>
      </c>
      <c r="CA42" s="171">
        <v>1</v>
      </c>
      <c r="CB42" s="171">
        <v>1</v>
      </c>
      <c r="CC42" s="171">
        <v>1</v>
      </c>
      <c r="CD42" s="171"/>
      <c r="CE42" s="171">
        <v>1</v>
      </c>
      <c r="CF42" s="171">
        <v>1</v>
      </c>
      <c r="CG42" s="171">
        <v>1</v>
      </c>
      <c r="CH42" s="171">
        <v>1</v>
      </c>
      <c r="CI42" s="171"/>
      <c r="CJ42" s="171"/>
      <c r="CK42" s="171">
        <v>1</v>
      </c>
      <c r="CL42" s="171">
        <v>1</v>
      </c>
      <c r="CM42">
        <f t="shared" si="1"/>
        <v>2050</v>
      </c>
    </row>
    <row r="43" spans="1:91">
      <c r="A43" s="171">
        <v>38</v>
      </c>
      <c r="B43" s="171" t="s">
        <v>3873</v>
      </c>
      <c r="C43" s="171">
        <v>82</v>
      </c>
      <c r="D43" s="171" t="str">
        <f t="shared" si="0"/>
        <v>CN NZ</v>
      </c>
      <c r="E43" s="171" t="s">
        <v>7220</v>
      </c>
      <c r="F43" s="174">
        <v>45475</v>
      </c>
      <c r="G43" s="171" t="s">
        <v>7220</v>
      </c>
      <c r="H43" s="173">
        <v>26515</v>
      </c>
      <c r="I43" s="171"/>
      <c r="J43" s="171" t="s">
        <v>4465</v>
      </c>
      <c r="K43" s="171" t="s">
        <v>4457</v>
      </c>
      <c r="L43" s="171" t="s">
        <v>2029</v>
      </c>
      <c r="M43" s="171" t="s">
        <v>5032</v>
      </c>
      <c r="N43" s="171"/>
      <c r="O43" s="171"/>
      <c r="P43" s="171" t="s">
        <v>5032</v>
      </c>
      <c r="Q43" s="171"/>
      <c r="R43" s="171"/>
      <c r="S43" s="171"/>
      <c r="T43" s="171"/>
      <c r="U43" s="171"/>
      <c r="V43" s="175"/>
      <c r="W43" s="171"/>
      <c r="X43" s="171" t="s">
        <v>1957</v>
      </c>
      <c r="Y43" s="171" t="s">
        <v>5131</v>
      </c>
      <c r="Z43" s="171" t="s">
        <v>3283</v>
      </c>
      <c r="AA43" s="171" t="s">
        <v>1957</v>
      </c>
      <c r="AB43" s="171">
        <v>2020</v>
      </c>
      <c r="AC43" s="171">
        <v>2016</v>
      </c>
      <c r="AD43" s="171"/>
      <c r="AE43" s="171"/>
      <c r="AF43" s="171"/>
      <c r="AG43" s="171" t="s">
        <v>4174</v>
      </c>
      <c r="AH43" s="171">
        <v>2022</v>
      </c>
      <c r="AI43" s="171" t="s">
        <v>4174</v>
      </c>
      <c r="AJ43" s="171"/>
      <c r="AK43" s="171" t="s">
        <v>6812</v>
      </c>
      <c r="AL43" s="171" t="s">
        <v>6812</v>
      </c>
      <c r="AM43" s="171"/>
      <c r="AN43" s="171" t="s">
        <v>8122</v>
      </c>
      <c r="AO43" s="171" t="s">
        <v>1435</v>
      </c>
      <c r="AP43" s="171" t="s">
        <v>7923</v>
      </c>
      <c r="AQ43" s="171" t="s">
        <v>4172</v>
      </c>
      <c r="AR43" s="171">
        <v>2030</v>
      </c>
      <c r="AS43" s="171">
        <v>2021</v>
      </c>
      <c r="AT43" s="171" t="s">
        <v>5050</v>
      </c>
      <c r="AU43" s="171">
        <v>2050</v>
      </c>
      <c r="AV43" s="171">
        <v>2021</v>
      </c>
      <c r="AW43" s="171" t="s">
        <v>2082</v>
      </c>
      <c r="AX43" s="171" t="s">
        <v>8121</v>
      </c>
      <c r="AY43" s="171"/>
      <c r="AZ43" s="171"/>
      <c r="BA43" s="171"/>
      <c r="BB43" s="171"/>
      <c r="BC43" s="171" t="s">
        <v>8120</v>
      </c>
      <c r="BD43" s="171"/>
      <c r="BE43" s="171"/>
      <c r="BF43" s="225"/>
      <c r="BG43" s="171"/>
      <c r="BH43" s="171"/>
      <c r="BI43" s="171"/>
      <c r="BJ43" s="171">
        <v>1</v>
      </c>
      <c r="BK43" s="171"/>
      <c r="BL43" s="171"/>
      <c r="BM43" s="171">
        <v>1</v>
      </c>
      <c r="BN43" s="171"/>
      <c r="BO43" s="171">
        <v>1</v>
      </c>
      <c r="BP43" s="171"/>
      <c r="BQ43" s="171">
        <v>1</v>
      </c>
      <c r="BR43" s="171"/>
      <c r="BS43" s="171"/>
      <c r="BT43" s="171"/>
      <c r="BU43" s="171"/>
      <c r="BV43" s="171"/>
      <c r="BW43" s="171"/>
      <c r="BX43" s="171"/>
      <c r="BY43" s="171"/>
      <c r="BZ43" s="171">
        <v>1</v>
      </c>
      <c r="CA43" s="171">
        <v>1</v>
      </c>
      <c r="CB43" s="171">
        <v>1</v>
      </c>
      <c r="CC43" s="171">
        <v>1</v>
      </c>
      <c r="CD43" s="171"/>
      <c r="CE43" s="171">
        <v>1</v>
      </c>
      <c r="CF43" s="171">
        <v>1</v>
      </c>
      <c r="CG43" s="171">
        <v>1</v>
      </c>
      <c r="CH43" s="171">
        <v>1</v>
      </c>
      <c r="CI43" s="171"/>
      <c r="CJ43" s="171">
        <v>1</v>
      </c>
      <c r="CK43" s="171"/>
      <c r="CL43" s="171">
        <v>1</v>
      </c>
      <c r="CM43">
        <f t="shared" si="1"/>
        <v>2030</v>
      </c>
    </row>
    <row r="44" spans="1:91">
      <c r="A44" s="171">
        <v>37</v>
      </c>
      <c r="B44" s="171" t="s">
        <v>1736</v>
      </c>
      <c r="C44" s="171">
        <v>49</v>
      </c>
      <c r="D44" s="171" t="str">
        <f t="shared" si="0"/>
        <v>CN</v>
      </c>
      <c r="E44" s="171" t="s">
        <v>7719</v>
      </c>
      <c r="F44" s="174">
        <v>45475</v>
      </c>
      <c r="G44" s="171" t="s">
        <v>7220</v>
      </c>
      <c r="H44" s="173">
        <v>32758.3</v>
      </c>
      <c r="I44" s="171"/>
      <c r="J44" s="171" t="s">
        <v>4465</v>
      </c>
      <c r="K44" s="171" t="s">
        <v>73</v>
      </c>
      <c r="L44" s="171" t="s">
        <v>1994</v>
      </c>
      <c r="M44" s="171" t="s">
        <v>5032</v>
      </c>
      <c r="N44" s="171"/>
      <c r="O44" s="171"/>
      <c r="P44" s="171" t="s">
        <v>5032</v>
      </c>
      <c r="Q44" s="171"/>
      <c r="R44" s="171"/>
      <c r="S44" s="171"/>
      <c r="T44" s="171"/>
      <c r="U44" s="171"/>
      <c r="V44" s="175"/>
      <c r="W44" s="171"/>
      <c r="X44" s="171" t="s">
        <v>1957</v>
      </c>
      <c r="Y44" s="171" t="s">
        <v>5131</v>
      </c>
      <c r="Z44" s="171" t="s">
        <v>7225</v>
      </c>
      <c r="AA44" s="171" t="s">
        <v>1957</v>
      </c>
      <c r="AB44" s="171">
        <v>2030</v>
      </c>
      <c r="AC44" s="171">
        <v>2021</v>
      </c>
      <c r="AD44" s="171"/>
      <c r="AE44" s="171"/>
      <c r="AF44" s="171"/>
      <c r="AG44" s="171" t="s">
        <v>2082</v>
      </c>
      <c r="AH44" s="171">
        <v>2023</v>
      </c>
      <c r="AI44" s="171" t="s">
        <v>4174</v>
      </c>
      <c r="AJ44" s="171" t="s">
        <v>8119</v>
      </c>
      <c r="AK44" s="171"/>
      <c r="AL44" s="171" t="s">
        <v>8119</v>
      </c>
      <c r="AM44" s="171" t="s">
        <v>8118</v>
      </c>
      <c r="AN44" s="171" t="s">
        <v>5032</v>
      </c>
      <c r="AO44" s="171"/>
      <c r="AP44" s="171"/>
      <c r="AQ44" s="171" t="s">
        <v>5032</v>
      </c>
      <c r="AR44" s="171"/>
      <c r="AS44" s="171"/>
      <c r="AT44" s="171"/>
      <c r="AU44" s="171"/>
      <c r="AV44" s="171"/>
      <c r="AW44" s="171"/>
      <c r="AX44" s="171"/>
      <c r="AY44" s="171"/>
      <c r="AZ44" s="171"/>
      <c r="BA44" s="171"/>
      <c r="BB44" s="171"/>
      <c r="BC44" s="171"/>
      <c r="BD44" s="171" t="s">
        <v>5032</v>
      </c>
      <c r="BE44" s="171"/>
      <c r="BF44" s="225" t="s">
        <v>5032</v>
      </c>
      <c r="BG44" s="171"/>
      <c r="BH44" s="171"/>
      <c r="BI44" s="171"/>
      <c r="BJ44" s="171"/>
      <c r="BK44" s="171">
        <v>1</v>
      </c>
      <c r="BL44" s="171"/>
      <c r="BM44" s="171">
        <v>1</v>
      </c>
      <c r="BN44" s="171"/>
      <c r="BO44" s="171"/>
      <c r="BP44" s="171"/>
      <c r="BQ44" s="171"/>
      <c r="BR44" s="171"/>
      <c r="BS44" s="171"/>
      <c r="BT44" s="171"/>
      <c r="BU44" s="171"/>
      <c r="BV44" s="171"/>
      <c r="BW44" s="171"/>
      <c r="BX44" s="171"/>
      <c r="BY44" s="171"/>
      <c r="BZ44" s="171">
        <v>1</v>
      </c>
      <c r="CA44" s="171">
        <v>1</v>
      </c>
      <c r="CB44" s="171">
        <v>1</v>
      </c>
      <c r="CC44" s="171"/>
      <c r="CD44" s="171"/>
      <c r="CE44" s="171">
        <v>1</v>
      </c>
      <c r="CF44" s="171"/>
      <c r="CG44" s="171">
        <v>1</v>
      </c>
      <c r="CH44" s="171">
        <v>1</v>
      </c>
      <c r="CI44" s="171"/>
      <c r="CJ44" s="171"/>
      <c r="CK44" s="171"/>
      <c r="CL44" s="171"/>
    </row>
    <row r="45" spans="1:91">
      <c r="A45" s="171">
        <v>154</v>
      </c>
      <c r="B45" s="171" t="s">
        <v>1327</v>
      </c>
      <c r="C45" s="171">
        <v>161</v>
      </c>
      <c r="D45" s="171" t="str">
        <f t="shared" si="0"/>
        <v/>
      </c>
      <c r="E45" s="171" t="s">
        <v>7220</v>
      </c>
      <c r="F45" s="174">
        <v>45476</v>
      </c>
      <c r="G45" s="171" t="s">
        <v>7223</v>
      </c>
      <c r="H45" s="173">
        <v>13098.6</v>
      </c>
      <c r="I45" s="171"/>
      <c r="J45" s="171" t="s">
        <v>4465</v>
      </c>
      <c r="K45" s="171" t="s">
        <v>73</v>
      </c>
      <c r="L45" s="171" t="s">
        <v>1994</v>
      </c>
      <c r="M45" s="171" t="s">
        <v>5032</v>
      </c>
      <c r="N45" s="171"/>
      <c r="O45" s="171"/>
      <c r="P45" s="171" t="s">
        <v>5032</v>
      </c>
      <c r="Q45" s="171"/>
      <c r="R45" s="171"/>
      <c r="S45" s="171"/>
      <c r="T45" s="171"/>
      <c r="U45" s="171"/>
      <c r="V45" s="175"/>
      <c r="W45" s="171"/>
      <c r="X45" s="171" t="s">
        <v>4519</v>
      </c>
      <c r="Y45" s="171" t="s">
        <v>109</v>
      </c>
      <c r="Z45" s="171" t="s">
        <v>3283</v>
      </c>
      <c r="AA45" s="171" t="s">
        <v>4519</v>
      </c>
      <c r="AB45" s="171">
        <v>2060</v>
      </c>
      <c r="AC45" s="171">
        <v>2021</v>
      </c>
      <c r="AD45" s="171"/>
      <c r="AE45" s="171"/>
      <c r="AF45" s="171"/>
      <c r="AG45" s="171"/>
      <c r="AH45" s="171"/>
      <c r="AI45" s="171"/>
      <c r="AJ45" s="171"/>
      <c r="AK45" s="171"/>
      <c r="AL45" s="171" t="s">
        <v>8117</v>
      </c>
      <c r="AM45" s="171"/>
      <c r="AN45" s="171" t="s">
        <v>5032</v>
      </c>
      <c r="AO45" s="171"/>
      <c r="AP45" s="171"/>
      <c r="AQ45" s="171" t="s">
        <v>5032</v>
      </c>
      <c r="AR45" s="171"/>
      <c r="AS45" s="171"/>
      <c r="AT45" s="171"/>
      <c r="AU45" s="171"/>
      <c r="AV45" s="171"/>
      <c r="AW45" s="171"/>
      <c r="AX45" s="171"/>
      <c r="AY45" s="171"/>
      <c r="AZ45" s="171"/>
      <c r="BA45" s="171"/>
      <c r="BB45" s="171"/>
      <c r="BC45" s="171"/>
      <c r="BD45" s="171"/>
      <c r="BE45" s="171"/>
      <c r="BF45" s="225"/>
      <c r="BG45" s="171"/>
      <c r="BH45" s="171"/>
      <c r="BI45" s="171"/>
      <c r="BJ45" s="171"/>
      <c r="BK45" s="171"/>
      <c r="BL45" s="171"/>
      <c r="BM45" s="171"/>
      <c r="BN45" s="171"/>
      <c r="BO45" s="171"/>
      <c r="BP45" s="171"/>
      <c r="BQ45" s="171"/>
      <c r="BR45" s="171"/>
      <c r="BS45" s="171"/>
      <c r="BT45" s="171"/>
      <c r="BU45" s="171"/>
      <c r="BV45" s="171"/>
      <c r="BW45" s="171"/>
      <c r="BX45" s="171"/>
      <c r="BY45" s="171"/>
      <c r="BZ45" s="171"/>
      <c r="CA45" s="171"/>
      <c r="CB45" s="171"/>
      <c r="CC45" s="171"/>
      <c r="CD45" s="171"/>
      <c r="CE45" s="171"/>
      <c r="CF45" s="171"/>
      <c r="CG45" s="171"/>
      <c r="CH45" s="171"/>
      <c r="CI45" s="171"/>
      <c r="CJ45" s="171"/>
      <c r="CK45" s="171"/>
      <c r="CL45" s="171"/>
    </row>
    <row r="46" spans="1:91">
      <c r="A46" s="171">
        <v>294</v>
      </c>
      <c r="B46" s="171" t="s">
        <v>77</v>
      </c>
      <c r="C46" s="171">
        <v>433</v>
      </c>
      <c r="D46" s="171" t="str">
        <f t="shared" si="0"/>
        <v>CN NZ</v>
      </c>
      <c r="E46" s="171" t="s">
        <v>7223</v>
      </c>
      <c r="F46" s="174">
        <v>45511</v>
      </c>
      <c r="G46" s="171" t="s">
        <v>7223</v>
      </c>
      <c r="H46" s="173">
        <v>3237</v>
      </c>
      <c r="I46" s="171"/>
      <c r="J46" s="171" t="s">
        <v>4465</v>
      </c>
      <c r="K46" s="171" t="s">
        <v>78</v>
      </c>
      <c r="L46" s="171" t="s">
        <v>2029</v>
      </c>
      <c r="M46" s="171" t="s">
        <v>5032</v>
      </c>
      <c r="N46" s="171"/>
      <c r="O46" s="171"/>
      <c r="P46" s="171" t="s">
        <v>5032</v>
      </c>
      <c r="Q46" s="171"/>
      <c r="R46" s="171"/>
      <c r="S46" s="171"/>
      <c r="T46" s="171"/>
      <c r="U46" s="171"/>
      <c r="V46" s="175"/>
      <c r="W46" s="171"/>
      <c r="X46" s="171" t="s">
        <v>1957</v>
      </c>
      <c r="Y46" s="179" t="s">
        <v>1659</v>
      </c>
      <c r="Z46" s="179" t="s">
        <v>7225</v>
      </c>
      <c r="AA46" s="171" t="s">
        <v>1957</v>
      </c>
      <c r="AB46" s="171">
        <v>2010</v>
      </c>
      <c r="AC46" s="171">
        <v>2010</v>
      </c>
      <c r="AD46" s="171"/>
      <c r="AE46" s="171"/>
      <c r="AF46" s="171"/>
      <c r="AG46" s="171" t="s">
        <v>4174</v>
      </c>
      <c r="AH46" s="171">
        <v>2023</v>
      </c>
      <c r="AI46" s="171" t="s">
        <v>4174</v>
      </c>
      <c r="AJ46" s="176" t="s">
        <v>8116</v>
      </c>
      <c r="AK46" s="171"/>
      <c r="AL46" s="176" t="s">
        <v>8116</v>
      </c>
      <c r="AM46" s="171"/>
      <c r="AN46" s="171" t="s">
        <v>5050</v>
      </c>
      <c r="AO46" s="171" t="s">
        <v>4284</v>
      </c>
      <c r="AP46" s="171" t="s">
        <v>2072</v>
      </c>
      <c r="AQ46" s="171" t="s">
        <v>5050</v>
      </c>
      <c r="AR46" s="171">
        <v>2050</v>
      </c>
      <c r="AS46" s="171">
        <v>2021</v>
      </c>
      <c r="AT46" s="171"/>
      <c r="AU46" s="171"/>
      <c r="AV46" s="171"/>
      <c r="AW46" s="171" t="s">
        <v>4174</v>
      </c>
      <c r="AX46" s="176" t="s">
        <v>8116</v>
      </c>
      <c r="AY46" s="171">
        <v>2023</v>
      </c>
      <c r="AZ46" s="171" t="s">
        <v>4174</v>
      </c>
      <c r="BA46" s="176" t="s">
        <v>8116</v>
      </c>
      <c r="BB46" s="171"/>
      <c r="BC46" s="171"/>
      <c r="BD46" s="171"/>
      <c r="BE46" s="171"/>
      <c r="BF46" s="225"/>
      <c r="BG46" s="171"/>
      <c r="BH46" s="171"/>
      <c r="BI46" s="171"/>
      <c r="BJ46" s="171">
        <v>1</v>
      </c>
      <c r="BK46" s="171"/>
      <c r="BL46" s="171"/>
      <c r="BM46" s="171">
        <v>1</v>
      </c>
      <c r="BN46" s="171"/>
      <c r="BO46" s="171"/>
      <c r="BP46" s="171">
        <v>1</v>
      </c>
      <c r="BQ46" s="171">
        <v>1</v>
      </c>
      <c r="BR46" s="171"/>
      <c r="BS46" s="171"/>
      <c r="BT46" s="171"/>
      <c r="BU46" s="171"/>
      <c r="BV46" s="171"/>
      <c r="BW46" s="171"/>
      <c r="BX46" s="171"/>
      <c r="BY46" s="171"/>
      <c r="BZ46" s="171">
        <v>1</v>
      </c>
      <c r="CA46" s="171">
        <v>1</v>
      </c>
      <c r="CB46" s="171">
        <v>1</v>
      </c>
      <c r="CC46" s="171">
        <v>1</v>
      </c>
      <c r="CD46" s="171"/>
      <c r="CE46" s="171">
        <v>1</v>
      </c>
      <c r="CF46" s="171">
        <v>1</v>
      </c>
      <c r="CG46" s="171">
        <v>1</v>
      </c>
      <c r="CH46" s="171">
        <v>1</v>
      </c>
      <c r="CI46" s="171"/>
      <c r="CJ46" s="171"/>
      <c r="CK46" s="171">
        <v>1</v>
      </c>
      <c r="CL46" s="171">
        <v>1</v>
      </c>
      <c r="CM46">
        <f t="shared" si="1"/>
        <v>2050</v>
      </c>
    </row>
    <row r="47" spans="1:91">
      <c r="A47" s="171">
        <v>466</v>
      </c>
      <c r="B47" s="171" t="s">
        <v>8115</v>
      </c>
      <c r="C47" s="171"/>
      <c r="D47" s="171" t="str">
        <f t="shared" si="0"/>
        <v>CN</v>
      </c>
      <c r="E47" s="171" t="s">
        <v>7223</v>
      </c>
      <c r="F47" s="174">
        <v>45512</v>
      </c>
      <c r="G47" s="176"/>
      <c r="H47" s="173">
        <v>3286</v>
      </c>
      <c r="I47" s="181" t="s">
        <v>795</v>
      </c>
      <c r="J47" s="171" t="s">
        <v>4465</v>
      </c>
      <c r="K47" s="171" t="s">
        <v>4457</v>
      </c>
      <c r="L47" s="171" t="s">
        <v>2029</v>
      </c>
      <c r="M47" s="171" t="s">
        <v>5032</v>
      </c>
      <c r="N47" s="171"/>
      <c r="O47" s="171"/>
      <c r="P47" s="171" t="s">
        <v>5032</v>
      </c>
      <c r="Q47" s="171"/>
      <c r="R47" s="171"/>
      <c r="S47" s="171"/>
      <c r="T47" s="171"/>
      <c r="U47" s="171"/>
      <c r="V47" s="175"/>
      <c r="W47" s="171"/>
      <c r="X47" s="171" t="s">
        <v>1957</v>
      </c>
      <c r="Y47" s="171" t="s">
        <v>8114</v>
      </c>
      <c r="Z47" s="171" t="s">
        <v>8113</v>
      </c>
      <c r="AA47" s="171" t="s">
        <v>1957</v>
      </c>
      <c r="AB47" s="171">
        <v>2015</v>
      </c>
      <c r="AC47" s="171">
        <v>2015</v>
      </c>
      <c r="AD47" s="171"/>
      <c r="AE47" s="171"/>
      <c r="AF47" s="171"/>
      <c r="AG47" s="171" t="s">
        <v>4174</v>
      </c>
      <c r="AH47" s="171">
        <v>2023</v>
      </c>
      <c r="AI47" s="171" t="s">
        <v>4174</v>
      </c>
      <c r="AJ47" s="176" t="s">
        <v>8112</v>
      </c>
      <c r="AK47" s="171"/>
      <c r="AL47" s="176" t="s">
        <v>8112</v>
      </c>
      <c r="AM47" s="171"/>
      <c r="AN47" s="171" t="s">
        <v>5032</v>
      </c>
      <c r="AO47" s="171"/>
      <c r="AP47" s="171"/>
      <c r="AQ47" s="171" t="s">
        <v>5032</v>
      </c>
      <c r="AR47" s="171"/>
      <c r="AS47" s="171"/>
      <c r="AT47" s="171"/>
      <c r="AU47" s="171"/>
      <c r="AV47" s="171"/>
      <c r="AW47" s="171"/>
      <c r="AX47" s="171"/>
      <c r="AY47" s="171"/>
      <c r="AZ47" s="171"/>
      <c r="BA47" s="171"/>
      <c r="BB47" s="171"/>
      <c r="BC47" s="171" t="s">
        <v>8111</v>
      </c>
      <c r="BD47" s="171"/>
      <c r="BE47" s="171"/>
      <c r="BF47" s="225"/>
      <c r="BG47" s="171"/>
      <c r="BH47" s="171"/>
      <c r="BI47" s="171"/>
      <c r="BJ47" s="171">
        <v>1</v>
      </c>
      <c r="BK47" s="171"/>
      <c r="BL47" s="171"/>
      <c r="BM47" s="171">
        <v>1</v>
      </c>
      <c r="BN47" s="171"/>
      <c r="BO47" s="171"/>
      <c r="BP47" s="171"/>
      <c r="BQ47" s="171"/>
      <c r="BR47" s="171"/>
      <c r="BS47" s="171"/>
      <c r="BT47" s="171"/>
      <c r="BU47" s="171"/>
      <c r="BV47" s="171"/>
      <c r="BW47" s="171"/>
      <c r="BX47" s="171"/>
      <c r="BY47" s="171"/>
      <c r="BZ47" s="171">
        <v>1</v>
      </c>
      <c r="CA47" s="171">
        <v>1</v>
      </c>
      <c r="CB47" s="171">
        <v>1</v>
      </c>
      <c r="CC47" s="171">
        <v>1</v>
      </c>
      <c r="CD47" s="171"/>
      <c r="CE47" s="171">
        <v>1</v>
      </c>
      <c r="CF47" s="171">
        <v>1</v>
      </c>
      <c r="CG47" s="171">
        <v>1</v>
      </c>
      <c r="CH47" s="171">
        <v>1</v>
      </c>
      <c r="CI47" s="171"/>
      <c r="CJ47" s="171"/>
      <c r="CK47" s="171"/>
      <c r="CL47" s="171"/>
    </row>
    <row r="48" spans="1:91">
      <c r="A48" s="171">
        <v>281</v>
      </c>
      <c r="B48" s="171" t="s">
        <v>496</v>
      </c>
      <c r="C48" s="171">
        <v>415</v>
      </c>
      <c r="D48" s="171" t="str">
        <f t="shared" si="0"/>
        <v>CN NZ</v>
      </c>
      <c r="E48" s="171" t="s">
        <v>7223</v>
      </c>
      <c r="F48" s="174">
        <v>45511</v>
      </c>
      <c r="G48" s="171" t="s">
        <v>7223</v>
      </c>
      <c r="H48" s="173">
        <v>5495</v>
      </c>
      <c r="I48" s="171"/>
      <c r="J48" s="171" t="s">
        <v>4465</v>
      </c>
      <c r="K48" s="171" t="s">
        <v>78</v>
      </c>
      <c r="L48" s="171" t="s">
        <v>2029</v>
      </c>
      <c r="M48" s="171" t="s">
        <v>5032</v>
      </c>
      <c r="N48" s="171"/>
      <c r="O48" s="171"/>
      <c r="P48" s="171" t="s">
        <v>5032</v>
      </c>
      <c r="Q48" s="171"/>
      <c r="R48" s="171"/>
      <c r="S48" s="171"/>
      <c r="T48" s="171"/>
      <c r="U48" s="171"/>
      <c r="V48" s="175"/>
      <c r="W48" s="171"/>
      <c r="X48" s="171" t="s">
        <v>1957</v>
      </c>
      <c r="Y48" s="171" t="s">
        <v>8110</v>
      </c>
      <c r="Z48" s="171" t="s">
        <v>7225</v>
      </c>
      <c r="AA48" s="171" t="s">
        <v>1957</v>
      </c>
      <c r="AB48" s="171">
        <v>2030</v>
      </c>
      <c r="AC48" s="171">
        <v>2022</v>
      </c>
      <c r="AD48" s="171"/>
      <c r="AE48" s="171"/>
      <c r="AF48" s="171"/>
      <c r="AG48" s="171" t="s">
        <v>4174</v>
      </c>
      <c r="AH48" s="171">
        <v>2023</v>
      </c>
      <c r="AI48" s="171" t="s">
        <v>4174</v>
      </c>
      <c r="AJ48" s="176" t="s">
        <v>8108</v>
      </c>
      <c r="AK48" s="171"/>
      <c r="AL48" s="176" t="s">
        <v>8109</v>
      </c>
      <c r="AM48" s="171"/>
      <c r="AN48" s="171" t="s">
        <v>5050</v>
      </c>
      <c r="AO48" s="171" t="s">
        <v>4284</v>
      </c>
      <c r="AP48" s="171" t="s">
        <v>2072</v>
      </c>
      <c r="AQ48" s="171" t="s">
        <v>5050</v>
      </c>
      <c r="AR48" s="171">
        <v>2050</v>
      </c>
      <c r="AS48" s="171">
        <v>2022</v>
      </c>
      <c r="AT48" s="171"/>
      <c r="AU48" s="171"/>
      <c r="AV48" s="171"/>
      <c r="AW48" s="171" t="s">
        <v>7247</v>
      </c>
      <c r="AX48" s="176" t="s">
        <v>8109</v>
      </c>
      <c r="AY48" s="171">
        <v>2023</v>
      </c>
      <c r="AZ48" s="171" t="s">
        <v>4174</v>
      </c>
      <c r="BA48" s="176" t="s">
        <v>8108</v>
      </c>
      <c r="BB48" s="171"/>
      <c r="BC48" s="171"/>
      <c r="BD48" s="171"/>
      <c r="BE48" s="171"/>
      <c r="BF48" s="225"/>
      <c r="BG48" s="171"/>
      <c r="BH48" s="171"/>
      <c r="BI48" s="171"/>
      <c r="BJ48" s="171"/>
      <c r="BK48" s="171">
        <v>1</v>
      </c>
      <c r="BL48" s="171"/>
      <c r="BM48" s="171">
        <v>1</v>
      </c>
      <c r="BN48" s="171"/>
      <c r="BO48" s="171"/>
      <c r="BP48" s="171">
        <v>1</v>
      </c>
      <c r="BQ48" s="171">
        <v>1</v>
      </c>
      <c r="BR48" s="171"/>
      <c r="BS48" s="171"/>
      <c r="BT48" s="171"/>
      <c r="BU48" s="171"/>
      <c r="BV48" s="171"/>
      <c r="BW48" s="171"/>
      <c r="BX48" s="171"/>
      <c r="BY48" s="171"/>
      <c r="BZ48" s="171">
        <v>1</v>
      </c>
      <c r="CA48" s="171">
        <v>1</v>
      </c>
      <c r="CB48" s="171">
        <v>1</v>
      </c>
      <c r="CC48" s="171">
        <v>1</v>
      </c>
      <c r="CD48" s="171"/>
      <c r="CE48" s="171">
        <v>1</v>
      </c>
      <c r="CF48" s="171"/>
      <c r="CG48" s="171">
        <v>1</v>
      </c>
      <c r="CH48" s="171">
        <v>1</v>
      </c>
      <c r="CI48" s="171"/>
      <c r="CJ48" s="171"/>
      <c r="CK48" s="171">
        <v>1</v>
      </c>
      <c r="CL48" s="171">
        <v>1</v>
      </c>
      <c r="CM48">
        <f t="shared" si="1"/>
        <v>2050</v>
      </c>
    </row>
    <row r="49" spans="1:91">
      <c r="A49" s="171">
        <v>212</v>
      </c>
      <c r="B49" s="171" t="s">
        <v>757</v>
      </c>
      <c r="C49" s="171">
        <v>325</v>
      </c>
      <c r="D49" s="171" t="str">
        <f t="shared" si="0"/>
        <v xml:space="preserve"> NZ RE100</v>
      </c>
      <c r="E49" s="171" t="s">
        <v>7228</v>
      </c>
      <c r="F49" s="174">
        <v>45481</v>
      </c>
      <c r="G49" s="171" t="s">
        <v>7220</v>
      </c>
      <c r="H49" s="173">
        <v>6535.9</v>
      </c>
      <c r="I49" s="171"/>
      <c r="J49" s="171" t="s">
        <v>4465</v>
      </c>
      <c r="K49" s="171" t="s">
        <v>4195</v>
      </c>
      <c r="L49" s="171" t="s">
        <v>1951</v>
      </c>
      <c r="M49" s="171" t="s">
        <v>4174</v>
      </c>
      <c r="N49" s="171">
        <v>2019</v>
      </c>
      <c r="O49" s="171">
        <v>2025</v>
      </c>
      <c r="P49" s="171" t="s">
        <v>5032</v>
      </c>
      <c r="Q49" s="171"/>
      <c r="R49" s="171"/>
      <c r="S49" s="171"/>
      <c r="T49" s="171"/>
      <c r="U49" s="171"/>
      <c r="V49" s="175"/>
      <c r="W49" s="171"/>
      <c r="X49" s="171" t="s">
        <v>5032</v>
      </c>
      <c r="Y49" s="171"/>
      <c r="Z49" s="171"/>
      <c r="AA49" s="171" t="s">
        <v>5032</v>
      </c>
      <c r="AB49" s="171"/>
      <c r="AC49" s="171"/>
      <c r="AD49" s="171"/>
      <c r="AE49" s="171"/>
      <c r="AF49" s="171"/>
      <c r="AG49" s="171"/>
      <c r="AH49" s="171"/>
      <c r="AI49" s="171"/>
      <c r="AJ49" s="171"/>
      <c r="AK49" s="171"/>
      <c r="AL49" s="171"/>
      <c r="AM49" s="171"/>
      <c r="AN49" s="171" t="s">
        <v>4172</v>
      </c>
      <c r="AO49" s="171" t="s">
        <v>4302</v>
      </c>
      <c r="AP49" s="171" t="s">
        <v>2555</v>
      </c>
      <c r="AQ49" s="171" t="s">
        <v>4172</v>
      </c>
      <c r="AR49" s="171">
        <v>2050</v>
      </c>
      <c r="AS49" s="171">
        <v>2020</v>
      </c>
      <c r="AT49" s="171"/>
      <c r="AU49" s="171"/>
      <c r="AV49" s="171"/>
      <c r="AW49" s="171" t="s">
        <v>2082</v>
      </c>
      <c r="AX49" s="171" t="s">
        <v>8107</v>
      </c>
      <c r="AY49" s="171"/>
      <c r="AZ49" s="171"/>
      <c r="BA49" s="171"/>
      <c r="BB49" s="171"/>
      <c r="BC49" s="171"/>
      <c r="BD49" s="171"/>
      <c r="BE49" s="171"/>
      <c r="BF49" s="225"/>
      <c r="BG49" s="171"/>
      <c r="BH49" s="171"/>
      <c r="BI49" s="171"/>
      <c r="BJ49" s="171"/>
      <c r="BK49" s="171"/>
      <c r="BL49" s="171"/>
      <c r="BM49" s="171"/>
      <c r="BN49" s="171"/>
      <c r="BO49" s="171"/>
      <c r="BP49" s="171">
        <v>1</v>
      </c>
      <c r="BQ49" s="171">
        <v>1</v>
      </c>
      <c r="BR49" s="171"/>
      <c r="BS49" s="171"/>
      <c r="BT49" s="171"/>
      <c r="BU49" s="171"/>
      <c r="BV49" s="171"/>
      <c r="BW49" s="171">
        <v>1</v>
      </c>
      <c r="BX49" s="171"/>
      <c r="BY49" s="171">
        <v>1</v>
      </c>
      <c r="BZ49" s="171">
        <v>1</v>
      </c>
      <c r="CA49" s="171"/>
      <c r="CB49" s="171">
        <v>1</v>
      </c>
      <c r="CC49" s="171"/>
      <c r="CD49" s="171"/>
      <c r="CE49" s="171">
        <v>1</v>
      </c>
      <c r="CF49" s="171"/>
      <c r="CG49" s="171">
        <v>1</v>
      </c>
      <c r="CH49" s="171">
        <v>1</v>
      </c>
      <c r="CI49" s="171"/>
      <c r="CJ49" s="171"/>
      <c r="CK49" s="171">
        <v>1</v>
      </c>
      <c r="CL49" s="171">
        <v>1</v>
      </c>
      <c r="CM49">
        <f t="shared" si="1"/>
        <v>2050</v>
      </c>
    </row>
    <row r="50" spans="1:91">
      <c r="A50" s="171">
        <v>172</v>
      </c>
      <c r="B50" s="171" t="s">
        <v>1446</v>
      </c>
      <c r="C50" s="171">
        <v>119</v>
      </c>
      <c r="D50" s="171" t="str">
        <f t="shared" si="0"/>
        <v xml:space="preserve"> NZ</v>
      </c>
      <c r="E50" s="171" t="s">
        <v>7288</v>
      </c>
      <c r="F50" s="174">
        <v>45475</v>
      </c>
      <c r="G50" s="171" t="s">
        <v>7223</v>
      </c>
      <c r="H50" s="173">
        <v>243.2</v>
      </c>
      <c r="I50" s="171"/>
      <c r="J50" s="171" t="s">
        <v>66</v>
      </c>
      <c r="K50" s="171" t="s">
        <v>146</v>
      </c>
      <c r="L50" s="171" t="s">
        <v>1951</v>
      </c>
      <c r="M50" s="171" t="s">
        <v>5032</v>
      </c>
      <c r="N50" s="171"/>
      <c r="O50" s="171"/>
      <c r="P50" s="171" t="s">
        <v>5032</v>
      </c>
      <c r="Q50" s="171"/>
      <c r="R50" s="171"/>
      <c r="S50" s="171"/>
      <c r="T50" s="171"/>
      <c r="U50" s="171"/>
      <c r="V50" s="175"/>
      <c r="W50" s="171"/>
      <c r="X50" s="171" t="s">
        <v>5032</v>
      </c>
      <c r="Y50" s="171"/>
      <c r="Z50" s="171"/>
      <c r="AA50" s="171" t="s">
        <v>5032</v>
      </c>
      <c r="AB50" s="171"/>
      <c r="AC50" s="171"/>
      <c r="AD50" s="171"/>
      <c r="AE50" s="171"/>
      <c r="AF50" s="171"/>
      <c r="AG50" s="171"/>
      <c r="AH50" s="171"/>
      <c r="AI50" s="171"/>
      <c r="AJ50" s="171"/>
      <c r="AK50" s="171"/>
      <c r="AL50" s="171"/>
      <c r="AM50" s="171"/>
      <c r="AN50" s="171" t="s">
        <v>1957</v>
      </c>
      <c r="AO50" s="171" t="s">
        <v>8106</v>
      </c>
      <c r="AP50" s="171" t="s">
        <v>8105</v>
      </c>
      <c r="AQ50" s="171" t="s">
        <v>1957</v>
      </c>
      <c r="AR50" s="171">
        <v>2050</v>
      </c>
      <c r="AS50" s="171">
        <v>2021</v>
      </c>
      <c r="AT50" s="171"/>
      <c r="AU50" s="171"/>
      <c r="AV50" s="171"/>
      <c r="AW50" s="171" t="s">
        <v>4174</v>
      </c>
      <c r="AX50" s="171" t="s">
        <v>8104</v>
      </c>
      <c r="AY50" s="171">
        <v>2023</v>
      </c>
      <c r="AZ50" s="171" t="s">
        <v>4174</v>
      </c>
      <c r="BA50" s="171" t="s">
        <v>8104</v>
      </c>
      <c r="BB50" s="171"/>
      <c r="BC50" s="171" t="s">
        <v>8103</v>
      </c>
      <c r="BD50" s="171"/>
      <c r="BE50" s="171"/>
      <c r="BF50" s="225"/>
      <c r="BG50" s="171"/>
      <c r="BH50" s="171"/>
      <c r="BI50" s="171"/>
      <c r="BJ50" s="171"/>
      <c r="BK50" s="171"/>
      <c r="BL50" s="171"/>
      <c r="BM50" s="171"/>
      <c r="BN50" s="171"/>
      <c r="BO50" s="171"/>
      <c r="BP50" s="171">
        <v>1</v>
      </c>
      <c r="BQ50" s="171">
        <v>1</v>
      </c>
      <c r="BR50" s="171"/>
      <c r="BS50" s="171"/>
      <c r="BT50" s="171"/>
      <c r="BU50" s="171"/>
      <c r="BV50" s="171"/>
      <c r="BW50" s="171"/>
      <c r="BX50" s="171"/>
      <c r="BY50" s="171"/>
      <c r="BZ50" s="171">
        <v>1</v>
      </c>
      <c r="CA50" s="171"/>
      <c r="CB50" s="171">
        <v>1</v>
      </c>
      <c r="CC50" s="171">
        <v>1</v>
      </c>
      <c r="CD50" s="171"/>
      <c r="CE50" s="171">
        <v>1</v>
      </c>
      <c r="CF50" s="171"/>
      <c r="CG50" s="171"/>
      <c r="CH50" s="171">
        <v>1</v>
      </c>
      <c r="CI50" s="171"/>
      <c r="CJ50" s="171"/>
      <c r="CK50" s="171"/>
      <c r="CL50" s="171"/>
      <c r="CM50">
        <f t="shared" si="1"/>
        <v>2050</v>
      </c>
    </row>
    <row r="51" spans="1:91">
      <c r="A51" s="171">
        <v>286</v>
      </c>
      <c r="B51" s="171" t="s">
        <v>1019</v>
      </c>
      <c r="C51" s="171">
        <v>265</v>
      </c>
      <c r="D51" s="171" t="str">
        <f t="shared" si="0"/>
        <v>CN NZ SBT</v>
      </c>
      <c r="E51" s="171" t="s">
        <v>7223</v>
      </c>
      <c r="F51" s="174">
        <v>45477</v>
      </c>
      <c r="G51" s="171" t="s">
        <v>7223</v>
      </c>
      <c r="H51" s="173">
        <v>-3179.4</v>
      </c>
      <c r="I51" s="171"/>
      <c r="J51" s="171" t="s">
        <v>4201</v>
      </c>
      <c r="K51" s="171" t="s">
        <v>146</v>
      </c>
      <c r="L51" s="171" t="s">
        <v>1951</v>
      </c>
      <c r="M51" s="171" t="s">
        <v>5032</v>
      </c>
      <c r="N51" s="171"/>
      <c r="O51" s="171"/>
      <c r="P51" s="171" t="s">
        <v>4174</v>
      </c>
      <c r="Q51" s="171" t="s">
        <v>22</v>
      </c>
      <c r="R51" s="171" t="s">
        <v>7233</v>
      </c>
      <c r="S51" s="171">
        <v>2029</v>
      </c>
      <c r="T51" s="171" t="s">
        <v>361</v>
      </c>
      <c r="U51" s="171"/>
      <c r="V51" s="172">
        <v>44044</v>
      </c>
      <c r="W51" s="171">
        <v>2020</v>
      </c>
      <c r="X51" s="171" t="s">
        <v>1957</v>
      </c>
      <c r="Y51" s="171" t="s">
        <v>1659</v>
      </c>
      <c r="Z51" s="178" t="s">
        <v>3390</v>
      </c>
      <c r="AA51" s="171" t="s">
        <v>1957</v>
      </c>
      <c r="AB51" s="171">
        <v>2030</v>
      </c>
      <c r="AC51" s="171">
        <v>2019</v>
      </c>
      <c r="AD51" s="171"/>
      <c r="AE51" s="171"/>
      <c r="AF51" s="171"/>
      <c r="AG51" s="171" t="s">
        <v>4174</v>
      </c>
      <c r="AH51" s="171">
        <v>2023</v>
      </c>
      <c r="AI51" s="171" t="s">
        <v>4174</v>
      </c>
      <c r="AJ51" s="176" t="s">
        <v>8102</v>
      </c>
      <c r="AK51" s="171"/>
      <c r="AL51" s="171" t="s">
        <v>8101</v>
      </c>
      <c r="AM51" s="171"/>
      <c r="AN51" s="171" t="s">
        <v>4172</v>
      </c>
      <c r="AO51" s="171" t="s">
        <v>4411</v>
      </c>
      <c r="AP51" s="171" t="s">
        <v>2072</v>
      </c>
      <c r="AQ51" s="171" t="s">
        <v>4172</v>
      </c>
      <c r="AR51" s="171">
        <v>2050</v>
      </c>
      <c r="AS51" s="171">
        <v>2023</v>
      </c>
      <c r="AT51" s="171"/>
      <c r="AU51" s="171"/>
      <c r="AV51" s="171"/>
      <c r="AW51" s="171" t="s">
        <v>4174</v>
      </c>
      <c r="AX51" s="171" t="s">
        <v>8100</v>
      </c>
      <c r="AY51" s="171"/>
      <c r="AZ51" s="171"/>
      <c r="BA51" s="171"/>
      <c r="BB51" s="171"/>
      <c r="BC51" s="171"/>
      <c r="BD51" s="171"/>
      <c r="BE51" s="171"/>
      <c r="BF51" s="225"/>
      <c r="BG51" s="171"/>
      <c r="BH51" s="171"/>
      <c r="BI51" s="171"/>
      <c r="BJ51" s="171"/>
      <c r="BK51" s="171">
        <v>1</v>
      </c>
      <c r="BL51" s="171"/>
      <c r="BM51" s="171">
        <v>1</v>
      </c>
      <c r="BN51" s="171"/>
      <c r="BO51" s="171"/>
      <c r="BP51" s="171">
        <v>1</v>
      </c>
      <c r="BQ51" s="171">
        <v>1</v>
      </c>
      <c r="BR51" s="171"/>
      <c r="BS51" s="171">
        <v>1</v>
      </c>
      <c r="BT51" s="171"/>
      <c r="BU51" s="171">
        <v>1</v>
      </c>
      <c r="BV51" s="171"/>
      <c r="BW51" s="171"/>
      <c r="BX51" s="171"/>
      <c r="BY51" s="171"/>
      <c r="BZ51" s="171">
        <v>1</v>
      </c>
      <c r="CA51" s="171">
        <v>1</v>
      </c>
      <c r="CB51" s="171">
        <v>1</v>
      </c>
      <c r="CC51" s="171">
        <v>1</v>
      </c>
      <c r="CD51" s="171"/>
      <c r="CE51" s="171">
        <v>1</v>
      </c>
      <c r="CF51" s="171"/>
      <c r="CG51" s="171">
        <v>1</v>
      </c>
      <c r="CH51" s="171">
        <v>1</v>
      </c>
      <c r="CI51" s="171"/>
      <c r="CJ51" s="171"/>
      <c r="CK51" s="171">
        <v>1</v>
      </c>
      <c r="CL51" s="171">
        <v>1</v>
      </c>
      <c r="CM51">
        <f t="shared" si="1"/>
        <v>2050</v>
      </c>
    </row>
    <row r="52" spans="1:91">
      <c r="A52" s="171">
        <v>192</v>
      </c>
      <c r="B52" s="171" t="s">
        <v>1410</v>
      </c>
      <c r="C52" s="171">
        <v>193</v>
      </c>
      <c r="D52" s="171" t="str">
        <f t="shared" si="0"/>
        <v/>
      </c>
      <c r="E52" s="171" t="s">
        <v>7228</v>
      </c>
      <c r="F52" s="174">
        <v>45477</v>
      </c>
      <c r="G52" s="171" t="s">
        <v>7220</v>
      </c>
      <c r="H52" s="173">
        <v>328.1</v>
      </c>
      <c r="I52" s="171"/>
      <c r="J52" s="171" t="s">
        <v>4476</v>
      </c>
      <c r="K52" s="171" t="s">
        <v>73</v>
      </c>
      <c r="L52" s="171" t="s">
        <v>1994</v>
      </c>
      <c r="M52" s="171" t="s">
        <v>5032</v>
      </c>
      <c r="N52" s="171"/>
      <c r="O52" s="171"/>
      <c r="P52" s="171" t="s">
        <v>5032</v>
      </c>
      <c r="Q52" s="171"/>
      <c r="R52" s="171"/>
      <c r="S52" s="171"/>
      <c r="T52" s="171"/>
      <c r="U52" s="171"/>
      <c r="V52" s="175"/>
      <c r="W52" s="171"/>
      <c r="X52" s="171" t="s">
        <v>5032</v>
      </c>
      <c r="Y52" s="171"/>
      <c r="Z52" s="171"/>
      <c r="AA52" s="171" t="s">
        <v>5032</v>
      </c>
      <c r="AB52" s="171"/>
      <c r="AC52" s="171"/>
      <c r="AD52" s="171"/>
      <c r="AE52" s="171"/>
      <c r="AF52" s="171"/>
      <c r="AG52" s="171"/>
      <c r="AH52" s="171"/>
      <c r="AI52" s="171"/>
      <c r="AJ52" s="171"/>
      <c r="AK52" s="171"/>
      <c r="AL52" s="171" t="s">
        <v>8099</v>
      </c>
      <c r="AM52" s="171"/>
      <c r="AN52" s="171" t="s">
        <v>5032</v>
      </c>
      <c r="AO52" s="171"/>
      <c r="AP52" s="171"/>
      <c r="AQ52" s="171" t="s">
        <v>5032</v>
      </c>
      <c r="AR52" s="171"/>
      <c r="AS52" s="171"/>
      <c r="AT52" s="171"/>
      <c r="AU52" s="171"/>
      <c r="AV52" s="171"/>
      <c r="AW52" s="171"/>
      <c r="AX52" s="171" t="s">
        <v>8099</v>
      </c>
      <c r="AY52" s="171"/>
      <c r="AZ52" s="171"/>
      <c r="BA52" s="171"/>
      <c r="BB52" s="171"/>
      <c r="BC52" s="171"/>
      <c r="BD52" s="171"/>
      <c r="BE52" s="171"/>
      <c r="BF52" s="225"/>
      <c r="BG52" s="171"/>
      <c r="BH52" s="171"/>
      <c r="BI52" s="171"/>
      <c r="BJ52" s="171"/>
      <c r="BK52" s="171"/>
      <c r="BL52" s="171"/>
      <c r="BM52" s="171"/>
      <c r="BN52" s="171"/>
      <c r="BO52" s="171"/>
      <c r="BP52" s="171"/>
      <c r="BQ52" s="171"/>
      <c r="BR52" s="171"/>
      <c r="BS52" s="171"/>
      <c r="BT52" s="171"/>
      <c r="BU52" s="171"/>
      <c r="BV52" s="171"/>
      <c r="BW52" s="171"/>
      <c r="BX52" s="171"/>
      <c r="BY52" s="171"/>
      <c r="BZ52" s="171"/>
      <c r="CA52" s="171"/>
      <c r="CB52" s="171"/>
      <c r="CC52" s="171"/>
      <c r="CD52" s="171"/>
      <c r="CE52" s="171"/>
      <c r="CF52" s="171"/>
      <c r="CG52" s="171"/>
      <c r="CH52" s="171"/>
      <c r="CI52" s="171"/>
      <c r="CJ52" s="171"/>
      <c r="CK52" s="171"/>
      <c r="CL52" s="171"/>
    </row>
    <row r="53" spans="1:91">
      <c r="A53" s="171">
        <v>458</v>
      </c>
      <c r="B53" s="171" t="s">
        <v>4410</v>
      </c>
      <c r="C53" s="171">
        <v>465</v>
      </c>
      <c r="D53" s="171" t="str">
        <f t="shared" si="0"/>
        <v/>
      </c>
      <c r="E53" s="171" t="s">
        <v>7223</v>
      </c>
      <c r="F53" s="174">
        <v>45512</v>
      </c>
      <c r="G53" s="186" t="s">
        <v>7223</v>
      </c>
      <c r="H53" s="173">
        <v>138.9</v>
      </c>
      <c r="I53" s="181"/>
      <c r="J53" s="171" t="s">
        <v>4494</v>
      </c>
      <c r="K53" s="171" t="s">
        <v>73</v>
      </c>
      <c r="L53" s="171" t="s">
        <v>1994</v>
      </c>
      <c r="M53" s="171" t="s">
        <v>5032</v>
      </c>
      <c r="N53" s="171"/>
      <c r="O53" s="171"/>
      <c r="P53" s="171" t="s">
        <v>5032</v>
      </c>
      <c r="Q53" s="171"/>
      <c r="R53" s="171"/>
      <c r="S53" s="171"/>
      <c r="T53" s="171"/>
      <c r="U53" s="171"/>
      <c r="V53" s="175"/>
      <c r="W53" s="171"/>
      <c r="X53" s="171" t="s">
        <v>5032</v>
      </c>
      <c r="Y53" s="171"/>
      <c r="Z53" s="171"/>
      <c r="AA53" s="171" t="s">
        <v>5032</v>
      </c>
      <c r="AB53" s="171"/>
      <c r="AC53" s="171"/>
      <c r="AD53" s="171"/>
      <c r="AE53" s="171"/>
      <c r="AF53" s="171"/>
      <c r="AG53" s="171"/>
      <c r="AH53" s="171"/>
      <c r="AI53" s="171"/>
      <c r="AJ53" s="171"/>
      <c r="AK53" s="171"/>
      <c r="AL53" s="171"/>
      <c r="AM53" s="171"/>
      <c r="AN53" s="171" t="s">
        <v>5032</v>
      </c>
      <c r="AO53" s="171"/>
      <c r="AP53" s="171"/>
      <c r="AQ53" s="171" t="s">
        <v>5032</v>
      </c>
      <c r="AR53" s="171"/>
      <c r="AS53" s="171"/>
      <c r="AT53" s="171"/>
      <c r="AU53" s="171"/>
      <c r="AV53" s="171"/>
      <c r="AW53" s="171"/>
      <c r="AX53" s="171"/>
      <c r="AY53" s="171"/>
      <c r="AZ53" s="171"/>
      <c r="BA53" s="171"/>
      <c r="BB53" s="171"/>
      <c r="BC53" s="171"/>
      <c r="BD53" s="171"/>
      <c r="BE53" s="171"/>
      <c r="BF53" s="225"/>
      <c r="BG53" s="171"/>
      <c r="BH53" s="171"/>
      <c r="BI53" s="171"/>
      <c r="BJ53" s="171"/>
      <c r="BK53" s="171"/>
      <c r="BL53" s="171"/>
      <c r="BM53" s="171"/>
      <c r="BN53" s="171"/>
      <c r="BO53" s="171"/>
      <c r="BP53" s="171"/>
      <c r="BQ53" s="171"/>
      <c r="BR53" s="171"/>
      <c r="BS53" s="171"/>
      <c r="BT53" s="171"/>
      <c r="BU53" s="171"/>
      <c r="BV53" s="171"/>
      <c r="BW53" s="171"/>
      <c r="BX53" s="171"/>
      <c r="BY53" s="171"/>
      <c r="BZ53" s="171"/>
      <c r="CA53" s="171"/>
      <c r="CB53" s="171"/>
      <c r="CC53" s="171"/>
      <c r="CD53" s="171"/>
      <c r="CE53" s="171"/>
      <c r="CF53" s="171"/>
      <c r="CG53" s="171"/>
      <c r="CH53" s="171"/>
      <c r="CI53" s="171"/>
      <c r="CJ53" s="171"/>
      <c r="CK53" s="171"/>
      <c r="CL53" s="171"/>
    </row>
    <row r="54" spans="1:91">
      <c r="A54" s="171">
        <v>9</v>
      </c>
      <c r="B54" s="171" t="s">
        <v>1843</v>
      </c>
      <c r="C54" s="171">
        <v>14</v>
      </c>
      <c r="D54" s="171" t="str">
        <f t="shared" si="0"/>
        <v/>
      </c>
      <c r="E54" s="171" t="s">
        <v>7221</v>
      </c>
      <c r="F54" s="174">
        <v>45475</v>
      </c>
      <c r="G54" s="171" t="s">
        <v>7223</v>
      </c>
      <c r="H54" s="173">
        <v>96223</v>
      </c>
      <c r="I54" s="171"/>
      <c r="J54" s="171" t="s">
        <v>4465</v>
      </c>
      <c r="K54" s="171" t="s">
        <v>4457</v>
      </c>
      <c r="L54" s="171" t="s">
        <v>2029</v>
      </c>
      <c r="M54" s="171" t="s">
        <v>5032</v>
      </c>
      <c r="N54" s="171"/>
      <c r="O54" s="171"/>
      <c r="P54" s="171" t="s">
        <v>5032</v>
      </c>
      <c r="Q54" s="171"/>
      <c r="R54" s="171"/>
      <c r="S54" s="171"/>
      <c r="T54" s="171"/>
      <c r="U54" s="171"/>
      <c r="V54" s="175"/>
      <c r="W54" s="171"/>
      <c r="X54" s="171" t="s">
        <v>5032</v>
      </c>
      <c r="Y54" s="171"/>
      <c r="Z54" s="171"/>
      <c r="AA54" s="171" t="s">
        <v>5032</v>
      </c>
      <c r="AB54" s="171"/>
      <c r="AC54" s="171"/>
      <c r="AD54" s="171"/>
      <c r="AE54" s="171"/>
      <c r="AF54" s="171"/>
      <c r="AG54" s="171"/>
      <c r="AH54" s="171"/>
      <c r="AI54" s="171"/>
      <c r="AJ54" s="171"/>
      <c r="AK54" s="171"/>
      <c r="AL54" s="171"/>
      <c r="AM54" s="171"/>
      <c r="AN54" s="171" t="s">
        <v>5032</v>
      </c>
      <c r="AO54" s="171"/>
      <c r="AP54" s="171"/>
      <c r="AQ54" s="171" t="s">
        <v>5032</v>
      </c>
      <c r="AR54" s="171"/>
      <c r="AS54" s="171"/>
      <c r="AT54" s="171"/>
      <c r="AU54" s="171"/>
      <c r="AV54" s="171"/>
      <c r="AW54" s="171"/>
      <c r="AX54" s="171"/>
      <c r="AY54" s="171"/>
      <c r="AZ54" s="171"/>
      <c r="BA54" s="171"/>
      <c r="BB54" s="171"/>
      <c r="BC54" s="171"/>
      <c r="BD54" s="171"/>
      <c r="BE54" s="171"/>
      <c r="BF54" s="225"/>
      <c r="BG54" s="171"/>
      <c r="BH54" s="171"/>
      <c r="BI54" s="171"/>
      <c r="BJ54" s="171"/>
      <c r="BK54" s="171"/>
      <c r="BL54" s="171"/>
      <c r="BM54" s="171"/>
      <c r="BN54" s="171"/>
      <c r="BO54" s="171"/>
      <c r="BP54" s="171"/>
      <c r="BQ54" s="171"/>
      <c r="BR54" s="171"/>
      <c r="BS54" s="171"/>
      <c r="BT54" s="171"/>
      <c r="BU54" s="171"/>
      <c r="BV54" s="171"/>
      <c r="BW54" s="171"/>
      <c r="BX54" s="171"/>
      <c r="BY54" s="171"/>
      <c r="BZ54" s="171"/>
      <c r="CA54" s="171"/>
      <c r="CB54" s="171"/>
      <c r="CC54" s="171"/>
      <c r="CD54" s="171"/>
      <c r="CE54" s="171"/>
      <c r="CF54" s="171"/>
      <c r="CG54" s="171"/>
      <c r="CH54" s="171"/>
      <c r="CI54" s="171"/>
      <c r="CJ54" s="171"/>
      <c r="CK54" s="171"/>
      <c r="CL54" s="171"/>
    </row>
    <row r="55" spans="1:91">
      <c r="A55" s="171">
        <v>352</v>
      </c>
      <c r="B55" s="171" t="s">
        <v>913</v>
      </c>
      <c r="C55" s="171">
        <v>311</v>
      </c>
      <c r="D55" s="171" t="str">
        <f t="shared" si="0"/>
        <v>CN NZ SBT</v>
      </c>
      <c r="E55" s="171" t="s">
        <v>7228</v>
      </c>
      <c r="F55" s="174">
        <v>45481</v>
      </c>
      <c r="G55" s="171" t="s">
        <v>7223</v>
      </c>
      <c r="H55" s="173">
        <v>1241</v>
      </c>
      <c r="I55" s="171"/>
      <c r="J55" s="171" t="s">
        <v>4467</v>
      </c>
      <c r="K55" s="171" t="s">
        <v>4457</v>
      </c>
      <c r="L55" s="171" t="s">
        <v>2029</v>
      </c>
      <c r="M55" s="171" t="s">
        <v>5032</v>
      </c>
      <c r="N55" s="171"/>
      <c r="O55" s="171"/>
      <c r="P55" s="171" t="s">
        <v>4174</v>
      </c>
      <c r="Q55" s="171" t="s">
        <v>22</v>
      </c>
      <c r="R55" s="171" t="s">
        <v>7233</v>
      </c>
      <c r="S55" s="171">
        <v>2030</v>
      </c>
      <c r="T55" s="171" t="s">
        <v>1</v>
      </c>
      <c r="U55" s="171"/>
      <c r="V55" s="172">
        <v>43647</v>
      </c>
      <c r="W55" s="171">
        <v>2019</v>
      </c>
      <c r="X55" s="171" t="s">
        <v>1957</v>
      </c>
      <c r="Y55" s="171" t="s">
        <v>8098</v>
      </c>
      <c r="Z55" s="171" t="s">
        <v>7225</v>
      </c>
      <c r="AA55" s="171" t="s">
        <v>1957</v>
      </c>
      <c r="AB55" s="171">
        <v>2040</v>
      </c>
      <c r="AC55" s="171">
        <v>2019</v>
      </c>
      <c r="AD55" s="171"/>
      <c r="AE55" s="171"/>
      <c r="AF55" s="171"/>
      <c r="AG55" s="171" t="s">
        <v>4174</v>
      </c>
      <c r="AH55" s="171"/>
      <c r="AI55" s="171" t="s">
        <v>4174</v>
      </c>
      <c r="AJ55" s="171"/>
      <c r="AK55" s="171"/>
      <c r="AL55" s="171" t="s">
        <v>8096</v>
      </c>
      <c r="AM55" s="171"/>
      <c r="AN55" s="171" t="s">
        <v>1957</v>
      </c>
      <c r="AO55" s="171" t="s">
        <v>4363</v>
      </c>
      <c r="AP55" s="171" t="s">
        <v>8097</v>
      </c>
      <c r="AQ55" s="171" t="s">
        <v>1957</v>
      </c>
      <c r="AR55" s="171">
        <v>2040</v>
      </c>
      <c r="AS55" s="171">
        <v>2020</v>
      </c>
      <c r="AT55" s="171"/>
      <c r="AU55" s="171"/>
      <c r="AV55" s="171"/>
      <c r="AW55" s="171" t="s">
        <v>4174</v>
      </c>
      <c r="AX55" s="171" t="s">
        <v>8096</v>
      </c>
      <c r="AY55" s="171"/>
      <c r="AZ55" s="171"/>
      <c r="BA55" s="171"/>
      <c r="BB55" s="171"/>
      <c r="BC55" s="171"/>
      <c r="BD55" s="171"/>
      <c r="BE55" s="171"/>
      <c r="BF55" s="225"/>
      <c r="BG55" s="171"/>
      <c r="BH55" s="171"/>
      <c r="BI55" s="171"/>
      <c r="BJ55" s="171"/>
      <c r="BK55" s="171"/>
      <c r="BL55" s="171">
        <v>1</v>
      </c>
      <c r="BM55" s="171">
        <v>1</v>
      </c>
      <c r="BN55" s="171"/>
      <c r="BO55" s="171"/>
      <c r="BP55" s="171">
        <v>1</v>
      </c>
      <c r="BQ55" s="171">
        <v>1</v>
      </c>
      <c r="BR55" s="171"/>
      <c r="BS55" s="171">
        <v>1</v>
      </c>
      <c r="BT55" s="171"/>
      <c r="BU55" s="171">
        <v>1</v>
      </c>
      <c r="BV55" s="171"/>
      <c r="BW55" s="171"/>
      <c r="BX55" s="171"/>
      <c r="BY55" s="171"/>
      <c r="BZ55" s="171">
        <v>1</v>
      </c>
      <c r="CA55" s="171"/>
      <c r="CB55" s="171">
        <v>1</v>
      </c>
      <c r="CC55" s="171">
        <v>1</v>
      </c>
      <c r="CD55" s="171"/>
      <c r="CE55" s="171">
        <v>1</v>
      </c>
      <c r="CF55" s="171"/>
      <c r="CG55" s="171">
        <v>1</v>
      </c>
      <c r="CH55" s="171">
        <v>1</v>
      </c>
      <c r="CI55" s="171"/>
      <c r="CJ55" s="171"/>
      <c r="CK55" s="171"/>
      <c r="CL55" s="171"/>
      <c r="CM55">
        <f t="shared" si="1"/>
        <v>2040</v>
      </c>
    </row>
    <row r="56" spans="1:91">
      <c r="A56" s="171">
        <v>258</v>
      </c>
      <c r="B56" s="171" t="s">
        <v>917</v>
      </c>
      <c r="C56" s="171">
        <v>233</v>
      </c>
      <c r="D56" s="171" t="str">
        <f t="shared" si="0"/>
        <v xml:space="preserve"> NZ</v>
      </c>
      <c r="E56" s="171" t="s">
        <v>7220</v>
      </c>
      <c r="F56" s="174">
        <v>45477</v>
      </c>
      <c r="G56" s="171" t="s">
        <v>7220</v>
      </c>
      <c r="H56" s="173">
        <v>3245.4</v>
      </c>
      <c r="I56" s="171"/>
      <c r="J56" s="171" t="s">
        <v>3498</v>
      </c>
      <c r="K56" s="171" t="s">
        <v>87</v>
      </c>
      <c r="L56" s="171" t="s">
        <v>1994</v>
      </c>
      <c r="M56" s="171" t="s">
        <v>5032</v>
      </c>
      <c r="N56" s="171"/>
      <c r="O56" s="171"/>
      <c r="P56" s="171" t="s">
        <v>5032</v>
      </c>
      <c r="Q56" s="171"/>
      <c r="R56" s="171"/>
      <c r="S56" s="171"/>
      <c r="T56" s="171"/>
      <c r="U56" s="171"/>
      <c r="V56" s="175"/>
      <c r="W56" s="171"/>
      <c r="X56" s="171" t="s">
        <v>5032</v>
      </c>
      <c r="Y56" s="171"/>
      <c r="Z56" s="171"/>
      <c r="AA56" s="171" t="s">
        <v>5032</v>
      </c>
      <c r="AB56" s="171"/>
      <c r="AC56" s="171"/>
      <c r="AD56" s="171"/>
      <c r="AE56" s="171"/>
      <c r="AF56" s="171"/>
      <c r="AG56" s="171"/>
      <c r="AH56" s="171"/>
      <c r="AI56" s="171"/>
      <c r="AJ56" s="171"/>
      <c r="AK56" s="171"/>
      <c r="AL56" s="171"/>
      <c r="AM56" s="171"/>
      <c r="AN56" s="171" t="s">
        <v>1957</v>
      </c>
      <c r="AO56" s="171" t="s">
        <v>109</v>
      </c>
      <c r="AP56" s="171" t="s">
        <v>2072</v>
      </c>
      <c r="AQ56" s="171" t="s">
        <v>1957</v>
      </c>
      <c r="AR56" s="171">
        <v>2040</v>
      </c>
      <c r="AS56" s="171">
        <v>2021</v>
      </c>
      <c r="AT56" s="171"/>
      <c r="AU56" s="171"/>
      <c r="AV56" s="171"/>
      <c r="AW56" s="171" t="s">
        <v>4174</v>
      </c>
      <c r="AX56" s="171" t="s">
        <v>8095</v>
      </c>
      <c r="AY56" s="171"/>
      <c r="AZ56" s="171"/>
      <c r="BA56" s="171"/>
      <c r="BB56" s="171"/>
      <c r="BC56" s="171"/>
      <c r="BD56" s="171"/>
      <c r="BE56" s="171"/>
      <c r="BF56" s="225"/>
      <c r="BG56" s="171"/>
      <c r="BH56" s="171"/>
      <c r="BI56" s="171"/>
      <c r="BJ56" s="171"/>
      <c r="BK56" s="171"/>
      <c r="BL56" s="171"/>
      <c r="BM56" s="171"/>
      <c r="BN56" s="171"/>
      <c r="BO56" s="171"/>
      <c r="BP56" s="171">
        <v>1</v>
      </c>
      <c r="BQ56" s="171">
        <v>1</v>
      </c>
      <c r="BR56" s="171"/>
      <c r="BS56" s="171"/>
      <c r="BT56" s="171"/>
      <c r="BU56" s="171"/>
      <c r="BV56" s="171"/>
      <c r="BW56" s="171"/>
      <c r="BX56" s="171"/>
      <c r="BY56" s="171"/>
      <c r="BZ56" s="171">
        <v>1</v>
      </c>
      <c r="CA56" s="171"/>
      <c r="CB56" s="171">
        <v>1</v>
      </c>
      <c r="CC56" s="171">
        <v>1</v>
      </c>
      <c r="CD56" s="171"/>
      <c r="CE56" s="171">
        <v>1</v>
      </c>
      <c r="CF56" s="171"/>
      <c r="CG56" s="171"/>
      <c r="CH56" s="171">
        <v>1</v>
      </c>
      <c r="CI56" s="171"/>
      <c r="CJ56" s="171"/>
      <c r="CK56" s="171"/>
      <c r="CL56" s="171"/>
      <c r="CM56">
        <f t="shared" si="1"/>
        <v>2040</v>
      </c>
    </row>
    <row r="57" spans="1:91">
      <c r="A57" s="171">
        <v>268</v>
      </c>
      <c r="B57" s="171" t="s">
        <v>1005</v>
      </c>
      <c r="C57" s="171">
        <v>180</v>
      </c>
      <c r="D57" s="171" t="str">
        <f t="shared" si="0"/>
        <v xml:space="preserve"> NZ</v>
      </c>
      <c r="E57" s="171" t="s">
        <v>7223</v>
      </c>
      <c r="F57" s="174">
        <v>45476</v>
      </c>
      <c r="G57" s="171" t="s">
        <v>7220</v>
      </c>
      <c r="H57" s="173">
        <v>12921</v>
      </c>
      <c r="I57" s="171"/>
      <c r="J57" s="171" t="s">
        <v>4494</v>
      </c>
      <c r="K57" s="171" t="s">
        <v>161</v>
      </c>
      <c r="L57" s="171" t="s">
        <v>8320</v>
      </c>
      <c r="M57" s="171" t="s">
        <v>5032</v>
      </c>
      <c r="N57" s="171"/>
      <c r="O57" s="171"/>
      <c r="P57" s="171" t="s">
        <v>5032</v>
      </c>
      <c r="Q57" s="171"/>
      <c r="R57" s="171"/>
      <c r="S57" s="171"/>
      <c r="T57" s="171"/>
      <c r="U57" s="171"/>
      <c r="V57" s="175"/>
      <c r="W57" s="171"/>
      <c r="X57" s="171" t="s">
        <v>5032</v>
      </c>
      <c r="Y57" s="171"/>
      <c r="Z57" s="171"/>
      <c r="AA57" s="171" t="s">
        <v>5032</v>
      </c>
      <c r="AB57" s="171"/>
      <c r="AC57" s="171"/>
      <c r="AD57" s="171"/>
      <c r="AE57" s="171"/>
      <c r="AF57" s="171"/>
      <c r="AG57" s="171"/>
      <c r="AH57" s="171"/>
      <c r="AI57" s="171"/>
      <c r="AJ57" s="171"/>
      <c r="AK57" s="171"/>
      <c r="AL57" s="171"/>
      <c r="AM57" s="171"/>
      <c r="AN57" s="171" t="s">
        <v>1957</v>
      </c>
      <c r="AO57" s="171" t="s">
        <v>1659</v>
      </c>
      <c r="AP57" s="171" t="s">
        <v>7360</v>
      </c>
      <c r="AQ57" s="171" t="s">
        <v>1957</v>
      </c>
      <c r="AR57" s="171">
        <v>2050</v>
      </c>
      <c r="AS57" s="171">
        <v>2020</v>
      </c>
      <c r="AT57" s="171"/>
      <c r="AU57" s="171"/>
      <c r="AV57" s="171"/>
      <c r="AW57" s="171" t="s">
        <v>4174</v>
      </c>
      <c r="AX57" s="171" t="s">
        <v>8094</v>
      </c>
      <c r="AY57" s="171"/>
      <c r="AZ57" s="171"/>
      <c r="BA57" s="171"/>
      <c r="BB57" s="171"/>
      <c r="BC57" s="171" t="s">
        <v>8093</v>
      </c>
      <c r="BD57" s="171" t="s">
        <v>4174</v>
      </c>
      <c r="BE57" s="171" t="s">
        <v>8093</v>
      </c>
      <c r="BF57" s="225" t="s">
        <v>5032</v>
      </c>
      <c r="BG57" s="171"/>
      <c r="BH57" s="171"/>
      <c r="BI57" s="171" t="s">
        <v>8092</v>
      </c>
      <c r="BJ57" s="171"/>
      <c r="BK57" s="171"/>
      <c r="BL57" s="171"/>
      <c r="BM57" s="171"/>
      <c r="BN57" s="171"/>
      <c r="BO57" s="171"/>
      <c r="BP57" s="171">
        <v>1</v>
      </c>
      <c r="BQ57" s="171">
        <v>1</v>
      </c>
      <c r="BR57" s="171"/>
      <c r="BS57" s="171"/>
      <c r="BT57" s="171"/>
      <c r="BU57" s="171"/>
      <c r="BV57" s="171"/>
      <c r="BW57" s="171"/>
      <c r="BX57" s="171"/>
      <c r="BY57" s="171"/>
      <c r="BZ57" s="171">
        <v>1</v>
      </c>
      <c r="CA57" s="171"/>
      <c r="CB57" s="171">
        <v>1</v>
      </c>
      <c r="CC57" s="171">
        <v>1</v>
      </c>
      <c r="CD57" s="171"/>
      <c r="CE57" s="171">
        <v>1</v>
      </c>
      <c r="CF57" s="171"/>
      <c r="CG57" s="171"/>
      <c r="CH57" s="171">
        <v>1</v>
      </c>
      <c r="CI57" s="171"/>
      <c r="CJ57" s="171"/>
      <c r="CK57" s="171"/>
      <c r="CL57" s="171"/>
      <c r="CM57">
        <f t="shared" si="1"/>
        <v>2050</v>
      </c>
    </row>
    <row r="58" spans="1:91">
      <c r="A58" s="171">
        <v>41</v>
      </c>
      <c r="B58" s="171" t="s">
        <v>1711</v>
      </c>
      <c r="C58" s="171">
        <v>57</v>
      </c>
      <c r="D58" s="171" t="str">
        <f t="shared" si="0"/>
        <v>CN NZ SBT RE100</v>
      </c>
      <c r="E58" s="171" t="s">
        <v>7223</v>
      </c>
      <c r="F58" s="174">
        <v>45475</v>
      </c>
      <c r="G58" s="171" t="s">
        <v>7220</v>
      </c>
      <c r="H58" s="173">
        <v>12205.2</v>
      </c>
      <c r="I58" s="171"/>
      <c r="J58" s="171" t="s">
        <v>4476</v>
      </c>
      <c r="K58" s="171" t="s">
        <v>146</v>
      </c>
      <c r="L58" s="171" t="s">
        <v>1951</v>
      </c>
      <c r="M58" s="171" t="s">
        <v>4174</v>
      </c>
      <c r="N58" s="171">
        <v>2015</v>
      </c>
      <c r="O58" s="171">
        <v>2050</v>
      </c>
      <c r="P58" s="171" t="s">
        <v>4174</v>
      </c>
      <c r="Q58" s="171" t="s">
        <v>22</v>
      </c>
      <c r="R58" s="171" t="s">
        <v>7262</v>
      </c>
      <c r="S58" s="171">
        <v>2030</v>
      </c>
      <c r="T58" s="171" t="s">
        <v>361</v>
      </c>
      <c r="U58" s="171"/>
      <c r="V58" s="172">
        <v>44593</v>
      </c>
      <c r="W58" s="171">
        <v>2022</v>
      </c>
      <c r="X58" s="171" t="s">
        <v>5050</v>
      </c>
      <c r="Y58" s="179" t="s">
        <v>6922</v>
      </c>
      <c r="Z58" s="179" t="s">
        <v>7225</v>
      </c>
      <c r="AA58" s="171" t="s">
        <v>5050</v>
      </c>
      <c r="AB58" s="171">
        <v>2050</v>
      </c>
      <c r="AC58" s="171">
        <v>2020</v>
      </c>
      <c r="AD58" s="171"/>
      <c r="AE58" s="171"/>
      <c r="AF58" s="171"/>
      <c r="AG58" s="171" t="s">
        <v>4174</v>
      </c>
      <c r="AH58" s="171"/>
      <c r="AI58" s="171" t="s">
        <v>4174</v>
      </c>
      <c r="AJ58" s="171"/>
      <c r="AK58" s="171"/>
      <c r="AL58" s="176" t="s">
        <v>6921</v>
      </c>
      <c r="AM58" s="171"/>
      <c r="AN58" s="171" t="s">
        <v>4172</v>
      </c>
      <c r="AO58" s="171" t="s">
        <v>4411</v>
      </c>
      <c r="AP58" s="171" t="s">
        <v>2072</v>
      </c>
      <c r="AQ58" s="171" t="s">
        <v>4172</v>
      </c>
      <c r="AR58" s="171">
        <v>2050</v>
      </c>
      <c r="AS58" s="171">
        <v>2022</v>
      </c>
      <c r="AT58" s="171"/>
      <c r="AU58" s="171"/>
      <c r="AV58" s="171"/>
      <c r="AW58" s="171" t="s">
        <v>2082</v>
      </c>
      <c r="AX58" s="171" t="s">
        <v>8091</v>
      </c>
      <c r="AY58" s="171"/>
      <c r="AZ58" s="171"/>
      <c r="BA58" s="171"/>
      <c r="BB58" s="171"/>
      <c r="BC58" s="171" t="s">
        <v>8090</v>
      </c>
      <c r="BD58" s="171" t="s">
        <v>1957</v>
      </c>
      <c r="BE58" s="171" t="s">
        <v>8089</v>
      </c>
      <c r="BF58" s="225" t="s">
        <v>5032</v>
      </c>
      <c r="BG58" s="171"/>
      <c r="BH58" s="171"/>
      <c r="BI58" s="171"/>
      <c r="BJ58" s="171"/>
      <c r="BK58" s="171"/>
      <c r="BL58" s="171">
        <v>1</v>
      </c>
      <c r="BM58" s="171">
        <v>1</v>
      </c>
      <c r="BN58" s="171"/>
      <c r="BO58" s="171"/>
      <c r="BP58" s="171">
        <v>1</v>
      </c>
      <c r="BQ58" s="171">
        <v>1</v>
      </c>
      <c r="BR58" s="171"/>
      <c r="BS58" s="171">
        <v>1</v>
      </c>
      <c r="BT58" s="171"/>
      <c r="BU58" s="171">
        <v>1</v>
      </c>
      <c r="BV58" s="171"/>
      <c r="BW58" s="171"/>
      <c r="BX58" s="171">
        <v>1</v>
      </c>
      <c r="BY58" s="171">
        <v>1</v>
      </c>
      <c r="BZ58" s="171">
        <v>1</v>
      </c>
      <c r="CA58" s="171"/>
      <c r="CB58" s="171">
        <v>1</v>
      </c>
      <c r="CC58" s="171">
        <v>1</v>
      </c>
      <c r="CD58" s="171"/>
      <c r="CE58" s="171">
        <v>1</v>
      </c>
      <c r="CF58" s="171"/>
      <c r="CG58" s="171">
        <v>1</v>
      </c>
      <c r="CH58" s="171">
        <v>1</v>
      </c>
      <c r="CI58" s="171"/>
      <c r="CJ58" s="171"/>
      <c r="CK58" s="171">
        <v>1</v>
      </c>
      <c r="CL58" s="171">
        <v>1</v>
      </c>
      <c r="CM58">
        <f t="shared" si="1"/>
        <v>2050</v>
      </c>
    </row>
    <row r="59" spans="1:91">
      <c r="A59" s="171">
        <v>64</v>
      </c>
      <c r="B59" s="171" t="s">
        <v>1510</v>
      </c>
      <c r="C59" s="171">
        <v>127</v>
      </c>
      <c r="D59" s="171" t="str">
        <f t="shared" si="0"/>
        <v>CN SBT</v>
      </c>
      <c r="E59" s="171" t="s">
        <v>7288</v>
      </c>
      <c r="F59" s="174">
        <v>45476</v>
      </c>
      <c r="G59" s="171" t="s">
        <v>7223</v>
      </c>
      <c r="H59" s="173">
        <v>11864.6</v>
      </c>
      <c r="I59" s="171"/>
      <c r="J59" s="171" t="s">
        <v>4465</v>
      </c>
      <c r="K59" s="171" t="s">
        <v>63</v>
      </c>
      <c r="L59" s="171" t="s">
        <v>1951</v>
      </c>
      <c r="M59" s="171" t="s">
        <v>5032</v>
      </c>
      <c r="N59" s="171"/>
      <c r="O59" s="171"/>
      <c r="P59" s="171" t="s">
        <v>5032</v>
      </c>
      <c r="Q59" s="171" t="s">
        <v>165</v>
      </c>
      <c r="R59" s="171"/>
      <c r="S59" s="171">
        <v>2030</v>
      </c>
      <c r="T59" s="171" t="s">
        <v>1</v>
      </c>
      <c r="U59" s="171"/>
      <c r="V59" s="172">
        <v>42461</v>
      </c>
      <c r="W59" s="171">
        <v>2016</v>
      </c>
      <c r="X59" s="171" t="s">
        <v>5050</v>
      </c>
      <c r="Y59" s="171" t="s">
        <v>8088</v>
      </c>
      <c r="Z59" s="171" t="s">
        <v>7225</v>
      </c>
      <c r="AA59" s="171" t="s">
        <v>5050</v>
      </c>
      <c r="AB59" s="171">
        <v>2050</v>
      </c>
      <c r="AC59" s="171">
        <v>2015</v>
      </c>
      <c r="AD59" s="171"/>
      <c r="AE59" s="171"/>
      <c r="AF59" s="171"/>
      <c r="AG59" s="171" t="s">
        <v>4174</v>
      </c>
      <c r="AH59" s="171"/>
      <c r="AI59" s="171" t="s">
        <v>4174</v>
      </c>
      <c r="AJ59" s="171"/>
      <c r="AK59" s="171"/>
      <c r="AL59" s="176" t="s">
        <v>8087</v>
      </c>
      <c r="AM59" s="171"/>
      <c r="AN59" s="171" t="s">
        <v>7229</v>
      </c>
      <c r="AO59" s="171"/>
      <c r="AP59" s="171"/>
      <c r="AQ59" s="171" t="s">
        <v>7229</v>
      </c>
      <c r="AR59" s="171"/>
      <c r="AS59" s="171"/>
      <c r="AT59" s="171"/>
      <c r="AU59" s="171"/>
      <c r="AV59" s="171"/>
      <c r="AW59" s="171"/>
      <c r="AX59" s="171"/>
      <c r="AY59" s="171"/>
      <c r="AZ59" s="171"/>
      <c r="BA59" s="171"/>
      <c r="BB59" s="171"/>
      <c r="BC59" s="171"/>
      <c r="BD59" s="171"/>
      <c r="BE59" s="171"/>
      <c r="BF59" s="225"/>
      <c r="BG59" s="171"/>
      <c r="BH59" s="171"/>
      <c r="BI59" s="171"/>
      <c r="BJ59" s="171"/>
      <c r="BK59" s="171"/>
      <c r="BL59" s="171">
        <v>1</v>
      </c>
      <c r="BM59" s="171">
        <v>1</v>
      </c>
      <c r="BN59" s="171"/>
      <c r="BO59" s="171"/>
      <c r="BP59" s="171"/>
      <c r="BQ59" s="171"/>
      <c r="BR59" s="171"/>
      <c r="BS59" s="171">
        <v>1</v>
      </c>
      <c r="BT59" s="171"/>
      <c r="BU59" s="171">
        <v>1</v>
      </c>
      <c r="BV59" s="171"/>
      <c r="BW59" s="171"/>
      <c r="BX59" s="171"/>
      <c r="BY59" s="171"/>
      <c r="BZ59" s="171">
        <v>1</v>
      </c>
      <c r="CA59" s="171"/>
      <c r="CB59" s="171">
        <v>1</v>
      </c>
      <c r="CC59" s="171">
        <v>1</v>
      </c>
      <c r="CD59" s="171"/>
      <c r="CE59" s="171">
        <v>1</v>
      </c>
      <c r="CF59" s="171"/>
      <c r="CG59" s="171">
        <v>1</v>
      </c>
      <c r="CH59" s="171">
        <v>1</v>
      </c>
      <c r="CI59" s="171"/>
      <c r="CJ59" s="171"/>
      <c r="CK59" s="171"/>
      <c r="CL59" s="171"/>
    </row>
    <row r="60" spans="1:91">
      <c r="A60" s="171">
        <v>159</v>
      </c>
      <c r="B60" s="171" t="s">
        <v>1664</v>
      </c>
      <c r="C60" s="171">
        <v>197</v>
      </c>
      <c r="D60" s="171" t="str">
        <f t="shared" si="0"/>
        <v>CN</v>
      </c>
      <c r="E60" s="171" t="s">
        <v>7228</v>
      </c>
      <c r="F60" s="174">
        <v>45477</v>
      </c>
      <c r="G60" s="171" t="s">
        <v>7220</v>
      </c>
      <c r="H60" s="173">
        <v>-2222</v>
      </c>
      <c r="I60" s="171"/>
      <c r="J60" s="171" t="s">
        <v>4260</v>
      </c>
      <c r="K60" s="171" t="s">
        <v>4457</v>
      </c>
      <c r="L60" s="171" t="s">
        <v>2029</v>
      </c>
      <c r="M60" s="171" t="s">
        <v>5032</v>
      </c>
      <c r="N60" s="171"/>
      <c r="O60" s="171"/>
      <c r="P60" s="171" t="s">
        <v>5032</v>
      </c>
      <c r="Q60" s="171"/>
      <c r="R60" s="171"/>
      <c r="S60" s="171"/>
      <c r="T60" s="171"/>
      <c r="U60" s="171"/>
      <c r="V60" s="175"/>
      <c r="W60" s="171"/>
      <c r="X60" s="171" t="s">
        <v>1957</v>
      </c>
      <c r="Y60" s="171" t="s">
        <v>8086</v>
      </c>
      <c r="Z60" s="171" t="s">
        <v>8085</v>
      </c>
      <c r="AA60" s="171" t="s">
        <v>1957</v>
      </c>
      <c r="AB60" s="171">
        <v>2020</v>
      </c>
      <c r="AC60" s="171">
        <v>2020</v>
      </c>
      <c r="AD60" s="171"/>
      <c r="AE60" s="171"/>
      <c r="AF60" s="171"/>
      <c r="AG60" s="171" t="s">
        <v>4174</v>
      </c>
      <c r="AH60" s="171">
        <v>2024</v>
      </c>
      <c r="AI60" s="171" t="s">
        <v>4174</v>
      </c>
      <c r="AJ60" s="171" t="s">
        <v>8084</v>
      </c>
      <c r="AK60" s="171"/>
      <c r="AL60" s="171" t="s">
        <v>8084</v>
      </c>
      <c r="AM60" s="171"/>
      <c r="AN60" s="171" t="s">
        <v>5032</v>
      </c>
      <c r="AO60" s="171"/>
      <c r="AP60" s="171"/>
      <c r="AQ60" s="171" t="s">
        <v>5032</v>
      </c>
      <c r="AR60" s="171"/>
      <c r="AS60" s="171"/>
      <c r="AT60" s="171"/>
      <c r="AU60" s="171"/>
      <c r="AV60" s="171"/>
      <c r="AW60" s="171"/>
      <c r="AX60" s="176"/>
      <c r="AY60" s="171"/>
      <c r="AZ60" s="171"/>
      <c r="BA60" s="171"/>
      <c r="BB60" s="171"/>
      <c r="BC60" s="171"/>
      <c r="BD60" s="171" t="s">
        <v>1957</v>
      </c>
      <c r="BE60" s="171" t="s">
        <v>8083</v>
      </c>
      <c r="BF60" s="225"/>
      <c r="BG60" s="171"/>
      <c r="BH60" s="171"/>
      <c r="BI60" s="171"/>
      <c r="BJ60" s="171">
        <v>1</v>
      </c>
      <c r="BK60" s="171"/>
      <c r="BL60" s="171"/>
      <c r="BM60" s="171">
        <v>1</v>
      </c>
      <c r="BN60" s="171"/>
      <c r="BO60" s="171"/>
      <c r="BP60" s="171"/>
      <c r="BQ60" s="171"/>
      <c r="BR60" s="171"/>
      <c r="BS60" s="171"/>
      <c r="BT60" s="171"/>
      <c r="BU60" s="171"/>
      <c r="BV60" s="171"/>
      <c r="BW60" s="171"/>
      <c r="BX60" s="171"/>
      <c r="BY60" s="171"/>
      <c r="BZ60" s="171">
        <v>1</v>
      </c>
      <c r="CA60" s="171">
        <v>1</v>
      </c>
      <c r="CB60" s="171">
        <v>1</v>
      </c>
      <c r="CC60" s="171">
        <v>1</v>
      </c>
      <c r="CD60" s="171"/>
      <c r="CE60" s="171">
        <v>1</v>
      </c>
      <c r="CF60" s="171">
        <v>1</v>
      </c>
      <c r="CG60" s="171">
        <v>1</v>
      </c>
      <c r="CH60" s="171">
        <v>1</v>
      </c>
      <c r="CI60" s="171"/>
      <c r="CJ60" s="171"/>
      <c r="CK60" s="171"/>
      <c r="CL60" s="171"/>
    </row>
    <row r="61" spans="1:91">
      <c r="A61" s="171">
        <v>105</v>
      </c>
      <c r="B61" s="171" t="s">
        <v>1635</v>
      </c>
      <c r="C61" s="171">
        <v>118</v>
      </c>
      <c r="D61" s="171" t="str">
        <f t="shared" si="0"/>
        <v>CN</v>
      </c>
      <c r="E61" s="171" t="s">
        <v>7228</v>
      </c>
      <c r="F61" s="174">
        <v>45475</v>
      </c>
      <c r="G61" s="171" t="s">
        <v>7223</v>
      </c>
      <c r="H61" s="173">
        <v>2271.3000000000002</v>
      </c>
      <c r="I61" s="171"/>
      <c r="J61" s="171" t="s">
        <v>4476</v>
      </c>
      <c r="K61" s="171" t="s">
        <v>146</v>
      </c>
      <c r="L61" s="171" t="s">
        <v>1951</v>
      </c>
      <c r="M61" s="171" t="s">
        <v>5032</v>
      </c>
      <c r="N61" s="171"/>
      <c r="O61" s="171"/>
      <c r="P61" s="171" t="s">
        <v>5032</v>
      </c>
      <c r="Q61" s="171"/>
      <c r="R61" s="171"/>
      <c r="S61" s="171"/>
      <c r="T61" s="171"/>
      <c r="U61" s="171"/>
      <c r="V61" s="175"/>
      <c r="W61" s="171"/>
      <c r="X61" s="171" t="s">
        <v>1957</v>
      </c>
      <c r="Y61" s="171" t="s">
        <v>4246</v>
      </c>
      <c r="Z61" s="171" t="s">
        <v>3283</v>
      </c>
      <c r="AA61" s="171" t="s">
        <v>1957</v>
      </c>
      <c r="AB61" s="171">
        <v>2020</v>
      </c>
      <c r="AC61" s="171">
        <v>2019</v>
      </c>
      <c r="AD61" s="171"/>
      <c r="AE61" s="171"/>
      <c r="AF61" s="171"/>
      <c r="AG61" s="171" t="s">
        <v>4174</v>
      </c>
      <c r="AH61" s="171">
        <v>2023</v>
      </c>
      <c r="AI61" s="171" t="s">
        <v>4174</v>
      </c>
      <c r="AJ61" s="171" t="s">
        <v>8082</v>
      </c>
      <c r="AK61" s="171"/>
      <c r="AL61" s="171" t="s">
        <v>8082</v>
      </c>
      <c r="AM61" s="171" t="s">
        <v>8081</v>
      </c>
      <c r="AN61" s="171" t="s">
        <v>5032</v>
      </c>
      <c r="AO61" s="171"/>
      <c r="AP61" s="171"/>
      <c r="AQ61" s="171" t="s">
        <v>5032</v>
      </c>
      <c r="AR61" s="171"/>
      <c r="AS61" s="171"/>
      <c r="AT61" s="171"/>
      <c r="AU61" s="171"/>
      <c r="AV61" s="171"/>
      <c r="AW61" s="171"/>
      <c r="AX61" s="171"/>
      <c r="AY61" s="171"/>
      <c r="AZ61" s="171"/>
      <c r="BA61" s="171"/>
      <c r="BB61" s="171"/>
      <c r="BC61" s="171"/>
      <c r="BD61" s="171"/>
      <c r="BE61" s="171"/>
      <c r="BF61" s="225"/>
      <c r="BG61" s="171"/>
      <c r="BH61" s="171"/>
      <c r="BI61" s="171"/>
      <c r="BJ61" s="171">
        <v>1</v>
      </c>
      <c r="BK61" s="171"/>
      <c r="BL61" s="171"/>
      <c r="BM61" s="171">
        <v>1</v>
      </c>
      <c r="BN61" s="171"/>
      <c r="BO61" s="171"/>
      <c r="BP61" s="171"/>
      <c r="BQ61" s="171"/>
      <c r="BR61" s="171"/>
      <c r="BS61" s="171"/>
      <c r="BT61" s="171"/>
      <c r="BU61" s="171"/>
      <c r="BV61" s="171"/>
      <c r="BW61" s="171"/>
      <c r="BX61" s="171"/>
      <c r="BY61" s="171"/>
      <c r="BZ61" s="171">
        <v>1</v>
      </c>
      <c r="CA61" s="171">
        <v>1</v>
      </c>
      <c r="CB61" s="171">
        <v>1</v>
      </c>
      <c r="CC61" s="171">
        <v>1</v>
      </c>
      <c r="CD61" s="171"/>
      <c r="CE61" s="171">
        <v>1</v>
      </c>
      <c r="CF61" s="171">
        <v>1</v>
      </c>
      <c r="CG61" s="171">
        <v>1</v>
      </c>
      <c r="CH61" s="171">
        <v>1</v>
      </c>
      <c r="CI61" s="171"/>
      <c r="CJ61" s="171"/>
      <c r="CK61" s="171"/>
      <c r="CL61" s="171"/>
    </row>
    <row r="62" spans="1:91">
      <c r="A62" s="171">
        <v>225</v>
      </c>
      <c r="B62" s="171" t="s">
        <v>883</v>
      </c>
      <c r="C62" s="171">
        <v>309</v>
      </c>
      <c r="D62" s="171" t="str">
        <f t="shared" si="0"/>
        <v xml:space="preserve"> SBT</v>
      </c>
      <c r="E62" s="171" t="s">
        <v>7228</v>
      </c>
      <c r="F62" s="174">
        <v>45481</v>
      </c>
      <c r="G62" s="171" t="s">
        <v>7223</v>
      </c>
      <c r="H62" s="173">
        <v>1124.3</v>
      </c>
      <c r="I62" s="171"/>
      <c r="J62" s="171" t="s">
        <v>4197</v>
      </c>
      <c r="K62" s="171" t="s">
        <v>63</v>
      </c>
      <c r="L62" s="171" t="s">
        <v>1951</v>
      </c>
      <c r="M62" s="171" t="s">
        <v>5032</v>
      </c>
      <c r="N62" s="171"/>
      <c r="O62" s="171"/>
      <c r="P62" s="171" t="s">
        <v>4174</v>
      </c>
      <c r="Q62" s="171" t="s">
        <v>22</v>
      </c>
      <c r="R62" s="171" t="s">
        <v>7233</v>
      </c>
      <c r="S62" s="171">
        <v>2030</v>
      </c>
      <c r="T62" s="171" t="s">
        <v>1</v>
      </c>
      <c r="U62" s="171"/>
      <c r="V62" s="172">
        <v>44593</v>
      </c>
      <c r="W62" s="171">
        <v>2022</v>
      </c>
      <c r="X62" s="171" t="s">
        <v>5032</v>
      </c>
      <c r="Y62" s="171"/>
      <c r="Z62" s="171"/>
      <c r="AA62" s="171" t="s">
        <v>5032</v>
      </c>
      <c r="AB62" s="171"/>
      <c r="AC62" s="171"/>
      <c r="AD62" s="171"/>
      <c r="AE62" s="171"/>
      <c r="AF62" s="171"/>
      <c r="AG62" s="171"/>
      <c r="AH62" s="171"/>
      <c r="AI62" s="171"/>
      <c r="AJ62" s="171"/>
      <c r="AK62" s="171"/>
      <c r="AL62" s="171"/>
      <c r="AM62" s="171"/>
      <c r="AN62" s="171" t="s">
        <v>5032</v>
      </c>
      <c r="AO62" s="171"/>
      <c r="AP62" s="171"/>
      <c r="AQ62" s="171" t="s">
        <v>5032</v>
      </c>
      <c r="AR62" s="171"/>
      <c r="AS62" s="171"/>
      <c r="AT62" s="171"/>
      <c r="AU62" s="171"/>
      <c r="AV62" s="171"/>
      <c r="AW62" s="171"/>
      <c r="AX62" s="171"/>
      <c r="AY62" s="171"/>
      <c r="AZ62" s="171"/>
      <c r="BA62" s="171"/>
      <c r="BB62" s="171"/>
      <c r="BC62" s="171"/>
      <c r="BD62" s="171" t="s">
        <v>4172</v>
      </c>
      <c r="BE62" s="171" t="s">
        <v>8080</v>
      </c>
      <c r="BF62" s="225"/>
      <c r="BG62" s="171"/>
      <c r="BH62" s="171"/>
      <c r="BI62" s="171"/>
      <c r="BJ62" s="171"/>
      <c r="BK62" s="171"/>
      <c r="BL62" s="171"/>
      <c r="BM62" s="171"/>
      <c r="BN62" s="171"/>
      <c r="BO62" s="171"/>
      <c r="BP62" s="171"/>
      <c r="BQ62" s="171"/>
      <c r="BR62" s="171"/>
      <c r="BS62" s="171">
        <v>1</v>
      </c>
      <c r="BT62" s="171"/>
      <c r="BU62" s="171">
        <v>1</v>
      </c>
      <c r="BV62" s="171"/>
      <c r="BW62" s="171"/>
      <c r="BX62" s="171"/>
      <c r="BY62" s="171"/>
      <c r="BZ62" s="171"/>
      <c r="CA62" s="171"/>
      <c r="CB62" s="171"/>
      <c r="CC62" s="171"/>
      <c r="CD62" s="171"/>
      <c r="CE62" s="171">
        <v>1</v>
      </c>
      <c r="CF62" s="171"/>
      <c r="CG62" s="171">
        <v>1</v>
      </c>
      <c r="CH62" s="171">
        <v>1</v>
      </c>
      <c r="CI62" s="171"/>
      <c r="CJ62" s="171"/>
      <c r="CK62" s="171"/>
      <c r="CL62" s="171"/>
    </row>
    <row r="63" spans="1:91">
      <c r="A63" s="171">
        <v>25</v>
      </c>
      <c r="B63" s="171" t="s">
        <v>1873</v>
      </c>
      <c r="C63" s="171">
        <v>22</v>
      </c>
      <c r="D63" s="171" t="str">
        <f t="shared" si="0"/>
        <v xml:space="preserve"> NZ</v>
      </c>
      <c r="E63" s="171" t="s">
        <v>7335</v>
      </c>
      <c r="F63" s="174">
        <v>45474</v>
      </c>
      <c r="G63" s="171" t="s">
        <v>7223</v>
      </c>
      <c r="H63" s="173">
        <v>15239</v>
      </c>
      <c r="I63" s="171"/>
      <c r="J63" s="171" t="s">
        <v>3498</v>
      </c>
      <c r="K63" s="171" t="s">
        <v>4195</v>
      </c>
      <c r="L63" s="171" t="s">
        <v>1951</v>
      </c>
      <c r="M63" s="171" t="s">
        <v>5032</v>
      </c>
      <c r="N63" s="171"/>
      <c r="O63" s="171"/>
      <c r="P63" s="171" t="s">
        <v>5032</v>
      </c>
      <c r="Q63" s="171"/>
      <c r="R63" s="171"/>
      <c r="S63" s="171"/>
      <c r="T63" s="171"/>
      <c r="U63" s="171"/>
      <c r="V63" s="175"/>
      <c r="W63" s="171"/>
      <c r="X63" s="171" t="s">
        <v>5032</v>
      </c>
      <c r="Y63" s="171"/>
      <c r="Z63" s="171"/>
      <c r="AA63" s="171" t="s">
        <v>5032</v>
      </c>
      <c r="AB63" s="171"/>
      <c r="AC63" s="171"/>
      <c r="AD63" s="171"/>
      <c r="AE63" s="171"/>
      <c r="AF63" s="171"/>
      <c r="AG63" s="171"/>
      <c r="AH63" s="171"/>
      <c r="AI63" s="171"/>
      <c r="AJ63" s="171"/>
      <c r="AK63" s="171"/>
      <c r="AL63" s="171"/>
      <c r="AM63" s="171"/>
      <c r="AN63" s="171" t="s">
        <v>4172</v>
      </c>
      <c r="AO63" s="171" t="s">
        <v>8079</v>
      </c>
      <c r="AP63" s="171" t="s">
        <v>2072</v>
      </c>
      <c r="AQ63" s="171" t="s">
        <v>4172</v>
      </c>
      <c r="AR63" s="171">
        <v>2050</v>
      </c>
      <c r="AS63" s="171">
        <v>2020</v>
      </c>
      <c r="AT63" s="171"/>
      <c r="AU63" s="171"/>
      <c r="AV63" s="171"/>
      <c r="AW63" s="171" t="s">
        <v>4174</v>
      </c>
      <c r="AX63" s="171" t="s">
        <v>8078</v>
      </c>
      <c r="AY63" s="171">
        <v>2024</v>
      </c>
      <c r="AZ63" s="171" t="s">
        <v>4174</v>
      </c>
      <c r="BA63" s="171" t="s">
        <v>8077</v>
      </c>
      <c r="BB63" s="171"/>
      <c r="BC63" s="171" t="s">
        <v>8077</v>
      </c>
      <c r="BD63" s="171"/>
      <c r="BE63" s="171"/>
      <c r="BF63" s="225"/>
      <c r="BG63" s="171"/>
      <c r="BH63" s="171"/>
      <c r="BI63" s="171"/>
      <c r="BJ63" s="171"/>
      <c r="BK63" s="171"/>
      <c r="BL63" s="171"/>
      <c r="BM63" s="171"/>
      <c r="BN63" s="171"/>
      <c r="BO63" s="171"/>
      <c r="BP63" s="171">
        <v>1</v>
      </c>
      <c r="BQ63" s="171">
        <v>1</v>
      </c>
      <c r="BR63" s="171"/>
      <c r="BS63" s="171"/>
      <c r="BT63" s="171"/>
      <c r="BU63" s="171"/>
      <c r="BV63" s="171"/>
      <c r="BW63" s="171"/>
      <c r="BX63" s="171"/>
      <c r="BY63" s="171"/>
      <c r="BZ63" s="171">
        <v>1</v>
      </c>
      <c r="CA63" s="171"/>
      <c r="CB63" s="171">
        <v>1</v>
      </c>
      <c r="CC63" s="171">
        <v>1</v>
      </c>
      <c r="CD63" s="171"/>
      <c r="CE63" s="171">
        <v>1</v>
      </c>
      <c r="CF63" s="171"/>
      <c r="CG63" s="171"/>
      <c r="CH63" s="171">
        <v>1</v>
      </c>
      <c r="CI63" s="171"/>
      <c r="CJ63" s="171"/>
      <c r="CK63" s="171">
        <v>1</v>
      </c>
      <c r="CL63" s="171">
        <v>1</v>
      </c>
      <c r="CM63">
        <f t="shared" si="1"/>
        <v>2050</v>
      </c>
    </row>
    <row r="64" spans="1:91">
      <c r="A64" s="171">
        <v>342</v>
      </c>
      <c r="B64" s="171" t="s">
        <v>3770</v>
      </c>
      <c r="C64" s="171">
        <v>312</v>
      </c>
      <c r="D64" s="171" t="str">
        <f t="shared" si="0"/>
        <v xml:space="preserve"> NZ SBT</v>
      </c>
      <c r="E64" s="171" t="s">
        <v>7228</v>
      </c>
      <c r="F64" s="174">
        <v>45481</v>
      </c>
      <c r="G64" s="171" t="s">
        <v>7223</v>
      </c>
      <c r="H64" s="173">
        <v>8025</v>
      </c>
      <c r="I64" s="171"/>
      <c r="J64" s="171" t="s">
        <v>4201</v>
      </c>
      <c r="K64" s="171" t="s">
        <v>4457</v>
      </c>
      <c r="L64" s="171" t="s">
        <v>2029</v>
      </c>
      <c r="M64" s="171" t="s">
        <v>5032</v>
      </c>
      <c r="N64" s="171"/>
      <c r="O64" s="171"/>
      <c r="P64" s="171" t="s">
        <v>4174</v>
      </c>
      <c r="Q64" s="171" t="s">
        <v>22</v>
      </c>
      <c r="R64" s="171" t="s">
        <v>2499</v>
      </c>
      <c r="S64" s="171">
        <v>2028</v>
      </c>
      <c r="T64" s="171" t="s">
        <v>361</v>
      </c>
      <c r="U64" s="171">
        <v>2050</v>
      </c>
      <c r="V64" s="175" t="s">
        <v>8076</v>
      </c>
      <c r="W64" s="171">
        <v>2024</v>
      </c>
      <c r="X64" s="171" t="s">
        <v>5032</v>
      </c>
      <c r="Y64" s="171"/>
      <c r="Z64" s="171"/>
      <c r="AA64" s="171" t="s">
        <v>5032</v>
      </c>
      <c r="AB64" s="171"/>
      <c r="AC64" s="171"/>
      <c r="AD64" s="171"/>
      <c r="AE64" s="171"/>
      <c r="AF64" s="171"/>
      <c r="AG64" s="171"/>
      <c r="AH64" s="171"/>
      <c r="AI64" s="171"/>
      <c r="AJ64" s="171"/>
      <c r="AK64" s="171"/>
      <c r="AL64" s="171"/>
      <c r="AM64" s="171"/>
      <c r="AN64" s="171" t="s">
        <v>4172</v>
      </c>
      <c r="AO64" s="171" t="s">
        <v>8075</v>
      </c>
      <c r="AP64" s="171" t="s">
        <v>8074</v>
      </c>
      <c r="AQ64" s="171" t="s">
        <v>4172</v>
      </c>
      <c r="AR64" s="171">
        <v>2050</v>
      </c>
      <c r="AS64" s="171">
        <v>2024</v>
      </c>
      <c r="AT64" s="171"/>
      <c r="AU64" s="171"/>
      <c r="AV64" s="171"/>
      <c r="AW64" s="171" t="s">
        <v>4174</v>
      </c>
      <c r="AX64" s="171" t="s">
        <v>8073</v>
      </c>
      <c r="AY64" s="171"/>
      <c r="AZ64" s="171"/>
      <c r="BA64" s="171"/>
      <c r="BB64" s="171"/>
      <c r="BC64" s="171" t="s">
        <v>8072</v>
      </c>
      <c r="BD64" s="171"/>
      <c r="BE64" s="171"/>
      <c r="BF64" s="225"/>
      <c r="BG64" s="171"/>
      <c r="BH64" s="171"/>
      <c r="BI64" s="171"/>
      <c r="BJ64" s="171"/>
      <c r="BK64" s="171"/>
      <c r="BL64" s="171"/>
      <c r="BM64" s="171"/>
      <c r="BN64" s="171"/>
      <c r="BO64" s="171"/>
      <c r="BP64" s="171">
        <v>1</v>
      </c>
      <c r="BQ64" s="171">
        <v>1</v>
      </c>
      <c r="BR64" s="171"/>
      <c r="BS64" s="171">
        <v>1</v>
      </c>
      <c r="BT64" s="171"/>
      <c r="BU64" s="171">
        <v>1</v>
      </c>
      <c r="BV64" s="171"/>
      <c r="BW64" s="171"/>
      <c r="BX64" s="171"/>
      <c r="BY64" s="171"/>
      <c r="BZ64" s="171">
        <v>1</v>
      </c>
      <c r="CA64" s="171"/>
      <c r="CB64" s="171">
        <v>1</v>
      </c>
      <c r="CC64" s="171">
        <v>1</v>
      </c>
      <c r="CD64" s="171"/>
      <c r="CE64" s="171">
        <v>1</v>
      </c>
      <c r="CF64" s="171"/>
      <c r="CG64" s="171">
        <v>1</v>
      </c>
      <c r="CH64" s="171">
        <v>1</v>
      </c>
      <c r="CI64" s="171"/>
      <c r="CJ64" s="171"/>
      <c r="CK64" s="171">
        <v>1</v>
      </c>
      <c r="CL64" s="171">
        <v>1</v>
      </c>
      <c r="CM64">
        <f t="shared" si="1"/>
        <v>2050</v>
      </c>
    </row>
    <row r="65" spans="1:91">
      <c r="A65" s="171">
        <v>464</v>
      </c>
      <c r="B65" s="171" t="s">
        <v>551</v>
      </c>
      <c r="C65" s="171">
        <v>445</v>
      </c>
      <c r="D65" s="171" t="str">
        <f t="shared" si="0"/>
        <v xml:space="preserve"> NZ SBT</v>
      </c>
      <c r="E65" s="171" t="s">
        <v>7259</v>
      </c>
      <c r="F65" s="174">
        <v>45511</v>
      </c>
      <c r="G65" s="171" t="s">
        <v>7220</v>
      </c>
      <c r="H65" s="173">
        <v>-17855.400000000001</v>
      </c>
      <c r="I65" s="171"/>
      <c r="J65" s="171" t="s">
        <v>4455</v>
      </c>
      <c r="K65" s="171" t="s">
        <v>4195</v>
      </c>
      <c r="L65" s="171" t="s">
        <v>1951</v>
      </c>
      <c r="M65" s="171" t="s">
        <v>5032</v>
      </c>
      <c r="N65" s="171"/>
      <c r="O65" s="171"/>
      <c r="P65" s="171" t="s">
        <v>4174</v>
      </c>
      <c r="Q65" s="171" t="s">
        <v>22</v>
      </c>
      <c r="R65" s="171" t="s">
        <v>7233</v>
      </c>
      <c r="S65" s="171">
        <v>2030</v>
      </c>
      <c r="T65" s="171" t="s">
        <v>1</v>
      </c>
      <c r="U65" s="171"/>
      <c r="V65" s="172">
        <v>44743</v>
      </c>
      <c r="W65" s="171">
        <v>2022</v>
      </c>
      <c r="X65" s="171" t="s">
        <v>5032</v>
      </c>
      <c r="Y65" s="171"/>
      <c r="Z65" s="171"/>
      <c r="AA65" s="171" t="s">
        <v>5032</v>
      </c>
      <c r="AB65" s="171"/>
      <c r="AC65" s="171"/>
      <c r="AD65" s="171"/>
      <c r="AE65" s="171"/>
      <c r="AF65" s="171"/>
      <c r="AG65" s="171"/>
      <c r="AH65" s="171"/>
      <c r="AI65" s="171"/>
      <c r="AJ65" s="171"/>
      <c r="AK65" s="171"/>
      <c r="AL65" s="171"/>
      <c r="AM65" s="171"/>
      <c r="AN65" s="171" t="s">
        <v>4172</v>
      </c>
      <c r="AO65" s="171" t="s">
        <v>42</v>
      </c>
      <c r="AP65" s="171" t="s">
        <v>8071</v>
      </c>
      <c r="AQ65" s="171" t="s">
        <v>4172</v>
      </c>
      <c r="AR65" s="171">
        <v>2050</v>
      </c>
      <c r="AS65" s="171">
        <v>2021</v>
      </c>
      <c r="AT65" s="171"/>
      <c r="AU65" s="171"/>
      <c r="AV65" s="171"/>
      <c r="AW65" s="171" t="s">
        <v>4174</v>
      </c>
      <c r="AX65" s="171" t="s">
        <v>8070</v>
      </c>
      <c r="AY65" s="171"/>
      <c r="AZ65" s="171"/>
      <c r="BA65" s="171"/>
      <c r="BB65" s="171"/>
      <c r="BC65" s="171"/>
      <c r="BD65" s="171"/>
      <c r="BE65" s="171"/>
      <c r="BF65" s="225"/>
      <c r="BG65" s="171"/>
      <c r="BH65" s="171"/>
      <c r="BI65" s="171"/>
      <c r="BJ65" s="171"/>
      <c r="BK65" s="171"/>
      <c r="BL65" s="171"/>
      <c r="BM65" s="171"/>
      <c r="BN65" s="171"/>
      <c r="BO65" s="171"/>
      <c r="BP65" s="171">
        <v>1</v>
      </c>
      <c r="BQ65" s="171">
        <v>1</v>
      </c>
      <c r="BR65" s="171"/>
      <c r="BS65" s="171">
        <v>1</v>
      </c>
      <c r="BT65" s="171"/>
      <c r="BU65" s="171">
        <v>1</v>
      </c>
      <c r="BV65" s="171"/>
      <c r="BW65" s="171"/>
      <c r="BX65" s="171"/>
      <c r="BY65" s="171"/>
      <c r="BZ65" s="171">
        <v>1</v>
      </c>
      <c r="CA65" s="171"/>
      <c r="CB65" s="171">
        <v>1</v>
      </c>
      <c r="CC65" s="171">
        <v>1</v>
      </c>
      <c r="CD65" s="171"/>
      <c r="CE65" s="171">
        <v>1</v>
      </c>
      <c r="CF65" s="171"/>
      <c r="CG65" s="171">
        <v>1</v>
      </c>
      <c r="CH65" s="171">
        <v>1</v>
      </c>
      <c r="CI65" s="171"/>
      <c r="CJ65" s="171"/>
      <c r="CK65" s="171">
        <v>1</v>
      </c>
      <c r="CL65" s="171">
        <v>1</v>
      </c>
      <c r="CM65">
        <f t="shared" si="1"/>
        <v>2050</v>
      </c>
    </row>
    <row r="66" spans="1:91">
      <c r="A66" s="171">
        <v>427</v>
      </c>
      <c r="B66" s="171" t="s">
        <v>5198</v>
      </c>
      <c r="C66" s="171">
        <v>462</v>
      </c>
      <c r="D66" s="171" t="str">
        <f t="shared" ref="D66:D129" si="37">CONCATENATE((IF(BM66=1, "CN", "")),(IF(BQ66=1, " NZ", "")),(IF(BU66=1, " SBT", "")),(IF(BY66=1, " RE100", "")))</f>
        <v xml:space="preserve"> SBT</v>
      </c>
      <c r="E66" s="171" t="s">
        <v>7385</v>
      </c>
      <c r="F66" s="174">
        <v>45512</v>
      </c>
      <c r="G66" s="171" t="s">
        <v>7220</v>
      </c>
      <c r="H66" s="173">
        <v>14082</v>
      </c>
      <c r="I66" s="171"/>
      <c r="J66" s="171" t="s">
        <v>186</v>
      </c>
      <c r="K66" s="171" t="s">
        <v>4457</v>
      </c>
      <c r="L66" s="171" t="s">
        <v>2029</v>
      </c>
      <c r="M66" s="171" t="s">
        <v>5032</v>
      </c>
      <c r="N66" s="171"/>
      <c r="O66" s="171"/>
      <c r="P66" s="171" t="s">
        <v>5032</v>
      </c>
      <c r="Q66" s="171" t="s">
        <v>165</v>
      </c>
      <c r="R66" s="171"/>
      <c r="S66" s="171">
        <v>2030</v>
      </c>
      <c r="T66" s="171" t="s">
        <v>1</v>
      </c>
      <c r="U66" s="171"/>
      <c r="V66" s="172">
        <v>45323</v>
      </c>
      <c r="W66" s="171">
        <v>2024</v>
      </c>
      <c r="X66" s="171" t="s">
        <v>5032</v>
      </c>
      <c r="Y66" s="171"/>
      <c r="Z66" s="171"/>
      <c r="AA66" s="171" t="s">
        <v>5032</v>
      </c>
      <c r="AB66" s="171"/>
      <c r="AC66" s="171"/>
      <c r="AD66" s="171"/>
      <c r="AE66" s="171"/>
      <c r="AF66" s="171"/>
      <c r="AG66" s="171"/>
      <c r="AH66" s="171"/>
      <c r="AI66" s="171"/>
      <c r="AJ66" s="171"/>
      <c r="AK66" s="171"/>
      <c r="AL66" s="171"/>
      <c r="AM66" s="171"/>
      <c r="AN66" s="171" t="s">
        <v>5032</v>
      </c>
      <c r="AO66" s="171"/>
      <c r="AP66" s="171"/>
      <c r="AQ66" s="171" t="s">
        <v>5032</v>
      </c>
      <c r="AR66" s="171"/>
      <c r="AS66" s="171"/>
      <c r="AT66" s="171"/>
      <c r="AU66" s="171"/>
      <c r="AV66" s="171"/>
      <c r="AW66" s="171"/>
      <c r="AX66" s="171"/>
      <c r="AY66" s="171"/>
      <c r="AZ66" s="171"/>
      <c r="BA66" s="171"/>
      <c r="BB66" s="171"/>
      <c r="BC66" s="171"/>
      <c r="BD66" s="171"/>
      <c r="BE66" s="171"/>
      <c r="BF66" s="225"/>
      <c r="BG66" s="171"/>
      <c r="BH66" s="171"/>
      <c r="BI66" s="171"/>
      <c r="BJ66" s="171"/>
      <c r="BK66" s="171"/>
      <c r="BL66" s="171"/>
      <c r="BM66" s="171"/>
      <c r="BN66" s="171"/>
      <c r="BO66" s="171"/>
      <c r="BP66" s="171"/>
      <c r="BQ66" s="171"/>
      <c r="BR66" s="171"/>
      <c r="BS66" s="171">
        <v>1</v>
      </c>
      <c r="BT66" s="171"/>
      <c r="BU66" s="171">
        <v>1</v>
      </c>
      <c r="BV66" s="171"/>
      <c r="BW66" s="171"/>
      <c r="BX66" s="171"/>
      <c r="BY66" s="171"/>
      <c r="BZ66" s="171"/>
      <c r="CA66" s="171"/>
      <c r="CB66" s="171"/>
      <c r="CC66" s="171"/>
      <c r="CD66" s="171"/>
      <c r="CE66" s="171">
        <v>1</v>
      </c>
      <c r="CF66" s="171"/>
      <c r="CG66" s="171">
        <v>1</v>
      </c>
      <c r="CH66" s="171">
        <v>1</v>
      </c>
      <c r="CI66" s="171"/>
      <c r="CJ66" s="171"/>
      <c r="CK66" s="171"/>
      <c r="CL66" s="171"/>
    </row>
    <row r="67" spans="1:91">
      <c r="A67" s="171">
        <v>113</v>
      </c>
      <c r="B67" s="171" t="s">
        <v>8069</v>
      </c>
      <c r="C67" s="171">
        <v>117</v>
      </c>
      <c r="D67" s="171" t="str">
        <f t="shared" si="37"/>
        <v xml:space="preserve"> NZ</v>
      </c>
      <c r="E67" s="171" t="s">
        <v>7228</v>
      </c>
      <c r="F67" s="174">
        <v>45475</v>
      </c>
      <c r="G67" s="171" t="s">
        <v>7223</v>
      </c>
      <c r="H67" s="173">
        <v>1130</v>
      </c>
      <c r="I67" s="171"/>
      <c r="J67" s="171" t="s">
        <v>4465</v>
      </c>
      <c r="K67" s="171" t="s">
        <v>78</v>
      </c>
      <c r="L67" s="171" t="s">
        <v>2029</v>
      </c>
      <c r="M67" s="171" t="s">
        <v>5032</v>
      </c>
      <c r="N67" s="171"/>
      <c r="O67" s="171"/>
      <c r="P67" s="171" t="s">
        <v>5032</v>
      </c>
      <c r="Q67" s="171"/>
      <c r="R67" s="171"/>
      <c r="S67" s="171"/>
      <c r="T67" s="171"/>
      <c r="U67" s="171"/>
      <c r="V67" s="175"/>
      <c r="W67" s="171"/>
      <c r="X67" s="171" t="s">
        <v>5032</v>
      </c>
      <c r="Y67" s="171"/>
      <c r="Z67" s="171"/>
      <c r="AA67" s="171" t="s">
        <v>5032</v>
      </c>
      <c r="AB67" s="171"/>
      <c r="AC67" s="171"/>
      <c r="AD67" s="171"/>
      <c r="AE67" s="171"/>
      <c r="AF67" s="171"/>
      <c r="AG67" s="171"/>
      <c r="AH67" s="171"/>
      <c r="AI67" s="171"/>
      <c r="AJ67" s="171"/>
      <c r="AK67" s="171"/>
      <c r="AL67" s="171"/>
      <c r="AM67" s="171"/>
      <c r="AN67" s="171" t="s">
        <v>5050</v>
      </c>
      <c r="AO67" s="171" t="s">
        <v>8068</v>
      </c>
      <c r="AP67" s="171" t="s">
        <v>7303</v>
      </c>
      <c r="AQ67" s="171" t="s">
        <v>5050</v>
      </c>
      <c r="AR67" s="171">
        <v>2050</v>
      </c>
      <c r="AS67" s="171">
        <v>2022</v>
      </c>
      <c r="AT67" s="171"/>
      <c r="AU67" s="171"/>
      <c r="AV67" s="171"/>
      <c r="AW67" s="171" t="s">
        <v>2082</v>
      </c>
      <c r="AX67" s="171" t="s">
        <v>8067</v>
      </c>
      <c r="AY67" s="171"/>
      <c r="AZ67" s="171"/>
      <c r="BA67" s="171"/>
      <c r="BB67" s="171"/>
      <c r="BC67" s="171"/>
      <c r="BD67" s="171"/>
      <c r="BE67" s="171"/>
      <c r="BF67" s="225"/>
      <c r="BG67" s="171"/>
      <c r="BH67" s="171"/>
      <c r="BI67" s="171"/>
      <c r="BJ67" s="171"/>
      <c r="BK67" s="171"/>
      <c r="BL67" s="171"/>
      <c r="BM67" s="171"/>
      <c r="BN67" s="171"/>
      <c r="BO67" s="171"/>
      <c r="BP67" s="171">
        <v>1</v>
      </c>
      <c r="BQ67" s="171">
        <v>1</v>
      </c>
      <c r="BR67" s="171"/>
      <c r="BS67" s="171"/>
      <c r="BT67" s="171"/>
      <c r="BU67" s="171"/>
      <c r="BV67" s="171"/>
      <c r="BW67" s="171"/>
      <c r="BX67" s="171"/>
      <c r="BY67" s="171"/>
      <c r="BZ67" s="171">
        <v>1</v>
      </c>
      <c r="CA67" s="171"/>
      <c r="CB67" s="171">
        <v>1</v>
      </c>
      <c r="CC67" s="171"/>
      <c r="CD67" s="171"/>
      <c r="CE67" s="171">
        <v>1</v>
      </c>
      <c r="CF67" s="171"/>
      <c r="CG67" s="171"/>
      <c r="CH67" s="171">
        <v>1</v>
      </c>
      <c r="CI67" s="171"/>
      <c r="CJ67" s="171"/>
      <c r="CK67" s="171">
        <v>1</v>
      </c>
      <c r="CL67" s="171">
        <v>1</v>
      </c>
      <c r="CM67">
        <f t="shared" ref="CM67:CM130" si="38">MAX(U67,AR67)</f>
        <v>2050</v>
      </c>
    </row>
    <row r="68" spans="1:91">
      <c r="A68" s="171">
        <v>230</v>
      </c>
      <c r="B68" s="171" t="s">
        <v>995</v>
      </c>
      <c r="C68" s="171">
        <v>194</v>
      </c>
      <c r="D68" s="171" t="str">
        <f t="shared" si="37"/>
        <v xml:space="preserve"> SBT</v>
      </c>
      <c r="E68" s="171" t="s">
        <v>7228</v>
      </c>
      <c r="F68" s="174">
        <v>45477</v>
      </c>
      <c r="G68" s="171" t="s">
        <v>7220</v>
      </c>
      <c r="H68" s="173">
        <v>2243</v>
      </c>
      <c r="I68" s="171"/>
      <c r="J68" s="171" t="s">
        <v>4455</v>
      </c>
      <c r="K68" s="171" t="s">
        <v>4457</v>
      </c>
      <c r="L68" s="171" t="s">
        <v>2029</v>
      </c>
      <c r="M68" s="171" t="s">
        <v>5032</v>
      </c>
      <c r="N68" s="171"/>
      <c r="O68" s="171"/>
      <c r="P68" s="171" t="s">
        <v>4174</v>
      </c>
      <c r="Q68" s="171" t="s">
        <v>22</v>
      </c>
      <c r="R68" s="171" t="s">
        <v>7277</v>
      </c>
      <c r="S68" s="171">
        <v>2030</v>
      </c>
      <c r="T68" s="171" t="s">
        <v>1</v>
      </c>
      <c r="U68" s="171"/>
      <c r="V68" s="172">
        <v>44501</v>
      </c>
      <c r="W68" s="171">
        <v>2021</v>
      </c>
      <c r="X68" s="171" t="s">
        <v>5032</v>
      </c>
      <c r="Y68" s="171"/>
      <c r="Z68" s="171"/>
      <c r="AA68" s="171" t="s">
        <v>5032</v>
      </c>
      <c r="AB68" s="171"/>
      <c r="AC68" s="171"/>
      <c r="AD68" s="171"/>
      <c r="AE68" s="171"/>
      <c r="AF68" s="171"/>
      <c r="AG68" s="171"/>
      <c r="AH68" s="171"/>
      <c r="AI68" s="171"/>
      <c r="AJ68" s="171"/>
      <c r="AK68" s="171"/>
      <c r="AL68" s="171"/>
      <c r="AM68" s="171"/>
      <c r="AN68" s="171" t="s">
        <v>5032</v>
      </c>
      <c r="AO68" s="171"/>
      <c r="AP68" s="171"/>
      <c r="AQ68" s="171" t="s">
        <v>5032</v>
      </c>
      <c r="AR68" s="171"/>
      <c r="AS68" s="171"/>
      <c r="AT68" s="171"/>
      <c r="AU68" s="171"/>
      <c r="AV68" s="171"/>
      <c r="AW68" s="171"/>
      <c r="AX68" s="171"/>
      <c r="AY68" s="171"/>
      <c r="AZ68" s="171"/>
      <c r="BA68" s="171"/>
      <c r="BB68" s="171"/>
      <c r="BC68" s="171"/>
      <c r="BD68" s="171"/>
      <c r="BE68" s="171"/>
      <c r="BF68" s="225"/>
      <c r="BG68" s="171"/>
      <c r="BH68" s="171"/>
      <c r="BI68" s="171"/>
      <c r="BJ68" s="171"/>
      <c r="BK68" s="171"/>
      <c r="BL68" s="171"/>
      <c r="BM68" s="171"/>
      <c r="BN68" s="171"/>
      <c r="BO68" s="171"/>
      <c r="BP68" s="171"/>
      <c r="BQ68" s="171"/>
      <c r="BR68" s="171"/>
      <c r="BS68" s="171">
        <v>1</v>
      </c>
      <c r="BT68" s="171"/>
      <c r="BU68" s="171">
        <v>1</v>
      </c>
      <c r="BV68" s="171"/>
      <c r="BW68" s="171"/>
      <c r="BX68" s="171"/>
      <c r="BY68" s="171"/>
      <c r="BZ68" s="171"/>
      <c r="CA68" s="171"/>
      <c r="CB68" s="171"/>
      <c r="CC68" s="171"/>
      <c r="CD68" s="171"/>
      <c r="CE68" s="171">
        <v>1</v>
      </c>
      <c r="CF68" s="171"/>
      <c r="CG68" s="171">
        <v>1</v>
      </c>
      <c r="CH68" s="171">
        <v>1</v>
      </c>
      <c r="CI68" s="171"/>
      <c r="CJ68" s="171"/>
      <c r="CK68" s="171"/>
      <c r="CL68" s="171"/>
    </row>
    <row r="69" spans="1:91">
      <c r="A69" s="171">
        <v>143</v>
      </c>
      <c r="B69" s="171" t="s">
        <v>4539</v>
      </c>
      <c r="C69" s="171">
        <v>212</v>
      </c>
      <c r="D69" s="171" t="str">
        <f t="shared" si="37"/>
        <v xml:space="preserve"> SBT</v>
      </c>
      <c r="E69" s="171" t="s">
        <v>7223</v>
      </c>
      <c r="F69" s="174">
        <v>45476</v>
      </c>
      <c r="G69" s="171" t="s">
        <v>7220</v>
      </c>
      <c r="H69" s="173">
        <v>4243.5</v>
      </c>
      <c r="I69" s="171"/>
      <c r="J69" s="171" t="s">
        <v>4476</v>
      </c>
      <c r="K69" s="171" t="s">
        <v>73</v>
      </c>
      <c r="L69" s="171" t="s">
        <v>1994</v>
      </c>
      <c r="M69" s="171" t="s">
        <v>5032</v>
      </c>
      <c r="N69" s="171"/>
      <c r="O69" s="171"/>
      <c r="P69" s="171" t="s">
        <v>5032</v>
      </c>
      <c r="Q69" s="171" t="s">
        <v>165</v>
      </c>
      <c r="R69" s="171"/>
      <c r="S69" s="171">
        <v>2030</v>
      </c>
      <c r="T69" s="171" t="s">
        <v>361</v>
      </c>
      <c r="U69" s="171"/>
      <c r="V69" s="172">
        <v>45505</v>
      </c>
      <c r="W69" s="171">
        <v>2024</v>
      </c>
      <c r="X69" s="171" t="s">
        <v>4519</v>
      </c>
      <c r="Y69" s="171" t="s">
        <v>418</v>
      </c>
      <c r="Z69" s="171" t="s">
        <v>3283</v>
      </c>
      <c r="AA69" s="171" t="s">
        <v>4519</v>
      </c>
      <c r="AB69" s="171">
        <v>2060</v>
      </c>
      <c r="AC69" s="171">
        <v>2021</v>
      </c>
      <c r="AD69" s="171"/>
      <c r="AE69" s="171"/>
      <c r="AF69" s="171"/>
      <c r="AG69" s="171"/>
      <c r="AH69" s="171"/>
      <c r="AI69" s="171"/>
      <c r="AJ69" s="171"/>
      <c r="AK69" s="171"/>
      <c r="AL69" s="171" t="s">
        <v>8066</v>
      </c>
      <c r="AM69" s="171"/>
      <c r="AN69" s="171" t="s">
        <v>5032</v>
      </c>
      <c r="AO69" s="171"/>
      <c r="AP69" s="171"/>
      <c r="AQ69" s="171" t="s">
        <v>5032</v>
      </c>
      <c r="AR69" s="171"/>
      <c r="AS69" s="171"/>
      <c r="AT69" s="171"/>
      <c r="AU69" s="171"/>
      <c r="AV69" s="171"/>
      <c r="AW69" s="171"/>
      <c r="AX69" s="171"/>
      <c r="AY69" s="171"/>
      <c r="AZ69" s="171"/>
      <c r="BA69" s="171"/>
      <c r="BB69" s="171"/>
      <c r="BC69" s="171"/>
      <c r="BD69" s="171" t="s">
        <v>4174</v>
      </c>
      <c r="BE69" s="171" t="s">
        <v>8065</v>
      </c>
      <c r="BF69" s="225" t="s">
        <v>5032</v>
      </c>
      <c r="BG69" s="171"/>
      <c r="BH69" s="171"/>
      <c r="BI69" s="171"/>
      <c r="BJ69" s="171"/>
      <c r="BK69" s="171"/>
      <c r="BL69" s="171"/>
      <c r="BM69" s="171"/>
      <c r="BN69" s="171"/>
      <c r="BO69" s="171"/>
      <c r="BP69" s="171"/>
      <c r="BQ69" s="171"/>
      <c r="BR69" s="171"/>
      <c r="BS69" s="171">
        <v>1</v>
      </c>
      <c r="BT69" s="171"/>
      <c r="BU69" s="171">
        <v>1</v>
      </c>
      <c r="BV69" s="171"/>
      <c r="BW69" s="171"/>
      <c r="BX69" s="171"/>
      <c r="BY69" s="171"/>
      <c r="BZ69" s="171"/>
      <c r="CA69" s="171"/>
      <c r="CB69" s="171"/>
      <c r="CC69" s="171"/>
      <c r="CD69" s="171"/>
      <c r="CE69" s="171">
        <v>1</v>
      </c>
      <c r="CF69" s="171"/>
      <c r="CG69" s="171">
        <v>1</v>
      </c>
      <c r="CH69" s="171">
        <v>1</v>
      </c>
      <c r="CI69" s="171"/>
      <c r="CJ69" s="171"/>
      <c r="CK69" s="171"/>
      <c r="CL69" s="171"/>
    </row>
    <row r="70" spans="1:91">
      <c r="A70" s="171">
        <v>334</v>
      </c>
      <c r="B70" s="171" t="s">
        <v>8064</v>
      </c>
      <c r="C70" s="171">
        <v>406</v>
      </c>
      <c r="D70" s="171" t="str">
        <f t="shared" si="37"/>
        <v/>
      </c>
      <c r="E70" s="171" t="s">
        <v>7223</v>
      </c>
      <c r="F70" s="174">
        <v>45511</v>
      </c>
      <c r="G70" s="171" t="s">
        <v>7223</v>
      </c>
      <c r="H70" s="173">
        <v>2349.6999999999998</v>
      </c>
      <c r="I70" s="171"/>
      <c r="J70" s="171" t="s">
        <v>4465</v>
      </c>
      <c r="K70" s="171" t="s">
        <v>68</v>
      </c>
      <c r="L70" s="171" t="s">
        <v>8320</v>
      </c>
      <c r="M70" s="171" t="s">
        <v>5032</v>
      </c>
      <c r="N70" s="171"/>
      <c r="O70" s="171"/>
      <c r="P70" s="171" t="s">
        <v>5032</v>
      </c>
      <c r="Q70" s="171"/>
      <c r="R70" s="171"/>
      <c r="S70" s="171"/>
      <c r="T70" s="171"/>
      <c r="U70" s="171"/>
      <c r="V70" s="175"/>
      <c r="W70" s="171"/>
      <c r="X70" s="171" t="s">
        <v>5032</v>
      </c>
      <c r="Y70" s="171"/>
      <c r="Z70" s="171"/>
      <c r="AA70" s="171" t="s">
        <v>5032</v>
      </c>
      <c r="AB70" s="171"/>
      <c r="AC70" s="171"/>
      <c r="AD70" s="171"/>
      <c r="AE70" s="171"/>
      <c r="AF70" s="171"/>
      <c r="AG70" s="171"/>
      <c r="AH70" s="171"/>
      <c r="AI70" s="171"/>
      <c r="AJ70" s="171"/>
      <c r="AK70" s="171"/>
      <c r="AL70" s="171"/>
      <c r="AM70" s="171"/>
      <c r="AN70" s="171" t="s">
        <v>5032</v>
      </c>
      <c r="AO70" s="171"/>
      <c r="AP70" s="171"/>
      <c r="AQ70" s="171" t="s">
        <v>5032</v>
      </c>
      <c r="AR70" s="171"/>
      <c r="AS70" s="171"/>
      <c r="AT70" s="171"/>
      <c r="AU70" s="171"/>
      <c r="AV70" s="171"/>
      <c r="AW70" s="171"/>
      <c r="AX70" s="171"/>
      <c r="AY70" s="171"/>
      <c r="AZ70" s="171"/>
      <c r="BA70" s="171"/>
      <c r="BB70" s="171"/>
      <c r="BC70" s="171"/>
      <c r="BD70" s="171"/>
      <c r="BE70" s="171"/>
      <c r="BF70" s="225"/>
      <c r="BG70" s="171"/>
      <c r="BH70" s="171"/>
      <c r="BI70" s="171"/>
      <c r="BJ70" s="171"/>
      <c r="BK70" s="171"/>
      <c r="BL70" s="171"/>
      <c r="BM70" s="171"/>
      <c r="BN70" s="171"/>
      <c r="BO70" s="171"/>
      <c r="BP70" s="171"/>
      <c r="BQ70" s="171"/>
      <c r="BR70" s="171"/>
      <c r="BS70" s="171"/>
      <c r="BT70" s="171"/>
      <c r="BU70" s="171"/>
      <c r="BV70" s="171"/>
      <c r="BW70" s="171"/>
      <c r="BX70" s="171"/>
      <c r="BY70" s="171"/>
      <c r="BZ70" s="171"/>
      <c r="CA70" s="171"/>
      <c r="CB70" s="171"/>
      <c r="CC70" s="171"/>
      <c r="CD70" s="171"/>
      <c r="CE70" s="171"/>
      <c r="CF70" s="171"/>
      <c r="CG70" s="171"/>
      <c r="CH70" s="171"/>
      <c r="CI70" s="171"/>
      <c r="CJ70" s="171"/>
      <c r="CK70" s="171"/>
      <c r="CL70" s="171"/>
    </row>
    <row r="71" spans="1:91">
      <c r="A71" s="171">
        <v>367</v>
      </c>
      <c r="B71" s="171" t="s">
        <v>8063</v>
      </c>
      <c r="C71" s="171"/>
      <c r="D71" s="171" t="str">
        <f t="shared" si="37"/>
        <v>CN NZ</v>
      </c>
      <c r="E71" s="171" t="s">
        <v>7223</v>
      </c>
      <c r="F71" s="174">
        <v>45511</v>
      </c>
      <c r="G71" s="171"/>
      <c r="H71" s="173">
        <v>3704.2</v>
      </c>
      <c r="I71" s="181" t="s">
        <v>795</v>
      </c>
      <c r="J71" s="171" t="s">
        <v>4465</v>
      </c>
      <c r="K71" s="171" t="s">
        <v>78</v>
      </c>
      <c r="L71" s="171" t="s">
        <v>2029</v>
      </c>
      <c r="M71" s="171" t="s">
        <v>5032</v>
      </c>
      <c r="N71" s="171"/>
      <c r="O71" s="171"/>
      <c r="P71" s="171" t="s">
        <v>5032</v>
      </c>
      <c r="Q71" s="171"/>
      <c r="R71" s="171"/>
      <c r="S71" s="171"/>
      <c r="T71" s="171"/>
      <c r="U71" s="171"/>
      <c r="V71" s="175"/>
      <c r="W71" s="171"/>
      <c r="X71" s="171" t="s">
        <v>1957</v>
      </c>
      <c r="Y71" s="171" t="s">
        <v>1659</v>
      </c>
      <c r="Z71" s="171" t="s">
        <v>7225</v>
      </c>
      <c r="AA71" s="171" t="s">
        <v>1957</v>
      </c>
      <c r="AB71" s="171">
        <v>2024</v>
      </c>
      <c r="AC71" s="171">
        <v>2021</v>
      </c>
      <c r="AD71" s="171"/>
      <c r="AE71" s="171"/>
      <c r="AF71" s="171"/>
      <c r="AG71" s="171" t="s">
        <v>4174</v>
      </c>
      <c r="AH71" s="171">
        <v>2023</v>
      </c>
      <c r="AI71" s="171" t="s">
        <v>4174</v>
      </c>
      <c r="AJ71" s="176" t="s">
        <v>8060</v>
      </c>
      <c r="AK71" s="171"/>
      <c r="AL71" s="176" t="s">
        <v>8061</v>
      </c>
      <c r="AM71" s="171"/>
      <c r="AN71" s="171" t="s">
        <v>7414</v>
      </c>
      <c r="AO71" s="171" t="s">
        <v>8062</v>
      </c>
      <c r="AP71" s="171" t="s">
        <v>2072</v>
      </c>
      <c r="AQ71" s="171" t="s">
        <v>7414</v>
      </c>
      <c r="AR71" s="171">
        <v>2050</v>
      </c>
      <c r="AS71" s="171">
        <v>2021</v>
      </c>
      <c r="AT71" s="171"/>
      <c r="AU71" s="171"/>
      <c r="AV71" s="171"/>
      <c r="AW71" s="171" t="s">
        <v>4174</v>
      </c>
      <c r="AX71" s="176" t="s">
        <v>8061</v>
      </c>
      <c r="AY71" s="171">
        <v>2023</v>
      </c>
      <c r="AZ71" s="171" t="s">
        <v>4174</v>
      </c>
      <c r="BA71" s="176" t="s">
        <v>8060</v>
      </c>
      <c r="BB71" s="171"/>
      <c r="BC71" s="171"/>
      <c r="BD71" s="171"/>
      <c r="BE71" s="171"/>
      <c r="BF71" s="225"/>
      <c r="BG71" s="171"/>
      <c r="BH71" s="171"/>
      <c r="BI71" s="171"/>
      <c r="BJ71" s="171"/>
      <c r="BK71" s="171">
        <v>1</v>
      </c>
      <c r="BL71" s="171"/>
      <c r="BM71" s="171">
        <v>1</v>
      </c>
      <c r="BN71" s="171"/>
      <c r="BO71" s="171"/>
      <c r="BP71" s="171">
        <v>1</v>
      </c>
      <c r="BQ71" s="171">
        <v>1</v>
      </c>
      <c r="BR71" s="171"/>
      <c r="BS71" s="171"/>
      <c r="BT71" s="171"/>
      <c r="BU71" s="171"/>
      <c r="BV71" s="171"/>
      <c r="BW71" s="171"/>
      <c r="BX71" s="171"/>
      <c r="BY71" s="171"/>
      <c r="BZ71" s="171">
        <v>1</v>
      </c>
      <c r="CA71" s="171">
        <v>1</v>
      </c>
      <c r="CB71" s="171">
        <v>1</v>
      </c>
      <c r="CC71" s="171">
        <v>1</v>
      </c>
      <c r="CD71" s="171"/>
      <c r="CE71" s="171">
        <v>1</v>
      </c>
      <c r="CF71" s="171"/>
      <c r="CG71" s="171">
        <v>1</v>
      </c>
      <c r="CH71" s="171">
        <v>1</v>
      </c>
      <c r="CI71" s="171"/>
      <c r="CJ71" s="171"/>
      <c r="CK71" s="171">
        <v>1</v>
      </c>
      <c r="CL71" s="171">
        <v>1</v>
      </c>
      <c r="CM71">
        <f t="shared" si="38"/>
        <v>2050</v>
      </c>
    </row>
    <row r="72" spans="1:91">
      <c r="A72" s="171">
        <v>304</v>
      </c>
      <c r="B72" s="171" t="s">
        <v>542</v>
      </c>
      <c r="C72" s="171">
        <v>386</v>
      </c>
      <c r="D72" s="171" t="str">
        <f t="shared" si="37"/>
        <v>CN RE100</v>
      </c>
      <c r="E72" s="171" t="s">
        <v>7220</v>
      </c>
      <c r="F72" s="174">
        <v>45482</v>
      </c>
      <c r="G72" s="171" t="s">
        <v>7220</v>
      </c>
      <c r="H72" s="173">
        <v>4887</v>
      </c>
      <c r="I72" s="171"/>
      <c r="J72" s="171" t="s">
        <v>4465</v>
      </c>
      <c r="K72" s="171" t="s">
        <v>4457</v>
      </c>
      <c r="L72" s="171" t="s">
        <v>2029</v>
      </c>
      <c r="M72" s="171" t="s">
        <v>4174</v>
      </c>
      <c r="N72" s="171">
        <v>2018</v>
      </c>
      <c r="O72" s="171">
        <v>2021</v>
      </c>
      <c r="P72" s="171" t="s">
        <v>5032</v>
      </c>
      <c r="Q72" s="171"/>
      <c r="R72" s="171"/>
      <c r="S72" s="171"/>
      <c r="T72" s="171"/>
      <c r="U72" s="171"/>
      <c r="V72" s="175"/>
      <c r="W72" s="171"/>
      <c r="X72" s="171" t="s">
        <v>1957</v>
      </c>
      <c r="Y72" s="171" t="s">
        <v>8059</v>
      </c>
      <c r="Z72" s="171" t="s">
        <v>3283</v>
      </c>
      <c r="AA72" s="171" t="s">
        <v>1957</v>
      </c>
      <c r="AB72" s="171">
        <v>2030</v>
      </c>
      <c r="AC72" s="171">
        <v>2017</v>
      </c>
      <c r="AD72" s="171"/>
      <c r="AE72" s="171"/>
      <c r="AF72" s="171"/>
      <c r="AG72" s="171" t="s">
        <v>5032</v>
      </c>
      <c r="AH72" s="171">
        <v>2023</v>
      </c>
      <c r="AI72" s="171" t="s">
        <v>5032</v>
      </c>
      <c r="AJ72" s="176" t="s">
        <v>8058</v>
      </c>
      <c r="AK72" s="171"/>
      <c r="AL72" s="171" t="s">
        <v>8057</v>
      </c>
      <c r="AM72" s="171" t="s">
        <v>8056</v>
      </c>
      <c r="AN72" s="171" t="s">
        <v>5032</v>
      </c>
      <c r="AO72" s="171"/>
      <c r="AP72" s="171"/>
      <c r="AQ72" s="171" t="s">
        <v>5032</v>
      </c>
      <c r="AR72" s="171"/>
      <c r="AS72" s="171"/>
      <c r="AT72" s="171"/>
      <c r="AU72" s="171"/>
      <c r="AV72" s="171"/>
      <c r="AW72" s="171"/>
      <c r="AX72" s="171"/>
      <c r="AY72" s="171"/>
      <c r="AZ72" s="171"/>
      <c r="BA72" s="171"/>
      <c r="BB72" s="171"/>
      <c r="BC72" s="171"/>
      <c r="BD72" s="171"/>
      <c r="BE72" s="171"/>
      <c r="BF72" s="225"/>
      <c r="BG72" s="171"/>
      <c r="BH72" s="171"/>
      <c r="BI72" s="171"/>
      <c r="BJ72" s="171"/>
      <c r="BK72" s="171">
        <v>1</v>
      </c>
      <c r="BL72" s="171"/>
      <c r="BM72" s="171">
        <v>1</v>
      </c>
      <c r="BN72" s="171"/>
      <c r="BO72" s="171"/>
      <c r="BP72" s="171"/>
      <c r="BQ72" s="171"/>
      <c r="BR72" s="171"/>
      <c r="BS72" s="171"/>
      <c r="BT72" s="171"/>
      <c r="BU72" s="171"/>
      <c r="BV72" s="171">
        <v>1</v>
      </c>
      <c r="BW72" s="171"/>
      <c r="BX72" s="171"/>
      <c r="BY72" s="171">
        <v>1</v>
      </c>
      <c r="BZ72" s="171">
        <v>1</v>
      </c>
      <c r="CA72" s="171">
        <v>1</v>
      </c>
      <c r="CB72" s="171">
        <v>1</v>
      </c>
      <c r="CC72" s="171"/>
      <c r="CD72" s="171">
        <v>1</v>
      </c>
      <c r="CE72" s="171">
        <v>1</v>
      </c>
      <c r="CF72" s="171">
        <v>1</v>
      </c>
      <c r="CG72" s="171">
        <v>1</v>
      </c>
      <c r="CH72" s="171">
        <v>1</v>
      </c>
      <c r="CI72" s="171"/>
      <c r="CJ72" s="171"/>
      <c r="CK72" s="171"/>
      <c r="CL72" s="171"/>
    </row>
    <row r="73" spans="1:91">
      <c r="A73" s="171">
        <v>27</v>
      </c>
      <c r="B73" s="171" t="s">
        <v>1756</v>
      </c>
      <c r="C73" s="171">
        <v>34</v>
      </c>
      <c r="D73" s="171" t="str">
        <f t="shared" si="37"/>
        <v xml:space="preserve"> SBT</v>
      </c>
      <c r="E73" s="171" t="s">
        <v>7228</v>
      </c>
      <c r="F73" s="174">
        <v>45474</v>
      </c>
      <c r="G73" s="171" t="s">
        <v>7220</v>
      </c>
      <c r="H73" s="173">
        <v>261</v>
      </c>
      <c r="I73" s="171"/>
      <c r="J73" s="171" t="s">
        <v>4467</v>
      </c>
      <c r="K73" s="171" t="s">
        <v>4457</v>
      </c>
      <c r="L73" s="171" t="s">
        <v>2029</v>
      </c>
      <c r="M73" s="171" t="s">
        <v>5032</v>
      </c>
      <c r="N73" s="171"/>
      <c r="O73" s="171"/>
      <c r="P73" s="171" t="s">
        <v>4174</v>
      </c>
      <c r="Q73" s="171" t="s">
        <v>22</v>
      </c>
      <c r="R73" s="171" t="s">
        <v>7233</v>
      </c>
      <c r="S73" s="171">
        <v>2030</v>
      </c>
      <c r="T73" s="171" t="s">
        <v>1</v>
      </c>
      <c r="U73" s="171"/>
      <c r="V73" s="172">
        <v>45352</v>
      </c>
      <c r="W73" s="171">
        <v>2024</v>
      </c>
      <c r="X73" s="171" t="s">
        <v>5032</v>
      </c>
      <c r="Y73" s="171"/>
      <c r="Z73" s="171"/>
      <c r="AA73" s="171" t="s">
        <v>5032</v>
      </c>
      <c r="AB73" s="171"/>
      <c r="AC73" s="171"/>
      <c r="AD73" s="171"/>
      <c r="AE73" s="171"/>
      <c r="AF73" s="171"/>
      <c r="AG73" s="171"/>
      <c r="AH73" s="171"/>
      <c r="AI73" s="171"/>
      <c r="AJ73" s="171"/>
      <c r="AK73" s="171"/>
      <c r="AL73" s="171"/>
      <c r="AM73" s="171"/>
      <c r="AN73" s="171" t="s">
        <v>5032</v>
      </c>
      <c r="AO73" s="171"/>
      <c r="AP73" s="171"/>
      <c r="AQ73" s="171" t="s">
        <v>5032</v>
      </c>
      <c r="AR73" s="171"/>
      <c r="AS73" s="171"/>
      <c r="AT73" s="171"/>
      <c r="AU73" s="171"/>
      <c r="AV73" s="171"/>
      <c r="AW73" s="171"/>
      <c r="AX73" s="171"/>
      <c r="AY73" s="171"/>
      <c r="AZ73" s="171"/>
      <c r="BA73" s="171"/>
      <c r="BB73" s="171"/>
      <c r="BC73" s="171"/>
      <c r="BD73" s="171"/>
      <c r="BE73" s="171"/>
      <c r="BF73" s="225"/>
      <c r="BG73" s="171"/>
      <c r="BH73" s="171" t="s">
        <v>8055</v>
      </c>
      <c r="BI73" s="171" t="s">
        <v>8054</v>
      </c>
      <c r="BJ73" s="171"/>
      <c r="BK73" s="171"/>
      <c r="BL73" s="171"/>
      <c r="BM73" s="171"/>
      <c r="BN73" s="171"/>
      <c r="BO73" s="171"/>
      <c r="BP73" s="171"/>
      <c r="BQ73" s="171"/>
      <c r="BR73" s="171"/>
      <c r="BS73" s="171">
        <v>1</v>
      </c>
      <c r="BT73" s="171"/>
      <c r="BU73" s="171">
        <v>1</v>
      </c>
      <c r="BV73" s="171"/>
      <c r="BW73" s="171"/>
      <c r="BX73" s="171"/>
      <c r="BY73" s="171"/>
      <c r="BZ73" s="171"/>
      <c r="CA73" s="171"/>
      <c r="CB73" s="171"/>
      <c r="CC73" s="171"/>
      <c r="CD73" s="171"/>
      <c r="CE73" s="171">
        <v>1</v>
      </c>
      <c r="CF73" s="171"/>
      <c r="CG73" s="171">
        <v>1</v>
      </c>
      <c r="CH73" s="171">
        <v>1</v>
      </c>
      <c r="CI73" s="171"/>
      <c r="CJ73" s="171"/>
      <c r="CK73" s="171"/>
      <c r="CL73" s="171"/>
    </row>
    <row r="74" spans="1:91">
      <c r="A74" s="171">
        <v>122</v>
      </c>
      <c r="B74" s="171" t="s">
        <v>1615</v>
      </c>
      <c r="C74" s="171">
        <v>125</v>
      </c>
      <c r="D74" s="171" t="str">
        <f t="shared" si="37"/>
        <v>CN SBT</v>
      </c>
      <c r="E74" s="171" t="s">
        <v>7228</v>
      </c>
      <c r="F74" s="174">
        <v>45476</v>
      </c>
      <c r="G74" s="171" t="s">
        <v>7223</v>
      </c>
      <c r="H74" s="173">
        <v>1793.5</v>
      </c>
      <c r="I74" s="171"/>
      <c r="J74" s="171" t="s">
        <v>4467</v>
      </c>
      <c r="K74" s="171" t="s">
        <v>63</v>
      </c>
      <c r="L74" s="171" t="s">
        <v>1951</v>
      </c>
      <c r="M74" s="171" t="s">
        <v>5032</v>
      </c>
      <c r="N74" s="171"/>
      <c r="O74" s="171"/>
      <c r="P74" s="171" t="s">
        <v>4174</v>
      </c>
      <c r="Q74" s="171" t="s">
        <v>22</v>
      </c>
      <c r="R74" s="171" t="s">
        <v>7277</v>
      </c>
      <c r="S74" s="171">
        <v>2030</v>
      </c>
      <c r="T74" s="171" t="s">
        <v>1</v>
      </c>
      <c r="U74" s="171"/>
      <c r="V74" s="172">
        <v>43983</v>
      </c>
      <c r="W74" s="171">
        <v>2020</v>
      </c>
      <c r="X74" s="171" t="s">
        <v>1957</v>
      </c>
      <c r="Y74" s="171" t="s">
        <v>5937</v>
      </c>
      <c r="Z74" s="171" t="s">
        <v>7225</v>
      </c>
      <c r="AA74" s="171" t="s">
        <v>1957</v>
      </c>
      <c r="AB74" s="171">
        <v>2040</v>
      </c>
      <c r="AC74" s="171">
        <v>2021</v>
      </c>
      <c r="AD74" s="171"/>
      <c r="AE74" s="171"/>
      <c r="AF74" s="171"/>
      <c r="AG74" s="171" t="s">
        <v>2082</v>
      </c>
      <c r="AH74" s="171"/>
      <c r="AI74" s="171" t="s">
        <v>4174</v>
      </c>
      <c r="AJ74" s="171"/>
      <c r="AK74" s="171"/>
      <c r="AL74" s="171" t="s">
        <v>8053</v>
      </c>
      <c r="AM74" s="171"/>
      <c r="AN74" s="171" t="s">
        <v>5032</v>
      </c>
      <c r="AO74" s="171"/>
      <c r="AP74" s="171"/>
      <c r="AQ74" s="171" t="s">
        <v>5032</v>
      </c>
      <c r="AR74" s="171"/>
      <c r="AS74" s="171"/>
      <c r="AT74" s="171"/>
      <c r="AU74" s="171"/>
      <c r="AV74" s="171"/>
      <c r="AW74" s="171"/>
      <c r="AX74" s="171"/>
      <c r="AY74" s="171"/>
      <c r="AZ74" s="171"/>
      <c r="BA74" s="171"/>
      <c r="BB74" s="171"/>
      <c r="BC74" s="171"/>
      <c r="BD74" s="171"/>
      <c r="BE74" s="171"/>
      <c r="BF74" s="225"/>
      <c r="BG74" s="171"/>
      <c r="BH74" s="171"/>
      <c r="BI74" s="171"/>
      <c r="BJ74" s="171"/>
      <c r="BK74" s="171"/>
      <c r="BL74" s="171">
        <v>1</v>
      </c>
      <c r="BM74" s="171">
        <v>1</v>
      </c>
      <c r="BN74" s="171"/>
      <c r="BO74" s="171"/>
      <c r="BP74" s="171"/>
      <c r="BQ74" s="171"/>
      <c r="BR74" s="171"/>
      <c r="BS74" s="171">
        <v>1</v>
      </c>
      <c r="BT74" s="171"/>
      <c r="BU74" s="171">
        <v>1</v>
      </c>
      <c r="BV74" s="171"/>
      <c r="BW74" s="171"/>
      <c r="BX74" s="171"/>
      <c r="BY74" s="171"/>
      <c r="BZ74" s="171">
        <v>1</v>
      </c>
      <c r="CA74" s="171"/>
      <c r="CB74" s="171">
        <v>1</v>
      </c>
      <c r="CC74" s="171"/>
      <c r="CD74" s="171"/>
      <c r="CE74" s="171">
        <v>1</v>
      </c>
      <c r="CF74" s="171"/>
      <c r="CG74" s="171">
        <v>1</v>
      </c>
      <c r="CH74" s="171">
        <v>1</v>
      </c>
      <c r="CI74" s="171"/>
      <c r="CJ74" s="171"/>
      <c r="CK74" s="171"/>
      <c r="CL74" s="171"/>
    </row>
    <row r="75" spans="1:91">
      <c r="A75" s="171">
        <v>199</v>
      </c>
      <c r="B75" s="171" t="s">
        <v>1197</v>
      </c>
      <c r="C75" s="171">
        <v>230</v>
      </c>
      <c r="D75" s="171" t="str">
        <f t="shared" si="37"/>
        <v/>
      </c>
      <c r="E75" s="171" t="s">
        <v>7220</v>
      </c>
      <c r="F75" s="174">
        <v>45477</v>
      </c>
      <c r="G75" s="171" t="s">
        <v>7220</v>
      </c>
      <c r="H75" s="173">
        <v>10335</v>
      </c>
      <c r="I75" s="171"/>
      <c r="J75" s="171" t="s">
        <v>4459</v>
      </c>
      <c r="K75" s="171" t="s">
        <v>4457</v>
      </c>
      <c r="L75" s="171" t="s">
        <v>2029</v>
      </c>
      <c r="M75" s="171" t="s">
        <v>5032</v>
      </c>
      <c r="N75" s="171"/>
      <c r="O75" s="171"/>
      <c r="P75" s="171" t="s">
        <v>5032</v>
      </c>
      <c r="Q75" s="171"/>
      <c r="R75" s="171"/>
      <c r="S75" s="171"/>
      <c r="T75" s="171"/>
      <c r="U75" s="171"/>
      <c r="V75" s="175"/>
      <c r="W75" s="171"/>
      <c r="X75" s="171" t="s">
        <v>5032</v>
      </c>
      <c r="Y75" s="171"/>
      <c r="Z75" s="171"/>
      <c r="AA75" s="171" t="s">
        <v>5032</v>
      </c>
      <c r="AB75" s="171"/>
      <c r="AC75" s="171"/>
      <c r="AD75" s="171"/>
      <c r="AE75" s="171"/>
      <c r="AF75" s="171"/>
      <c r="AG75" s="171"/>
      <c r="AH75" s="171"/>
      <c r="AI75" s="171"/>
      <c r="AJ75" s="171"/>
      <c r="AK75" s="171"/>
      <c r="AL75" s="171"/>
      <c r="AM75" s="171"/>
      <c r="AN75" s="171" t="s">
        <v>5032</v>
      </c>
      <c r="AO75" s="171"/>
      <c r="AP75" s="171"/>
      <c r="AQ75" s="171" t="s">
        <v>5032</v>
      </c>
      <c r="AR75" s="171"/>
      <c r="AS75" s="171"/>
      <c r="AT75" s="171"/>
      <c r="AU75" s="171"/>
      <c r="AV75" s="171"/>
      <c r="AW75" s="171"/>
      <c r="AX75" s="171"/>
      <c r="AY75" s="171"/>
      <c r="AZ75" s="171"/>
      <c r="BA75" s="171"/>
      <c r="BB75" s="171"/>
      <c r="BC75" s="171"/>
      <c r="BD75" s="171" t="s">
        <v>1957</v>
      </c>
      <c r="BE75" s="171" t="s">
        <v>8052</v>
      </c>
      <c r="BF75" s="225"/>
      <c r="BG75" s="171"/>
      <c r="BH75" s="171"/>
      <c r="BI75" s="171"/>
      <c r="BJ75" s="171"/>
      <c r="BK75" s="171"/>
      <c r="BL75" s="171"/>
      <c r="BM75" s="171"/>
      <c r="BN75" s="171"/>
      <c r="BO75" s="171"/>
      <c r="BP75" s="171"/>
      <c r="BQ75" s="171"/>
      <c r="BR75" s="171"/>
      <c r="BS75" s="171"/>
      <c r="BT75" s="171"/>
      <c r="BU75" s="171"/>
      <c r="BV75" s="171"/>
      <c r="BW75" s="171"/>
      <c r="BX75" s="171"/>
      <c r="BY75" s="171"/>
      <c r="BZ75" s="171"/>
      <c r="CA75" s="171"/>
      <c r="CB75" s="171"/>
      <c r="CC75" s="171"/>
      <c r="CD75" s="171"/>
      <c r="CE75" s="171"/>
      <c r="CF75" s="171"/>
      <c r="CG75" s="171"/>
      <c r="CH75" s="171"/>
      <c r="CI75" s="171"/>
      <c r="CJ75" s="171"/>
      <c r="CK75" s="171"/>
      <c r="CL75" s="171"/>
    </row>
    <row r="76" spans="1:91">
      <c r="A76" s="171">
        <v>18</v>
      </c>
      <c r="B76" s="171" t="s">
        <v>8051</v>
      </c>
      <c r="C76" s="171">
        <v>24</v>
      </c>
      <c r="D76" s="171" t="str">
        <f t="shared" si="37"/>
        <v xml:space="preserve"> SBT</v>
      </c>
      <c r="E76" s="171" t="s">
        <v>7335</v>
      </c>
      <c r="F76" s="174">
        <v>45474</v>
      </c>
      <c r="G76" s="171" t="s">
        <v>7223</v>
      </c>
      <c r="H76" s="173">
        <v>1745.3</v>
      </c>
      <c r="I76" s="171"/>
      <c r="J76" s="171" t="s">
        <v>4467</v>
      </c>
      <c r="K76" s="171" t="s">
        <v>4457</v>
      </c>
      <c r="L76" s="171" t="s">
        <v>2029</v>
      </c>
      <c r="M76" s="171" t="s">
        <v>5032</v>
      </c>
      <c r="N76" s="171"/>
      <c r="O76" s="171"/>
      <c r="P76" s="171" t="s">
        <v>4174</v>
      </c>
      <c r="Q76" s="171" t="s">
        <v>22</v>
      </c>
      <c r="R76" s="171" t="s">
        <v>7233</v>
      </c>
      <c r="S76" s="171">
        <v>2026</v>
      </c>
      <c r="T76" s="171" t="s">
        <v>1</v>
      </c>
      <c r="U76" s="171"/>
      <c r="V76" s="172">
        <v>45231</v>
      </c>
      <c r="W76" s="171">
        <v>2023</v>
      </c>
      <c r="X76" s="171" t="s">
        <v>5032</v>
      </c>
      <c r="Y76" s="171"/>
      <c r="Z76" s="171"/>
      <c r="AA76" s="171" t="s">
        <v>5032</v>
      </c>
      <c r="AB76" s="171"/>
      <c r="AC76" s="171"/>
      <c r="AD76" s="171"/>
      <c r="AE76" s="171"/>
      <c r="AF76" s="171"/>
      <c r="AG76" s="171"/>
      <c r="AH76" s="171"/>
      <c r="AI76" s="171"/>
      <c r="AJ76" s="171"/>
      <c r="AK76" s="171"/>
      <c r="AL76" s="171"/>
      <c r="AM76" s="171"/>
      <c r="AN76" s="171" t="s">
        <v>5032</v>
      </c>
      <c r="AO76" s="171"/>
      <c r="AP76" s="171"/>
      <c r="AQ76" s="171" t="s">
        <v>5032</v>
      </c>
      <c r="AR76" s="171"/>
      <c r="AS76" s="171"/>
      <c r="AT76" s="171"/>
      <c r="AU76" s="171"/>
      <c r="AV76" s="171"/>
      <c r="AW76" s="171"/>
      <c r="AX76" s="171"/>
      <c r="AY76" s="171"/>
      <c r="AZ76" s="171"/>
      <c r="BA76" s="171"/>
      <c r="BB76" s="171"/>
      <c r="BC76" s="171" t="s">
        <v>7060</v>
      </c>
      <c r="BD76" s="171"/>
      <c r="BE76" s="171"/>
      <c r="BF76" s="225"/>
      <c r="BG76" s="171"/>
      <c r="BH76" s="171"/>
      <c r="BI76" s="171"/>
      <c r="BJ76" s="171"/>
      <c r="BK76" s="171"/>
      <c r="BL76" s="171"/>
      <c r="BM76" s="171"/>
      <c r="BN76" s="171"/>
      <c r="BO76" s="171"/>
      <c r="BP76" s="171"/>
      <c r="BQ76" s="171"/>
      <c r="BR76" s="171"/>
      <c r="BS76" s="171">
        <v>1</v>
      </c>
      <c r="BT76" s="171"/>
      <c r="BU76" s="171">
        <v>1</v>
      </c>
      <c r="BV76" s="171"/>
      <c r="BW76" s="171"/>
      <c r="BX76" s="171"/>
      <c r="BY76" s="171"/>
      <c r="BZ76" s="171"/>
      <c r="CA76" s="171"/>
      <c r="CB76" s="171"/>
      <c r="CC76" s="171"/>
      <c r="CD76" s="171"/>
      <c r="CE76" s="171">
        <v>1</v>
      </c>
      <c r="CF76" s="171"/>
      <c r="CG76" s="171">
        <v>1</v>
      </c>
      <c r="CH76" s="171">
        <v>1</v>
      </c>
      <c r="CI76" s="171"/>
      <c r="CJ76" s="171"/>
      <c r="CK76" s="171"/>
      <c r="CL76" s="171"/>
    </row>
    <row r="77" spans="1:91">
      <c r="A77" s="171">
        <v>390</v>
      </c>
      <c r="B77" s="171" t="s">
        <v>4617</v>
      </c>
      <c r="C77" s="171">
        <v>277</v>
      </c>
      <c r="D77" s="171" t="str">
        <f t="shared" si="37"/>
        <v xml:space="preserve"> NZ</v>
      </c>
      <c r="E77" s="171" t="s">
        <v>7223</v>
      </c>
      <c r="F77" s="174">
        <v>45478</v>
      </c>
      <c r="G77" s="171" t="s">
        <v>7223</v>
      </c>
      <c r="H77" s="173">
        <v>3045.3</v>
      </c>
      <c r="I77" s="171"/>
      <c r="J77" s="171" t="s">
        <v>4494</v>
      </c>
      <c r="K77" s="171" t="s">
        <v>78</v>
      </c>
      <c r="L77" s="171" t="s">
        <v>2029</v>
      </c>
      <c r="M77" s="171" t="s">
        <v>5032</v>
      </c>
      <c r="N77" s="171"/>
      <c r="O77" s="171"/>
      <c r="P77" s="171" t="s">
        <v>5032</v>
      </c>
      <c r="Q77" s="171"/>
      <c r="R77" s="171"/>
      <c r="S77" s="171"/>
      <c r="T77" s="171"/>
      <c r="U77" s="171"/>
      <c r="V77" s="175"/>
      <c r="W77" s="171"/>
      <c r="X77" s="171" t="s">
        <v>5032</v>
      </c>
      <c r="Y77" s="171"/>
      <c r="Z77" s="171"/>
      <c r="AA77" s="171" t="s">
        <v>5032</v>
      </c>
      <c r="AB77" s="171"/>
      <c r="AC77" s="171"/>
      <c r="AD77" s="171"/>
      <c r="AE77" s="171"/>
      <c r="AF77" s="171"/>
      <c r="AG77" s="171"/>
      <c r="AH77" s="171"/>
      <c r="AI77" s="171"/>
      <c r="AJ77" s="171"/>
      <c r="AK77" s="171"/>
      <c r="AL77" s="171"/>
      <c r="AM77" s="171"/>
      <c r="AN77" s="171" t="s">
        <v>1957</v>
      </c>
      <c r="AO77" s="171" t="s">
        <v>1659</v>
      </c>
      <c r="AP77" s="171" t="s">
        <v>7303</v>
      </c>
      <c r="AQ77" s="171" t="s">
        <v>1957</v>
      </c>
      <c r="AR77" s="171">
        <v>2050</v>
      </c>
      <c r="AS77" s="171">
        <v>2020</v>
      </c>
      <c r="AT77" s="171"/>
      <c r="AU77" s="171"/>
      <c r="AV77" s="171"/>
      <c r="AW77" s="171" t="s">
        <v>2082</v>
      </c>
      <c r="AX77" s="171" t="s">
        <v>8050</v>
      </c>
      <c r="AY77" s="171"/>
      <c r="AZ77" s="171"/>
      <c r="BA77" s="171"/>
      <c r="BB77" s="171"/>
      <c r="BC77" s="171"/>
      <c r="BD77" s="171" t="s">
        <v>4174</v>
      </c>
      <c r="BE77" s="171" t="s">
        <v>8049</v>
      </c>
      <c r="BF77" s="225"/>
      <c r="BG77" s="171"/>
      <c r="BH77" s="171"/>
      <c r="BI77" s="171"/>
      <c r="BJ77" s="171"/>
      <c r="BK77" s="171"/>
      <c r="BL77" s="171"/>
      <c r="BM77" s="171"/>
      <c r="BN77" s="171"/>
      <c r="BO77" s="171"/>
      <c r="BP77" s="171">
        <v>1</v>
      </c>
      <c r="BQ77" s="171">
        <v>1</v>
      </c>
      <c r="BR77" s="171"/>
      <c r="BS77" s="171"/>
      <c r="BT77" s="171"/>
      <c r="BU77" s="171"/>
      <c r="BV77" s="171"/>
      <c r="BW77" s="171"/>
      <c r="BX77" s="171"/>
      <c r="BY77" s="171"/>
      <c r="BZ77" s="171">
        <v>1</v>
      </c>
      <c r="CA77" s="171"/>
      <c r="CB77" s="171">
        <v>1</v>
      </c>
      <c r="CC77" s="171"/>
      <c r="CD77" s="171"/>
      <c r="CE77" s="171">
        <v>1</v>
      </c>
      <c r="CF77" s="171"/>
      <c r="CG77" s="171"/>
      <c r="CH77" s="171">
        <v>1</v>
      </c>
      <c r="CI77" s="171"/>
      <c r="CJ77" s="171"/>
      <c r="CK77" s="171"/>
      <c r="CL77" s="171"/>
      <c r="CM77">
        <f t="shared" si="38"/>
        <v>2050</v>
      </c>
    </row>
    <row r="78" spans="1:91">
      <c r="A78" s="171">
        <v>46</v>
      </c>
      <c r="B78" s="171" t="s">
        <v>1269</v>
      </c>
      <c r="C78" s="171">
        <v>60</v>
      </c>
      <c r="D78" s="171" t="str">
        <f t="shared" si="37"/>
        <v/>
      </c>
      <c r="E78" s="171" t="s">
        <v>7719</v>
      </c>
      <c r="F78" s="174">
        <v>45475</v>
      </c>
      <c r="G78" s="171" t="s">
        <v>7220</v>
      </c>
      <c r="H78" s="173">
        <v>2702</v>
      </c>
      <c r="I78" s="171"/>
      <c r="J78" s="171" t="s">
        <v>4201</v>
      </c>
      <c r="K78" s="171" t="s">
        <v>4457</v>
      </c>
      <c r="L78" s="171" t="s">
        <v>2029</v>
      </c>
      <c r="M78" s="171" t="s">
        <v>5032</v>
      </c>
      <c r="N78" s="171"/>
      <c r="O78" s="171"/>
      <c r="P78" s="171" t="s">
        <v>5032</v>
      </c>
      <c r="Q78" s="171"/>
      <c r="R78" s="171"/>
      <c r="S78" s="171"/>
      <c r="T78" s="171"/>
      <c r="U78" s="171"/>
      <c r="V78" s="175"/>
      <c r="W78" s="171"/>
      <c r="X78" s="171" t="s">
        <v>5032</v>
      </c>
      <c r="Y78" s="171"/>
      <c r="Z78" s="171"/>
      <c r="AA78" s="171" t="s">
        <v>5032</v>
      </c>
      <c r="AB78" s="171"/>
      <c r="AC78" s="171"/>
      <c r="AD78" s="171"/>
      <c r="AE78" s="171"/>
      <c r="AF78" s="171"/>
      <c r="AG78" s="171"/>
      <c r="AH78" s="171"/>
      <c r="AI78" s="171"/>
      <c r="AJ78" s="171"/>
      <c r="AK78" s="171"/>
      <c r="AL78" s="171"/>
      <c r="AM78" s="171"/>
      <c r="AN78" s="171" t="s">
        <v>5032</v>
      </c>
      <c r="AO78" s="171"/>
      <c r="AP78" s="171"/>
      <c r="AQ78" s="171" t="s">
        <v>5032</v>
      </c>
      <c r="AR78" s="171"/>
      <c r="AS78" s="171"/>
      <c r="AT78" s="171"/>
      <c r="AU78" s="171"/>
      <c r="AV78" s="171"/>
      <c r="AW78" s="171"/>
      <c r="AX78" s="171"/>
      <c r="AY78" s="171"/>
      <c r="AZ78" s="171"/>
      <c r="BA78" s="171"/>
      <c r="BB78" s="171"/>
      <c r="BC78" s="171"/>
      <c r="BD78" s="171" t="s">
        <v>5032</v>
      </c>
      <c r="BE78" s="171"/>
      <c r="BF78" s="225" t="s">
        <v>5032</v>
      </c>
      <c r="BG78" s="171"/>
      <c r="BH78" s="171"/>
      <c r="BI78" s="171"/>
      <c r="BJ78" s="171"/>
      <c r="BK78" s="171"/>
      <c r="BL78" s="171"/>
      <c r="BM78" s="171"/>
      <c r="BN78" s="171"/>
      <c r="BO78" s="171"/>
      <c r="BP78" s="171"/>
      <c r="BQ78" s="171"/>
      <c r="BR78" s="171"/>
      <c r="BS78" s="171"/>
      <c r="BT78" s="171"/>
      <c r="BU78" s="171"/>
      <c r="BV78" s="171"/>
      <c r="BW78" s="171"/>
      <c r="BX78" s="171"/>
      <c r="BY78" s="171"/>
      <c r="BZ78" s="171"/>
      <c r="CA78" s="171"/>
      <c r="CB78" s="171"/>
      <c r="CC78" s="171"/>
      <c r="CD78" s="171"/>
      <c r="CE78" s="171"/>
      <c r="CF78" s="171"/>
      <c r="CG78" s="171"/>
      <c r="CH78" s="171"/>
      <c r="CI78" s="171"/>
      <c r="CJ78" s="171"/>
      <c r="CK78" s="171"/>
      <c r="CL78" s="171"/>
    </row>
    <row r="79" spans="1:91">
      <c r="A79" s="171">
        <v>485</v>
      </c>
      <c r="B79" s="171" t="s">
        <v>782</v>
      </c>
      <c r="C79" s="171"/>
      <c r="D79" s="171" t="str">
        <f t="shared" si="37"/>
        <v xml:space="preserve"> NZ</v>
      </c>
      <c r="E79" s="171" t="s">
        <v>7223</v>
      </c>
      <c r="F79" s="174">
        <v>45512</v>
      </c>
      <c r="G79" s="184"/>
      <c r="H79" s="173">
        <v>4883</v>
      </c>
      <c r="I79" s="181" t="s">
        <v>265</v>
      </c>
      <c r="J79" s="171" t="s">
        <v>4199</v>
      </c>
      <c r="K79" s="171" t="s">
        <v>4195</v>
      </c>
      <c r="L79" s="171" t="s">
        <v>1951</v>
      </c>
      <c r="M79" s="171" t="s">
        <v>5032</v>
      </c>
      <c r="N79" s="171"/>
      <c r="O79" s="171"/>
      <c r="P79" s="171" t="s">
        <v>5032</v>
      </c>
      <c r="Q79" s="171"/>
      <c r="R79" s="171"/>
      <c r="S79" s="171"/>
      <c r="T79" s="171"/>
      <c r="U79" s="171"/>
      <c r="V79" s="175"/>
      <c r="W79" s="171"/>
      <c r="X79" s="171" t="s">
        <v>5032</v>
      </c>
      <c r="Y79" s="171"/>
      <c r="Z79" s="171"/>
      <c r="AA79" s="171" t="s">
        <v>5032</v>
      </c>
      <c r="AB79" s="171"/>
      <c r="AC79" s="171"/>
      <c r="AD79" s="171"/>
      <c r="AE79" s="171"/>
      <c r="AF79" s="171"/>
      <c r="AG79" s="171"/>
      <c r="AH79" s="171"/>
      <c r="AI79" s="171"/>
      <c r="AJ79" s="171"/>
      <c r="AK79" s="171"/>
      <c r="AL79" s="171"/>
      <c r="AM79" s="171"/>
      <c r="AN79" s="171" t="s">
        <v>7227</v>
      </c>
      <c r="AO79" s="171" t="s">
        <v>8048</v>
      </c>
      <c r="AP79" s="171" t="s">
        <v>2072</v>
      </c>
      <c r="AQ79" s="171" t="s">
        <v>1957</v>
      </c>
      <c r="AR79" s="171">
        <v>2045</v>
      </c>
      <c r="AS79" s="171">
        <v>2021</v>
      </c>
      <c r="AT79" s="171" t="s">
        <v>4172</v>
      </c>
      <c r="AU79" s="171">
        <v>2050</v>
      </c>
      <c r="AV79" s="171">
        <v>2021</v>
      </c>
      <c r="AW79" s="171" t="s">
        <v>2082</v>
      </c>
      <c r="AX79" s="176" t="s">
        <v>8047</v>
      </c>
      <c r="AY79" s="171">
        <v>2023</v>
      </c>
      <c r="AZ79" s="171" t="s">
        <v>4174</v>
      </c>
      <c r="BA79" s="176" t="s">
        <v>8046</v>
      </c>
      <c r="BB79" s="171"/>
      <c r="BC79" s="171"/>
      <c r="BD79" s="171"/>
      <c r="BE79" s="171"/>
      <c r="BF79" s="225"/>
      <c r="BG79" s="171"/>
      <c r="BH79" s="171"/>
      <c r="BI79" s="171"/>
      <c r="BJ79" s="171"/>
      <c r="BK79" s="171"/>
      <c r="BL79" s="171"/>
      <c r="BM79" s="171"/>
      <c r="BN79" s="171"/>
      <c r="BO79" s="171"/>
      <c r="BP79" s="171">
        <v>1</v>
      </c>
      <c r="BQ79" s="171">
        <v>1</v>
      </c>
      <c r="BR79" s="171"/>
      <c r="BS79" s="171"/>
      <c r="BT79" s="171"/>
      <c r="BU79" s="171"/>
      <c r="BV79" s="171"/>
      <c r="BW79" s="171"/>
      <c r="BX79" s="171"/>
      <c r="BY79" s="171"/>
      <c r="BZ79" s="171">
        <v>1</v>
      </c>
      <c r="CA79" s="171"/>
      <c r="CB79" s="171">
        <v>1</v>
      </c>
      <c r="CC79" s="171"/>
      <c r="CD79" s="171"/>
      <c r="CE79" s="171">
        <v>1</v>
      </c>
      <c r="CF79" s="171"/>
      <c r="CG79" s="171"/>
      <c r="CH79" s="171">
        <v>1</v>
      </c>
      <c r="CI79" s="171"/>
      <c r="CJ79" s="171"/>
      <c r="CK79" s="171">
        <v>1</v>
      </c>
      <c r="CL79" s="171">
        <v>1</v>
      </c>
      <c r="CM79">
        <f t="shared" si="38"/>
        <v>2045</v>
      </c>
    </row>
    <row r="80" spans="1:91">
      <c r="A80" s="171">
        <v>420</v>
      </c>
      <c r="B80" s="171" t="s">
        <v>302</v>
      </c>
      <c r="C80" s="171"/>
      <c r="D80" s="171" t="str">
        <f t="shared" si="37"/>
        <v/>
      </c>
      <c r="E80" s="171" t="s">
        <v>7385</v>
      </c>
      <c r="F80" s="174">
        <v>45512</v>
      </c>
      <c r="G80" s="171"/>
      <c r="H80" s="173">
        <v>5481.6</v>
      </c>
      <c r="I80" s="171"/>
      <c r="J80" s="171" t="s">
        <v>4459</v>
      </c>
      <c r="K80" s="171" t="s">
        <v>121</v>
      </c>
      <c r="L80" s="171" t="s">
        <v>2029</v>
      </c>
      <c r="M80" s="171" t="s">
        <v>5032</v>
      </c>
      <c r="N80" s="171"/>
      <c r="O80" s="171"/>
      <c r="P80" s="171" t="s">
        <v>5032</v>
      </c>
      <c r="Q80" s="171"/>
      <c r="R80" s="171"/>
      <c r="S80" s="171"/>
      <c r="T80" s="171"/>
      <c r="U80" s="171"/>
      <c r="V80" s="175"/>
      <c r="W80" s="171"/>
      <c r="X80" s="171" t="s">
        <v>5032</v>
      </c>
      <c r="Y80" s="171"/>
      <c r="Z80" s="171"/>
      <c r="AA80" s="171" t="s">
        <v>5032</v>
      </c>
      <c r="AB80" s="171"/>
      <c r="AC80" s="171"/>
      <c r="AD80" s="171"/>
      <c r="AE80" s="171"/>
      <c r="AF80" s="171"/>
      <c r="AG80" s="171"/>
      <c r="AH80" s="171"/>
      <c r="AI80" s="171"/>
      <c r="AJ80" s="171"/>
      <c r="AK80" s="171"/>
      <c r="AL80" s="171"/>
      <c r="AM80" s="171"/>
      <c r="AN80" s="171" t="s">
        <v>5032</v>
      </c>
      <c r="AO80" s="171"/>
      <c r="AP80" s="171"/>
      <c r="AQ80" s="171" t="s">
        <v>5032</v>
      </c>
      <c r="AR80" s="171"/>
      <c r="AS80" s="171"/>
      <c r="AT80" s="171"/>
      <c r="AU80" s="171"/>
      <c r="AV80" s="171"/>
      <c r="AW80" s="171"/>
      <c r="AX80" s="171"/>
      <c r="AY80" s="171"/>
      <c r="AZ80" s="171"/>
      <c r="BA80" s="171"/>
      <c r="BB80" s="171"/>
      <c r="BC80" s="171"/>
      <c r="BD80" s="171"/>
      <c r="BE80" s="171"/>
      <c r="BF80" s="225"/>
      <c r="BG80" s="171"/>
      <c r="BH80" s="171"/>
      <c r="BI80" s="171"/>
      <c r="BJ80" s="171"/>
      <c r="BK80" s="171"/>
      <c r="BL80" s="171"/>
      <c r="BM80" s="171"/>
      <c r="BN80" s="171"/>
      <c r="BO80" s="171"/>
      <c r="BP80" s="171"/>
      <c r="BQ80" s="171"/>
      <c r="BR80" s="171"/>
      <c r="BS80" s="171"/>
      <c r="BT80" s="171"/>
      <c r="BU80" s="171"/>
      <c r="BV80" s="171"/>
      <c r="BW80" s="171"/>
      <c r="BX80" s="171"/>
      <c r="BY80" s="171"/>
      <c r="BZ80" s="171"/>
      <c r="CA80" s="171"/>
      <c r="CB80" s="171"/>
      <c r="CC80" s="171"/>
      <c r="CD80" s="171"/>
      <c r="CE80" s="171"/>
      <c r="CF80" s="171"/>
      <c r="CG80" s="171"/>
      <c r="CH80" s="171"/>
      <c r="CI80" s="171"/>
      <c r="CJ80" s="171"/>
      <c r="CK80" s="171"/>
      <c r="CL80" s="171"/>
    </row>
    <row r="81" spans="1:91">
      <c r="A81" s="171">
        <v>255</v>
      </c>
      <c r="B81" s="171" t="s">
        <v>950</v>
      </c>
      <c r="C81" s="171">
        <v>261</v>
      </c>
      <c r="D81" s="171" t="str">
        <f t="shared" si="37"/>
        <v>CN</v>
      </c>
      <c r="E81" s="171" t="s">
        <v>7223</v>
      </c>
      <c r="F81" s="174">
        <v>45477</v>
      </c>
      <c r="G81" s="171" t="s">
        <v>7223</v>
      </c>
      <c r="H81" s="173">
        <v>4557</v>
      </c>
      <c r="I81" s="171"/>
      <c r="J81" s="171" t="s">
        <v>4190</v>
      </c>
      <c r="K81" s="171" t="s">
        <v>4457</v>
      </c>
      <c r="L81" s="171" t="s">
        <v>2029</v>
      </c>
      <c r="M81" s="171" t="s">
        <v>5032</v>
      </c>
      <c r="N81" s="171"/>
      <c r="O81" s="171"/>
      <c r="P81" s="171" t="s">
        <v>5032</v>
      </c>
      <c r="Q81" s="171"/>
      <c r="R81" s="171"/>
      <c r="S81" s="171"/>
      <c r="T81" s="171"/>
      <c r="U81" s="171"/>
      <c r="V81" s="175"/>
      <c r="W81" s="171"/>
      <c r="X81" s="171" t="s">
        <v>1957</v>
      </c>
      <c r="Y81" s="171" t="s">
        <v>1659</v>
      </c>
      <c r="Z81" s="171" t="s">
        <v>3283</v>
      </c>
      <c r="AA81" s="171" t="s">
        <v>1957</v>
      </c>
      <c r="AB81" s="171">
        <v>2035</v>
      </c>
      <c r="AC81" s="171">
        <v>2020</v>
      </c>
      <c r="AD81" s="171"/>
      <c r="AE81" s="171"/>
      <c r="AF81" s="171"/>
      <c r="AG81" s="171" t="s">
        <v>2082</v>
      </c>
      <c r="AH81" s="171"/>
      <c r="AI81" s="171" t="s">
        <v>4174</v>
      </c>
      <c r="AJ81" s="171"/>
      <c r="AK81" s="171"/>
      <c r="AL81" s="171" t="s">
        <v>8045</v>
      </c>
      <c r="AM81" s="171"/>
      <c r="AN81" s="171" t="s">
        <v>5032</v>
      </c>
      <c r="AO81" s="171"/>
      <c r="AP81" s="171"/>
      <c r="AQ81" s="171" t="s">
        <v>5032</v>
      </c>
      <c r="AR81" s="171"/>
      <c r="AS81" s="171"/>
      <c r="AT81" s="171"/>
      <c r="AU81" s="171"/>
      <c r="AV81" s="171"/>
      <c r="AW81" s="171"/>
      <c r="AX81" s="171"/>
      <c r="AY81" s="171"/>
      <c r="AZ81" s="171"/>
      <c r="BA81" s="171"/>
      <c r="BB81" s="171"/>
      <c r="BC81" s="171"/>
      <c r="BD81" s="171"/>
      <c r="BE81" s="171"/>
      <c r="BF81" s="225"/>
      <c r="BG81" s="171"/>
      <c r="BH81" s="171"/>
      <c r="BI81" s="171"/>
      <c r="BJ81" s="171"/>
      <c r="BK81" s="171"/>
      <c r="BL81" s="171">
        <v>1</v>
      </c>
      <c r="BM81" s="171">
        <v>1</v>
      </c>
      <c r="BN81" s="171"/>
      <c r="BO81" s="171"/>
      <c r="BP81" s="171"/>
      <c r="BQ81" s="171"/>
      <c r="BR81" s="171"/>
      <c r="BS81" s="171"/>
      <c r="BT81" s="171"/>
      <c r="BU81" s="171"/>
      <c r="BV81" s="171"/>
      <c r="BW81" s="171"/>
      <c r="BX81" s="171"/>
      <c r="BY81" s="171"/>
      <c r="BZ81" s="171">
        <v>1</v>
      </c>
      <c r="CA81" s="171"/>
      <c r="CB81" s="171">
        <v>1</v>
      </c>
      <c r="CC81" s="171"/>
      <c r="CD81" s="171"/>
      <c r="CE81" s="171">
        <v>1</v>
      </c>
      <c r="CF81" s="171"/>
      <c r="CG81" s="171"/>
      <c r="CH81" s="171">
        <v>1</v>
      </c>
      <c r="CI81" s="171"/>
      <c r="CJ81" s="171"/>
      <c r="CK81" s="171"/>
      <c r="CL81" s="171"/>
    </row>
    <row r="82" spans="1:91">
      <c r="A82" s="171">
        <v>385</v>
      </c>
      <c r="B82" s="171" t="s">
        <v>8044</v>
      </c>
      <c r="C82" s="171"/>
      <c r="D82" s="171" t="str">
        <f t="shared" si="37"/>
        <v/>
      </c>
      <c r="E82" s="171" t="s">
        <v>7223</v>
      </c>
      <c r="F82" s="174">
        <v>45511</v>
      </c>
      <c r="G82" s="171"/>
      <c r="H82" s="173">
        <v>585.70000000000005</v>
      </c>
      <c r="I82" s="181" t="s">
        <v>171</v>
      </c>
      <c r="J82" s="171" t="s">
        <v>4476</v>
      </c>
      <c r="K82" s="171" t="s">
        <v>73</v>
      </c>
      <c r="L82" s="171" t="s">
        <v>1994</v>
      </c>
      <c r="M82" s="171" t="s">
        <v>5032</v>
      </c>
      <c r="N82" s="171"/>
      <c r="O82" s="171"/>
      <c r="P82" s="171" t="s">
        <v>5032</v>
      </c>
      <c r="Q82" s="171"/>
      <c r="R82" s="171"/>
      <c r="S82" s="171"/>
      <c r="T82" s="171"/>
      <c r="U82" s="171"/>
      <c r="V82" s="175"/>
      <c r="W82" s="171"/>
      <c r="X82" s="171" t="s">
        <v>5032</v>
      </c>
      <c r="Y82" s="171"/>
      <c r="Z82" s="171"/>
      <c r="AA82" s="171" t="s">
        <v>5032</v>
      </c>
      <c r="AB82" s="171"/>
      <c r="AC82" s="171"/>
      <c r="AD82" s="171"/>
      <c r="AE82" s="171"/>
      <c r="AF82" s="171"/>
      <c r="AG82" s="171"/>
      <c r="AH82" s="171"/>
      <c r="AI82" s="171"/>
      <c r="AJ82" s="171"/>
      <c r="AK82" s="171"/>
      <c r="AL82" s="171"/>
      <c r="AM82" s="171"/>
      <c r="AN82" s="171" t="s">
        <v>5032</v>
      </c>
      <c r="AO82" s="171"/>
      <c r="AP82" s="171"/>
      <c r="AQ82" s="171" t="s">
        <v>5032</v>
      </c>
      <c r="AR82" s="171"/>
      <c r="AS82" s="171"/>
      <c r="AT82" s="171"/>
      <c r="AU82" s="171"/>
      <c r="AV82" s="171"/>
      <c r="AW82" s="171"/>
      <c r="AX82" s="171"/>
      <c r="AY82" s="171"/>
      <c r="AZ82" s="171"/>
      <c r="BA82" s="171"/>
      <c r="BB82" s="171"/>
      <c r="BC82" s="171"/>
      <c r="BD82" s="171"/>
      <c r="BE82" s="171"/>
      <c r="BF82" s="225"/>
      <c r="BG82" s="171"/>
      <c r="BH82" s="171"/>
      <c r="BI82" s="171"/>
      <c r="BJ82" s="171"/>
      <c r="BK82" s="171"/>
      <c r="BL82" s="171"/>
      <c r="BM82" s="171"/>
      <c r="BN82" s="171"/>
      <c r="BO82" s="171"/>
      <c r="BP82" s="171"/>
      <c r="BQ82" s="171"/>
      <c r="BR82" s="171"/>
      <c r="BS82" s="171"/>
      <c r="BT82" s="171"/>
      <c r="BU82" s="171"/>
      <c r="BV82" s="171"/>
      <c r="BW82" s="171"/>
      <c r="BX82" s="171"/>
      <c r="BY82" s="171"/>
      <c r="BZ82" s="171"/>
      <c r="CA82" s="171"/>
      <c r="CB82" s="171"/>
      <c r="CC82" s="171"/>
      <c r="CD82" s="171"/>
      <c r="CE82" s="171"/>
      <c r="CF82" s="171"/>
      <c r="CG82" s="171"/>
      <c r="CH82" s="171"/>
      <c r="CI82" s="171"/>
      <c r="CJ82" s="171"/>
      <c r="CK82" s="171"/>
      <c r="CL82" s="171"/>
    </row>
    <row r="83" spans="1:91">
      <c r="A83" s="171">
        <v>29</v>
      </c>
      <c r="B83" s="171" t="s">
        <v>1793</v>
      </c>
      <c r="C83" s="171">
        <v>23</v>
      </c>
      <c r="D83" s="171" t="str">
        <f t="shared" si="37"/>
        <v xml:space="preserve"> NZ</v>
      </c>
      <c r="E83" s="171" t="s">
        <v>7223</v>
      </c>
      <c r="F83" s="174">
        <v>45474</v>
      </c>
      <c r="G83" s="171" t="s">
        <v>7223</v>
      </c>
      <c r="H83" s="173">
        <v>21369</v>
      </c>
      <c r="I83" s="171"/>
      <c r="J83" s="171" t="s">
        <v>3498</v>
      </c>
      <c r="K83" s="171" t="s">
        <v>4457</v>
      </c>
      <c r="L83" s="171" t="s">
        <v>2029</v>
      </c>
      <c r="M83" s="171" t="s">
        <v>5032</v>
      </c>
      <c r="N83" s="171"/>
      <c r="O83" s="171"/>
      <c r="P83" s="171" t="s">
        <v>5032</v>
      </c>
      <c r="Q83" s="171"/>
      <c r="R83" s="171"/>
      <c r="S83" s="171"/>
      <c r="T83" s="171"/>
      <c r="U83" s="171"/>
      <c r="V83" s="175"/>
      <c r="W83" s="171"/>
      <c r="X83" s="171" t="s">
        <v>5032</v>
      </c>
      <c r="Y83" s="171"/>
      <c r="Z83" s="171"/>
      <c r="AA83" s="171" t="s">
        <v>5032</v>
      </c>
      <c r="AB83" s="171"/>
      <c r="AC83" s="171"/>
      <c r="AD83" s="171"/>
      <c r="AE83" s="171"/>
      <c r="AF83" s="171"/>
      <c r="AG83" s="171"/>
      <c r="AH83" s="171"/>
      <c r="AI83" s="171"/>
      <c r="AJ83" s="171"/>
      <c r="AK83" s="171"/>
      <c r="AL83" s="171"/>
      <c r="AM83" s="171"/>
      <c r="AN83" s="171" t="s">
        <v>1957</v>
      </c>
      <c r="AO83" s="171" t="s">
        <v>8043</v>
      </c>
      <c r="AP83" s="171" t="s">
        <v>2072</v>
      </c>
      <c r="AQ83" s="171" t="s">
        <v>1957</v>
      </c>
      <c r="AR83" s="171">
        <v>2050</v>
      </c>
      <c r="AS83" s="171">
        <v>2021</v>
      </c>
      <c r="AT83" s="171"/>
      <c r="AU83" s="171"/>
      <c r="AV83" s="171"/>
      <c r="AW83" s="171" t="s">
        <v>4174</v>
      </c>
      <c r="AX83" s="171" t="s">
        <v>8042</v>
      </c>
      <c r="AY83" s="171">
        <v>2023</v>
      </c>
      <c r="AZ83" s="171" t="s">
        <v>4174</v>
      </c>
      <c r="BA83" s="171" t="s">
        <v>8041</v>
      </c>
      <c r="BB83" s="171"/>
      <c r="BC83" s="171" t="s">
        <v>8041</v>
      </c>
      <c r="BD83" s="171"/>
      <c r="BE83" s="171"/>
      <c r="BF83" s="225"/>
      <c r="BG83" s="171"/>
      <c r="BH83" s="171"/>
      <c r="BI83" s="171"/>
      <c r="BJ83" s="171"/>
      <c r="BK83" s="171"/>
      <c r="BL83" s="171"/>
      <c r="BM83" s="171"/>
      <c r="BN83" s="171"/>
      <c r="BO83" s="171"/>
      <c r="BP83" s="171">
        <v>1</v>
      </c>
      <c r="BQ83" s="171">
        <v>1</v>
      </c>
      <c r="BR83" s="171"/>
      <c r="BS83" s="171"/>
      <c r="BT83" s="171"/>
      <c r="BU83" s="171"/>
      <c r="BV83" s="171"/>
      <c r="BW83" s="171"/>
      <c r="BX83" s="171"/>
      <c r="BY83" s="171"/>
      <c r="BZ83" s="171">
        <v>1</v>
      </c>
      <c r="CA83" s="171"/>
      <c r="CB83" s="171">
        <v>1</v>
      </c>
      <c r="CC83" s="171">
        <v>1</v>
      </c>
      <c r="CD83" s="171"/>
      <c r="CE83" s="171">
        <v>1</v>
      </c>
      <c r="CF83" s="171"/>
      <c r="CG83" s="171"/>
      <c r="CH83" s="171">
        <v>1</v>
      </c>
      <c r="CI83" s="171"/>
      <c r="CJ83" s="171"/>
      <c r="CK83" s="171"/>
      <c r="CL83" s="171"/>
      <c r="CM83">
        <f t="shared" si="38"/>
        <v>2050</v>
      </c>
    </row>
    <row r="84" spans="1:91">
      <c r="A84" s="171">
        <v>44</v>
      </c>
      <c r="B84" s="171" t="s">
        <v>1329</v>
      </c>
      <c r="C84" s="171">
        <v>44</v>
      </c>
      <c r="D84" s="171" t="str">
        <f t="shared" si="37"/>
        <v>CN</v>
      </c>
      <c r="E84" s="171" t="s">
        <v>7228</v>
      </c>
      <c r="F84" s="174">
        <v>45474</v>
      </c>
      <c r="G84" s="171" t="s">
        <v>7220</v>
      </c>
      <c r="H84" s="173">
        <v>2493.8000000000002</v>
      </c>
      <c r="I84" s="171"/>
      <c r="J84" s="171" t="s">
        <v>4494</v>
      </c>
      <c r="K84" s="171" t="s">
        <v>73</v>
      </c>
      <c r="L84" s="171" t="s">
        <v>1994</v>
      </c>
      <c r="M84" s="171" t="s">
        <v>5032</v>
      </c>
      <c r="N84" s="171"/>
      <c r="O84" s="171"/>
      <c r="P84" s="171" t="s">
        <v>5032</v>
      </c>
      <c r="Q84" s="171"/>
      <c r="R84" s="171"/>
      <c r="S84" s="171"/>
      <c r="T84" s="171"/>
      <c r="U84" s="171"/>
      <c r="V84" s="175"/>
      <c r="W84" s="171"/>
      <c r="X84" s="171" t="s">
        <v>1957</v>
      </c>
      <c r="Y84" s="171" t="s">
        <v>5131</v>
      </c>
      <c r="Z84" s="171" t="s">
        <v>7533</v>
      </c>
      <c r="AA84" s="171" t="s">
        <v>1957</v>
      </c>
      <c r="AB84" s="171">
        <v>2050</v>
      </c>
      <c r="AC84" s="171">
        <v>2020</v>
      </c>
      <c r="AD84" s="171"/>
      <c r="AE84" s="171"/>
      <c r="AF84" s="171"/>
      <c r="AG84" s="171" t="s">
        <v>2082</v>
      </c>
      <c r="AH84" s="171"/>
      <c r="AI84" s="171" t="s">
        <v>4174</v>
      </c>
      <c r="AJ84" s="171"/>
      <c r="AK84" s="171"/>
      <c r="AL84" s="171" t="s">
        <v>4976</v>
      </c>
      <c r="AM84" s="171"/>
      <c r="AN84" s="171" t="s">
        <v>5032</v>
      </c>
      <c r="AO84" s="171"/>
      <c r="AP84" s="171"/>
      <c r="AQ84" s="171" t="s">
        <v>5032</v>
      </c>
      <c r="AR84" s="171"/>
      <c r="AS84" s="171"/>
      <c r="AT84" s="171"/>
      <c r="AU84" s="171"/>
      <c r="AV84" s="171"/>
      <c r="AW84" s="171"/>
      <c r="AX84" s="171"/>
      <c r="AY84" s="171"/>
      <c r="AZ84" s="171"/>
      <c r="BA84" s="171"/>
      <c r="BB84" s="171"/>
      <c r="BC84" s="171"/>
      <c r="BD84" s="171"/>
      <c r="BE84" s="171"/>
      <c r="BF84" s="225"/>
      <c r="BG84" s="171"/>
      <c r="BH84" s="171"/>
      <c r="BI84" s="171"/>
      <c r="BJ84" s="171"/>
      <c r="BK84" s="171"/>
      <c r="BL84" s="171">
        <v>1</v>
      </c>
      <c r="BM84" s="171">
        <v>1</v>
      </c>
      <c r="BN84" s="171"/>
      <c r="BO84" s="171"/>
      <c r="BP84" s="171"/>
      <c r="BQ84" s="171"/>
      <c r="BR84" s="171"/>
      <c r="BS84" s="171"/>
      <c r="BT84" s="171"/>
      <c r="BU84" s="171"/>
      <c r="BV84" s="171"/>
      <c r="BW84" s="171"/>
      <c r="BX84" s="171"/>
      <c r="BY84" s="171"/>
      <c r="BZ84" s="171">
        <v>1</v>
      </c>
      <c r="CA84" s="171"/>
      <c r="CB84" s="171">
        <v>1</v>
      </c>
      <c r="CC84" s="171"/>
      <c r="CD84" s="171"/>
      <c r="CE84" s="171">
        <v>1</v>
      </c>
      <c r="CF84" s="171"/>
      <c r="CG84" s="171"/>
      <c r="CH84" s="171">
        <v>1</v>
      </c>
      <c r="CI84" s="171"/>
      <c r="CJ84" s="171"/>
      <c r="CK84" s="171"/>
      <c r="CL84" s="171"/>
    </row>
    <row r="85" spans="1:91">
      <c r="A85" s="171">
        <v>63</v>
      </c>
      <c r="B85" s="171" t="s">
        <v>1560</v>
      </c>
      <c r="C85" s="171">
        <v>63</v>
      </c>
      <c r="D85" s="171" t="str">
        <f t="shared" si="37"/>
        <v/>
      </c>
      <c r="E85" s="171" t="s">
        <v>7220</v>
      </c>
      <c r="F85" s="174">
        <v>45475</v>
      </c>
      <c r="G85" s="171" t="s">
        <v>7220</v>
      </c>
      <c r="H85" s="173">
        <v>1672.3</v>
      </c>
      <c r="I85" s="171"/>
      <c r="J85" s="171" t="s">
        <v>4197</v>
      </c>
      <c r="K85" s="171" t="s">
        <v>73</v>
      </c>
      <c r="L85" s="171" t="s">
        <v>1994</v>
      </c>
      <c r="M85" s="171" t="s">
        <v>5032</v>
      </c>
      <c r="N85" s="171"/>
      <c r="O85" s="171"/>
      <c r="P85" s="171" t="s">
        <v>5032</v>
      </c>
      <c r="Q85" s="171"/>
      <c r="R85" s="171"/>
      <c r="S85" s="171"/>
      <c r="T85" s="171"/>
      <c r="U85" s="171"/>
      <c r="V85" s="175"/>
      <c r="W85" s="171"/>
      <c r="X85" s="171" t="s">
        <v>4519</v>
      </c>
      <c r="Y85" s="171" t="s">
        <v>4348</v>
      </c>
      <c r="Z85" s="171" t="s">
        <v>3283</v>
      </c>
      <c r="AA85" s="171" t="s">
        <v>4519</v>
      </c>
      <c r="AB85" s="171">
        <v>2060</v>
      </c>
      <c r="AC85" s="171">
        <v>2023</v>
      </c>
      <c r="AD85" s="171"/>
      <c r="AE85" s="171"/>
      <c r="AF85" s="171"/>
      <c r="AG85" s="171"/>
      <c r="AH85" s="171"/>
      <c r="AI85" s="171"/>
      <c r="AJ85" s="171"/>
      <c r="AK85" s="171"/>
      <c r="AL85" s="171" t="s">
        <v>8040</v>
      </c>
      <c r="AM85" s="171" t="s">
        <v>8039</v>
      </c>
      <c r="AN85" s="171" t="s">
        <v>5032</v>
      </c>
      <c r="AO85" s="171"/>
      <c r="AP85" s="171"/>
      <c r="AQ85" s="171" t="s">
        <v>5032</v>
      </c>
      <c r="AR85" s="171"/>
      <c r="AS85" s="171"/>
      <c r="AT85" s="171"/>
      <c r="AU85" s="171"/>
      <c r="AV85" s="171"/>
      <c r="AW85" s="171"/>
      <c r="AX85" s="171"/>
      <c r="AY85" s="171"/>
      <c r="AZ85" s="171"/>
      <c r="BA85" s="171"/>
      <c r="BB85" s="171"/>
      <c r="BC85" s="171"/>
      <c r="BD85" s="171"/>
      <c r="BE85" s="171"/>
      <c r="BF85" s="225"/>
      <c r="BG85" s="171"/>
      <c r="BH85" s="171"/>
      <c r="BI85" s="171"/>
      <c r="BJ85" s="171"/>
      <c r="BK85" s="171"/>
      <c r="BL85" s="171"/>
      <c r="BM85" s="171"/>
      <c r="BN85" s="171"/>
      <c r="BO85" s="171"/>
      <c r="BP85" s="171"/>
      <c r="BQ85" s="171"/>
      <c r="BR85" s="171"/>
      <c r="BS85" s="171"/>
      <c r="BT85" s="171"/>
      <c r="BU85" s="171"/>
      <c r="BV85" s="171"/>
      <c r="BW85" s="171"/>
      <c r="BX85" s="171"/>
      <c r="BY85" s="171"/>
      <c r="BZ85" s="171"/>
      <c r="CA85" s="171"/>
      <c r="CB85" s="171"/>
      <c r="CC85" s="171"/>
      <c r="CD85" s="171"/>
      <c r="CE85" s="171"/>
      <c r="CF85" s="171"/>
      <c r="CG85" s="171"/>
      <c r="CH85" s="171"/>
      <c r="CI85" s="171"/>
      <c r="CJ85" s="171"/>
      <c r="CK85" s="171"/>
      <c r="CL85" s="171"/>
    </row>
    <row r="86" spans="1:91">
      <c r="A86" s="171">
        <v>30</v>
      </c>
      <c r="B86" s="171" t="s">
        <v>1785</v>
      </c>
      <c r="C86" s="171">
        <v>29</v>
      </c>
      <c r="D86" s="171" t="str">
        <f t="shared" si="37"/>
        <v/>
      </c>
      <c r="E86" s="171" t="s">
        <v>7228</v>
      </c>
      <c r="F86" s="174">
        <v>45474</v>
      </c>
      <c r="G86" s="171" t="s">
        <v>7223</v>
      </c>
      <c r="H86" s="173">
        <v>46990</v>
      </c>
      <c r="I86" s="171"/>
      <c r="J86" s="171" t="s">
        <v>4465</v>
      </c>
      <c r="K86" s="171" t="s">
        <v>73</v>
      </c>
      <c r="L86" s="171" t="s">
        <v>1994</v>
      </c>
      <c r="M86" s="171" t="s">
        <v>5032</v>
      </c>
      <c r="N86" s="171"/>
      <c r="O86" s="171"/>
      <c r="P86" s="171" t="s">
        <v>5032</v>
      </c>
      <c r="Q86" s="171"/>
      <c r="R86" s="171"/>
      <c r="S86" s="171"/>
      <c r="T86" s="171"/>
      <c r="U86" s="171"/>
      <c r="V86" s="175"/>
      <c r="W86" s="171"/>
      <c r="X86" s="171" t="s">
        <v>4519</v>
      </c>
      <c r="Y86" s="171" t="s">
        <v>5131</v>
      </c>
      <c r="Z86" s="171" t="s">
        <v>7225</v>
      </c>
      <c r="AA86" s="171" t="s">
        <v>4519</v>
      </c>
      <c r="AB86" s="171">
        <v>2060</v>
      </c>
      <c r="AC86" s="171">
        <v>2021</v>
      </c>
      <c r="AD86" s="171"/>
      <c r="AE86" s="171"/>
      <c r="AF86" s="171"/>
      <c r="AG86" s="171"/>
      <c r="AH86" s="171"/>
      <c r="AI86" s="171"/>
      <c r="AJ86" s="171"/>
      <c r="AK86" s="171"/>
      <c r="AL86" s="171" t="s">
        <v>8038</v>
      </c>
      <c r="AM86" s="171"/>
      <c r="AN86" s="171" t="s">
        <v>5032</v>
      </c>
      <c r="AO86" s="171"/>
      <c r="AP86" s="171"/>
      <c r="AQ86" s="171" t="s">
        <v>5032</v>
      </c>
      <c r="AR86" s="171"/>
      <c r="AS86" s="171"/>
      <c r="AT86" s="171"/>
      <c r="AU86" s="171"/>
      <c r="AV86" s="171"/>
      <c r="AW86" s="171"/>
      <c r="AX86" s="171"/>
      <c r="AY86" s="171"/>
      <c r="AZ86" s="171"/>
      <c r="BA86" s="171"/>
      <c r="BB86" s="171"/>
      <c r="BC86" s="171"/>
      <c r="BD86" s="171"/>
      <c r="BE86" s="171"/>
      <c r="BF86" s="225"/>
      <c r="BG86" s="171"/>
      <c r="BH86" s="171"/>
      <c r="BI86" s="171"/>
      <c r="BJ86" s="171"/>
      <c r="BK86" s="171"/>
      <c r="BL86" s="171"/>
      <c r="BM86" s="171"/>
      <c r="BN86" s="171"/>
      <c r="BO86" s="171"/>
      <c r="BP86" s="171"/>
      <c r="BQ86" s="171"/>
      <c r="BR86" s="171"/>
      <c r="BS86" s="171"/>
      <c r="BT86" s="171"/>
      <c r="BU86" s="171"/>
      <c r="BV86" s="171"/>
      <c r="BW86" s="171"/>
      <c r="BX86" s="171"/>
      <c r="BY86" s="171"/>
      <c r="BZ86" s="171"/>
      <c r="CA86" s="171"/>
      <c r="CB86" s="171"/>
      <c r="CC86" s="171"/>
      <c r="CD86" s="171"/>
      <c r="CE86" s="171"/>
      <c r="CF86" s="171"/>
      <c r="CG86" s="171"/>
      <c r="CH86" s="171"/>
      <c r="CI86" s="171"/>
      <c r="CJ86" s="171"/>
      <c r="CK86" s="171"/>
      <c r="CL86" s="171"/>
    </row>
    <row r="87" spans="1:91">
      <c r="A87" s="171">
        <v>418</v>
      </c>
      <c r="B87" s="171" t="s">
        <v>312</v>
      </c>
      <c r="C87" s="171">
        <v>396</v>
      </c>
      <c r="D87" s="171" t="str">
        <f t="shared" si="37"/>
        <v/>
      </c>
      <c r="E87" s="171" t="s">
        <v>7220</v>
      </c>
      <c r="F87" s="174">
        <v>45482</v>
      </c>
      <c r="G87" s="171" t="s">
        <v>7220</v>
      </c>
      <c r="H87" s="173">
        <v>332.9</v>
      </c>
      <c r="I87" s="171"/>
      <c r="J87" s="171" t="s">
        <v>4199</v>
      </c>
      <c r="K87" s="171" t="s">
        <v>73</v>
      </c>
      <c r="L87" s="171" t="s">
        <v>1994</v>
      </c>
      <c r="M87" s="171" t="s">
        <v>5032</v>
      </c>
      <c r="N87" s="171"/>
      <c r="O87" s="171"/>
      <c r="P87" s="171" t="s">
        <v>5032</v>
      </c>
      <c r="Q87" s="171"/>
      <c r="R87" s="171"/>
      <c r="S87" s="171"/>
      <c r="T87" s="171"/>
      <c r="U87" s="171"/>
      <c r="V87" s="175"/>
      <c r="W87" s="171"/>
      <c r="X87" s="171" t="s">
        <v>4519</v>
      </c>
      <c r="Y87" s="171" t="s">
        <v>5131</v>
      </c>
      <c r="Z87" s="171" t="s">
        <v>3283</v>
      </c>
      <c r="AA87" s="171" t="s">
        <v>4519</v>
      </c>
      <c r="AB87" s="171">
        <v>2060</v>
      </c>
      <c r="AC87" s="171">
        <v>2021</v>
      </c>
      <c r="AD87" s="171"/>
      <c r="AE87" s="171"/>
      <c r="AF87" s="171"/>
      <c r="AG87" s="171"/>
      <c r="AH87" s="171"/>
      <c r="AI87" s="171"/>
      <c r="AJ87" s="171"/>
      <c r="AK87" s="171"/>
      <c r="AL87" s="171" t="s">
        <v>8037</v>
      </c>
      <c r="AM87" s="171"/>
      <c r="AN87" s="171" t="s">
        <v>5032</v>
      </c>
      <c r="AO87" s="171"/>
      <c r="AP87" s="171"/>
      <c r="AQ87" s="171" t="s">
        <v>5032</v>
      </c>
      <c r="AR87" s="171"/>
      <c r="AS87" s="171"/>
      <c r="AT87" s="171"/>
      <c r="AU87" s="171"/>
      <c r="AV87" s="171"/>
      <c r="AW87" s="171"/>
      <c r="AX87" s="171"/>
      <c r="AY87" s="171"/>
      <c r="AZ87" s="171"/>
      <c r="BA87" s="171"/>
      <c r="BB87" s="171"/>
      <c r="BC87" s="171"/>
      <c r="BD87" s="171"/>
      <c r="BE87" s="171"/>
      <c r="BF87" s="225"/>
      <c r="BG87" s="171"/>
      <c r="BH87" s="171"/>
      <c r="BI87" s="171"/>
      <c r="BJ87" s="171"/>
      <c r="BK87" s="171"/>
      <c r="BL87" s="171"/>
      <c r="BM87" s="171"/>
      <c r="BN87" s="171"/>
      <c r="BO87" s="171"/>
      <c r="BP87" s="171"/>
      <c r="BQ87" s="171"/>
      <c r="BR87" s="171"/>
      <c r="BS87" s="171"/>
      <c r="BT87" s="171"/>
      <c r="BU87" s="171"/>
      <c r="BV87" s="171"/>
      <c r="BW87" s="171"/>
      <c r="BX87" s="171"/>
      <c r="BY87" s="171"/>
      <c r="BZ87" s="171"/>
      <c r="CA87" s="171"/>
      <c r="CB87" s="171"/>
      <c r="CC87" s="171"/>
      <c r="CD87" s="171"/>
      <c r="CE87" s="171"/>
      <c r="CF87" s="171"/>
      <c r="CG87" s="171"/>
      <c r="CH87" s="171"/>
      <c r="CI87" s="171"/>
      <c r="CJ87" s="171"/>
      <c r="CK87" s="171"/>
      <c r="CL87" s="171"/>
    </row>
    <row r="88" spans="1:91">
      <c r="A88" s="171">
        <v>435</v>
      </c>
      <c r="B88" s="171" t="s">
        <v>589</v>
      </c>
      <c r="C88" s="171">
        <v>368</v>
      </c>
      <c r="D88" s="171" t="str">
        <f t="shared" si="37"/>
        <v/>
      </c>
      <c r="E88" s="171" t="s">
        <v>7220</v>
      </c>
      <c r="F88" s="174">
        <v>45481</v>
      </c>
      <c r="G88" s="171" t="s">
        <v>7220</v>
      </c>
      <c r="H88" s="173">
        <v>26.8</v>
      </c>
      <c r="I88" s="171"/>
      <c r="J88" s="171" t="s">
        <v>4459</v>
      </c>
      <c r="K88" s="171" t="s">
        <v>73</v>
      </c>
      <c r="L88" s="171" t="s">
        <v>1994</v>
      </c>
      <c r="M88" s="171" t="s">
        <v>5032</v>
      </c>
      <c r="N88" s="171"/>
      <c r="O88" s="171"/>
      <c r="P88" s="171" t="s">
        <v>5032</v>
      </c>
      <c r="Q88" s="171"/>
      <c r="R88" s="171"/>
      <c r="S88" s="171"/>
      <c r="T88" s="171"/>
      <c r="U88" s="171"/>
      <c r="V88" s="175"/>
      <c r="W88" s="171"/>
      <c r="X88" s="171" t="s">
        <v>5032</v>
      </c>
      <c r="Y88" s="171"/>
      <c r="Z88" s="171"/>
      <c r="AA88" s="171" t="s">
        <v>5032</v>
      </c>
      <c r="AB88" s="171"/>
      <c r="AC88" s="171"/>
      <c r="AD88" s="171"/>
      <c r="AE88" s="171"/>
      <c r="AF88" s="171"/>
      <c r="AG88" s="171"/>
      <c r="AH88" s="171"/>
      <c r="AI88" s="171"/>
      <c r="AJ88" s="171"/>
      <c r="AK88" s="171"/>
      <c r="AL88" s="171"/>
      <c r="AM88" s="171"/>
      <c r="AN88" s="171" t="s">
        <v>5032</v>
      </c>
      <c r="AO88" s="171"/>
      <c r="AP88" s="171"/>
      <c r="AQ88" s="171" t="s">
        <v>5032</v>
      </c>
      <c r="AR88" s="171"/>
      <c r="AS88" s="171"/>
      <c r="AT88" s="171"/>
      <c r="AU88" s="171"/>
      <c r="AV88" s="171"/>
      <c r="AW88" s="171"/>
      <c r="AX88" s="171"/>
      <c r="AY88" s="171"/>
      <c r="AZ88" s="171"/>
      <c r="BA88" s="171"/>
      <c r="BB88" s="171"/>
      <c r="BC88" s="171"/>
      <c r="BD88" s="171"/>
      <c r="BE88" s="171"/>
      <c r="BF88" s="225"/>
      <c r="BG88" s="171"/>
      <c r="BH88" s="171"/>
      <c r="BI88" s="171"/>
      <c r="BJ88" s="171"/>
      <c r="BK88" s="171"/>
      <c r="BL88" s="171"/>
      <c r="BM88" s="171"/>
      <c r="BN88" s="171"/>
      <c r="BO88" s="171"/>
      <c r="BP88" s="171"/>
      <c r="BQ88" s="171"/>
      <c r="BR88" s="171"/>
      <c r="BS88" s="171"/>
      <c r="BT88" s="171"/>
      <c r="BU88" s="171"/>
      <c r="BV88" s="171"/>
      <c r="BW88" s="171"/>
      <c r="BX88" s="171"/>
      <c r="BY88" s="171"/>
      <c r="BZ88" s="171"/>
      <c r="CA88" s="171"/>
      <c r="CB88" s="171"/>
      <c r="CC88" s="171"/>
      <c r="CD88" s="171"/>
      <c r="CE88" s="171"/>
      <c r="CF88" s="171"/>
      <c r="CG88" s="171"/>
      <c r="CH88" s="171"/>
      <c r="CI88" s="171"/>
      <c r="CJ88" s="171"/>
      <c r="CK88" s="171"/>
      <c r="CL88" s="171"/>
    </row>
    <row r="89" spans="1:91">
      <c r="A89" s="171">
        <v>253</v>
      </c>
      <c r="B89" s="171" t="s">
        <v>611</v>
      </c>
      <c r="C89" s="171">
        <v>252</v>
      </c>
      <c r="D89" s="171" t="str">
        <f t="shared" si="37"/>
        <v/>
      </c>
      <c r="E89" s="171" t="s">
        <v>7223</v>
      </c>
      <c r="F89" s="174">
        <v>45477</v>
      </c>
      <c r="G89" s="171" t="s">
        <v>7223</v>
      </c>
      <c r="H89" s="173">
        <v>2563</v>
      </c>
      <c r="I89" s="171"/>
      <c r="J89" s="171" t="s">
        <v>4260</v>
      </c>
      <c r="K89" s="171" t="s">
        <v>73</v>
      </c>
      <c r="L89" s="171" t="s">
        <v>1994</v>
      </c>
      <c r="M89" s="171" t="s">
        <v>5032</v>
      </c>
      <c r="N89" s="171"/>
      <c r="O89" s="171"/>
      <c r="P89" s="171" t="s">
        <v>5032</v>
      </c>
      <c r="Q89" s="171"/>
      <c r="R89" s="171"/>
      <c r="S89" s="171"/>
      <c r="T89" s="171"/>
      <c r="U89" s="171"/>
      <c r="V89" s="175"/>
      <c r="W89" s="171"/>
      <c r="X89" s="171" t="s">
        <v>5032</v>
      </c>
      <c r="Y89" s="171"/>
      <c r="Z89" s="171"/>
      <c r="AA89" s="171" t="s">
        <v>5032</v>
      </c>
      <c r="AB89" s="171"/>
      <c r="AC89" s="171"/>
      <c r="AD89" s="171"/>
      <c r="AE89" s="171"/>
      <c r="AF89" s="171"/>
      <c r="AG89" s="171"/>
      <c r="AH89" s="171"/>
      <c r="AI89" s="171"/>
      <c r="AJ89" s="171"/>
      <c r="AK89" s="171"/>
      <c r="AL89" s="171"/>
      <c r="AM89" s="171"/>
      <c r="AN89" s="171" t="s">
        <v>5032</v>
      </c>
      <c r="AO89" s="171"/>
      <c r="AP89" s="171"/>
      <c r="AQ89" s="171" t="s">
        <v>5032</v>
      </c>
      <c r="AR89" s="171"/>
      <c r="AS89" s="171"/>
      <c r="AT89" s="171"/>
      <c r="AU89" s="171"/>
      <c r="AV89" s="171"/>
      <c r="AW89" s="171"/>
      <c r="AX89" s="171"/>
      <c r="AY89" s="171"/>
      <c r="AZ89" s="171"/>
      <c r="BA89" s="171"/>
      <c r="BB89" s="171"/>
      <c r="BC89" s="171" t="s">
        <v>7437</v>
      </c>
      <c r="BD89" s="171" t="s">
        <v>5032</v>
      </c>
      <c r="BE89" s="171"/>
      <c r="BF89" s="225" t="s">
        <v>5032</v>
      </c>
      <c r="BG89" s="171"/>
      <c r="BH89" s="171"/>
      <c r="BI89" s="171"/>
      <c r="BJ89" s="171"/>
      <c r="BK89" s="171"/>
      <c r="BL89" s="171"/>
      <c r="BM89" s="171"/>
      <c r="BN89" s="171"/>
      <c r="BO89" s="171"/>
      <c r="BP89" s="171"/>
      <c r="BQ89" s="171"/>
      <c r="BR89" s="171"/>
      <c r="BS89" s="171"/>
      <c r="BT89" s="171"/>
      <c r="BU89" s="171"/>
      <c r="BV89" s="171"/>
      <c r="BW89" s="171"/>
      <c r="BX89" s="171"/>
      <c r="BY89" s="171"/>
      <c r="BZ89" s="171"/>
      <c r="CA89" s="171"/>
      <c r="CB89" s="171"/>
      <c r="CC89" s="171"/>
      <c r="CD89" s="171"/>
      <c r="CE89" s="171"/>
      <c r="CF89" s="171"/>
      <c r="CG89" s="171"/>
      <c r="CH89" s="171"/>
      <c r="CI89" s="171"/>
      <c r="CJ89" s="171"/>
      <c r="CK89" s="171"/>
      <c r="CL89" s="171"/>
    </row>
    <row r="90" spans="1:91">
      <c r="A90" s="171">
        <v>239</v>
      </c>
      <c r="B90" s="171" t="s">
        <v>624</v>
      </c>
      <c r="C90" s="171">
        <v>256</v>
      </c>
      <c r="D90" s="171" t="str">
        <f t="shared" si="37"/>
        <v/>
      </c>
      <c r="E90" s="171" t="s">
        <v>7223</v>
      </c>
      <c r="F90" s="174">
        <v>45477</v>
      </c>
      <c r="G90" s="171" t="s">
        <v>7223</v>
      </c>
      <c r="H90" s="173">
        <v>600</v>
      </c>
      <c r="I90" s="171"/>
      <c r="J90" s="171" t="s">
        <v>4197</v>
      </c>
      <c r="K90" s="171" t="s">
        <v>73</v>
      </c>
      <c r="L90" s="171" t="s">
        <v>1994</v>
      </c>
      <c r="M90" s="171" t="s">
        <v>5032</v>
      </c>
      <c r="N90" s="171"/>
      <c r="O90" s="171"/>
      <c r="P90" s="171" t="s">
        <v>5032</v>
      </c>
      <c r="Q90" s="171"/>
      <c r="R90" s="171"/>
      <c r="S90" s="171"/>
      <c r="T90" s="171"/>
      <c r="U90" s="171"/>
      <c r="V90" s="175"/>
      <c r="W90" s="171"/>
      <c r="X90" s="171" t="s">
        <v>4519</v>
      </c>
      <c r="Y90" s="171" t="s">
        <v>5131</v>
      </c>
      <c r="Z90" s="171" t="s">
        <v>3283</v>
      </c>
      <c r="AA90" s="171" t="s">
        <v>4519</v>
      </c>
      <c r="AB90" s="171">
        <v>2060</v>
      </c>
      <c r="AC90" s="171">
        <v>2022</v>
      </c>
      <c r="AD90" s="171"/>
      <c r="AE90" s="171"/>
      <c r="AF90" s="171"/>
      <c r="AG90" s="171"/>
      <c r="AH90" s="171"/>
      <c r="AI90" s="171"/>
      <c r="AJ90" s="171"/>
      <c r="AK90" s="171"/>
      <c r="AL90" s="171" t="s">
        <v>8036</v>
      </c>
      <c r="AM90" s="171"/>
      <c r="AN90" s="171" t="s">
        <v>5032</v>
      </c>
      <c r="AO90" s="171"/>
      <c r="AP90" s="171"/>
      <c r="AQ90" s="171" t="s">
        <v>5032</v>
      </c>
      <c r="AR90" s="171"/>
      <c r="AS90" s="171"/>
      <c r="AT90" s="171"/>
      <c r="AU90" s="171"/>
      <c r="AV90" s="171"/>
      <c r="AW90" s="171"/>
      <c r="AX90" s="171"/>
      <c r="AY90" s="171"/>
      <c r="AZ90" s="171"/>
      <c r="BA90" s="171"/>
      <c r="BB90" s="171"/>
      <c r="BC90" s="171"/>
      <c r="BD90" s="171"/>
      <c r="BE90" s="171"/>
      <c r="BF90" s="225"/>
      <c r="BG90" s="171"/>
      <c r="BH90" s="171"/>
      <c r="BI90" s="171"/>
      <c r="BJ90" s="171"/>
      <c r="BK90" s="171"/>
      <c r="BL90" s="171"/>
      <c r="BM90" s="171"/>
      <c r="BN90" s="171"/>
      <c r="BO90" s="171"/>
      <c r="BP90" s="171"/>
      <c r="BQ90" s="171"/>
      <c r="BR90" s="171"/>
      <c r="BS90" s="171"/>
      <c r="BT90" s="171"/>
      <c r="BU90" s="171"/>
      <c r="BV90" s="171"/>
      <c r="BW90" s="171"/>
      <c r="BX90" s="171"/>
      <c r="BY90" s="171"/>
      <c r="BZ90" s="171"/>
      <c r="CA90" s="171"/>
      <c r="CB90" s="171"/>
      <c r="CC90" s="171"/>
      <c r="CD90" s="171"/>
      <c r="CE90" s="171"/>
      <c r="CF90" s="171"/>
      <c r="CG90" s="171"/>
      <c r="CH90" s="171"/>
      <c r="CI90" s="171"/>
      <c r="CJ90" s="171"/>
      <c r="CK90" s="171"/>
      <c r="CL90" s="171"/>
    </row>
    <row r="91" spans="1:91">
      <c r="A91" s="171">
        <v>84</v>
      </c>
      <c r="B91" s="171" t="s">
        <v>1503</v>
      </c>
      <c r="C91" s="171">
        <v>76</v>
      </c>
      <c r="D91" s="171" t="str">
        <f t="shared" si="37"/>
        <v/>
      </c>
      <c r="E91" s="171" t="s">
        <v>7220</v>
      </c>
      <c r="F91" s="174">
        <v>45475</v>
      </c>
      <c r="G91" s="171" t="s">
        <v>7220</v>
      </c>
      <c r="H91" s="173">
        <v>6339.1</v>
      </c>
      <c r="I91" s="171"/>
      <c r="J91" s="171" t="s">
        <v>4494</v>
      </c>
      <c r="K91" s="171" t="s">
        <v>73</v>
      </c>
      <c r="L91" s="171" t="s">
        <v>1994</v>
      </c>
      <c r="M91" s="171" t="s">
        <v>5032</v>
      </c>
      <c r="N91" s="171"/>
      <c r="O91" s="171"/>
      <c r="P91" s="171" t="s">
        <v>5032</v>
      </c>
      <c r="Q91" s="171"/>
      <c r="R91" s="171"/>
      <c r="S91" s="171"/>
      <c r="T91" s="171"/>
      <c r="U91" s="171"/>
      <c r="V91" s="175"/>
      <c r="W91" s="171"/>
      <c r="X91" s="171" t="s">
        <v>4519</v>
      </c>
      <c r="Y91" s="171" t="s">
        <v>5131</v>
      </c>
      <c r="Z91" s="171" t="s">
        <v>7225</v>
      </c>
      <c r="AA91" s="171" t="s">
        <v>4519</v>
      </c>
      <c r="AB91" s="171">
        <v>2060</v>
      </c>
      <c r="AC91" s="171">
        <v>2022</v>
      </c>
      <c r="AD91" s="171"/>
      <c r="AE91" s="171"/>
      <c r="AF91" s="171"/>
      <c r="AG91" s="171"/>
      <c r="AH91" s="171"/>
      <c r="AI91" s="171"/>
      <c r="AJ91" s="171"/>
      <c r="AK91" s="171"/>
      <c r="AL91" s="171" t="s">
        <v>8035</v>
      </c>
      <c r="AM91" s="171"/>
      <c r="AN91" s="171" t="s">
        <v>5032</v>
      </c>
      <c r="AO91" s="171"/>
      <c r="AP91" s="171"/>
      <c r="AQ91" s="171" t="s">
        <v>5032</v>
      </c>
      <c r="AR91" s="171"/>
      <c r="AS91" s="171"/>
      <c r="AT91" s="171"/>
      <c r="AU91" s="171"/>
      <c r="AV91" s="171"/>
      <c r="AW91" s="171"/>
      <c r="AX91" s="171"/>
      <c r="AY91" s="171"/>
      <c r="AZ91" s="171"/>
      <c r="BA91" s="171"/>
      <c r="BB91" s="171"/>
      <c r="BC91" s="171"/>
      <c r="BD91" s="171"/>
      <c r="BE91" s="171"/>
      <c r="BF91" s="225"/>
      <c r="BG91" s="171"/>
      <c r="BH91" s="171"/>
      <c r="BI91" s="171"/>
      <c r="BJ91" s="171"/>
      <c r="BK91" s="171"/>
      <c r="BL91" s="171"/>
      <c r="BM91" s="171"/>
      <c r="BN91" s="171"/>
      <c r="BO91" s="171"/>
      <c r="BP91" s="171"/>
      <c r="BQ91" s="171"/>
      <c r="BR91" s="171"/>
      <c r="BS91" s="171"/>
      <c r="BT91" s="171"/>
      <c r="BU91" s="171"/>
      <c r="BV91" s="171"/>
      <c r="BW91" s="171"/>
      <c r="BX91" s="171"/>
      <c r="BY91" s="171"/>
      <c r="BZ91" s="171"/>
      <c r="CA91" s="171"/>
      <c r="CB91" s="171"/>
      <c r="CC91" s="171"/>
      <c r="CD91" s="171"/>
      <c r="CE91" s="171"/>
      <c r="CF91" s="171"/>
      <c r="CG91" s="171"/>
      <c r="CH91" s="171"/>
      <c r="CI91" s="171"/>
      <c r="CJ91" s="171"/>
      <c r="CK91" s="171"/>
      <c r="CL91" s="171"/>
    </row>
    <row r="92" spans="1:91">
      <c r="A92" s="171">
        <v>129</v>
      </c>
      <c r="B92" s="171" t="s">
        <v>1593</v>
      </c>
      <c r="C92" s="171">
        <v>131</v>
      </c>
      <c r="D92" s="171" t="str">
        <f t="shared" si="37"/>
        <v/>
      </c>
      <c r="E92" s="171" t="s">
        <v>7288</v>
      </c>
      <c r="F92" s="174">
        <v>45476</v>
      </c>
      <c r="G92" s="171" t="s">
        <v>7223</v>
      </c>
      <c r="H92" s="173">
        <v>2864.2</v>
      </c>
      <c r="I92" s="171"/>
      <c r="J92" s="171" t="s">
        <v>4476</v>
      </c>
      <c r="K92" s="171" t="s">
        <v>73</v>
      </c>
      <c r="L92" s="171" t="s">
        <v>1994</v>
      </c>
      <c r="M92" s="171" t="s">
        <v>5032</v>
      </c>
      <c r="N92" s="171"/>
      <c r="O92" s="171"/>
      <c r="P92" s="171" t="s">
        <v>5032</v>
      </c>
      <c r="Q92" s="171"/>
      <c r="R92" s="171"/>
      <c r="S92" s="171"/>
      <c r="T92" s="171"/>
      <c r="U92" s="171"/>
      <c r="V92" s="175"/>
      <c r="W92" s="171"/>
      <c r="X92" s="171" t="s">
        <v>4519</v>
      </c>
      <c r="Y92" s="171" t="s">
        <v>5131</v>
      </c>
      <c r="Z92" s="171" t="s">
        <v>7225</v>
      </c>
      <c r="AA92" s="171" t="s">
        <v>4519</v>
      </c>
      <c r="AB92" s="171">
        <v>2060</v>
      </c>
      <c r="AC92" s="171">
        <v>2022</v>
      </c>
      <c r="AD92" s="171"/>
      <c r="AE92" s="171"/>
      <c r="AF92" s="171"/>
      <c r="AG92" s="171"/>
      <c r="AH92" s="171"/>
      <c r="AI92" s="171"/>
      <c r="AJ92" s="171"/>
      <c r="AK92" s="171"/>
      <c r="AL92" s="171" t="s">
        <v>8034</v>
      </c>
      <c r="AM92" s="171"/>
      <c r="AN92" s="171" t="s">
        <v>5032</v>
      </c>
      <c r="AO92" s="171"/>
      <c r="AP92" s="171"/>
      <c r="AQ92" s="171" t="s">
        <v>5032</v>
      </c>
      <c r="AR92" s="171"/>
      <c r="AS92" s="171"/>
      <c r="AT92" s="171"/>
      <c r="AU92" s="171"/>
      <c r="AV92" s="171"/>
      <c r="AW92" s="171"/>
      <c r="AX92" s="171"/>
      <c r="AY92" s="171"/>
      <c r="AZ92" s="171"/>
      <c r="BA92" s="171"/>
      <c r="BB92" s="171"/>
      <c r="BC92" s="171"/>
      <c r="BD92" s="171"/>
      <c r="BE92" s="171"/>
      <c r="BF92" s="225"/>
      <c r="BG92" s="171"/>
      <c r="BH92" s="171"/>
      <c r="BI92" s="171"/>
      <c r="BJ92" s="171"/>
      <c r="BK92" s="171"/>
      <c r="BL92" s="171"/>
      <c r="BM92" s="171"/>
      <c r="BN92" s="171"/>
      <c r="BO92" s="171"/>
      <c r="BP92" s="171"/>
      <c r="BQ92" s="171"/>
      <c r="BR92" s="171"/>
      <c r="BS92" s="171"/>
      <c r="BT92" s="171"/>
      <c r="BU92" s="171"/>
      <c r="BV92" s="171"/>
      <c r="BW92" s="171"/>
      <c r="BX92" s="171"/>
      <c r="BY92" s="171"/>
      <c r="BZ92" s="171"/>
      <c r="CA92" s="171"/>
      <c r="CB92" s="171"/>
      <c r="CC92" s="171"/>
      <c r="CD92" s="171"/>
      <c r="CE92" s="171"/>
      <c r="CF92" s="171"/>
      <c r="CG92" s="171"/>
      <c r="CH92" s="171"/>
      <c r="CI92" s="171"/>
      <c r="CJ92" s="171"/>
      <c r="CK92" s="171"/>
      <c r="CL92" s="171"/>
    </row>
    <row r="93" spans="1:91">
      <c r="A93" s="171">
        <v>336</v>
      </c>
      <c r="B93" s="171" t="s">
        <v>547</v>
      </c>
      <c r="C93" s="171">
        <v>323</v>
      </c>
      <c r="D93" s="171" t="str">
        <f t="shared" si="37"/>
        <v/>
      </c>
      <c r="E93" s="171" t="s">
        <v>7228</v>
      </c>
      <c r="F93" s="174">
        <v>45481</v>
      </c>
      <c r="G93" s="171" t="s">
        <v>7220</v>
      </c>
      <c r="H93" s="173">
        <v>1909.5</v>
      </c>
      <c r="I93" s="171"/>
      <c r="J93" s="171" t="s">
        <v>4199</v>
      </c>
      <c r="K93" s="171" t="s">
        <v>73</v>
      </c>
      <c r="L93" s="171" t="s">
        <v>1994</v>
      </c>
      <c r="M93" s="171" t="s">
        <v>5032</v>
      </c>
      <c r="N93" s="171"/>
      <c r="O93" s="171"/>
      <c r="P93" s="171" t="s">
        <v>5032</v>
      </c>
      <c r="Q93" s="171"/>
      <c r="R93" s="171"/>
      <c r="S93" s="171"/>
      <c r="T93" s="171"/>
      <c r="U93" s="171"/>
      <c r="V93" s="175"/>
      <c r="W93" s="171"/>
      <c r="X93" s="171" t="s">
        <v>4519</v>
      </c>
      <c r="Y93" s="171" t="s">
        <v>5131</v>
      </c>
      <c r="Z93" s="171" t="s">
        <v>7225</v>
      </c>
      <c r="AA93" s="171" t="s">
        <v>4519</v>
      </c>
      <c r="AB93" s="171">
        <v>2060</v>
      </c>
      <c r="AC93" s="171">
        <v>2021</v>
      </c>
      <c r="AD93" s="171"/>
      <c r="AE93" s="171"/>
      <c r="AF93" s="171"/>
      <c r="AG93" s="171"/>
      <c r="AH93" s="171"/>
      <c r="AI93" s="171"/>
      <c r="AJ93" s="171"/>
      <c r="AK93" s="171"/>
      <c r="AL93" s="171" t="s">
        <v>8033</v>
      </c>
      <c r="AM93" s="171" t="s">
        <v>8032</v>
      </c>
      <c r="AN93" s="171" t="s">
        <v>5032</v>
      </c>
      <c r="AO93" s="171"/>
      <c r="AP93" s="171"/>
      <c r="AQ93" s="171" t="s">
        <v>5032</v>
      </c>
      <c r="AR93" s="171"/>
      <c r="AS93" s="171"/>
      <c r="AT93" s="171"/>
      <c r="AU93" s="171"/>
      <c r="AV93" s="171"/>
      <c r="AW93" s="171"/>
      <c r="AX93" s="171"/>
      <c r="AY93" s="171"/>
      <c r="AZ93" s="171"/>
      <c r="BA93" s="171"/>
      <c r="BB93" s="171"/>
      <c r="BC93" s="171"/>
      <c r="BD93" s="171"/>
      <c r="BE93" s="171"/>
      <c r="BF93" s="225"/>
      <c r="BG93" s="171"/>
      <c r="BH93" s="171"/>
      <c r="BI93" s="171"/>
      <c r="BJ93" s="171"/>
      <c r="BK93" s="171"/>
      <c r="BL93" s="171"/>
      <c r="BM93" s="171"/>
      <c r="BN93" s="171"/>
      <c r="BO93" s="171"/>
      <c r="BP93" s="171"/>
      <c r="BQ93" s="171"/>
      <c r="BR93" s="171"/>
      <c r="BS93" s="171"/>
      <c r="BT93" s="171"/>
      <c r="BU93" s="171"/>
      <c r="BV93" s="171"/>
      <c r="BW93" s="171"/>
      <c r="BX93" s="171"/>
      <c r="BY93" s="171"/>
      <c r="BZ93" s="171"/>
      <c r="CA93" s="171"/>
      <c r="CB93" s="171"/>
      <c r="CC93" s="171"/>
      <c r="CD93" s="171"/>
      <c r="CE93" s="171"/>
      <c r="CF93" s="171"/>
      <c r="CG93" s="171"/>
      <c r="CH93" s="171"/>
      <c r="CI93" s="171"/>
      <c r="CJ93" s="171"/>
      <c r="CK93" s="171"/>
      <c r="CL93" s="171"/>
    </row>
    <row r="94" spans="1:91">
      <c r="A94" s="171">
        <v>238</v>
      </c>
      <c r="B94" s="171" t="s">
        <v>885</v>
      </c>
      <c r="C94" s="171">
        <v>209</v>
      </c>
      <c r="D94" s="171" t="str">
        <f t="shared" si="37"/>
        <v/>
      </c>
      <c r="E94" s="171" t="s">
        <v>7228</v>
      </c>
      <c r="F94" s="174">
        <v>45477</v>
      </c>
      <c r="G94" s="171" t="s">
        <v>7220</v>
      </c>
      <c r="H94" s="173">
        <v>1632.1</v>
      </c>
      <c r="I94" s="171"/>
      <c r="J94" s="171" t="s">
        <v>4199</v>
      </c>
      <c r="K94" s="171" t="s">
        <v>73</v>
      </c>
      <c r="L94" s="171" t="s">
        <v>1994</v>
      </c>
      <c r="M94" s="171" t="s">
        <v>5032</v>
      </c>
      <c r="N94" s="171"/>
      <c r="O94" s="171"/>
      <c r="P94" s="171" t="s">
        <v>5032</v>
      </c>
      <c r="Q94" s="171"/>
      <c r="R94" s="171"/>
      <c r="S94" s="171"/>
      <c r="T94" s="171"/>
      <c r="U94" s="171"/>
      <c r="V94" s="175"/>
      <c r="W94" s="171"/>
      <c r="X94" s="171" t="s">
        <v>4519</v>
      </c>
      <c r="Y94" s="171" t="s">
        <v>5131</v>
      </c>
      <c r="Z94" s="171" t="s">
        <v>7225</v>
      </c>
      <c r="AA94" s="171" t="s">
        <v>4519</v>
      </c>
      <c r="AB94" s="171">
        <v>2060</v>
      </c>
      <c r="AC94" s="171">
        <v>2021</v>
      </c>
      <c r="AD94" s="171"/>
      <c r="AE94" s="171"/>
      <c r="AF94" s="171"/>
      <c r="AG94" s="171"/>
      <c r="AH94" s="171"/>
      <c r="AI94" s="171"/>
      <c r="AJ94" s="171"/>
      <c r="AK94" s="171"/>
      <c r="AL94" s="171" t="s">
        <v>6284</v>
      </c>
      <c r="AM94" s="171"/>
      <c r="AN94" s="171" t="s">
        <v>5032</v>
      </c>
      <c r="AO94" s="171"/>
      <c r="AP94" s="171"/>
      <c r="AQ94" s="171" t="s">
        <v>5032</v>
      </c>
      <c r="AR94" s="171"/>
      <c r="AS94" s="171"/>
      <c r="AT94" s="171"/>
      <c r="AU94" s="171"/>
      <c r="AV94" s="171"/>
      <c r="AW94" s="171"/>
      <c r="AX94" s="171"/>
      <c r="AY94" s="171"/>
      <c r="AZ94" s="171"/>
      <c r="BA94" s="171"/>
      <c r="BB94" s="171"/>
      <c r="BC94" s="171"/>
      <c r="BD94" s="171"/>
      <c r="BE94" s="171"/>
      <c r="BF94" s="225"/>
      <c r="BG94" s="171"/>
      <c r="BH94" s="171"/>
      <c r="BI94" s="171"/>
      <c r="BJ94" s="171"/>
      <c r="BK94" s="171"/>
      <c r="BL94" s="171"/>
      <c r="BM94" s="171"/>
      <c r="BN94" s="171"/>
      <c r="BO94" s="171"/>
      <c r="BP94" s="171"/>
      <c r="BQ94" s="171"/>
      <c r="BR94" s="171"/>
      <c r="BS94" s="171"/>
      <c r="BT94" s="171"/>
      <c r="BU94" s="171"/>
      <c r="BV94" s="171"/>
      <c r="BW94" s="171"/>
      <c r="BX94" s="171"/>
      <c r="BY94" s="171"/>
      <c r="BZ94" s="171"/>
      <c r="CA94" s="171"/>
      <c r="CB94" s="171"/>
      <c r="CC94" s="171"/>
      <c r="CD94" s="171"/>
      <c r="CE94" s="171"/>
      <c r="CF94" s="171"/>
      <c r="CG94" s="171"/>
      <c r="CH94" s="171"/>
      <c r="CI94" s="171"/>
      <c r="CJ94" s="171"/>
      <c r="CK94" s="171"/>
      <c r="CL94" s="171"/>
    </row>
    <row r="95" spans="1:91">
      <c r="A95" s="171">
        <v>59</v>
      </c>
      <c r="B95" s="171" t="s">
        <v>1714</v>
      </c>
      <c r="C95" s="171">
        <v>54</v>
      </c>
      <c r="D95" s="171" t="str">
        <f t="shared" si="37"/>
        <v/>
      </c>
      <c r="E95" s="171" t="s">
        <v>7223</v>
      </c>
      <c r="F95" s="174">
        <v>45475</v>
      </c>
      <c r="G95" s="171" t="s">
        <v>7220</v>
      </c>
      <c r="H95" s="173">
        <v>-841.2</v>
      </c>
      <c r="I95" s="171"/>
      <c r="J95" s="171" t="s">
        <v>4465</v>
      </c>
      <c r="K95" s="171" t="s">
        <v>73</v>
      </c>
      <c r="L95" s="171" t="s">
        <v>1994</v>
      </c>
      <c r="M95" s="171" t="s">
        <v>5032</v>
      </c>
      <c r="N95" s="171"/>
      <c r="O95" s="171"/>
      <c r="P95" s="171" t="s">
        <v>5032</v>
      </c>
      <c r="Q95" s="171"/>
      <c r="R95" s="171"/>
      <c r="S95" s="171"/>
      <c r="T95" s="171"/>
      <c r="U95" s="171"/>
      <c r="V95" s="175"/>
      <c r="W95" s="171"/>
      <c r="X95" s="171" t="s">
        <v>5032</v>
      </c>
      <c r="Y95" s="171"/>
      <c r="Z95" s="171"/>
      <c r="AA95" s="171" t="s">
        <v>5032</v>
      </c>
      <c r="AB95" s="171"/>
      <c r="AC95" s="171"/>
      <c r="AD95" s="171"/>
      <c r="AE95" s="171"/>
      <c r="AF95" s="171"/>
      <c r="AG95" s="171"/>
      <c r="AH95" s="171"/>
      <c r="AI95" s="171"/>
      <c r="AJ95" s="171"/>
      <c r="AK95" s="171"/>
      <c r="AL95" s="171"/>
      <c r="AM95" s="171"/>
      <c r="AN95" s="171" t="s">
        <v>5032</v>
      </c>
      <c r="AO95" s="171"/>
      <c r="AP95" s="171"/>
      <c r="AQ95" s="171" t="s">
        <v>5032</v>
      </c>
      <c r="AR95" s="171"/>
      <c r="AS95" s="171"/>
      <c r="AT95" s="171"/>
      <c r="AU95" s="171"/>
      <c r="AV95" s="171"/>
      <c r="AW95" s="171"/>
      <c r="AX95" s="171"/>
      <c r="AY95" s="171"/>
      <c r="AZ95" s="171"/>
      <c r="BA95" s="171"/>
      <c r="BB95" s="171"/>
      <c r="BC95" s="171" t="s">
        <v>8031</v>
      </c>
      <c r="BD95" s="171" t="s">
        <v>5032</v>
      </c>
      <c r="BE95" s="171"/>
      <c r="BF95" s="225" t="s">
        <v>5032</v>
      </c>
      <c r="BG95" s="171"/>
      <c r="BH95" s="171"/>
      <c r="BI95" s="171"/>
      <c r="BJ95" s="171"/>
      <c r="BK95" s="171"/>
      <c r="BL95" s="171"/>
      <c r="BM95" s="171"/>
      <c r="BN95" s="171"/>
      <c r="BO95" s="171"/>
      <c r="BP95" s="171"/>
      <c r="BQ95" s="171"/>
      <c r="BR95" s="171"/>
      <c r="BS95" s="171"/>
      <c r="BT95" s="171"/>
      <c r="BU95" s="171"/>
      <c r="BV95" s="171"/>
      <c r="BW95" s="171"/>
      <c r="BX95" s="171"/>
      <c r="BY95" s="171"/>
      <c r="BZ95" s="171"/>
      <c r="CA95" s="171"/>
      <c r="CB95" s="171"/>
      <c r="CC95" s="171"/>
      <c r="CD95" s="171"/>
      <c r="CE95" s="171"/>
      <c r="CF95" s="171"/>
      <c r="CG95" s="171"/>
      <c r="CH95" s="171"/>
      <c r="CI95" s="171"/>
      <c r="CJ95" s="171"/>
      <c r="CK95" s="171"/>
      <c r="CL95" s="171"/>
    </row>
    <row r="96" spans="1:91">
      <c r="A96" s="171">
        <v>179</v>
      </c>
      <c r="B96" s="171" t="s">
        <v>1201</v>
      </c>
      <c r="C96" s="171">
        <v>179</v>
      </c>
      <c r="D96" s="171" t="str">
        <f t="shared" si="37"/>
        <v/>
      </c>
      <c r="E96" s="171" t="s">
        <v>7223</v>
      </c>
      <c r="F96" s="174">
        <v>45476</v>
      </c>
      <c r="G96" s="171" t="s">
        <v>7220</v>
      </c>
      <c r="H96" s="173">
        <v>20708.7</v>
      </c>
      <c r="I96" s="171"/>
      <c r="J96" s="171" t="s">
        <v>4465</v>
      </c>
      <c r="K96" s="171" t="s">
        <v>73</v>
      </c>
      <c r="L96" s="171" t="s">
        <v>1994</v>
      </c>
      <c r="M96" s="171" t="s">
        <v>5032</v>
      </c>
      <c r="N96" s="171"/>
      <c r="O96" s="171"/>
      <c r="P96" s="171" t="s">
        <v>5032</v>
      </c>
      <c r="Q96" s="171"/>
      <c r="R96" s="171"/>
      <c r="S96" s="171"/>
      <c r="T96" s="171"/>
      <c r="U96" s="171"/>
      <c r="V96" s="175"/>
      <c r="W96" s="171"/>
      <c r="X96" s="171" t="s">
        <v>4519</v>
      </c>
      <c r="Y96" s="171" t="s">
        <v>5131</v>
      </c>
      <c r="Z96" s="171" t="s">
        <v>7225</v>
      </c>
      <c r="AA96" s="171" t="s">
        <v>4519</v>
      </c>
      <c r="AB96" s="171">
        <v>2060</v>
      </c>
      <c r="AC96" s="171">
        <v>2021</v>
      </c>
      <c r="AD96" s="171"/>
      <c r="AE96" s="171"/>
      <c r="AF96" s="171"/>
      <c r="AG96" s="171"/>
      <c r="AH96" s="171"/>
      <c r="AI96" s="171"/>
      <c r="AJ96" s="171"/>
      <c r="AK96" s="171"/>
      <c r="AL96" s="171" t="s">
        <v>8030</v>
      </c>
      <c r="AM96" s="171"/>
      <c r="AN96" s="171" t="s">
        <v>5032</v>
      </c>
      <c r="AO96" s="171"/>
      <c r="AP96" s="171"/>
      <c r="AQ96" s="171" t="s">
        <v>5032</v>
      </c>
      <c r="AR96" s="171"/>
      <c r="AS96" s="171"/>
      <c r="AT96" s="171"/>
      <c r="AU96" s="171"/>
      <c r="AV96" s="171"/>
      <c r="AW96" s="171"/>
      <c r="AX96" s="171"/>
      <c r="AY96" s="171"/>
      <c r="AZ96" s="171"/>
      <c r="BA96" s="171"/>
      <c r="BB96" s="171"/>
      <c r="BC96" s="171"/>
      <c r="BD96" s="171" t="s">
        <v>5032</v>
      </c>
      <c r="BE96" s="171"/>
      <c r="BF96" s="225" t="s">
        <v>5032</v>
      </c>
      <c r="BG96" s="171"/>
      <c r="BH96" s="171"/>
      <c r="BI96" s="171"/>
      <c r="BJ96" s="171"/>
      <c r="BK96" s="171"/>
      <c r="BL96" s="171"/>
      <c r="BM96" s="171"/>
      <c r="BN96" s="171"/>
      <c r="BO96" s="171"/>
      <c r="BP96" s="171"/>
      <c r="BQ96" s="171"/>
      <c r="BR96" s="171"/>
      <c r="BS96" s="171"/>
      <c r="BT96" s="171"/>
      <c r="BU96" s="171"/>
      <c r="BV96" s="171"/>
      <c r="BW96" s="171"/>
      <c r="BX96" s="171"/>
      <c r="BY96" s="171"/>
      <c r="BZ96" s="171"/>
      <c r="CA96" s="171"/>
      <c r="CB96" s="171"/>
      <c r="CC96" s="171"/>
      <c r="CD96" s="171"/>
      <c r="CE96" s="171"/>
      <c r="CF96" s="171"/>
      <c r="CG96" s="171"/>
      <c r="CH96" s="171"/>
      <c r="CI96" s="171"/>
      <c r="CJ96" s="171"/>
      <c r="CK96" s="171"/>
      <c r="CL96" s="171"/>
    </row>
    <row r="97" spans="1:91">
      <c r="A97" s="171">
        <v>69</v>
      </c>
      <c r="B97" s="171" t="s">
        <v>1483</v>
      </c>
      <c r="C97" s="171">
        <v>65</v>
      </c>
      <c r="D97" s="171" t="str">
        <f t="shared" si="37"/>
        <v/>
      </c>
      <c r="E97" s="171" t="s">
        <v>7221</v>
      </c>
      <c r="F97" s="174">
        <v>45475</v>
      </c>
      <c r="G97" s="171" t="s">
        <v>7220</v>
      </c>
      <c r="H97" s="173">
        <v>766</v>
      </c>
      <c r="I97" s="171"/>
      <c r="J97" s="171" t="s">
        <v>4494</v>
      </c>
      <c r="K97" s="171" t="s">
        <v>73</v>
      </c>
      <c r="L97" s="171" t="s">
        <v>1994</v>
      </c>
      <c r="M97" s="171" t="s">
        <v>5032</v>
      </c>
      <c r="N97" s="171"/>
      <c r="O97" s="171"/>
      <c r="P97" s="171" t="s">
        <v>5032</v>
      </c>
      <c r="Q97" s="171"/>
      <c r="R97" s="171"/>
      <c r="S97" s="171"/>
      <c r="T97" s="171"/>
      <c r="U97" s="171"/>
      <c r="V97" s="175"/>
      <c r="W97" s="171"/>
      <c r="X97" s="171" t="s">
        <v>4519</v>
      </c>
      <c r="Y97" s="171" t="s">
        <v>5131</v>
      </c>
      <c r="Z97" s="171" t="s">
        <v>3283</v>
      </c>
      <c r="AA97" s="171" t="s">
        <v>4519</v>
      </c>
      <c r="AB97" s="171">
        <v>2060</v>
      </c>
      <c r="AC97" s="171">
        <v>2022</v>
      </c>
      <c r="AD97" s="171"/>
      <c r="AE97" s="171"/>
      <c r="AF97" s="171"/>
      <c r="AG97" s="171"/>
      <c r="AH97" s="171"/>
      <c r="AI97" s="171"/>
      <c r="AJ97" s="171"/>
      <c r="AK97" s="171"/>
      <c r="AL97" s="171" t="s">
        <v>8029</v>
      </c>
      <c r="AM97" s="171"/>
      <c r="AN97" s="171" t="s">
        <v>5032</v>
      </c>
      <c r="AO97" s="171"/>
      <c r="AP97" s="171"/>
      <c r="AQ97" s="171" t="s">
        <v>5032</v>
      </c>
      <c r="AR97" s="171"/>
      <c r="AS97" s="171"/>
      <c r="AT97" s="171"/>
      <c r="AU97" s="171"/>
      <c r="AV97" s="171"/>
      <c r="AW97" s="171"/>
      <c r="AX97" s="171"/>
      <c r="AY97" s="171"/>
      <c r="AZ97" s="171"/>
      <c r="BA97" s="171"/>
      <c r="BB97" s="171"/>
      <c r="BC97" s="171"/>
      <c r="BD97" s="171"/>
      <c r="BE97" s="171"/>
      <c r="BF97" s="225"/>
      <c r="BG97" s="171"/>
      <c r="BH97" s="171"/>
      <c r="BI97" s="171"/>
      <c r="BJ97" s="171"/>
      <c r="BK97" s="171"/>
      <c r="BL97" s="171"/>
      <c r="BM97" s="171"/>
      <c r="BN97" s="171"/>
      <c r="BO97" s="171"/>
      <c r="BP97" s="171"/>
      <c r="BQ97" s="171"/>
      <c r="BR97" s="171"/>
      <c r="BS97" s="171"/>
      <c r="BT97" s="171"/>
      <c r="BU97" s="171"/>
      <c r="BV97" s="171"/>
      <c r="BW97" s="171"/>
      <c r="BX97" s="171"/>
      <c r="BY97" s="171"/>
      <c r="BZ97" s="171"/>
      <c r="CA97" s="171"/>
      <c r="CB97" s="171"/>
      <c r="CC97" s="171"/>
      <c r="CD97" s="171"/>
      <c r="CE97" s="171"/>
      <c r="CF97" s="171"/>
      <c r="CG97" s="171"/>
      <c r="CH97" s="171"/>
      <c r="CI97" s="171"/>
      <c r="CJ97" s="171"/>
      <c r="CK97" s="171"/>
      <c r="CL97" s="171"/>
    </row>
    <row r="98" spans="1:91">
      <c r="A98" s="171">
        <v>351</v>
      </c>
      <c r="B98" s="171" t="s">
        <v>1052</v>
      </c>
      <c r="C98" s="171">
        <v>329</v>
      </c>
      <c r="D98" s="171" t="str">
        <f t="shared" si="37"/>
        <v/>
      </c>
      <c r="E98" s="171" t="s">
        <v>7228</v>
      </c>
      <c r="F98" s="174">
        <v>45481</v>
      </c>
      <c r="G98" s="171" t="s">
        <v>7220</v>
      </c>
      <c r="H98" s="173">
        <v>5060.3</v>
      </c>
      <c r="I98" s="171"/>
      <c r="J98" s="171" t="s">
        <v>4465</v>
      </c>
      <c r="K98" s="171" t="s">
        <v>73</v>
      </c>
      <c r="L98" s="171" t="s">
        <v>1994</v>
      </c>
      <c r="M98" s="171" t="s">
        <v>5032</v>
      </c>
      <c r="N98" s="171"/>
      <c r="O98" s="171"/>
      <c r="P98" s="171" t="s">
        <v>5032</v>
      </c>
      <c r="Q98" s="171"/>
      <c r="R98" s="171"/>
      <c r="S98" s="171"/>
      <c r="T98" s="171"/>
      <c r="U98" s="171"/>
      <c r="V98" s="175"/>
      <c r="W98" s="171"/>
      <c r="X98" s="171" t="s">
        <v>4519</v>
      </c>
      <c r="Y98" s="171" t="s">
        <v>5131</v>
      </c>
      <c r="Z98" s="171" t="s">
        <v>7225</v>
      </c>
      <c r="AA98" s="171" t="s">
        <v>4519</v>
      </c>
      <c r="AB98" s="171">
        <v>2060</v>
      </c>
      <c r="AC98" s="171">
        <v>2021</v>
      </c>
      <c r="AD98" s="171"/>
      <c r="AE98" s="171"/>
      <c r="AF98" s="171"/>
      <c r="AG98" s="171"/>
      <c r="AH98" s="171"/>
      <c r="AI98" s="171"/>
      <c r="AJ98" s="171"/>
      <c r="AK98" s="171"/>
      <c r="AL98" s="171" t="s">
        <v>8028</v>
      </c>
      <c r="AM98" s="171"/>
      <c r="AN98" s="171" t="s">
        <v>5032</v>
      </c>
      <c r="AO98" s="171"/>
      <c r="AP98" s="171"/>
      <c r="AQ98" s="171" t="s">
        <v>5032</v>
      </c>
      <c r="AR98" s="171"/>
      <c r="AS98" s="171"/>
      <c r="AT98" s="171"/>
      <c r="AU98" s="171"/>
      <c r="AV98" s="171"/>
      <c r="AW98" s="171"/>
      <c r="AX98" s="171"/>
      <c r="AY98" s="171"/>
      <c r="AZ98" s="171"/>
      <c r="BA98" s="171"/>
      <c r="BB98" s="171"/>
      <c r="BC98" s="171"/>
      <c r="BD98" s="171"/>
      <c r="BE98" s="171"/>
      <c r="BF98" s="225"/>
      <c r="BG98" s="171"/>
      <c r="BH98" s="171"/>
      <c r="BI98" s="171"/>
      <c r="BJ98" s="171"/>
      <c r="BK98" s="171"/>
      <c r="BL98" s="171"/>
      <c r="BM98" s="171"/>
      <c r="BN98" s="171"/>
      <c r="BO98" s="171"/>
      <c r="BP98" s="171"/>
      <c r="BQ98" s="171"/>
      <c r="BR98" s="171"/>
      <c r="BS98" s="171"/>
      <c r="BT98" s="171"/>
      <c r="BU98" s="171"/>
      <c r="BV98" s="171"/>
      <c r="BW98" s="171"/>
      <c r="BX98" s="171"/>
      <c r="BY98" s="171"/>
      <c r="BZ98" s="171"/>
      <c r="CA98" s="171"/>
      <c r="CB98" s="171"/>
      <c r="CC98" s="171"/>
      <c r="CD98" s="171"/>
      <c r="CE98" s="171"/>
      <c r="CF98" s="171"/>
      <c r="CG98" s="171"/>
      <c r="CH98" s="171"/>
      <c r="CI98" s="171"/>
      <c r="CJ98" s="171"/>
      <c r="CK98" s="171"/>
      <c r="CL98" s="171"/>
    </row>
    <row r="99" spans="1:91">
      <c r="A99" s="171">
        <v>55</v>
      </c>
      <c r="B99" s="171" t="s">
        <v>1700</v>
      </c>
      <c r="C99" s="171">
        <v>62</v>
      </c>
      <c r="D99" s="171" t="str">
        <f t="shared" si="37"/>
        <v/>
      </c>
      <c r="E99" s="171" t="s">
        <v>7221</v>
      </c>
      <c r="F99" s="174">
        <v>45475</v>
      </c>
      <c r="G99" s="171" t="s">
        <v>7220</v>
      </c>
      <c r="H99" s="173">
        <v>15253.4</v>
      </c>
      <c r="I99" s="171"/>
      <c r="J99" s="171" t="s">
        <v>4190</v>
      </c>
      <c r="K99" s="171" t="s">
        <v>73</v>
      </c>
      <c r="L99" s="171" t="s">
        <v>1994</v>
      </c>
      <c r="M99" s="171" t="s">
        <v>5032</v>
      </c>
      <c r="N99" s="171"/>
      <c r="O99" s="171"/>
      <c r="P99" s="171" t="s">
        <v>5032</v>
      </c>
      <c r="Q99" s="171"/>
      <c r="R99" s="171"/>
      <c r="S99" s="171"/>
      <c r="T99" s="171"/>
      <c r="U99" s="171"/>
      <c r="V99" s="175"/>
      <c r="W99" s="171"/>
      <c r="X99" s="171" t="s">
        <v>4519</v>
      </c>
      <c r="Y99" s="171" t="s">
        <v>5131</v>
      </c>
      <c r="Z99" s="171" t="s">
        <v>7225</v>
      </c>
      <c r="AA99" s="171" t="s">
        <v>4519</v>
      </c>
      <c r="AB99" s="171">
        <v>2060</v>
      </c>
      <c r="AC99" s="171">
        <v>2021</v>
      </c>
      <c r="AD99" s="171"/>
      <c r="AE99" s="171"/>
      <c r="AF99" s="171"/>
      <c r="AG99" s="171"/>
      <c r="AH99" s="171"/>
      <c r="AI99" s="171"/>
      <c r="AJ99" s="171"/>
      <c r="AK99" s="171"/>
      <c r="AL99" s="171" t="s">
        <v>8027</v>
      </c>
      <c r="AM99" s="171"/>
      <c r="AN99" s="171" t="s">
        <v>5032</v>
      </c>
      <c r="AO99" s="171"/>
      <c r="AP99" s="171"/>
      <c r="AQ99" s="171" t="s">
        <v>5032</v>
      </c>
      <c r="AR99" s="171"/>
      <c r="AS99" s="171"/>
      <c r="AT99" s="171"/>
      <c r="AU99" s="171"/>
      <c r="AV99" s="171"/>
      <c r="AW99" s="171"/>
      <c r="AX99" s="171" t="s">
        <v>8027</v>
      </c>
      <c r="AY99" s="171"/>
      <c r="AZ99" s="171"/>
      <c r="BA99" s="171"/>
      <c r="BB99" s="171"/>
      <c r="BC99" s="171" t="s">
        <v>8026</v>
      </c>
      <c r="BD99" s="171"/>
      <c r="BE99" s="171"/>
      <c r="BF99" s="225" t="s">
        <v>5032</v>
      </c>
      <c r="BG99" s="171"/>
      <c r="BH99" s="171"/>
      <c r="BI99" s="171"/>
      <c r="BJ99" s="171"/>
      <c r="BK99" s="171"/>
      <c r="BL99" s="171"/>
      <c r="BM99" s="171"/>
      <c r="BN99" s="171"/>
      <c r="BO99" s="171"/>
      <c r="BP99" s="171"/>
      <c r="BQ99" s="171"/>
      <c r="BR99" s="171"/>
      <c r="BS99" s="171"/>
      <c r="BT99" s="171"/>
      <c r="BU99" s="171"/>
      <c r="BV99" s="171"/>
      <c r="BW99" s="171"/>
      <c r="BX99" s="171"/>
      <c r="BY99" s="171"/>
      <c r="BZ99" s="171"/>
      <c r="CA99" s="171"/>
      <c r="CB99" s="171"/>
      <c r="CC99" s="171"/>
      <c r="CD99" s="171"/>
      <c r="CE99" s="171"/>
      <c r="CF99" s="171"/>
      <c r="CG99" s="171"/>
      <c r="CH99" s="171"/>
      <c r="CI99" s="171"/>
      <c r="CJ99" s="171"/>
      <c r="CK99" s="171"/>
      <c r="CL99" s="171"/>
    </row>
    <row r="100" spans="1:91">
      <c r="A100" s="171">
        <v>483</v>
      </c>
      <c r="B100" s="171" t="s">
        <v>897</v>
      </c>
      <c r="C100" s="171">
        <v>483</v>
      </c>
      <c r="D100" s="171" t="str">
        <f t="shared" si="37"/>
        <v/>
      </c>
      <c r="E100" s="171" t="s">
        <v>7259</v>
      </c>
      <c r="F100" s="174">
        <v>45511</v>
      </c>
      <c r="G100" s="171" t="s">
        <v>7220</v>
      </c>
      <c r="H100" s="173">
        <v>98.8</v>
      </c>
      <c r="I100" s="171"/>
      <c r="J100" s="171" t="s">
        <v>3498</v>
      </c>
      <c r="K100" s="171" t="s">
        <v>73</v>
      </c>
      <c r="L100" s="171" t="s">
        <v>1994</v>
      </c>
      <c r="M100" s="171" t="s">
        <v>5032</v>
      </c>
      <c r="N100" s="171"/>
      <c r="O100" s="171"/>
      <c r="P100" s="171" t="s">
        <v>5032</v>
      </c>
      <c r="Q100" s="171"/>
      <c r="R100" s="171"/>
      <c r="S100" s="171"/>
      <c r="T100" s="171"/>
      <c r="U100" s="171"/>
      <c r="V100" s="175"/>
      <c r="W100" s="171"/>
      <c r="X100" s="171" t="s">
        <v>5032</v>
      </c>
      <c r="Y100" s="171"/>
      <c r="Z100" s="171"/>
      <c r="AA100" s="171" t="s">
        <v>5032</v>
      </c>
      <c r="AB100" s="171"/>
      <c r="AC100" s="171"/>
      <c r="AD100" s="171"/>
      <c r="AE100" s="171"/>
      <c r="AF100" s="171"/>
      <c r="AG100" s="171"/>
      <c r="AH100" s="171"/>
      <c r="AI100" s="171"/>
      <c r="AJ100" s="171"/>
      <c r="AK100" s="171"/>
      <c r="AL100" s="171"/>
      <c r="AM100" s="171"/>
      <c r="AN100" s="171" t="s">
        <v>5032</v>
      </c>
      <c r="AO100" s="171"/>
      <c r="AP100" s="171"/>
      <c r="AQ100" s="171" t="s">
        <v>5032</v>
      </c>
      <c r="AR100" s="171"/>
      <c r="AS100" s="171"/>
      <c r="AT100" s="171"/>
      <c r="AU100" s="171"/>
      <c r="AV100" s="171"/>
      <c r="AW100" s="171"/>
      <c r="AX100" s="171"/>
      <c r="AY100" s="171"/>
      <c r="AZ100" s="171"/>
      <c r="BA100" s="171"/>
      <c r="BB100" s="171"/>
      <c r="BC100" s="171"/>
      <c r="BD100" s="171"/>
      <c r="BE100" s="171"/>
      <c r="BF100" s="225"/>
      <c r="BG100" s="171"/>
      <c r="BH100" s="171"/>
      <c r="BI100" s="171"/>
      <c r="BJ100" s="171"/>
      <c r="BK100" s="171"/>
      <c r="BL100" s="171"/>
      <c r="BM100" s="171"/>
      <c r="BN100" s="171"/>
      <c r="BO100" s="171"/>
      <c r="BP100" s="171"/>
      <c r="BQ100" s="171"/>
      <c r="BR100" s="171"/>
      <c r="BS100" s="171"/>
      <c r="BT100" s="171"/>
      <c r="BU100" s="171"/>
      <c r="BV100" s="171"/>
      <c r="BW100" s="171"/>
      <c r="BX100" s="171"/>
      <c r="BY100" s="171"/>
      <c r="BZ100" s="171"/>
      <c r="CA100" s="171"/>
      <c r="CB100" s="171"/>
      <c r="CC100" s="171"/>
      <c r="CD100" s="171"/>
      <c r="CE100" s="171"/>
      <c r="CF100" s="171"/>
      <c r="CG100" s="171"/>
      <c r="CH100" s="171"/>
      <c r="CI100" s="171"/>
      <c r="CJ100" s="171"/>
      <c r="CK100" s="171"/>
      <c r="CL100" s="171"/>
    </row>
    <row r="101" spans="1:91">
      <c r="A101" s="171">
        <v>307</v>
      </c>
      <c r="B101" s="171" t="s">
        <v>1151</v>
      </c>
      <c r="C101" s="171">
        <v>247</v>
      </c>
      <c r="D101" s="171" t="str">
        <f t="shared" si="37"/>
        <v xml:space="preserve"> NZ</v>
      </c>
      <c r="E101" s="171" t="s">
        <v>7223</v>
      </c>
      <c r="F101" s="174">
        <v>45477</v>
      </c>
      <c r="G101" s="171" t="s">
        <v>7223</v>
      </c>
      <c r="H101" s="173">
        <v>198.2</v>
      </c>
      <c r="I101" s="171"/>
      <c r="J101" s="171" t="s">
        <v>4459</v>
      </c>
      <c r="K101" s="171" t="s">
        <v>73</v>
      </c>
      <c r="L101" s="171" t="s">
        <v>1994</v>
      </c>
      <c r="M101" s="171" t="s">
        <v>5032</v>
      </c>
      <c r="N101" s="171"/>
      <c r="O101" s="171"/>
      <c r="P101" s="171" t="s">
        <v>5032</v>
      </c>
      <c r="Q101" s="171"/>
      <c r="R101" s="171"/>
      <c r="S101" s="171"/>
      <c r="T101" s="171"/>
      <c r="U101" s="171"/>
      <c r="V101" s="175"/>
      <c r="W101" s="171"/>
      <c r="X101" s="171" t="s">
        <v>5032</v>
      </c>
      <c r="Y101" s="171"/>
      <c r="Z101" s="171"/>
      <c r="AA101" s="171" t="s">
        <v>5032</v>
      </c>
      <c r="AB101" s="171"/>
      <c r="AC101" s="171"/>
      <c r="AD101" s="171"/>
      <c r="AE101" s="171"/>
      <c r="AF101" s="171"/>
      <c r="AG101" s="171"/>
      <c r="AH101" s="171"/>
      <c r="AI101" s="171"/>
      <c r="AJ101" s="171"/>
      <c r="AK101" s="171"/>
      <c r="AL101" s="171"/>
      <c r="AM101" s="171"/>
      <c r="AN101" s="171" t="s">
        <v>1957</v>
      </c>
      <c r="AO101" s="171" t="s">
        <v>5131</v>
      </c>
      <c r="AP101" s="171" t="s">
        <v>2072</v>
      </c>
      <c r="AQ101" s="171" t="s">
        <v>1957</v>
      </c>
      <c r="AR101" s="171">
        <v>2050</v>
      </c>
      <c r="AS101" s="171">
        <v>2021</v>
      </c>
      <c r="AT101" s="171"/>
      <c r="AU101" s="171"/>
      <c r="AV101" s="171"/>
      <c r="AW101" s="171" t="s">
        <v>2082</v>
      </c>
      <c r="AX101" s="171" t="s">
        <v>8025</v>
      </c>
      <c r="AY101" s="171"/>
      <c r="AZ101" s="171"/>
      <c r="BA101" s="171"/>
      <c r="BB101" s="171"/>
      <c r="BC101" s="171" t="s">
        <v>8024</v>
      </c>
      <c r="BD101" s="171"/>
      <c r="BE101" s="171"/>
      <c r="BF101" s="225"/>
      <c r="BG101" s="171"/>
      <c r="BH101" s="171"/>
      <c r="BI101" s="171"/>
      <c r="BJ101" s="171"/>
      <c r="BK101" s="171"/>
      <c r="BL101" s="171"/>
      <c r="BM101" s="171"/>
      <c r="BN101" s="171"/>
      <c r="BO101" s="171"/>
      <c r="BP101" s="171">
        <v>1</v>
      </c>
      <c r="BQ101" s="171">
        <v>1</v>
      </c>
      <c r="BR101" s="171"/>
      <c r="BS101" s="171"/>
      <c r="BT101" s="171"/>
      <c r="BU101" s="171"/>
      <c r="BV101" s="171"/>
      <c r="BW101" s="171"/>
      <c r="BX101" s="171"/>
      <c r="BY101" s="171"/>
      <c r="BZ101" s="171">
        <v>1</v>
      </c>
      <c r="CA101" s="171"/>
      <c r="CB101" s="171">
        <v>1</v>
      </c>
      <c r="CC101" s="171"/>
      <c r="CD101" s="171"/>
      <c r="CE101" s="171">
        <v>1</v>
      </c>
      <c r="CF101" s="171"/>
      <c r="CG101" s="171"/>
      <c r="CH101" s="171">
        <v>1</v>
      </c>
      <c r="CI101" s="171"/>
      <c r="CJ101" s="171"/>
      <c r="CK101" s="171"/>
      <c r="CL101" s="171"/>
      <c r="CM101">
        <f t="shared" si="38"/>
        <v>2050</v>
      </c>
    </row>
    <row r="102" spans="1:91">
      <c r="A102" s="171">
        <v>437</v>
      </c>
      <c r="B102" s="171" t="s">
        <v>3638</v>
      </c>
      <c r="C102" s="171">
        <v>356</v>
      </c>
      <c r="D102" s="171" t="str">
        <f t="shared" si="37"/>
        <v/>
      </c>
      <c r="E102" s="171" t="s">
        <v>7220</v>
      </c>
      <c r="F102" s="174">
        <v>45481</v>
      </c>
      <c r="G102" s="171" t="s">
        <v>7220</v>
      </c>
      <c r="H102" s="173">
        <v>2154.1999999999998</v>
      </c>
      <c r="I102" s="171"/>
      <c r="J102" s="171" t="s">
        <v>4494</v>
      </c>
      <c r="K102" s="171" t="s">
        <v>73</v>
      </c>
      <c r="L102" s="171" t="s">
        <v>1994</v>
      </c>
      <c r="M102" s="171" t="s">
        <v>5032</v>
      </c>
      <c r="N102" s="171"/>
      <c r="O102" s="171"/>
      <c r="P102" s="171" t="s">
        <v>5032</v>
      </c>
      <c r="Q102" s="171"/>
      <c r="R102" s="171"/>
      <c r="S102" s="171"/>
      <c r="T102" s="171"/>
      <c r="U102" s="171"/>
      <c r="V102" s="175"/>
      <c r="W102" s="171"/>
      <c r="X102" s="171" t="s">
        <v>4519</v>
      </c>
      <c r="Y102" s="171" t="s">
        <v>5131</v>
      </c>
      <c r="Z102" s="171" t="s">
        <v>3283</v>
      </c>
      <c r="AA102" s="171" t="s">
        <v>4519</v>
      </c>
      <c r="AB102" s="171">
        <v>2060</v>
      </c>
      <c r="AC102" s="171">
        <v>2021</v>
      </c>
      <c r="AD102" s="171"/>
      <c r="AE102" s="171"/>
      <c r="AF102" s="171"/>
      <c r="AG102" s="171"/>
      <c r="AH102" s="171"/>
      <c r="AI102" s="171"/>
      <c r="AJ102" s="171"/>
      <c r="AK102" s="171"/>
      <c r="AL102" s="171" t="s">
        <v>8023</v>
      </c>
      <c r="AM102" s="171"/>
      <c r="AN102" s="171" t="s">
        <v>5032</v>
      </c>
      <c r="AO102" s="171"/>
      <c r="AP102" s="171"/>
      <c r="AQ102" s="171" t="s">
        <v>5032</v>
      </c>
      <c r="AR102" s="171"/>
      <c r="AS102" s="171"/>
      <c r="AT102" s="171"/>
      <c r="AU102" s="171"/>
      <c r="AV102" s="171"/>
      <c r="AW102" s="171"/>
      <c r="AX102" s="171" t="s">
        <v>8022</v>
      </c>
      <c r="AY102" s="171"/>
      <c r="AZ102" s="171"/>
      <c r="BA102" s="171"/>
      <c r="BB102" s="171"/>
      <c r="BC102" s="171"/>
      <c r="BD102" s="171"/>
      <c r="BE102" s="171"/>
      <c r="BF102" s="225"/>
      <c r="BG102" s="171"/>
      <c r="BH102" s="171"/>
      <c r="BI102" s="171"/>
      <c r="BJ102" s="171"/>
      <c r="BK102" s="171"/>
      <c r="BL102" s="171"/>
      <c r="BM102" s="171"/>
      <c r="BN102" s="171"/>
      <c r="BO102" s="171"/>
      <c r="BP102" s="171"/>
      <c r="BQ102" s="171"/>
      <c r="BR102" s="171"/>
      <c r="BS102" s="171"/>
      <c r="BT102" s="171"/>
      <c r="BU102" s="171"/>
      <c r="BV102" s="171"/>
      <c r="BW102" s="171"/>
      <c r="BX102" s="171"/>
      <c r="BY102" s="171"/>
      <c r="BZ102" s="171"/>
      <c r="CA102" s="171"/>
      <c r="CB102" s="171"/>
      <c r="CC102" s="171"/>
      <c r="CD102" s="171"/>
      <c r="CE102" s="171"/>
      <c r="CF102" s="171"/>
      <c r="CG102" s="171"/>
      <c r="CH102" s="171"/>
      <c r="CI102" s="171"/>
      <c r="CJ102" s="171"/>
      <c r="CK102" s="171"/>
      <c r="CL102" s="171"/>
    </row>
    <row r="103" spans="1:91">
      <c r="A103" s="171">
        <v>380</v>
      </c>
      <c r="B103" s="171" t="s">
        <v>3635</v>
      </c>
      <c r="C103" s="171">
        <v>381</v>
      </c>
      <c r="D103" s="171" t="str">
        <f t="shared" si="37"/>
        <v/>
      </c>
      <c r="E103" s="171" t="s">
        <v>7220</v>
      </c>
      <c r="F103" s="174">
        <v>45481</v>
      </c>
      <c r="G103" s="171" t="s">
        <v>7220</v>
      </c>
      <c r="H103" s="173">
        <v>1297.4000000000001</v>
      </c>
      <c r="I103" s="171"/>
      <c r="J103" s="171" t="s">
        <v>4199</v>
      </c>
      <c r="K103" s="171" t="s">
        <v>73</v>
      </c>
      <c r="L103" s="171" t="s">
        <v>1994</v>
      </c>
      <c r="M103" s="171" t="s">
        <v>5032</v>
      </c>
      <c r="N103" s="171"/>
      <c r="O103" s="171"/>
      <c r="P103" s="171" t="s">
        <v>5032</v>
      </c>
      <c r="Q103" s="171"/>
      <c r="R103" s="171"/>
      <c r="S103" s="171"/>
      <c r="T103" s="171"/>
      <c r="U103" s="171"/>
      <c r="V103" s="175"/>
      <c r="W103" s="171"/>
      <c r="X103" s="171" t="s">
        <v>4519</v>
      </c>
      <c r="Y103" s="171" t="s">
        <v>5131</v>
      </c>
      <c r="Z103" s="171" t="s">
        <v>3283</v>
      </c>
      <c r="AA103" s="171" t="s">
        <v>4519</v>
      </c>
      <c r="AB103" s="171">
        <v>2060</v>
      </c>
      <c r="AC103" s="171">
        <v>2020</v>
      </c>
      <c r="AD103" s="171"/>
      <c r="AE103" s="171"/>
      <c r="AF103" s="171"/>
      <c r="AG103" s="171"/>
      <c r="AH103" s="171"/>
      <c r="AI103" s="171"/>
      <c r="AJ103" s="171"/>
      <c r="AK103" s="171"/>
      <c r="AL103" s="171" t="s">
        <v>8021</v>
      </c>
      <c r="AM103" s="171"/>
      <c r="AN103" s="171" t="s">
        <v>5032</v>
      </c>
      <c r="AO103" s="171"/>
      <c r="AP103" s="171"/>
      <c r="AQ103" s="171" t="s">
        <v>5032</v>
      </c>
      <c r="AR103" s="171"/>
      <c r="AS103" s="171"/>
      <c r="AT103" s="171"/>
      <c r="AU103" s="171"/>
      <c r="AV103" s="171"/>
      <c r="AW103" s="171"/>
      <c r="AX103" s="171"/>
      <c r="AY103" s="171"/>
      <c r="AZ103" s="171"/>
      <c r="BA103" s="171"/>
      <c r="BB103" s="171"/>
      <c r="BC103" s="171"/>
      <c r="BD103" s="171"/>
      <c r="BE103" s="171"/>
      <c r="BF103" s="225"/>
      <c r="BG103" s="171"/>
      <c r="BH103" s="171"/>
      <c r="BI103" s="171"/>
      <c r="BJ103" s="171"/>
      <c r="BK103" s="171"/>
      <c r="BL103" s="171"/>
      <c r="BM103" s="171"/>
      <c r="BN103" s="171"/>
      <c r="BO103" s="171"/>
      <c r="BP103" s="171"/>
      <c r="BQ103" s="171"/>
      <c r="BR103" s="171"/>
      <c r="BS103" s="171"/>
      <c r="BT103" s="171"/>
      <c r="BU103" s="171"/>
      <c r="BV103" s="171"/>
      <c r="BW103" s="171"/>
      <c r="BX103" s="171"/>
      <c r="BY103" s="171"/>
      <c r="BZ103" s="171"/>
      <c r="CA103" s="171"/>
      <c r="CB103" s="171"/>
      <c r="CC103" s="171"/>
      <c r="CD103" s="171"/>
      <c r="CE103" s="171"/>
      <c r="CF103" s="171"/>
      <c r="CG103" s="171"/>
      <c r="CH103" s="171"/>
      <c r="CI103" s="171"/>
      <c r="CJ103" s="171"/>
      <c r="CK103" s="171"/>
      <c r="CL103" s="171"/>
    </row>
    <row r="104" spans="1:91">
      <c r="A104" s="171">
        <v>56</v>
      </c>
      <c r="B104" s="171" t="s">
        <v>1679</v>
      </c>
      <c r="C104" s="171">
        <v>42</v>
      </c>
      <c r="D104" s="171" t="str">
        <f t="shared" si="37"/>
        <v>CN</v>
      </c>
      <c r="E104" s="171" t="s">
        <v>7228</v>
      </c>
      <c r="F104" s="174">
        <v>45474</v>
      </c>
      <c r="G104" s="171" t="s">
        <v>7220</v>
      </c>
      <c r="H104" s="173">
        <v>14559.2</v>
      </c>
      <c r="I104" s="171"/>
      <c r="J104" s="171" t="s">
        <v>4494</v>
      </c>
      <c r="K104" s="171" t="s">
        <v>73</v>
      </c>
      <c r="L104" s="171" t="s">
        <v>1994</v>
      </c>
      <c r="M104" s="171" t="s">
        <v>5032</v>
      </c>
      <c r="N104" s="171"/>
      <c r="O104" s="171"/>
      <c r="P104" s="171" t="s">
        <v>5032</v>
      </c>
      <c r="Q104" s="171"/>
      <c r="R104" s="171"/>
      <c r="S104" s="171"/>
      <c r="T104" s="171"/>
      <c r="U104" s="171"/>
      <c r="V104" s="175"/>
      <c r="W104" s="171"/>
      <c r="X104" s="171" t="s">
        <v>1957</v>
      </c>
      <c r="Y104" s="171" t="s">
        <v>5131</v>
      </c>
      <c r="Z104" s="171" t="s">
        <v>7533</v>
      </c>
      <c r="AA104" s="171" t="s">
        <v>1957</v>
      </c>
      <c r="AB104" s="171">
        <v>2050</v>
      </c>
      <c r="AC104" s="171">
        <v>2022</v>
      </c>
      <c r="AD104" s="171"/>
      <c r="AE104" s="171"/>
      <c r="AF104" s="171"/>
      <c r="AG104" s="171" t="s">
        <v>4174</v>
      </c>
      <c r="AH104" s="171"/>
      <c r="AI104" s="171" t="s">
        <v>4174</v>
      </c>
      <c r="AJ104" s="171"/>
      <c r="AK104" s="171"/>
      <c r="AL104" s="171" t="s">
        <v>8020</v>
      </c>
      <c r="AM104" s="171"/>
      <c r="AN104" s="171" t="s">
        <v>5032</v>
      </c>
      <c r="AO104" s="171"/>
      <c r="AP104" s="171"/>
      <c r="AQ104" s="171" t="s">
        <v>5032</v>
      </c>
      <c r="AR104" s="171"/>
      <c r="AS104" s="171"/>
      <c r="AT104" s="171"/>
      <c r="AU104" s="171"/>
      <c r="AV104" s="171"/>
      <c r="AW104" s="171"/>
      <c r="AX104" s="171"/>
      <c r="AY104" s="171"/>
      <c r="AZ104" s="171"/>
      <c r="BA104" s="171"/>
      <c r="BB104" s="171"/>
      <c r="BC104" s="171"/>
      <c r="BD104" s="171"/>
      <c r="BE104" s="171"/>
      <c r="BF104" s="225"/>
      <c r="BG104" s="171"/>
      <c r="BH104" s="171"/>
      <c r="BI104" s="171"/>
      <c r="BJ104" s="171"/>
      <c r="BK104" s="171"/>
      <c r="BL104" s="171">
        <v>1</v>
      </c>
      <c r="BM104" s="171">
        <v>1</v>
      </c>
      <c r="BN104" s="171"/>
      <c r="BO104" s="171"/>
      <c r="BP104" s="171"/>
      <c r="BQ104" s="171"/>
      <c r="BR104" s="171"/>
      <c r="BS104" s="171"/>
      <c r="BT104" s="171"/>
      <c r="BU104" s="171"/>
      <c r="BV104" s="171"/>
      <c r="BW104" s="171"/>
      <c r="BX104" s="171"/>
      <c r="BY104" s="171"/>
      <c r="BZ104" s="171">
        <v>1</v>
      </c>
      <c r="CA104" s="171"/>
      <c r="CB104" s="171">
        <v>1</v>
      </c>
      <c r="CC104" s="171">
        <v>1</v>
      </c>
      <c r="CD104" s="171"/>
      <c r="CE104" s="171">
        <v>1</v>
      </c>
      <c r="CF104" s="171"/>
      <c r="CG104" s="171"/>
      <c r="CH104" s="171">
        <v>1</v>
      </c>
      <c r="CI104" s="171"/>
      <c r="CJ104" s="171"/>
      <c r="CK104" s="171"/>
      <c r="CL104" s="171"/>
    </row>
    <row r="105" spans="1:91">
      <c r="A105" s="171">
        <v>6</v>
      </c>
      <c r="B105" s="171" t="s">
        <v>1880</v>
      </c>
      <c r="C105" s="171">
        <v>5</v>
      </c>
      <c r="D105" s="171" t="str">
        <f t="shared" si="37"/>
        <v/>
      </c>
      <c r="E105" s="171" t="s">
        <v>7220</v>
      </c>
      <c r="F105" s="174">
        <v>45474</v>
      </c>
      <c r="G105" s="171" t="s">
        <v>7223</v>
      </c>
      <c r="H105" s="173">
        <v>21294.7</v>
      </c>
      <c r="I105" s="171"/>
      <c r="J105" s="171" t="s">
        <v>3498</v>
      </c>
      <c r="K105" s="171" t="s">
        <v>73</v>
      </c>
      <c r="L105" s="171" t="s">
        <v>1994</v>
      </c>
      <c r="M105" s="171" t="s">
        <v>5032</v>
      </c>
      <c r="N105" s="171"/>
      <c r="O105" s="171"/>
      <c r="P105" s="171" t="s">
        <v>5032</v>
      </c>
      <c r="Q105" s="171"/>
      <c r="R105" s="171"/>
      <c r="S105" s="171"/>
      <c r="T105" s="171"/>
      <c r="U105" s="171"/>
      <c r="V105" s="175"/>
      <c r="W105" s="171"/>
      <c r="X105" s="171" t="s">
        <v>4519</v>
      </c>
      <c r="Y105" s="171" t="s">
        <v>5131</v>
      </c>
      <c r="Z105" s="171" t="s">
        <v>7225</v>
      </c>
      <c r="AA105" s="171" t="s">
        <v>4519</v>
      </c>
      <c r="AB105" s="171">
        <v>2060</v>
      </c>
      <c r="AC105" s="171">
        <v>2020</v>
      </c>
      <c r="AD105" s="171"/>
      <c r="AE105" s="171"/>
      <c r="AF105" s="171"/>
      <c r="AG105" s="171"/>
      <c r="AH105" s="171"/>
      <c r="AI105" s="171"/>
      <c r="AJ105" s="171"/>
      <c r="AK105" s="171"/>
      <c r="AL105" s="171" t="s">
        <v>8019</v>
      </c>
      <c r="AM105" s="171" t="s">
        <v>8018</v>
      </c>
      <c r="AN105" s="171" t="s">
        <v>7229</v>
      </c>
      <c r="AO105" s="171"/>
      <c r="AP105" s="171"/>
      <c r="AQ105" s="171" t="s">
        <v>7229</v>
      </c>
      <c r="AR105" s="171"/>
      <c r="AS105" s="171"/>
      <c r="AT105" s="171"/>
      <c r="AU105" s="171"/>
      <c r="AV105" s="171"/>
      <c r="AW105" s="171"/>
      <c r="AX105" s="171"/>
      <c r="AY105" s="171"/>
      <c r="AZ105" s="171"/>
      <c r="BA105" s="171"/>
      <c r="BB105" s="171"/>
      <c r="BC105" s="171"/>
      <c r="BD105" s="171"/>
      <c r="BE105" s="171"/>
      <c r="BF105" s="225"/>
      <c r="BG105" s="171"/>
      <c r="BH105" s="171"/>
      <c r="BI105" s="171"/>
      <c r="BJ105" s="171"/>
      <c r="BK105" s="171"/>
      <c r="BL105" s="171"/>
      <c r="BM105" s="171"/>
      <c r="BN105" s="171"/>
      <c r="BO105" s="171"/>
      <c r="BP105" s="171"/>
      <c r="BQ105" s="171"/>
      <c r="BR105" s="171"/>
      <c r="BS105" s="171"/>
      <c r="BT105" s="171"/>
      <c r="BU105" s="171"/>
      <c r="BV105" s="171"/>
      <c r="BW105" s="171"/>
      <c r="BX105" s="171"/>
      <c r="BY105" s="171"/>
      <c r="BZ105" s="171"/>
      <c r="CA105" s="171"/>
      <c r="CB105" s="171"/>
      <c r="CC105" s="171"/>
      <c r="CD105" s="171"/>
      <c r="CE105" s="171"/>
      <c r="CF105" s="171"/>
      <c r="CG105" s="171"/>
      <c r="CH105" s="171"/>
      <c r="CI105" s="171"/>
      <c r="CJ105" s="171"/>
      <c r="CK105" s="171"/>
      <c r="CL105" s="171"/>
    </row>
    <row r="106" spans="1:91">
      <c r="A106" s="171">
        <v>160</v>
      </c>
      <c r="B106" s="171" t="s">
        <v>1366</v>
      </c>
      <c r="C106" s="171">
        <v>146</v>
      </c>
      <c r="D106" s="171" t="str">
        <f t="shared" si="37"/>
        <v/>
      </c>
      <c r="E106" s="171" t="s">
        <v>7220</v>
      </c>
      <c r="F106" s="174">
        <v>45476</v>
      </c>
      <c r="G106" s="171" t="s">
        <v>7223</v>
      </c>
      <c r="H106" s="173">
        <v>1933</v>
      </c>
      <c r="I106" s="171"/>
      <c r="J106" s="171" t="s">
        <v>4260</v>
      </c>
      <c r="K106" s="171" t="s">
        <v>73</v>
      </c>
      <c r="L106" s="171" t="s">
        <v>1994</v>
      </c>
      <c r="M106" s="171" t="s">
        <v>5032</v>
      </c>
      <c r="N106" s="171"/>
      <c r="O106" s="171"/>
      <c r="P106" s="171" t="s">
        <v>5032</v>
      </c>
      <c r="Q106" s="171"/>
      <c r="R106" s="171"/>
      <c r="S106" s="171"/>
      <c r="T106" s="171"/>
      <c r="U106" s="171"/>
      <c r="V106" s="175"/>
      <c r="W106" s="171"/>
      <c r="X106" s="171" t="s">
        <v>5032</v>
      </c>
      <c r="Y106" s="171"/>
      <c r="Z106" s="171"/>
      <c r="AA106" s="171" t="s">
        <v>5032</v>
      </c>
      <c r="AB106" s="171"/>
      <c r="AC106" s="171"/>
      <c r="AD106" s="171"/>
      <c r="AE106" s="171"/>
      <c r="AF106" s="171"/>
      <c r="AG106" s="171"/>
      <c r="AH106" s="171"/>
      <c r="AI106" s="171"/>
      <c r="AJ106" s="171"/>
      <c r="AK106" s="171"/>
      <c r="AL106" s="171"/>
      <c r="AM106" s="171"/>
      <c r="AN106" s="171" t="s">
        <v>5032</v>
      </c>
      <c r="AO106" s="171"/>
      <c r="AP106" s="171"/>
      <c r="AQ106" s="171" t="s">
        <v>5032</v>
      </c>
      <c r="AR106" s="171"/>
      <c r="AS106" s="171"/>
      <c r="AT106" s="171"/>
      <c r="AU106" s="171"/>
      <c r="AV106" s="171"/>
      <c r="AW106" s="171"/>
      <c r="AX106" s="171"/>
      <c r="AY106" s="171"/>
      <c r="AZ106" s="171"/>
      <c r="BA106" s="171"/>
      <c r="BB106" s="171"/>
      <c r="BC106" s="171"/>
      <c r="BD106" s="171"/>
      <c r="BE106" s="171"/>
      <c r="BF106" s="225"/>
      <c r="BG106" s="171"/>
      <c r="BH106" s="171"/>
      <c r="BI106" s="171"/>
      <c r="BJ106" s="171"/>
      <c r="BK106" s="171"/>
      <c r="BL106" s="171"/>
      <c r="BM106" s="171"/>
      <c r="BN106" s="171"/>
      <c r="BO106" s="171"/>
      <c r="BP106" s="171"/>
      <c r="BQ106" s="171"/>
      <c r="BR106" s="171"/>
      <c r="BS106" s="171"/>
      <c r="BT106" s="171"/>
      <c r="BU106" s="171"/>
      <c r="BV106" s="171"/>
      <c r="BW106" s="171"/>
      <c r="BX106" s="171"/>
      <c r="BY106" s="171"/>
      <c r="BZ106" s="171"/>
      <c r="CA106" s="171"/>
      <c r="CB106" s="171"/>
      <c r="CC106" s="171"/>
      <c r="CD106" s="171"/>
      <c r="CE106" s="171"/>
      <c r="CF106" s="171"/>
      <c r="CG106" s="171"/>
      <c r="CH106" s="171"/>
      <c r="CI106" s="171"/>
      <c r="CJ106" s="171"/>
      <c r="CK106" s="171"/>
      <c r="CL106" s="171"/>
    </row>
    <row r="107" spans="1:91">
      <c r="A107" s="171">
        <v>331</v>
      </c>
      <c r="B107" s="171" t="s">
        <v>1170</v>
      </c>
      <c r="C107" s="171">
        <v>192</v>
      </c>
      <c r="D107" s="171" t="str">
        <f t="shared" si="37"/>
        <v/>
      </c>
      <c r="E107" s="171" t="s">
        <v>7228</v>
      </c>
      <c r="F107" s="174">
        <v>45477</v>
      </c>
      <c r="G107" s="171" t="s">
        <v>7220</v>
      </c>
      <c r="H107" s="173">
        <v>3850.3</v>
      </c>
      <c r="I107" s="171"/>
      <c r="J107" s="171" t="s">
        <v>4465</v>
      </c>
      <c r="K107" s="171" t="s">
        <v>73</v>
      </c>
      <c r="L107" s="171" t="s">
        <v>1994</v>
      </c>
      <c r="M107" s="171" t="s">
        <v>5032</v>
      </c>
      <c r="N107" s="171"/>
      <c r="O107" s="171"/>
      <c r="P107" s="171" t="s">
        <v>5032</v>
      </c>
      <c r="Q107" s="171"/>
      <c r="R107" s="171"/>
      <c r="S107" s="171"/>
      <c r="T107" s="171"/>
      <c r="U107" s="171"/>
      <c r="V107" s="175"/>
      <c r="W107" s="171"/>
      <c r="X107" s="171" t="s">
        <v>4519</v>
      </c>
      <c r="Y107" s="171" t="s">
        <v>5131</v>
      </c>
      <c r="Z107" s="171" t="s">
        <v>7225</v>
      </c>
      <c r="AA107" s="171" t="s">
        <v>4519</v>
      </c>
      <c r="AB107" s="171">
        <v>2060</v>
      </c>
      <c r="AC107" s="171">
        <v>2021</v>
      </c>
      <c r="AD107" s="171"/>
      <c r="AE107" s="171"/>
      <c r="AF107" s="171"/>
      <c r="AG107" s="171"/>
      <c r="AH107" s="171"/>
      <c r="AI107" s="171"/>
      <c r="AJ107" s="171"/>
      <c r="AK107" s="171"/>
      <c r="AL107" s="171" t="s">
        <v>8017</v>
      </c>
      <c r="AM107" s="171"/>
      <c r="AN107" s="171" t="s">
        <v>5032</v>
      </c>
      <c r="AO107" s="171"/>
      <c r="AP107" s="171"/>
      <c r="AQ107" s="171" t="s">
        <v>5032</v>
      </c>
      <c r="AR107" s="171"/>
      <c r="AS107" s="171"/>
      <c r="AT107" s="171"/>
      <c r="AU107" s="171"/>
      <c r="AV107" s="171"/>
      <c r="AW107" s="171"/>
      <c r="AX107" s="171"/>
      <c r="AY107" s="171"/>
      <c r="AZ107" s="171"/>
      <c r="BA107" s="171"/>
      <c r="BB107" s="171"/>
      <c r="BC107" s="171"/>
      <c r="BD107" s="171"/>
      <c r="BE107" s="171"/>
      <c r="BF107" s="225"/>
      <c r="BG107" s="171"/>
      <c r="BH107" s="171"/>
      <c r="BI107" s="171"/>
      <c r="BJ107" s="171"/>
      <c r="BK107" s="171"/>
      <c r="BL107" s="171"/>
      <c r="BM107" s="171"/>
      <c r="BN107" s="171"/>
      <c r="BO107" s="171"/>
      <c r="BP107" s="171"/>
      <c r="BQ107" s="171"/>
      <c r="BR107" s="171"/>
      <c r="BS107" s="171"/>
      <c r="BT107" s="171"/>
      <c r="BU107" s="171"/>
      <c r="BV107" s="171"/>
      <c r="BW107" s="171"/>
      <c r="BX107" s="171"/>
      <c r="BY107" s="171"/>
      <c r="BZ107" s="171"/>
      <c r="CA107" s="171"/>
      <c r="CB107" s="171"/>
      <c r="CC107" s="171"/>
      <c r="CD107" s="171"/>
      <c r="CE107" s="171"/>
      <c r="CF107" s="171"/>
      <c r="CG107" s="171"/>
      <c r="CH107" s="171"/>
      <c r="CI107" s="171"/>
      <c r="CJ107" s="171"/>
      <c r="CK107" s="171"/>
      <c r="CL107" s="171"/>
    </row>
    <row r="108" spans="1:91">
      <c r="A108" s="171">
        <v>173</v>
      </c>
      <c r="B108" s="171" t="s">
        <v>1014</v>
      </c>
      <c r="C108" s="171">
        <v>191</v>
      </c>
      <c r="D108" s="171" t="str">
        <f t="shared" si="37"/>
        <v/>
      </c>
      <c r="E108" s="171" t="s">
        <v>7228</v>
      </c>
      <c r="F108" s="174">
        <v>45477</v>
      </c>
      <c r="G108" s="171" t="s">
        <v>7220</v>
      </c>
      <c r="H108" s="173">
        <v>988.2</v>
      </c>
      <c r="I108" s="171"/>
      <c r="J108" s="171" t="s">
        <v>976</v>
      </c>
      <c r="K108" s="171" t="s">
        <v>73</v>
      </c>
      <c r="L108" s="171" t="s">
        <v>1994</v>
      </c>
      <c r="M108" s="171" t="s">
        <v>5032</v>
      </c>
      <c r="N108" s="171"/>
      <c r="O108" s="171"/>
      <c r="P108" s="171" t="s">
        <v>5032</v>
      </c>
      <c r="Q108" s="171"/>
      <c r="R108" s="171"/>
      <c r="S108" s="171"/>
      <c r="T108" s="171"/>
      <c r="U108" s="171"/>
      <c r="V108" s="175"/>
      <c r="W108" s="171"/>
      <c r="X108" s="171" t="s">
        <v>4519</v>
      </c>
      <c r="Y108" s="171" t="s">
        <v>5131</v>
      </c>
      <c r="Z108" s="171" t="s">
        <v>7225</v>
      </c>
      <c r="AA108" s="171" t="s">
        <v>4519</v>
      </c>
      <c r="AB108" s="171">
        <v>2060</v>
      </c>
      <c r="AC108" s="171">
        <v>2021</v>
      </c>
      <c r="AD108" s="171"/>
      <c r="AE108" s="171"/>
      <c r="AF108" s="171"/>
      <c r="AG108" s="171"/>
      <c r="AH108" s="171"/>
      <c r="AI108" s="171"/>
      <c r="AJ108" s="171"/>
      <c r="AK108" s="171"/>
      <c r="AL108" s="171" t="s">
        <v>8016</v>
      </c>
      <c r="AM108" s="171"/>
      <c r="AN108" s="171" t="s">
        <v>5032</v>
      </c>
      <c r="AO108" s="171"/>
      <c r="AP108" s="171"/>
      <c r="AQ108" s="171" t="s">
        <v>5032</v>
      </c>
      <c r="AR108" s="171"/>
      <c r="AS108" s="171"/>
      <c r="AT108" s="171"/>
      <c r="AU108" s="171"/>
      <c r="AV108" s="171"/>
      <c r="AW108" s="171"/>
      <c r="AX108" s="171"/>
      <c r="AY108" s="171"/>
      <c r="AZ108" s="171"/>
      <c r="BA108" s="171"/>
      <c r="BB108" s="171"/>
      <c r="BC108" s="171"/>
      <c r="BD108" s="171"/>
      <c r="BE108" s="171"/>
      <c r="BF108" s="225"/>
      <c r="BG108" s="171"/>
      <c r="BH108" s="171"/>
      <c r="BI108" s="171"/>
      <c r="BJ108" s="171"/>
      <c r="BK108" s="171"/>
      <c r="BL108" s="171"/>
      <c r="BM108" s="171"/>
      <c r="BN108" s="171"/>
      <c r="BO108" s="171"/>
      <c r="BP108" s="171"/>
      <c r="BQ108" s="171"/>
      <c r="BR108" s="171"/>
      <c r="BS108" s="171"/>
      <c r="BT108" s="171"/>
      <c r="BU108" s="171"/>
      <c r="BV108" s="171"/>
      <c r="BW108" s="171"/>
      <c r="BX108" s="171"/>
      <c r="BY108" s="171"/>
      <c r="BZ108" s="171"/>
      <c r="CA108" s="171"/>
      <c r="CB108" s="171"/>
      <c r="CC108" s="171"/>
      <c r="CD108" s="171"/>
      <c r="CE108" s="171"/>
      <c r="CF108" s="171"/>
      <c r="CG108" s="171"/>
      <c r="CH108" s="171"/>
      <c r="CI108" s="171"/>
      <c r="CJ108" s="171"/>
      <c r="CK108" s="171"/>
      <c r="CL108" s="171"/>
    </row>
    <row r="109" spans="1:91">
      <c r="A109" s="171">
        <v>83</v>
      </c>
      <c r="B109" s="171" t="s">
        <v>1534</v>
      </c>
      <c r="C109" s="171">
        <v>86</v>
      </c>
      <c r="D109" s="171" t="str">
        <f t="shared" si="37"/>
        <v/>
      </c>
      <c r="E109" s="171" t="s">
        <v>7220</v>
      </c>
      <c r="F109" s="174">
        <v>45475</v>
      </c>
      <c r="G109" s="171" t="s">
        <v>7220</v>
      </c>
      <c r="H109" s="173">
        <v>5884.5</v>
      </c>
      <c r="I109" s="171"/>
      <c r="J109" s="171" t="s">
        <v>4179</v>
      </c>
      <c r="K109" s="171" t="s">
        <v>73</v>
      </c>
      <c r="L109" s="171" t="s">
        <v>1994</v>
      </c>
      <c r="M109" s="171" t="s">
        <v>5032</v>
      </c>
      <c r="N109" s="171"/>
      <c r="O109" s="171"/>
      <c r="P109" s="171" t="s">
        <v>5032</v>
      </c>
      <c r="Q109" s="171"/>
      <c r="R109" s="171"/>
      <c r="S109" s="171"/>
      <c r="T109" s="171"/>
      <c r="U109" s="171"/>
      <c r="V109" s="175"/>
      <c r="W109" s="171"/>
      <c r="X109" s="171" t="s">
        <v>5032</v>
      </c>
      <c r="Y109" s="171"/>
      <c r="Z109" s="171"/>
      <c r="AA109" s="171" t="s">
        <v>5032</v>
      </c>
      <c r="AB109" s="171"/>
      <c r="AC109" s="171"/>
      <c r="AD109" s="171"/>
      <c r="AE109" s="171"/>
      <c r="AF109" s="171"/>
      <c r="AG109" s="171"/>
      <c r="AH109" s="171"/>
      <c r="AI109" s="171"/>
      <c r="AJ109" s="171"/>
      <c r="AK109" s="171"/>
      <c r="AL109" s="171"/>
      <c r="AM109" s="171"/>
      <c r="AN109" s="171" t="s">
        <v>5032</v>
      </c>
      <c r="AO109" s="171"/>
      <c r="AP109" s="171"/>
      <c r="AQ109" s="171" t="s">
        <v>5032</v>
      </c>
      <c r="AR109" s="171"/>
      <c r="AS109" s="171"/>
      <c r="AT109" s="171"/>
      <c r="AU109" s="171"/>
      <c r="AV109" s="171"/>
      <c r="AW109" s="171"/>
      <c r="AX109" s="171"/>
      <c r="AY109" s="171"/>
      <c r="AZ109" s="171"/>
      <c r="BA109" s="171"/>
      <c r="BB109" s="171"/>
      <c r="BC109" s="171"/>
      <c r="BD109" s="171"/>
      <c r="BE109" s="171"/>
      <c r="BF109" s="225"/>
      <c r="BG109" s="171"/>
      <c r="BH109" s="171"/>
      <c r="BI109" s="171"/>
      <c r="BJ109" s="171"/>
      <c r="BK109" s="171"/>
      <c r="BL109" s="171"/>
      <c r="BM109" s="171"/>
      <c r="BN109" s="171"/>
      <c r="BO109" s="171"/>
      <c r="BP109" s="171"/>
      <c r="BQ109" s="171"/>
      <c r="BR109" s="171"/>
      <c r="BS109" s="171"/>
      <c r="BT109" s="171"/>
      <c r="BU109" s="171"/>
      <c r="BV109" s="171"/>
      <c r="BW109" s="171"/>
      <c r="BX109" s="171"/>
      <c r="BY109" s="171"/>
      <c r="BZ109" s="171"/>
      <c r="CA109" s="171"/>
      <c r="CB109" s="171"/>
      <c r="CC109" s="171"/>
      <c r="CD109" s="171"/>
      <c r="CE109" s="171"/>
      <c r="CF109" s="171"/>
      <c r="CG109" s="171"/>
      <c r="CH109" s="171"/>
      <c r="CI109" s="171"/>
      <c r="CJ109" s="171"/>
      <c r="CK109" s="171"/>
      <c r="CL109" s="171"/>
    </row>
    <row r="110" spans="1:91">
      <c r="A110" s="171">
        <v>43</v>
      </c>
      <c r="B110" s="171" t="s">
        <v>1691</v>
      </c>
      <c r="C110" s="171">
        <v>43</v>
      </c>
      <c r="D110" s="171" t="str">
        <f t="shared" si="37"/>
        <v/>
      </c>
      <c r="E110" s="171" t="s">
        <v>7223</v>
      </c>
      <c r="F110" s="174">
        <v>45485</v>
      </c>
      <c r="G110" s="171" t="s">
        <v>7220</v>
      </c>
      <c r="H110" s="173">
        <v>1701</v>
      </c>
      <c r="I110" s="171"/>
      <c r="J110" s="171" t="s">
        <v>4197</v>
      </c>
      <c r="K110" s="171" t="s">
        <v>73</v>
      </c>
      <c r="L110" s="171" t="s">
        <v>1994</v>
      </c>
      <c r="M110" s="171" t="s">
        <v>5032</v>
      </c>
      <c r="N110" s="171"/>
      <c r="O110" s="171"/>
      <c r="P110" s="171" t="s">
        <v>5032</v>
      </c>
      <c r="Q110" s="171"/>
      <c r="R110" s="171"/>
      <c r="S110" s="171"/>
      <c r="T110" s="171"/>
      <c r="U110" s="171"/>
      <c r="V110" s="175"/>
      <c r="W110" s="171"/>
      <c r="X110" s="171" t="s">
        <v>5032</v>
      </c>
      <c r="Y110" s="171"/>
      <c r="Z110" s="171"/>
      <c r="AA110" s="171" t="s">
        <v>5032</v>
      </c>
      <c r="AB110" s="171"/>
      <c r="AC110" s="171"/>
      <c r="AD110" s="171"/>
      <c r="AE110" s="171"/>
      <c r="AF110" s="171"/>
      <c r="AG110" s="171"/>
      <c r="AH110" s="171"/>
      <c r="AI110" s="171"/>
      <c r="AJ110" s="171"/>
      <c r="AK110" s="171"/>
      <c r="AL110" s="171"/>
      <c r="AM110" s="171" t="s">
        <v>8015</v>
      </c>
      <c r="AN110" s="171" t="s">
        <v>5032</v>
      </c>
      <c r="AO110" s="171"/>
      <c r="AP110" s="171"/>
      <c r="AQ110" s="171" t="s">
        <v>5032</v>
      </c>
      <c r="AR110" s="171"/>
      <c r="AS110" s="171"/>
      <c r="AT110" s="171"/>
      <c r="AU110" s="171"/>
      <c r="AV110" s="171"/>
      <c r="AW110" s="171"/>
      <c r="AX110" s="171"/>
      <c r="AY110" s="171"/>
      <c r="AZ110" s="171"/>
      <c r="BA110" s="171"/>
      <c r="BB110" s="171"/>
      <c r="BC110" s="171"/>
      <c r="BD110" s="171"/>
      <c r="BE110" s="171"/>
      <c r="BF110" s="225"/>
      <c r="BG110" s="171"/>
      <c r="BH110" s="171"/>
      <c r="BI110" s="171"/>
      <c r="BJ110" s="171"/>
      <c r="BK110" s="171"/>
      <c r="BL110" s="171"/>
      <c r="BM110" s="171"/>
      <c r="BN110" s="171"/>
      <c r="BO110" s="171"/>
      <c r="BP110" s="171"/>
      <c r="BQ110" s="171"/>
      <c r="BR110" s="171"/>
      <c r="BS110" s="171"/>
      <c r="BT110" s="171"/>
      <c r="BU110" s="171"/>
      <c r="BV110" s="171"/>
      <c r="BW110" s="171"/>
      <c r="BX110" s="171"/>
      <c r="BY110" s="171"/>
      <c r="BZ110" s="171"/>
      <c r="CA110" s="171"/>
      <c r="CB110" s="171"/>
      <c r="CC110" s="171"/>
      <c r="CD110" s="171"/>
      <c r="CE110" s="171"/>
      <c r="CF110" s="171"/>
      <c r="CG110" s="171"/>
      <c r="CH110" s="171"/>
      <c r="CI110" s="171"/>
      <c r="CJ110" s="171"/>
      <c r="CK110" s="171"/>
      <c r="CL110" s="171"/>
    </row>
    <row r="111" spans="1:91">
      <c r="A111" s="171">
        <v>35</v>
      </c>
      <c r="B111" s="171" t="s">
        <v>1704</v>
      </c>
      <c r="C111" s="171">
        <v>39</v>
      </c>
      <c r="D111" s="171" t="str">
        <f t="shared" si="37"/>
        <v/>
      </c>
      <c r="E111" s="171" t="s">
        <v>7228</v>
      </c>
      <c r="F111" s="174">
        <v>45474</v>
      </c>
      <c r="G111" s="171" t="s">
        <v>7220</v>
      </c>
      <c r="H111" s="173">
        <v>2152.5</v>
      </c>
      <c r="I111" s="171"/>
      <c r="J111" s="171" t="s">
        <v>4197</v>
      </c>
      <c r="K111" s="171" t="s">
        <v>73</v>
      </c>
      <c r="L111" s="171" t="s">
        <v>1994</v>
      </c>
      <c r="M111" s="171" t="s">
        <v>5032</v>
      </c>
      <c r="N111" s="171"/>
      <c r="O111" s="171"/>
      <c r="P111" s="171" t="s">
        <v>5032</v>
      </c>
      <c r="Q111" s="171"/>
      <c r="R111" s="171"/>
      <c r="S111" s="171"/>
      <c r="T111" s="171"/>
      <c r="U111" s="171"/>
      <c r="V111" s="175"/>
      <c r="W111" s="171"/>
      <c r="X111" s="171" t="s">
        <v>4519</v>
      </c>
      <c r="Y111" s="171" t="s">
        <v>418</v>
      </c>
      <c r="Z111" s="171" t="s">
        <v>7533</v>
      </c>
      <c r="AA111" s="171" t="s">
        <v>4519</v>
      </c>
      <c r="AB111" s="171">
        <v>2060</v>
      </c>
      <c r="AC111" s="171">
        <v>2022</v>
      </c>
      <c r="AD111" s="171"/>
      <c r="AE111" s="171"/>
      <c r="AF111" s="171"/>
      <c r="AG111" s="171"/>
      <c r="AH111" s="171"/>
      <c r="AI111" s="171"/>
      <c r="AJ111" s="171"/>
      <c r="AK111" s="171"/>
      <c r="AL111" s="171" t="s">
        <v>8014</v>
      </c>
      <c r="AM111" s="171" t="s">
        <v>8013</v>
      </c>
      <c r="AN111" s="171" t="s">
        <v>5032</v>
      </c>
      <c r="AO111" s="171"/>
      <c r="AP111" s="171"/>
      <c r="AQ111" s="171" t="s">
        <v>5032</v>
      </c>
      <c r="AR111" s="171"/>
      <c r="AS111" s="171"/>
      <c r="AT111" s="171"/>
      <c r="AU111" s="171"/>
      <c r="AV111" s="171"/>
      <c r="AW111" s="171"/>
      <c r="AX111" s="171"/>
      <c r="AY111" s="171"/>
      <c r="AZ111" s="171"/>
      <c r="BA111" s="171"/>
      <c r="BB111" s="171"/>
      <c r="BC111" s="171"/>
      <c r="BD111" s="171" t="s">
        <v>5032</v>
      </c>
      <c r="BE111" s="171"/>
      <c r="BF111" s="225" t="s">
        <v>5032</v>
      </c>
      <c r="BG111" s="171"/>
      <c r="BH111" s="171"/>
      <c r="BI111" s="171"/>
      <c r="BJ111" s="171"/>
      <c r="BK111" s="171"/>
      <c r="BL111" s="171"/>
      <c r="BM111" s="171"/>
      <c r="BN111" s="171"/>
      <c r="BO111" s="171"/>
      <c r="BP111" s="171"/>
      <c r="BQ111" s="171"/>
      <c r="BR111" s="171"/>
      <c r="BS111" s="171"/>
      <c r="BT111" s="171"/>
      <c r="BU111" s="171"/>
      <c r="BV111" s="171"/>
      <c r="BW111" s="171"/>
      <c r="BX111" s="171"/>
      <c r="BY111" s="171"/>
      <c r="BZ111" s="171"/>
      <c r="CA111" s="171"/>
      <c r="CB111" s="171"/>
      <c r="CC111" s="171"/>
      <c r="CD111" s="171"/>
      <c r="CE111" s="171"/>
      <c r="CF111" s="171"/>
      <c r="CG111" s="171"/>
      <c r="CH111" s="171"/>
      <c r="CI111" s="171"/>
      <c r="CJ111" s="171"/>
      <c r="CK111" s="171"/>
      <c r="CL111" s="171"/>
    </row>
    <row r="112" spans="1:91">
      <c r="A112" s="171">
        <v>72</v>
      </c>
      <c r="B112" s="171" t="s">
        <v>1623</v>
      </c>
      <c r="C112" s="171">
        <v>74</v>
      </c>
      <c r="D112" s="171" t="str">
        <f t="shared" si="37"/>
        <v/>
      </c>
      <c r="E112" s="171" t="s">
        <v>7220</v>
      </c>
      <c r="F112" s="174">
        <v>45475</v>
      </c>
      <c r="G112" s="171" t="s">
        <v>7220</v>
      </c>
      <c r="H112" s="173">
        <v>3797.5</v>
      </c>
      <c r="I112" s="171"/>
      <c r="J112" s="171" t="s">
        <v>4201</v>
      </c>
      <c r="K112" s="171" t="s">
        <v>73</v>
      </c>
      <c r="L112" s="171" t="s">
        <v>1994</v>
      </c>
      <c r="M112" s="171" t="s">
        <v>5032</v>
      </c>
      <c r="N112" s="171"/>
      <c r="O112" s="171"/>
      <c r="P112" s="171" t="s">
        <v>5032</v>
      </c>
      <c r="Q112" s="171"/>
      <c r="R112" s="171"/>
      <c r="S112" s="171"/>
      <c r="T112" s="171"/>
      <c r="U112" s="171"/>
      <c r="V112" s="175"/>
      <c r="W112" s="171"/>
      <c r="X112" s="171" t="s">
        <v>4519</v>
      </c>
      <c r="Y112" s="171" t="s">
        <v>418</v>
      </c>
      <c r="Z112" s="171" t="s">
        <v>7225</v>
      </c>
      <c r="AA112" s="171" t="s">
        <v>4519</v>
      </c>
      <c r="AB112" s="171">
        <v>2060</v>
      </c>
      <c r="AC112" s="171">
        <v>2023</v>
      </c>
      <c r="AD112" s="171"/>
      <c r="AE112" s="171"/>
      <c r="AF112" s="171"/>
      <c r="AG112" s="171"/>
      <c r="AH112" s="171"/>
      <c r="AI112" s="171"/>
      <c r="AJ112" s="171"/>
      <c r="AK112" s="171"/>
      <c r="AL112" s="171" t="s">
        <v>8012</v>
      </c>
      <c r="AM112" s="171"/>
      <c r="AN112" s="171" t="s">
        <v>5032</v>
      </c>
      <c r="AO112" s="171"/>
      <c r="AP112" s="171"/>
      <c r="AQ112" s="171" t="s">
        <v>5032</v>
      </c>
      <c r="AR112" s="171"/>
      <c r="AS112" s="171"/>
      <c r="AT112" s="171"/>
      <c r="AU112" s="171"/>
      <c r="AV112" s="171"/>
      <c r="AW112" s="171"/>
      <c r="AX112" s="171"/>
      <c r="AY112" s="171"/>
      <c r="AZ112" s="171"/>
      <c r="BA112" s="171"/>
      <c r="BB112" s="171"/>
      <c r="BC112" s="171"/>
      <c r="BD112" s="171"/>
      <c r="BE112" s="171"/>
      <c r="BF112" s="225"/>
      <c r="BG112" s="171"/>
      <c r="BH112" s="171"/>
      <c r="BI112" s="171"/>
      <c r="BJ112" s="171"/>
      <c r="BK112" s="171"/>
      <c r="BL112" s="171"/>
      <c r="BM112" s="171"/>
      <c r="BN112" s="171"/>
      <c r="BO112" s="171"/>
      <c r="BP112" s="171"/>
      <c r="BQ112" s="171"/>
      <c r="BR112" s="171"/>
      <c r="BS112" s="171"/>
      <c r="BT112" s="171"/>
      <c r="BU112" s="171"/>
      <c r="BV112" s="171"/>
      <c r="BW112" s="171"/>
      <c r="BX112" s="171"/>
      <c r="BY112" s="171"/>
      <c r="BZ112" s="171"/>
      <c r="CA112" s="171"/>
      <c r="CB112" s="171"/>
      <c r="CC112" s="171"/>
      <c r="CD112" s="171"/>
      <c r="CE112" s="171"/>
      <c r="CF112" s="171"/>
      <c r="CG112" s="171"/>
      <c r="CH112" s="171"/>
      <c r="CI112" s="171"/>
      <c r="CJ112" s="171"/>
      <c r="CK112" s="171"/>
      <c r="CL112" s="171"/>
    </row>
    <row r="113" spans="1:91">
      <c r="A113" s="171">
        <v>343</v>
      </c>
      <c r="B113" s="171" t="s">
        <v>617</v>
      </c>
      <c r="C113" s="171">
        <v>341</v>
      </c>
      <c r="D113" s="171" t="str">
        <f t="shared" si="37"/>
        <v/>
      </c>
      <c r="E113" s="171" t="s">
        <v>7288</v>
      </c>
      <c r="F113" s="174">
        <v>45482</v>
      </c>
      <c r="G113" s="171" t="s">
        <v>7220</v>
      </c>
      <c r="H113" s="173">
        <v>1136.8</v>
      </c>
      <c r="I113" s="171"/>
      <c r="J113" s="171" t="s">
        <v>4260</v>
      </c>
      <c r="K113" s="171" t="s">
        <v>73</v>
      </c>
      <c r="L113" s="171" t="s">
        <v>1994</v>
      </c>
      <c r="M113" s="171" t="s">
        <v>5032</v>
      </c>
      <c r="N113" s="171"/>
      <c r="O113" s="171"/>
      <c r="P113" s="171" t="s">
        <v>5032</v>
      </c>
      <c r="Q113" s="171"/>
      <c r="R113" s="171"/>
      <c r="S113" s="171"/>
      <c r="T113" s="171"/>
      <c r="U113" s="171"/>
      <c r="V113" s="175"/>
      <c r="W113" s="171"/>
      <c r="X113" s="171" t="s">
        <v>5032</v>
      </c>
      <c r="Y113" s="171"/>
      <c r="Z113" s="171"/>
      <c r="AA113" s="171" t="s">
        <v>5032</v>
      </c>
      <c r="AB113" s="171"/>
      <c r="AC113" s="171"/>
      <c r="AD113" s="171"/>
      <c r="AE113" s="171"/>
      <c r="AF113" s="171"/>
      <c r="AG113" s="171"/>
      <c r="AH113" s="171"/>
      <c r="AI113" s="171"/>
      <c r="AJ113" s="171"/>
      <c r="AK113" s="171"/>
      <c r="AL113" s="171"/>
      <c r="AM113" s="171"/>
      <c r="AN113" s="171" t="s">
        <v>5032</v>
      </c>
      <c r="AO113" s="171"/>
      <c r="AP113" s="171"/>
      <c r="AQ113" s="171" t="s">
        <v>5032</v>
      </c>
      <c r="AR113" s="171"/>
      <c r="AS113" s="171"/>
      <c r="AT113" s="171"/>
      <c r="AU113" s="171"/>
      <c r="AV113" s="171"/>
      <c r="AW113" s="171"/>
      <c r="AX113" s="171"/>
      <c r="AY113" s="171"/>
      <c r="AZ113" s="171"/>
      <c r="BA113" s="171"/>
      <c r="BB113" s="171"/>
      <c r="BC113" s="171"/>
      <c r="BD113" s="171"/>
      <c r="BE113" s="171"/>
      <c r="BF113" s="225"/>
      <c r="BG113" s="171"/>
      <c r="BH113" s="171"/>
      <c r="BI113" s="171"/>
      <c r="BJ113" s="171"/>
      <c r="BK113" s="171"/>
      <c r="BL113" s="171"/>
      <c r="BM113" s="171"/>
      <c r="BN113" s="171"/>
      <c r="BO113" s="171"/>
      <c r="BP113" s="171"/>
      <c r="BQ113" s="171"/>
      <c r="BR113" s="171"/>
      <c r="BS113" s="171"/>
      <c r="BT113" s="171"/>
      <c r="BU113" s="171"/>
      <c r="BV113" s="171"/>
      <c r="BW113" s="171"/>
      <c r="BX113" s="171"/>
      <c r="BY113" s="171"/>
      <c r="BZ113" s="171"/>
      <c r="CA113" s="171"/>
      <c r="CB113" s="171"/>
      <c r="CC113" s="171"/>
      <c r="CD113" s="171"/>
      <c r="CE113" s="171"/>
      <c r="CF113" s="171"/>
      <c r="CG113" s="171"/>
      <c r="CH113" s="171"/>
      <c r="CI113" s="171"/>
      <c r="CJ113" s="171"/>
      <c r="CK113" s="171"/>
      <c r="CL113" s="171"/>
    </row>
    <row r="114" spans="1:91">
      <c r="A114" s="171">
        <v>78</v>
      </c>
      <c r="B114" s="171" t="s">
        <v>1485</v>
      </c>
      <c r="C114" s="171">
        <v>83</v>
      </c>
      <c r="D114" s="171" t="str">
        <f t="shared" si="37"/>
        <v/>
      </c>
      <c r="E114" s="171" t="s">
        <v>7220</v>
      </c>
      <c r="F114" s="174">
        <v>45475</v>
      </c>
      <c r="G114" s="171" t="s">
        <v>7220</v>
      </c>
      <c r="H114" s="173">
        <v>2342.1999999999998</v>
      </c>
      <c r="I114" s="171"/>
      <c r="J114" s="171" t="s">
        <v>4199</v>
      </c>
      <c r="K114" s="171" t="s">
        <v>73</v>
      </c>
      <c r="L114" s="171" t="s">
        <v>1994</v>
      </c>
      <c r="M114" s="171" t="s">
        <v>5032</v>
      </c>
      <c r="N114" s="171"/>
      <c r="O114" s="171"/>
      <c r="P114" s="171" t="s">
        <v>5032</v>
      </c>
      <c r="Q114" s="171"/>
      <c r="R114" s="171"/>
      <c r="S114" s="171"/>
      <c r="T114" s="171"/>
      <c r="U114" s="171"/>
      <c r="V114" s="175"/>
      <c r="W114" s="171"/>
      <c r="X114" s="171" t="s">
        <v>4519</v>
      </c>
      <c r="Y114" s="171" t="s">
        <v>8011</v>
      </c>
      <c r="Z114" s="171" t="s">
        <v>3283</v>
      </c>
      <c r="AA114" s="171" t="s">
        <v>4519</v>
      </c>
      <c r="AB114" s="171">
        <v>2060</v>
      </c>
      <c r="AC114" s="171">
        <v>2021</v>
      </c>
      <c r="AD114" s="171"/>
      <c r="AE114" s="171"/>
      <c r="AF114" s="171"/>
      <c r="AG114" s="171"/>
      <c r="AH114" s="171"/>
      <c r="AI114" s="171"/>
      <c r="AJ114" s="171"/>
      <c r="AK114" s="171"/>
      <c r="AL114" s="171" t="s">
        <v>8010</v>
      </c>
      <c r="AM114" s="171" t="s">
        <v>8009</v>
      </c>
      <c r="AN114" s="171" t="s">
        <v>5032</v>
      </c>
      <c r="AO114" s="171"/>
      <c r="AP114" s="171"/>
      <c r="AQ114" s="171" t="s">
        <v>5032</v>
      </c>
      <c r="AR114" s="171"/>
      <c r="AS114" s="171"/>
      <c r="AT114" s="171"/>
      <c r="AU114" s="171"/>
      <c r="AV114" s="171"/>
      <c r="AW114" s="171"/>
      <c r="AX114" s="171"/>
      <c r="AY114" s="171"/>
      <c r="AZ114" s="171"/>
      <c r="BA114" s="171"/>
      <c r="BB114" s="171"/>
      <c r="BC114" s="171"/>
      <c r="BD114" s="171"/>
      <c r="BE114" s="171"/>
      <c r="BF114" s="225"/>
      <c r="BG114" s="171"/>
      <c r="BH114" s="171"/>
      <c r="BI114" s="171"/>
      <c r="BJ114" s="171"/>
      <c r="BK114" s="171"/>
      <c r="BL114" s="171"/>
      <c r="BM114" s="171"/>
      <c r="BN114" s="171"/>
      <c r="BO114" s="171"/>
      <c r="BP114" s="171"/>
      <c r="BQ114" s="171"/>
      <c r="BR114" s="171"/>
      <c r="BS114" s="171"/>
      <c r="BT114" s="171"/>
      <c r="BU114" s="171"/>
      <c r="BV114" s="171"/>
      <c r="BW114" s="171"/>
      <c r="BX114" s="171"/>
      <c r="BY114" s="171"/>
      <c r="BZ114" s="171"/>
      <c r="CA114" s="171"/>
      <c r="CB114" s="171"/>
      <c r="CC114" s="171"/>
      <c r="CD114" s="171"/>
      <c r="CE114" s="171"/>
      <c r="CF114" s="171"/>
      <c r="CG114" s="171"/>
      <c r="CH114" s="171"/>
      <c r="CI114" s="171"/>
      <c r="CJ114" s="171"/>
      <c r="CK114" s="171"/>
      <c r="CL114" s="171"/>
    </row>
    <row r="115" spans="1:91">
      <c r="A115" s="171">
        <v>14</v>
      </c>
      <c r="B115" s="171" t="s">
        <v>1811</v>
      </c>
      <c r="C115" s="171">
        <v>13</v>
      </c>
      <c r="D115" s="171" t="str">
        <f t="shared" si="37"/>
        <v>CN</v>
      </c>
      <c r="E115" s="171" t="s">
        <v>7255</v>
      </c>
      <c r="F115" s="174">
        <v>45474</v>
      </c>
      <c r="G115" s="171" t="s">
        <v>7223</v>
      </c>
      <c r="H115" s="173">
        <v>4371.5</v>
      </c>
      <c r="I115" s="171"/>
      <c r="J115" s="171" t="s">
        <v>4197</v>
      </c>
      <c r="K115" s="171" t="s">
        <v>73</v>
      </c>
      <c r="L115" s="171" t="s">
        <v>1994</v>
      </c>
      <c r="M115" s="171" t="s">
        <v>5032</v>
      </c>
      <c r="N115" s="171"/>
      <c r="O115" s="171"/>
      <c r="P115" s="171" t="s">
        <v>5032</v>
      </c>
      <c r="Q115" s="171"/>
      <c r="R115" s="171"/>
      <c r="S115" s="171"/>
      <c r="T115" s="171"/>
      <c r="U115" s="171"/>
      <c r="V115" s="175"/>
      <c r="W115" s="171"/>
      <c r="X115" s="171" t="s">
        <v>1957</v>
      </c>
      <c r="Y115" s="171" t="s">
        <v>4870</v>
      </c>
      <c r="Z115" s="171" t="s">
        <v>7225</v>
      </c>
      <c r="AA115" s="171" t="s">
        <v>1957</v>
      </c>
      <c r="AB115" s="171">
        <v>2050</v>
      </c>
      <c r="AC115" s="171">
        <v>2021</v>
      </c>
      <c r="AD115" s="171"/>
      <c r="AE115" s="171"/>
      <c r="AF115" s="171"/>
      <c r="AG115" s="171" t="s">
        <v>2082</v>
      </c>
      <c r="AH115" s="171">
        <v>2023</v>
      </c>
      <c r="AI115" s="171" t="s">
        <v>4174</v>
      </c>
      <c r="AJ115" s="171" t="s">
        <v>8008</v>
      </c>
      <c r="AK115" s="171"/>
      <c r="AL115" s="171" t="s">
        <v>8008</v>
      </c>
      <c r="AM115" s="171"/>
      <c r="AN115" s="171" t="s">
        <v>5032</v>
      </c>
      <c r="AO115" s="171"/>
      <c r="AP115" s="171"/>
      <c r="AQ115" s="171" t="s">
        <v>5032</v>
      </c>
      <c r="AR115" s="171"/>
      <c r="AS115" s="171"/>
      <c r="AT115" s="171"/>
      <c r="AU115" s="171"/>
      <c r="AV115" s="171"/>
      <c r="AW115" s="171"/>
      <c r="AX115" s="171"/>
      <c r="AY115" s="171"/>
      <c r="AZ115" s="171"/>
      <c r="BA115" s="171"/>
      <c r="BB115" s="171"/>
      <c r="BC115" s="171"/>
      <c r="BD115" s="171"/>
      <c r="BE115" s="171"/>
      <c r="BF115" s="225"/>
      <c r="BG115" s="171"/>
      <c r="BH115" s="171"/>
      <c r="BI115" s="171"/>
      <c r="BJ115" s="171"/>
      <c r="BK115" s="171"/>
      <c r="BL115" s="171">
        <v>1</v>
      </c>
      <c r="BM115" s="171">
        <v>1</v>
      </c>
      <c r="BN115" s="171"/>
      <c r="BO115" s="171"/>
      <c r="BP115" s="171"/>
      <c r="BQ115" s="171"/>
      <c r="BR115" s="171"/>
      <c r="BS115" s="171"/>
      <c r="BT115" s="171"/>
      <c r="BU115" s="171"/>
      <c r="BV115" s="171"/>
      <c r="BW115" s="171"/>
      <c r="BX115" s="171"/>
      <c r="BY115" s="171"/>
      <c r="BZ115" s="171">
        <v>1</v>
      </c>
      <c r="CA115" s="171"/>
      <c r="CB115" s="171">
        <v>1</v>
      </c>
      <c r="CC115" s="171"/>
      <c r="CD115" s="171"/>
      <c r="CE115" s="171">
        <v>1</v>
      </c>
      <c r="CF115" s="171"/>
      <c r="CG115" s="171"/>
      <c r="CH115" s="171">
        <v>1</v>
      </c>
      <c r="CI115" s="171"/>
      <c r="CJ115" s="171"/>
      <c r="CK115" s="171"/>
      <c r="CL115" s="171"/>
    </row>
    <row r="116" spans="1:91">
      <c r="A116" s="171">
        <v>309</v>
      </c>
      <c r="B116" s="171" t="s">
        <v>4392</v>
      </c>
      <c r="C116" s="171">
        <v>272</v>
      </c>
      <c r="D116" s="171" t="str">
        <f t="shared" si="37"/>
        <v/>
      </c>
      <c r="E116" s="171" t="s">
        <v>7228</v>
      </c>
      <c r="F116" s="174">
        <v>45477</v>
      </c>
      <c r="G116" s="171" t="s">
        <v>7223</v>
      </c>
      <c r="H116" s="173">
        <v>2408.4</v>
      </c>
      <c r="I116" s="171"/>
      <c r="J116" s="171" t="s">
        <v>4179</v>
      </c>
      <c r="K116" s="171" t="s">
        <v>73</v>
      </c>
      <c r="L116" s="171" t="s">
        <v>1994</v>
      </c>
      <c r="M116" s="171" t="s">
        <v>5032</v>
      </c>
      <c r="N116" s="171"/>
      <c r="O116" s="171"/>
      <c r="P116" s="171" t="s">
        <v>5032</v>
      </c>
      <c r="Q116" s="171"/>
      <c r="R116" s="171"/>
      <c r="S116" s="171"/>
      <c r="T116" s="171"/>
      <c r="U116" s="171"/>
      <c r="V116" s="175"/>
      <c r="W116" s="171"/>
      <c r="X116" s="171" t="s">
        <v>4519</v>
      </c>
      <c r="Y116" s="171" t="s">
        <v>5131</v>
      </c>
      <c r="Z116" s="171" t="s">
        <v>7225</v>
      </c>
      <c r="AA116" s="171" t="s">
        <v>4519</v>
      </c>
      <c r="AB116" s="171">
        <v>2060</v>
      </c>
      <c r="AC116" s="171">
        <v>2021</v>
      </c>
      <c r="AD116" s="171"/>
      <c r="AE116" s="171"/>
      <c r="AF116" s="171"/>
      <c r="AG116" s="171"/>
      <c r="AH116" s="171"/>
      <c r="AI116" s="171"/>
      <c r="AJ116" s="171"/>
      <c r="AK116" s="171"/>
      <c r="AL116" s="171" t="s">
        <v>8007</v>
      </c>
      <c r="AM116" s="171"/>
      <c r="AN116" s="171" t="s">
        <v>5032</v>
      </c>
      <c r="AO116" s="171"/>
      <c r="AP116" s="171"/>
      <c r="AQ116" s="171" t="s">
        <v>5032</v>
      </c>
      <c r="AR116" s="171"/>
      <c r="AS116" s="171"/>
      <c r="AT116" s="171"/>
      <c r="AU116" s="171"/>
      <c r="AV116" s="171"/>
      <c r="AW116" s="171"/>
      <c r="AX116" s="171"/>
      <c r="AY116" s="171"/>
      <c r="AZ116" s="171"/>
      <c r="BA116" s="171"/>
      <c r="BB116" s="171"/>
      <c r="BC116" s="171"/>
      <c r="BD116" s="171"/>
      <c r="BE116" s="171"/>
      <c r="BF116" s="225"/>
      <c r="BG116" s="171"/>
      <c r="BH116" s="171"/>
      <c r="BI116" s="171"/>
      <c r="BJ116" s="171"/>
      <c r="BK116" s="171"/>
      <c r="BL116" s="171"/>
      <c r="BM116" s="171"/>
      <c r="BN116" s="171"/>
      <c r="BO116" s="171"/>
      <c r="BP116" s="171"/>
      <c r="BQ116" s="171"/>
      <c r="BR116" s="171"/>
      <c r="BS116" s="171"/>
      <c r="BT116" s="171"/>
      <c r="BU116" s="171"/>
      <c r="BV116" s="171"/>
      <c r="BW116" s="171"/>
      <c r="BX116" s="171"/>
      <c r="BY116" s="171"/>
      <c r="BZ116" s="171"/>
      <c r="CA116" s="171"/>
      <c r="CB116" s="171"/>
      <c r="CC116" s="171"/>
      <c r="CD116" s="171"/>
      <c r="CE116" s="171"/>
      <c r="CF116" s="171"/>
      <c r="CG116" s="171"/>
      <c r="CH116" s="171"/>
      <c r="CI116" s="171"/>
      <c r="CJ116" s="171"/>
      <c r="CK116" s="171"/>
      <c r="CL116" s="171"/>
    </row>
    <row r="117" spans="1:91">
      <c r="A117" s="171">
        <v>135</v>
      </c>
      <c r="B117" s="171" t="s">
        <v>1362</v>
      </c>
      <c r="C117" s="171">
        <v>132</v>
      </c>
      <c r="D117" s="171" t="str">
        <f t="shared" si="37"/>
        <v/>
      </c>
      <c r="E117" s="171" t="s">
        <v>7228</v>
      </c>
      <c r="F117" s="174">
        <v>45476</v>
      </c>
      <c r="G117" s="171" t="s">
        <v>7223</v>
      </c>
      <c r="H117" s="173">
        <v>2150.8000000000002</v>
      </c>
      <c r="I117" s="171"/>
      <c r="J117" s="171" t="s">
        <v>4190</v>
      </c>
      <c r="K117" s="171" t="s">
        <v>73</v>
      </c>
      <c r="L117" s="171" t="s">
        <v>1994</v>
      </c>
      <c r="M117" s="171" t="s">
        <v>5032</v>
      </c>
      <c r="N117" s="171"/>
      <c r="O117" s="171"/>
      <c r="P117" s="171" t="s">
        <v>5032</v>
      </c>
      <c r="Q117" s="171"/>
      <c r="R117" s="171"/>
      <c r="S117" s="171"/>
      <c r="T117" s="171"/>
      <c r="U117" s="171"/>
      <c r="V117" s="175"/>
      <c r="W117" s="171"/>
      <c r="X117" s="171" t="s">
        <v>4519</v>
      </c>
      <c r="Y117" s="171" t="s">
        <v>418</v>
      </c>
      <c r="Z117" s="171" t="s">
        <v>7225</v>
      </c>
      <c r="AA117" s="171" t="s">
        <v>4519</v>
      </c>
      <c r="AB117" s="171">
        <v>2060</v>
      </c>
      <c r="AC117" s="171">
        <v>2021</v>
      </c>
      <c r="AD117" s="171"/>
      <c r="AE117" s="171"/>
      <c r="AF117" s="171"/>
      <c r="AG117" s="171"/>
      <c r="AH117" s="171"/>
      <c r="AI117" s="171"/>
      <c r="AJ117" s="171"/>
      <c r="AK117" s="171"/>
      <c r="AL117" s="171" t="s">
        <v>8006</v>
      </c>
      <c r="AM117" s="171" t="s">
        <v>8005</v>
      </c>
      <c r="AN117" s="171" t="s">
        <v>5032</v>
      </c>
      <c r="AO117" s="171"/>
      <c r="AP117" s="171"/>
      <c r="AQ117" s="171" t="s">
        <v>5032</v>
      </c>
      <c r="AR117" s="171"/>
      <c r="AS117" s="171"/>
      <c r="AT117" s="171"/>
      <c r="AU117" s="171"/>
      <c r="AV117" s="171"/>
      <c r="AW117" s="171"/>
      <c r="AX117" s="171"/>
      <c r="AY117" s="171"/>
      <c r="AZ117" s="171"/>
      <c r="BA117" s="171"/>
      <c r="BB117" s="171"/>
      <c r="BC117" s="171"/>
      <c r="BD117" s="171"/>
      <c r="BE117" s="171"/>
      <c r="BF117" s="225"/>
      <c r="BG117" s="171"/>
      <c r="BH117" s="171"/>
      <c r="BI117" s="171"/>
      <c r="BJ117" s="171"/>
      <c r="BK117" s="171"/>
      <c r="BL117" s="171"/>
      <c r="BM117" s="171"/>
      <c r="BN117" s="171"/>
      <c r="BO117" s="171"/>
      <c r="BP117" s="171"/>
      <c r="BQ117" s="171"/>
      <c r="BR117" s="171"/>
      <c r="BS117" s="171"/>
      <c r="BT117" s="171"/>
      <c r="BU117" s="171"/>
      <c r="BV117" s="171"/>
      <c r="BW117" s="171"/>
      <c r="BX117" s="171"/>
      <c r="BY117" s="171"/>
      <c r="BZ117" s="171"/>
      <c r="CA117" s="171"/>
      <c r="CB117" s="171"/>
      <c r="CC117" s="171"/>
      <c r="CD117" s="171"/>
      <c r="CE117" s="171"/>
      <c r="CF117" s="171"/>
      <c r="CG117" s="171"/>
      <c r="CH117" s="171"/>
      <c r="CI117" s="171"/>
      <c r="CJ117" s="171"/>
      <c r="CK117" s="171"/>
      <c r="CL117" s="171"/>
    </row>
    <row r="118" spans="1:91">
      <c r="A118" s="171">
        <v>279</v>
      </c>
      <c r="B118" s="171" t="s">
        <v>954</v>
      </c>
      <c r="C118" s="171">
        <v>267</v>
      </c>
      <c r="D118" s="171" t="str">
        <f t="shared" si="37"/>
        <v/>
      </c>
      <c r="E118" s="171" t="s">
        <v>7228</v>
      </c>
      <c r="F118" s="174">
        <v>45477</v>
      </c>
      <c r="G118" s="171" t="s">
        <v>7223</v>
      </c>
      <c r="H118" s="173">
        <v>1154.5</v>
      </c>
      <c r="I118" s="171"/>
      <c r="J118" s="171" t="s">
        <v>4190</v>
      </c>
      <c r="K118" s="171" t="s">
        <v>73</v>
      </c>
      <c r="L118" s="171" t="s">
        <v>1994</v>
      </c>
      <c r="M118" s="171" t="s">
        <v>5032</v>
      </c>
      <c r="N118" s="171"/>
      <c r="O118" s="171"/>
      <c r="P118" s="171" t="s">
        <v>5032</v>
      </c>
      <c r="Q118" s="171"/>
      <c r="R118" s="171"/>
      <c r="S118" s="171"/>
      <c r="T118" s="171"/>
      <c r="U118" s="171"/>
      <c r="V118" s="175"/>
      <c r="W118" s="171"/>
      <c r="X118" s="171" t="s">
        <v>4519</v>
      </c>
      <c r="Y118" s="171" t="s">
        <v>5131</v>
      </c>
      <c r="Z118" s="171" t="s">
        <v>7225</v>
      </c>
      <c r="AA118" s="171" t="s">
        <v>4519</v>
      </c>
      <c r="AB118" s="171">
        <v>2060</v>
      </c>
      <c r="AC118" s="171">
        <v>2021</v>
      </c>
      <c r="AD118" s="171"/>
      <c r="AE118" s="171"/>
      <c r="AF118" s="171"/>
      <c r="AG118" s="171"/>
      <c r="AH118" s="171"/>
      <c r="AI118" s="171"/>
      <c r="AJ118" s="171"/>
      <c r="AK118" s="171"/>
      <c r="AL118" s="171" t="s">
        <v>8004</v>
      </c>
      <c r="AM118" s="171"/>
      <c r="AN118" s="171" t="s">
        <v>5032</v>
      </c>
      <c r="AO118" s="171"/>
      <c r="AP118" s="171"/>
      <c r="AQ118" s="171" t="s">
        <v>5032</v>
      </c>
      <c r="AR118" s="171"/>
      <c r="AS118" s="171"/>
      <c r="AT118" s="171"/>
      <c r="AU118" s="171"/>
      <c r="AV118" s="171"/>
      <c r="AW118" s="171"/>
      <c r="AX118" s="171"/>
      <c r="AY118" s="171"/>
      <c r="AZ118" s="171"/>
      <c r="BA118" s="171"/>
      <c r="BB118" s="171"/>
      <c r="BC118" s="171"/>
      <c r="BD118" s="171"/>
      <c r="BE118" s="171"/>
      <c r="BF118" s="225"/>
      <c r="BG118" s="171"/>
      <c r="BH118" s="171"/>
      <c r="BI118" s="171"/>
      <c r="BJ118" s="171"/>
      <c r="BK118" s="171"/>
      <c r="BL118" s="171"/>
      <c r="BM118" s="171"/>
      <c r="BN118" s="171"/>
      <c r="BO118" s="171"/>
      <c r="BP118" s="171"/>
      <c r="BQ118" s="171"/>
      <c r="BR118" s="171"/>
      <c r="BS118" s="171"/>
      <c r="BT118" s="171"/>
      <c r="BU118" s="171"/>
      <c r="BV118" s="171"/>
      <c r="BW118" s="171"/>
      <c r="BX118" s="171"/>
      <c r="BY118" s="171"/>
      <c r="BZ118" s="171"/>
      <c r="CA118" s="171"/>
      <c r="CB118" s="171"/>
      <c r="CC118" s="171"/>
      <c r="CD118" s="171"/>
      <c r="CE118" s="171"/>
      <c r="CF118" s="171"/>
      <c r="CG118" s="171"/>
      <c r="CH118" s="171"/>
      <c r="CI118" s="171"/>
      <c r="CJ118" s="171"/>
      <c r="CK118" s="171"/>
      <c r="CL118" s="171"/>
    </row>
    <row r="119" spans="1:91">
      <c r="A119" s="171">
        <v>206</v>
      </c>
      <c r="B119" s="171" t="s">
        <v>974</v>
      </c>
      <c r="C119" s="171">
        <v>173</v>
      </c>
      <c r="D119" s="171" t="str">
        <f t="shared" si="37"/>
        <v/>
      </c>
      <c r="E119" s="171" t="s">
        <v>7223</v>
      </c>
      <c r="F119" s="174">
        <v>45476</v>
      </c>
      <c r="G119" s="171" t="s">
        <v>7220</v>
      </c>
      <c r="H119" s="173">
        <v>1718.1</v>
      </c>
      <c r="I119" s="171"/>
      <c r="J119" s="171" t="s">
        <v>976</v>
      </c>
      <c r="K119" s="171" t="s">
        <v>73</v>
      </c>
      <c r="L119" s="171" t="s">
        <v>1994</v>
      </c>
      <c r="M119" s="171" t="s">
        <v>5032</v>
      </c>
      <c r="N119" s="171"/>
      <c r="O119" s="171"/>
      <c r="P119" s="171" t="s">
        <v>5032</v>
      </c>
      <c r="Q119" s="171"/>
      <c r="R119" s="171"/>
      <c r="S119" s="171"/>
      <c r="T119" s="171"/>
      <c r="U119" s="171"/>
      <c r="V119" s="175"/>
      <c r="W119" s="171"/>
      <c r="X119" s="171" t="s">
        <v>4519</v>
      </c>
      <c r="Y119" s="171" t="s">
        <v>5131</v>
      </c>
      <c r="Z119" s="171" t="s">
        <v>3283</v>
      </c>
      <c r="AA119" s="171" t="s">
        <v>4519</v>
      </c>
      <c r="AB119" s="171">
        <v>2060</v>
      </c>
      <c r="AC119" s="171">
        <v>2021</v>
      </c>
      <c r="AD119" s="171"/>
      <c r="AE119" s="171"/>
      <c r="AF119" s="171"/>
      <c r="AG119" s="171"/>
      <c r="AH119" s="171"/>
      <c r="AI119" s="171"/>
      <c r="AJ119" s="171"/>
      <c r="AK119" s="171"/>
      <c r="AL119" s="171" t="s">
        <v>8003</v>
      </c>
      <c r="AM119" s="171"/>
      <c r="AN119" s="171" t="s">
        <v>5032</v>
      </c>
      <c r="AO119" s="171"/>
      <c r="AP119" s="171"/>
      <c r="AQ119" s="171" t="s">
        <v>5032</v>
      </c>
      <c r="AR119" s="171"/>
      <c r="AS119" s="171"/>
      <c r="AT119" s="171"/>
      <c r="AU119" s="171"/>
      <c r="AV119" s="171"/>
      <c r="AW119" s="171"/>
      <c r="AX119" s="171"/>
      <c r="AY119" s="171"/>
      <c r="AZ119" s="171"/>
      <c r="BA119" s="171"/>
      <c r="BB119" s="171"/>
      <c r="BC119" s="171"/>
      <c r="BD119" s="171" t="s">
        <v>2082</v>
      </c>
      <c r="BE119" s="171"/>
      <c r="BF119" s="225" t="s">
        <v>2082</v>
      </c>
      <c r="BG119" s="171"/>
      <c r="BH119" s="171"/>
      <c r="BI119" s="171"/>
      <c r="BJ119" s="171"/>
      <c r="BK119" s="171"/>
      <c r="BL119" s="171"/>
      <c r="BM119" s="171"/>
      <c r="BN119" s="171"/>
      <c r="BO119" s="171"/>
      <c r="BP119" s="171"/>
      <c r="BQ119" s="171"/>
      <c r="BR119" s="171"/>
      <c r="BS119" s="171"/>
      <c r="BT119" s="171"/>
      <c r="BU119" s="171"/>
      <c r="BV119" s="171"/>
      <c r="BW119" s="171"/>
      <c r="BX119" s="171"/>
      <c r="BY119" s="171"/>
      <c r="BZ119" s="171"/>
      <c r="CA119" s="171"/>
      <c r="CB119" s="171"/>
      <c r="CC119" s="171"/>
      <c r="CD119" s="171"/>
      <c r="CE119" s="171"/>
      <c r="CF119" s="171"/>
      <c r="CG119" s="171"/>
      <c r="CH119" s="171"/>
      <c r="CI119" s="171"/>
      <c r="CJ119" s="171"/>
      <c r="CK119" s="171"/>
      <c r="CL119" s="171"/>
    </row>
    <row r="120" spans="1:91">
      <c r="A120" s="171">
        <v>119</v>
      </c>
      <c r="B120" s="171" t="s">
        <v>1203</v>
      </c>
      <c r="C120" s="171">
        <v>143</v>
      </c>
      <c r="D120" s="171" t="str">
        <f t="shared" si="37"/>
        <v/>
      </c>
      <c r="E120" s="171" t="s">
        <v>7220</v>
      </c>
      <c r="F120" s="174">
        <v>45476</v>
      </c>
      <c r="G120" s="171" t="s">
        <v>7223</v>
      </c>
      <c r="H120" s="173">
        <v>6815</v>
      </c>
      <c r="I120" s="171"/>
      <c r="J120" s="171" t="s">
        <v>4643</v>
      </c>
      <c r="K120" s="171" t="s">
        <v>63</v>
      </c>
      <c r="L120" s="171" t="s">
        <v>1951</v>
      </c>
      <c r="M120" s="171" t="s">
        <v>5032</v>
      </c>
      <c r="N120" s="171"/>
      <c r="O120" s="171"/>
      <c r="P120" s="171" t="s">
        <v>5032</v>
      </c>
      <c r="Q120" s="171"/>
      <c r="R120" s="171"/>
      <c r="S120" s="171"/>
      <c r="T120" s="171"/>
      <c r="U120" s="171"/>
      <c r="V120" s="175"/>
      <c r="W120" s="171"/>
      <c r="X120" s="171" t="s">
        <v>5032</v>
      </c>
      <c r="Y120" s="171"/>
      <c r="Z120" s="171"/>
      <c r="AA120" s="171" t="s">
        <v>5032</v>
      </c>
      <c r="AB120" s="171"/>
      <c r="AC120" s="171"/>
      <c r="AD120" s="171"/>
      <c r="AE120" s="171"/>
      <c r="AF120" s="171"/>
      <c r="AG120" s="171"/>
      <c r="AH120" s="171"/>
      <c r="AI120" s="171"/>
      <c r="AJ120" s="171"/>
      <c r="AK120" s="171"/>
      <c r="AL120" s="171"/>
      <c r="AM120" s="171"/>
      <c r="AN120" s="171" t="s">
        <v>5032</v>
      </c>
      <c r="AO120" s="171"/>
      <c r="AP120" s="171"/>
      <c r="AQ120" s="171" t="s">
        <v>5032</v>
      </c>
      <c r="AR120" s="171"/>
      <c r="AS120" s="171"/>
      <c r="AT120" s="171"/>
      <c r="AU120" s="171"/>
      <c r="AV120" s="171"/>
      <c r="AW120" s="171"/>
      <c r="AX120" s="171"/>
      <c r="AY120" s="171"/>
      <c r="AZ120" s="171"/>
      <c r="BA120" s="171"/>
      <c r="BB120" s="171"/>
      <c r="BC120" s="171"/>
      <c r="BD120" s="171"/>
      <c r="BE120" s="171"/>
      <c r="BF120" s="225"/>
      <c r="BG120" s="171"/>
      <c r="BH120" s="171"/>
      <c r="BI120" s="171"/>
      <c r="BJ120" s="171"/>
      <c r="BK120" s="171"/>
      <c r="BL120" s="171"/>
      <c r="BM120" s="171"/>
      <c r="BN120" s="171"/>
      <c r="BO120" s="171"/>
      <c r="BP120" s="171"/>
      <c r="BQ120" s="171"/>
      <c r="BR120" s="171"/>
      <c r="BS120" s="171"/>
      <c r="BT120" s="171"/>
      <c r="BU120" s="171"/>
      <c r="BV120" s="171"/>
      <c r="BW120" s="171"/>
      <c r="BX120" s="171"/>
      <c r="BY120" s="171"/>
      <c r="BZ120" s="171"/>
      <c r="CA120" s="171"/>
      <c r="CB120" s="171"/>
      <c r="CC120" s="171"/>
      <c r="CD120" s="171"/>
      <c r="CE120" s="171"/>
      <c r="CF120" s="171"/>
      <c r="CG120" s="171"/>
      <c r="CH120" s="171"/>
      <c r="CI120" s="171"/>
      <c r="CJ120" s="171"/>
      <c r="CK120" s="171"/>
      <c r="CL120" s="171"/>
    </row>
    <row r="121" spans="1:91">
      <c r="A121" s="171">
        <v>335</v>
      </c>
      <c r="B121" s="171" t="s">
        <v>558</v>
      </c>
      <c r="C121" s="171">
        <v>298</v>
      </c>
      <c r="D121" s="171" t="str">
        <f t="shared" si="37"/>
        <v/>
      </c>
      <c r="E121" s="171" t="s">
        <v>7220</v>
      </c>
      <c r="F121" s="174">
        <v>45478</v>
      </c>
      <c r="G121" s="171" t="s">
        <v>7223</v>
      </c>
      <c r="H121" s="173">
        <v>1900.4</v>
      </c>
      <c r="I121" s="171"/>
      <c r="J121" s="171" t="s">
        <v>4455</v>
      </c>
      <c r="K121" s="171" t="s">
        <v>4457</v>
      </c>
      <c r="L121" s="171" t="s">
        <v>2029</v>
      </c>
      <c r="M121" s="171" t="s">
        <v>5032</v>
      </c>
      <c r="N121" s="171"/>
      <c r="O121" s="171"/>
      <c r="P121" s="171" t="s">
        <v>5032</v>
      </c>
      <c r="Q121" s="171"/>
      <c r="R121" s="171"/>
      <c r="S121" s="171"/>
      <c r="T121" s="171"/>
      <c r="U121" s="171"/>
      <c r="V121" s="175"/>
      <c r="W121" s="171"/>
      <c r="X121" s="171" t="s">
        <v>5032</v>
      </c>
      <c r="Y121" s="171"/>
      <c r="Z121" s="171"/>
      <c r="AA121" s="171" t="s">
        <v>5032</v>
      </c>
      <c r="AB121" s="171"/>
      <c r="AC121" s="171"/>
      <c r="AD121" s="171"/>
      <c r="AE121" s="171"/>
      <c r="AF121" s="171"/>
      <c r="AG121" s="171"/>
      <c r="AH121" s="171"/>
      <c r="AI121" s="171"/>
      <c r="AJ121" s="171"/>
      <c r="AK121" s="171"/>
      <c r="AL121" s="171"/>
      <c r="AM121" s="171"/>
      <c r="AN121" s="171" t="s">
        <v>5032</v>
      </c>
      <c r="AO121" s="171"/>
      <c r="AP121" s="171"/>
      <c r="AQ121" s="171" t="s">
        <v>5032</v>
      </c>
      <c r="AR121" s="171"/>
      <c r="AS121" s="171"/>
      <c r="AT121" s="171"/>
      <c r="AU121" s="171"/>
      <c r="AV121" s="171"/>
      <c r="AW121" s="171"/>
      <c r="AX121" s="171"/>
      <c r="AY121" s="171"/>
      <c r="AZ121" s="171"/>
      <c r="BA121" s="171"/>
      <c r="BB121" s="171"/>
      <c r="BC121" s="171"/>
      <c r="BD121" s="171"/>
      <c r="BE121" s="171"/>
      <c r="BF121" s="225"/>
      <c r="BG121" s="171"/>
      <c r="BH121" s="171"/>
      <c r="BI121" s="171"/>
      <c r="BJ121" s="171"/>
      <c r="BK121" s="171"/>
      <c r="BL121" s="171"/>
      <c r="BM121" s="171"/>
      <c r="BN121" s="171"/>
      <c r="BO121" s="171"/>
      <c r="BP121" s="171"/>
      <c r="BQ121" s="171"/>
      <c r="BR121" s="171"/>
      <c r="BS121" s="171"/>
      <c r="BT121" s="171"/>
      <c r="BU121" s="171"/>
      <c r="BV121" s="171"/>
      <c r="BW121" s="171"/>
      <c r="BX121" s="171"/>
      <c r="BY121" s="171"/>
      <c r="BZ121" s="171"/>
      <c r="CA121" s="171"/>
      <c r="CB121" s="171"/>
      <c r="CC121" s="171"/>
      <c r="CD121" s="171"/>
      <c r="CE121" s="171"/>
      <c r="CF121" s="171"/>
      <c r="CG121" s="171"/>
      <c r="CH121" s="171"/>
      <c r="CI121" s="171"/>
      <c r="CJ121" s="171"/>
      <c r="CK121" s="171"/>
      <c r="CL121" s="171"/>
    </row>
    <row r="122" spans="1:91">
      <c r="A122" s="171">
        <v>302</v>
      </c>
      <c r="B122" s="171" t="s">
        <v>561</v>
      </c>
      <c r="C122" s="171">
        <v>342</v>
      </c>
      <c r="D122" s="171" t="str">
        <f t="shared" si="37"/>
        <v/>
      </c>
      <c r="E122" s="171" t="s">
        <v>7228</v>
      </c>
      <c r="F122" s="174">
        <v>45482</v>
      </c>
      <c r="G122" s="171" t="s">
        <v>7220</v>
      </c>
      <c r="H122" s="173">
        <v>9028</v>
      </c>
      <c r="I122" s="171"/>
      <c r="J122" s="171" t="s">
        <v>4465</v>
      </c>
      <c r="K122" s="171" t="s">
        <v>287</v>
      </c>
      <c r="L122" s="171" t="s">
        <v>1951</v>
      </c>
      <c r="M122" s="171" t="s">
        <v>5032</v>
      </c>
      <c r="N122" s="171"/>
      <c r="O122" s="171"/>
      <c r="P122" s="171" t="s">
        <v>5032</v>
      </c>
      <c r="Q122" s="171"/>
      <c r="R122" s="171"/>
      <c r="S122" s="171"/>
      <c r="T122" s="171"/>
      <c r="U122" s="171"/>
      <c r="V122" s="175"/>
      <c r="W122" s="171"/>
      <c r="X122" s="171" t="s">
        <v>5032</v>
      </c>
      <c r="Y122" s="171"/>
      <c r="Z122" s="171"/>
      <c r="AA122" s="171" t="s">
        <v>5032</v>
      </c>
      <c r="AB122" s="171"/>
      <c r="AC122" s="171"/>
      <c r="AD122" s="171"/>
      <c r="AE122" s="171"/>
      <c r="AF122" s="171"/>
      <c r="AG122" s="171"/>
      <c r="AH122" s="171"/>
      <c r="AI122" s="171"/>
      <c r="AJ122" s="171"/>
      <c r="AK122" s="171"/>
      <c r="AL122" s="171"/>
      <c r="AM122" s="171"/>
      <c r="AN122" s="171" t="s">
        <v>5032</v>
      </c>
      <c r="AO122" s="171"/>
      <c r="AP122" s="171"/>
      <c r="AQ122" s="171" t="s">
        <v>5032</v>
      </c>
      <c r="AR122" s="171"/>
      <c r="AS122" s="171"/>
      <c r="AT122" s="171"/>
      <c r="AU122" s="171"/>
      <c r="AV122" s="171"/>
      <c r="AW122" s="171"/>
      <c r="AX122" s="171"/>
      <c r="AY122" s="171"/>
      <c r="AZ122" s="171"/>
      <c r="BA122" s="171"/>
      <c r="BB122" s="171"/>
      <c r="BC122" s="171"/>
      <c r="BD122" s="171" t="s">
        <v>4172</v>
      </c>
      <c r="BE122" s="171" t="s">
        <v>8002</v>
      </c>
      <c r="BF122" s="225"/>
      <c r="BG122" s="171"/>
      <c r="BH122" s="171"/>
      <c r="BI122" s="171"/>
      <c r="BJ122" s="171"/>
      <c r="BK122" s="171"/>
      <c r="BL122" s="171"/>
      <c r="BM122" s="171"/>
      <c r="BN122" s="171"/>
      <c r="BO122" s="171"/>
      <c r="BP122" s="171"/>
      <c r="BQ122" s="171"/>
      <c r="BR122" s="171"/>
      <c r="BS122" s="171"/>
      <c r="BT122" s="171"/>
      <c r="BU122" s="171"/>
      <c r="BV122" s="171"/>
      <c r="BW122" s="171"/>
      <c r="BX122" s="171"/>
      <c r="BY122" s="171"/>
      <c r="BZ122" s="171"/>
      <c r="CA122" s="171"/>
      <c r="CB122" s="171"/>
      <c r="CC122" s="171"/>
      <c r="CD122" s="171"/>
      <c r="CE122" s="171"/>
      <c r="CF122" s="171"/>
      <c r="CG122" s="171"/>
      <c r="CH122" s="171"/>
      <c r="CI122" s="171"/>
      <c r="CJ122" s="171"/>
      <c r="CK122" s="171"/>
      <c r="CL122" s="171"/>
    </row>
    <row r="123" spans="1:91">
      <c r="A123" s="171">
        <v>33</v>
      </c>
      <c r="B123" s="171" t="s">
        <v>1065</v>
      </c>
      <c r="C123" s="171">
        <v>35</v>
      </c>
      <c r="D123" s="171" t="str">
        <f t="shared" si="37"/>
        <v>CN SBT RE100</v>
      </c>
      <c r="E123" s="171" t="s">
        <v>7228</v>
      </c>
      <c r="F123" s="174">
        <v>45474</v>
      </c>
      <c r="G123" s="171" t="s">
        <v>7220</v>
      </c>
      <c r="H123" s="173">
        <v>5164</v>
      </c>
      <c r="I123" s="171"/>
      <c r="J123" s="171" t="s">
        <v>4201</v>
      </c>
      <c r="K123" s="171" t="s">
        <v>4457</v>
      </c>
      <c r="L123" s="171" t="s">
        <v>2029</v>
      </c>
      <c r="M123" s="171" t="s">
        <v>4174</v>
      </c>
      <c r="N123" s="171">
        <v>2022</v>
      </c>
      <c r="O123" s="171">
        <v>2030</v>
      </c>
      <c r="P123" s="171" t="s">
        <v>5032</v>
      </c>
      <c r="Q123" s="171" t="s">
        <v>165</v>
      </c>
      <c r="R123" s="171"/>
      <c r="S123" s="171">
        <v>2030</v>
      </c>
      <c r="T123" s="171" t="s">
        <v>1</v>
      </c>
      <c r="U123" s="171"/>
      <c r="V123" s="172">
        <v>45413</v>
      </c>
      <c r="W123" s="171">
        <v>2024</v>
      </c>
      <c r="X123" s="171" t="s">
        <v>1957</v>
      </c>
      <c r="Y123" s="171" t="s">
        <v>8001</v>
      </c>
      <c r="Z123" s="171" t="s">
        <v>7533</v>
      </c>
      <c r="AA123" s="171" t="s">
        <v>1957</v>
      </c>
      <c r="AB123" s="171">
        <v>2040</v>
      </c>
      <c r="AC123" s="171">
        <v>2021</v>
      </c>
      <c r="AD123" s="171"/>
      <c r="AE123" s="171"/>
      <c r="AF123" s="171"/>
      <c r="AG123" s="171" t="s">
        <v>4174</v>
      </c>
      <c r="AH123" s="171">
        <v>2023</v>
      </c>
      <c r="AI123" s="171" t="s">
        <v>4174</v>
      </c>
      <c r="AJ123" s="171" t="s">
        <v>8000</v>
      </c>
      <c r="AK123" s="171"/>
      <c r="AL123" s="171" t="s">
        <v>8000</v>
      </c>
      <c r="AM123" s="171" t="s">
        <v>7999</v>
      </c>
      <c r="AN123" s="171" t="s">
        <v>5032</v>
      </c>
      <c r="AO123" s="171"/>
      <c r="AP123" s="171"/>
      <c r="AQ123" s="171" t="s">
        <v>5032</v>
      </c>
      <c r="AR123" s="171"/>
      <c r="AS123" s="171"/>
      <c r="AT123" s="171"/>
      <c r="AU123" s="171"/>
      <c r="AV123" s="171"/>
      <c r="AW123" s="171"/>
      <c r="AX123" s="171"/>
      <c r="AY123" s="171"/>
      <c r="AZ123" s="171"/>
      <c r="BA123" s="171"/>
      <c r="BB123" s="171"/>
      <c r="BC123" s="171"/>
      <c r="BD123" s="171"/>
      <c r="BE123" s="171"/>
      <c r="BF123" s="225"/>
      <c r="BG123" s="171"/>
      <c r="BH123" s="171"/>
      <c r="BI123" s="171"/>
      <c r="BJ123" s="171"/>
      <c r="BK123" s="171"/>
      <c r="BL123" s="171">
        <v>1</v>
      </c>
      <c r="BM123" s="171">
        <v>1</v>
      </c>
      <c r="BN123" s="171"/>
      <c r="BO123" s="171"/>
      <c r="BP123" s="171"/>
      <c r="BQ123" s="171"/>
      <c r="BR123" s="171"/>
      <c r="BS123" s="171">
        <v>1</v>
      </c>
      <c r="BT123" s="171"/>
      <c r="BU123" s="171">
        <v>1</v>
      </c>
      <c r="BV123" s="171"/>
      <c r="BW123" s="171">
        <v>1</v>
      </c>
      <c r="BX123" s="171"/>
      <c r="BY123" s="171">
        <v>1</v>
      </c>
      <c r="BZ123" s="171">
        <v>1</v>
      </c>
      <c r="CA123" s="171"/>
      <c r="CB123" s="171">
        <v>1</v>
      </c>
      <c r="CC123" s="171">
        <v>1</v>
      </c>
      <c r="CD123" s="171"/>
      <c r="CE123" s="171">
        <v>1</v>
      </c>
      <c r="CF123" s="171"/>
      <c r="CG123" s="171">
        <v>1</v>
      </c>
      <c r="CH123" s="171">
        <v>1</v>
      </c>
      <c r="CI123" s="171"/>
      <c r="CJ123" s="171"/>
      <c r="CK123" s="171"/>
      <c r="CL123" s="171"/>
    </row>
    <row r="124" spans="1:91">
      <c r="A124" s="171">
        <v>246</v>
      </c>
      <c r="B124" s="171" t="s">
        <v>1078</v>
      </c>
      <c r="C124" s="171">
        <v>274</v>
      </c>
      <c r="D124" s="171" t="str">
        <f t="shared" si="37"/>
        <v xml:space="preserve"> NZ SBT RE100</v>
      </c>
      <c r="E124" s="171" t="s">
        <v>7228</v>
      </c>
      <c r="F124" s="174">
        <v>45477</v>
      </c>
      <c r="G124" s="171" t="s">
        <v>7223</v>
      </c>
      <c r="H124" s="173">
        <v>12613</v>
      </c>
      <c r="I124" s="171"/>
      <c r="J124" s="171" t="s">
        <v>4190</v>
      </c>
      <c r="K124" s="171" t="s">
        <v>4457</v>
      </c>
      <c r="L124" s="171" t="s">
        <v>2029</v>
      </c>
      <c r="M124" s="171" t="s">
        <v>4174</v>
      </c>
      <c r="N124" s="171">
        <v>2023</v>
      </c>
      <c r="O124" s="171">
        <v>2030</v>
      </c>
      <c r="P124" s="171" t="s">
        <v>4174</v>
      </c>
      <c r="Q124" s="171" t="s">
        <v>22</v>
      </c>
      <c r="R124" s="171" t="s">
        <v>7233</v>
      </c>
      <c r="S124" s="171">
        <v>2030</v>
      </c>
      <c r="T124" s="171" t="s">
        <v>361</v>
      </c>
      <c r="U124" s="171">
        <v>2040</v>
      </c>
      <c r="V124" s="172">
        <v>44743</v>
      </c>
      <c r="W124" s="171">
        <v>2022</v>
      </c>
      <c r="X124" s="171" t="s">
        <v>5032</v>
      </c>
      <c r="Y124" s="171"/>
      <c r="Z124" s="171"/>
      <c r="AA124" s="171" t="s">
        <v>5032</v>
      </c>
      <c r="AB124" s="171"/>
      <c r="AC124" s="171"/>
      <c r="AD124" s="171"/>
      <c r="AE124" s="171"/>
      <c r="AF124" s="171"/>
      <c r="AG124" s="171"/>
      <c r="AH124" s="171"/>
      <c r="AI124" s="171"/>
      <c r="AJ124" s="171"/>
      <c r="AK124" s="171"/>
      <c r="AL124" s="171"/>
      <c r="AM124" s="171"/>
      <c r="AN124" s="171" t="s">
        <v>4172</v>
      </c>
      <c r="AO124" s="171" t="s">
        <v>2760</v>
      </c>
      <c r="AP124" s="171" t="s">
        <v>2072</v>
      </c>
      <c r="AQ124" s="171" t="s">
        <v>4172</v>
      </c>
      <c r="AR124" s="171">
        <v>2040</v>
      </c>
      <c r="AS124" s="171">
        <v>2021</v>
      </c>
      <c r="AT124" s="171"/>
      <c r="AU124" s="171"/>
      <c r="AV124" s="171"/>
      <c r="AW124" s="171" t="s">
        <v>2082</v>
      </c>
      <c r="AX124" s="171" t="s">
        <v>7998</v>
      </c>
      <c r="AY124" s="171"/>
      <c r="AZ124" s="171"/>
      <c r="BA124" s="171"/>
      <c r="BB124" s="171"/>
      <c r="BC124" s="171"/>
      <c r="BD124" s="171"/>
      <c r="BE124" s="171"/>
      <c r="BF124" s="225"/>
      <c r="BG124" s="171"/>
      <c r="BH124" s="171"/>
      <c r="BI124" s="171"/>
      <c r="BJ124" s="171"/>
      <c r="BK124" s="171"/>
      <c r="BL124" s="171"/>
      <c r="BM124" s="171"/>
      <c r="BN124" s="171"/>
      <c r="BO124" s="171"/>
      <c r="BP124" s="171">
        <v>1</v>
      </c>
      <c r="BQ124" s="171">
        <v>1</v>
      </c>
      <c r="BR124" s="171"/>
      <c r="BS124" s="171">
        <v>1</v>
      </c>
      <c r="BT124" s="171"/>
      <c r="BU124" s="171">
        <v>1</v>
      </c>
      <c r="BV124" s="171"/>
      <c r="BW124" s="171">
        <v>1</v>
      </c>
      <c r="BX124" s="171"/>
      <c r="BY124" s="171">
        <v>1</v>
      </c>
      <c r="BZ124" s="171">
        <v>1</v>
      </c>
      <c r="CA124" s="171"/>
      <c r="CB124" s="171">
        <v>1</v>
      </c>
      <c r="CC124" s="171"/>
      <c r="CD124" s="171"/>
      <c r="CE124" s="171">
        <v>1</v>
      </c>
      <c r="CF124" s="171"/>
      <c r="CG124" s="171">
        <v>1</v>
      </c>
      <c r="CH124" s="171">
        <v>1</v>
      </c>
      <c r="CI124" s="171"/>
      <c r="CJ124" s="171"/>
      <c r="CK124" s="171">
        <v>1</v>
      </c>
      <c r="CL124" s="171">
        <v>1</v>
      </c>
      <c r="CM124">
        <f t="shared" si="38"/>
        <v>2040</v>
      </c>
    </row>
    <row r="125" spans="1:91">
      <c r="A125" s="171">
        <v>71</v>
      </c>
      <c r="B125" s="171" t="s">
        <v>1373</v>
      </c>
      <c r="C125" s="171">
        <v>100</v>
      </c>
      <c r="D125" s="171" t="str">
        <f t="shared" si="37"/>
        <v/>
      </c>
      <c r="E125" s="171" t="s">
        <v>7228</v>
      </c>
      <c r="F125" s="174">
        <v>45475</v>
      </c>
      <c r="G125" s="171" t="s">
        <v>7220</v>
      </c>
      <c r="H125" s="173">
        <v>4124.6000000000004</v>
      </c>
      <c r="I125" s="171"/>
      <c r="J125" s="171" t="s">
        <v>4465</v>
      </c>
      <c r="K125" s="171" t="s">
        <v>73</v>
      </c>
      <c r="L125" s="171" t="s">
        <v>1994</v>
      </c>
      <c r="M125" s="171" t="s">
        <v>5032</v>
      </c>
      <c r="N125" s="171"/>
      <c r="O125" s="171"/>
      <c r="P125" s="171" t="s">
        <v>5032</v>
      </c>
      <c r="Q125" s="171"/>
      <c r="R125" s="171"/>
      <c r="S125" s="171"/>
      <c r="T125" s="171"/>
      <c r="U125" s="171"/>
      <c r="V125" s="175"/>
      <c r="W125" s="171"/>
      <c r="X125" s="171" t="s">
        <v>4519</v>
      </c>
      <c r="Y125" s="171" t="s">
        <v>5131</v>
      </c>
      <c r="Z125" s="171" t="s">
        <v>7238</v>
      </c>
      <c r="AA125" s="171" t="s">
        <v>4519</v>
      </c>
      <c r="AB125" s="171">
        <v>2060</v>
      </c>
      <c r="AC125" s="171">
        <v>2022</v>
      </c>
      <c r="AD125" s="171"/>
      <c r="AE125" s="171"/>
      <c r="AF125" s="171"/>
      <c r="AG125" s="171"/>
      <c r="AH125" s="171"/>
      <c r="AI125" s="171"/>
      <c r="AJ125" s="171"/>
      <c r="AK125" s="171"/>
      <c r="AL125" s="171" t="s">
        <v>7997</v>
      </c>
      <c r="AM125" s="171" t="s">
        <v>7996</v>
      </c>
      <c r="AN125" s="171" t="s">
        <v>5032</v>
      </c>
      <c r="AO125" s="171"/>
      <c r="AP125" s="171"/>
      <c r="AQ125" s="171" t="s">
        <v>5032</v>
      </c>
      <c r="AR125" s="171"/>
      <c r="AS125" s="171"/>
      <c r="AT125" s="171"/>
      <c r="AU125" s="171"/>
      <c r="AV125" s="171"/>
      <c r="AW125" s="171"/>
      <c r="AX125" s="171"/>
      <c r="AY125" s="171"/>
      <c r="AZ125" s="171"/>
      <c r="BA125" s="171"/>
      <c r="BB125" s="171"/>
      <c r="BC125" s="171"/>
      <c r="BD125" s="171"/>
      <c r="BE125" s="171"/>
      <c r="BF125" s="225"/>
      <c r="BG125" s="171"/>
      <c r="BH125" s="171"/>
      <c r="BI125" s="171"/>
      <c r="BJ125" s="171"/>
      <c r="BK125" s="171"/>
      <c r="BL125" s="171"/>
      <c r="BM125" s="171"/>
      <c r="BN125" s="171"/>
      <c r="BO125" s="171"/>
      <c r="BP125" s="171"/>
      <c r="BQ125" s="171"/>
      <c r="BR125" s="171"/>
      <c r="BS125" s="171"/>
      <c r="BT125" s="171"/>
      <c r="BU125" s="171"/>
      <c r="BV125" s="171"/>
      <c r="BW125" s="171"/>
      <c r="BX125" s="171"/>
      <c r="BY125" s="171"/>
      <c r="BZ125" s="171"/>
      <c r="CA125" s="171"/>
      <c r="CB125" s="171"/>
      <c r="CC125" s="171"/>
      <c r="CD125" s="171"/>
      <c r="CE125" s="171"/>
      <c r="CF125" s="171"/>
      <c r="CG125" s="171"/>
      <c r="CH125" s="171"/>
      <c r="CI125" s="171"/>
      <c r="CJ125" s="171"/>
      <c r="CK125" s="171"/>
      <c r="CL125" s="171"/>
    </row>
    <row r="126" spans="1:91">
      <c r="A126" s="171">
        <v>45</v>
      </c>
      <c r="B126" s="171" t="s">
        <v>1653</v>
      </c>
      <c r="C126" s="171">
        <v>99</v>
      </c>
      <c r="D126" s="171" t="str">
        <f t="shared" si="37"/>
        <v xml:space="preserve"> NZ</v>
      </c>
      <c r="E126" s="171" t="s">
        <v>7228</v>
      </c>
      <c r="F126" s="174">
        <v>45475</v>
      </c>
      <c r="G126" s="171" t="s">
        <v>7220</v>
      </c>
      <c r="H126" s="173">
        <v>9228</v>
      </c>
      <c r="I126" s="171"/>
      <c r="J126" s="171" t="s">
        <v>4465</v>
      </c>
      <c r="K126" s="171" t="s">
        <v>4457</v>
      </c>
      <c r="L126" s="171" t="s">
        <v>2029</v>
      </c>
      <c r="M126" s="171" t="s">
        <v>5032</v>
      </c>
      <c r="N126" s="171"/>
      <c r="O126" s="171"/>
      <c r="P126" s="171" t="s">
        <v>5032</v>
      </c>
      <c r="Q126" s="171"/>
      <c r="R126" s="171"/>
      <c r="S126" s="171"/>
      <c r="T126" s="171"/>
      <c r="U126" s="171"/>
      <c r="V126" s="175"/>
      <c r="W126" s="171"/>
      <c r="X126" s="171" t="s">
        <v>5032</v>
      </c>
      <c r="Y126" s="171"/>
      <c r="Z126" s="171"/>
      <c r="AA126" s="171" t="s">
        <v>5032</v>
      </c>
      <c r="AB126" s="171"/>
      <c r="AC126" s="171"/>
      <c r="AD126" s="171"/>
      <c r="AE126" s="171"/>
      <c r="AF126" s="171"/>
      <c r="AG126" s="171"/>
      <c r="AH126" s="171"/>
      <c r="AI126" s="171"/>
      <c r="AJ126" s="171"/>
      <c r="AK126" s="171"/>
      <c r="AL126" s="171" t="s">
        <v>7994</v>
      </c>
      <c r="AM126" s="171"/>
      <c r="AN126" s="171" t="s">
        <v>7218</v>
      </c>
      <c r="AO126" s="171" t="s">
        <v>7995</v>
      </c>
      <c r="AP126" s="171" t="s">
        <v>7303</v>
      </c>
      <c r="AQ126" s="171" t="s">
        <v>1957</v>
      </c>
      <c r="AR126" s="171">
        <v>2030</v>
      </c>
      <c r="AS126" s="171">
        <v>2021</v>
      </c>
      <c r="AT126" s="171" t="s">
        <v>5050</v>
      </c>
      <c r="AU126" s="171">
        <v>2050</v>
      </c>
      <c r="AV126" s="171">
        <v>2021</v>
      </c>
      <c r="AW126" s="171" t="s">
        <v>4174</v>
      </c>
      <c r="AX126" s="171" t="s">
        <v>7994</v>
      </c>
      <c r="AY126" s="171">
        <v>2023</v>
      </c>
      <c r="AZ126" s="171" t="s">
        <v>4174</v>
      </c>
      <c r="BA126" s="171" t="s">
        <v>7993</v>
      </c>
      <c r="BB126" s="171"/>
      <c r="BC126" s="171"/>
      <c r="BD126" s="171"/>
      <c r="BE126" s="171"/>
      <c r="BF126" s="225"/>
      <c r="BG126" s="171"/>
      <c r="BH126" s="171"/>
      <c r="BI126" s="171"/>
      <c r="BJ126" s="171"/>
      <c r="BK126" s="171"/>
      <c r="BL126" s="171"/>
      <c r="BM126" s="171"/>
      <c r="BN126" s="171"/>
      <c r="BO126" s="171">
        <v>1</v>
      </c>
      <c r="BP126" s="171"/>
      <c r="BQ126" s="171">
        <v>1</v>
      </c>
      <c r="BR126" s="171"/>
      <c r="BS126" s="171"/>
      <c r="BT126" s="171"/>
      <c r="BU126" s="171"/>
      <c r="BV126" s="171"/>
      <c r="BW126" s="171"/>
      <c r="BX126" s="171"/>
      <c r="BY126" s="171"/>
      <c r="BZ126" s="171">
        <v>1</v>
      </c>
      <c r="CA126" s="171">
        <v>1</v>
      </c>
      <c r="CB126" s="171">
        <v>1</v>
      </c>
      <c r="CC126" s="171">
        <v>1</v>
      </c>
      <c r="CD126" s="171"/>
      <c r="CE126" s="171">
        <v>1</v>
      </c>
      <c r="CF126" s="171"/>
      <c r="CG126" s="171">
        <v>1</v>
      </c>
      <c r="CH126" s="171">
        <v>1</v>
      </c>
      <c r="CI126" s="171"/>
      <c r="CJ126" s="171"/>
      <c r="CK126" s="171">
        <v>1</v>
      </c>
      <c r="CL126" s="171">
        <v>1</v>
      </c>
      <c r="CM126">
        <f t="shared" si="38"/>
        <v>2030</v>
      </c>
    </row>
    <row r="127" spans="1:91">
      <c r="A127" s="171">
        <v>439</v>
      </c>
      <c r="B127" s="171" t="s">
        <v>656</v>
      </c>
      <c r="C127" s="171">
        <v>453</v>
      </c>
      <c r="D127" s="171" t="str">
        <f t="shared" si="37"/>
        <v xml:space="preserve"> NZ SBT</v>
      </c>
      <c r="E127" s="171" t="s">
        <v>7223</v>
      </c>
      <c r="F127" s="174">
        <v>45512</v>
      </c>
      <c r="G127" s="171" t="s">
        <v>7223</v>
      </c>
      <c r="H127" s="173">
        <v>3001.7</v>
      </c>
      <c r="I127" s="171"/>
      <c r="J127" s="171" t="s">
        <v>4467</v>
      </c>
      <c r="K127" s="171" t="s">
        <v>4338</v>
      </c>
      <c r="L127" s="171" t="s">
        <v>1994</v>
      </c>
      <c r="M127" s="171" t="s">
        <v>5032</v>
      </c>
      <c r="N127" s="171"/>
      <c r="O127" s="171"/>
      <c r="P127" s="171" t="s">
        <v>4174</v>
      </c>
      <c r="Q127" s="171" t="s">
        <v>22</v>
      </c>
      <c r="R127" s="171" t="s">
        <v>2499</v>
      </c>
      <c r="S127" s="171">
        <v>2030</v>
      </c>
      <c r="T127" s="171" t="s">
        <v>361</v>
      </c>
      <c r="U127" s="171"/>
      <c r="V127" s="175"/>
      <c r="W127" s="171">
        <v>2021</v>
      </c>
      <c r="X127" s="171" t="s">
        <v>5032</v>
      </c>
      <c r="Y127" s="171"/>
      <c r="Z127" s="171"/>
      <c r="AA127" s="171" t="s">
        <v>5032</v>
      </c>
      <c r="AB127" s="171"/>
      <c r="AC127" s="171"/>
      <c r="AD127" s="171"/>
      <c r="AE127" s="171"/>
      <c r="AF127" s="171"/>
      <c r="AG127" s="171"/>
      <c r="AH127" s="171"/>
      <c r="AI127" s="171"/>
      <c r="AJ127" s="171"/>
      <c r="AK127" s="171"/>
      <c r="AL127" s="171"/>
      <c r="AM127" s="171"/>
      <c r="AN127" s="171" t="s">
        <v>4172</v>
      </c>
      <c r="AO127" s="171" t="s">
        <v>2760</v>
      </c>
      <c r="AP127" s="171" t="s">
        <v>7594</v>
      </c>
      <c r="AQ127" s="171" t="s">
        <v>4172</v>
      </c>
      <c r="AR127" s="171">
        <v>2050</v>
      </c>
      <c r="AS127" s="171">
        <v>2021</v>
      </c>
      <c r="AT127" s="171"/>
      <c r="AU127" s="171"/>
      <c r="AV127" s="171"/>
      <c r="AW127" s="171" t="s">
        <v>4174</v>
      </c>
      <c r="AX127" s="176" t="s">
        <v>7992</v>
      </c>
      <c r="AY127" s="171">
        <v>2023</v>
      </c>
      <c r="AZ127" s="171" t="s">
        <v>4174</v>
      </c>
      <c r="BA127" s="176" t="s">
        <v>7992</v>
      </c>
      <c r="BB127" s="171"/>
      <c r="BC127" s="171"/>
      <c r="BD127" s="171"/>
      <c r="BE127" s="171"/>
      <c r="BF127" s="225"/>
      <c r="BG127" s="171"/>
      <c r="BH127" s="171"/>
      <c r="BI127" s="171"/>
      <c r="BJ127" s="171"/>
      <c r="BK127" s="171"/>
      <c r="BL127" s="171"/>
      <c r="BM127" s="171"/>
      <c r="BN127" s="171"/>
      <c r="BO127" s="171"/>
      <c r="BP127" s="171">
        <v>1</v>
      </c>
      <c r="BQ127" s="171">
        <v>1</v>
      </c>
      <c r="BR127" s="171"/>
      <c r="BS127" s="171">
        <v>1</v>
      </c>
      <c r="BT127" s="171"/>
      <c r="BU127" s="171">
        <v>1</v>
      </c>
      <c r="BV127" s="171"/>
      <c r="BW127" s="171"/>
      <c r="BX127" s="171"/>
      <c r="BY127" s="171"/>
      <c r="BZ127" s="171">
        <v>1</v>
      </c>
      <c r="CA127" s="171"/>
      <c r="CB127" s="171">
        <v>1</v>
      </c>
      <c r="CC127" s="171">
        <v>1</v>
      </c>
      <c r="CD127" s="171"/>
      <c r="CE127" s="171">
        <v>1</v>
      </c>
      <c r="CF127" s="171"/>
      <c r="CG127" s="171">
        <v>1</v>
      </c>
      <c r="CH127" s="171">
        <v>1</v>
      </c>
      <c r="CI127" s="171"/>
      <c r="CJ127" s="171"/>
      <c r="CK127" s="171">
        <v>1</v>
      </c>
      <c r="CL127" s="171">
        <v>1</v>
      </c>
      <c r="CM127">
        <f t="shared" si="38"/>
        <v>2050</v>
      </c>
    </row>
    <row r="128" spans="1:91">
      <c r="A128" s="171">
        <v>332</v>
      </c>
      <c r="B128" s="171" t="s">
        <v>517</v>
      </c>
      <c r="C128" s="171">
        <v>344</v>
      </c>
      <c r="D128" s="171" t="str">
        <f t="shared" si="37"/>
        <v xml:space="preserve"> NZ SBT</v>
      </c>
      <c r="E128" s="171" t="s">
        <v>7228</v>
      </c>
      <c r="F128" s="174">
        <v>45482</v>
      </c>
      <c r="G128" s="171" t="s">
        <v>7220</v>
      </c>
      <c r="H128" s="173">
        <v>10714</v>
      </c>
      <c r="I128" s="171"/>
      <c r="J128" s="171" t="s">
        <v>4455</v>
      </c>
      <c r="K128" s="171" t="s">
        <v>4457</v>
      </c>
      <c r="L128" s="171" t="s">
        <v>2029</v>
      </c>
      <c r="M128" s="171" t="s">
        <v>5032</v>
      </c>
      <c r="N128" s="171"/>
      <c r="O128" s="171"/>
      <c r="P128" s="171" t="s">
        <v>4174</v>
      </c>
      <c r="Q128" s="171" t="s">
        <v>22</v>
      </c>
      <c r="R128" s="171" t="s">
        <v>7317</v>
      </c>
      <c r="S128" s="171">
        <v>2030</v>
      </c>
      <c r="T128" s="171" t="s">
        <v>1</v>
      </c>
      <c r="U128" s="171"/>
      <c r="V128" s="172">
        <v>43709</v>
      </c>
      <c r="W128" s="171">
        <v>2019</v>
      </c>
      <c r="X128" s="171" t="s">
        <v>5032</v>
      </c>
      <c r="Y128" s="171"/>
      <c r="Z128" s="171"/>
      <c r="AA128" s="171" t="s">
        <v>5032</v>
      </c>
      <c r="AB128" s="171"/>
      <c r="AC128" s="171"/>
      <c r="AD128" s="171"/>
      <c r="AE128" s="171"/>
      <c r="AF128" s="171"/>
      <c r="AG128" s="171"/>
      <c r="AH128" s="171"/>
      <c r="AI128" s="171"/>
      <c r="AJ128" s="171"/>
      <c r="AK128" s="171"/>
      <c r="AL128" s="171"/>
      <c r="AM128" s="171"/>
      <c r="AN128" s="171" t="s">
        <v>4172</v>
      </c>
      <c r="AO128" s="171" t="s">
        <v>1970</v>
      </c>
      <c r="AP128" s="171" t="s">
        <v>7303</v>
      </c>
      <c r="AQ128" s="171" t="s">
        <v>4172</v>
      </c>
      <c r="AR128" s="171">
        <v>2050</v>
      </c>
      <c r="AS128" s="171">
        <v>2021</v>
      </c>
      <c r="AT128" s="171"/>
      <c r="AU128" s="171"/>
      <c r="AV128" s="171"/>
      <c r="AW128" s="171" t="s">
        <v>4174</v>
      </c>
      <c r="AX128" s="171" t="s">
        <v>7991</v>
      </c>
      <c r="AY128" s="171"/>
      <c r="AZ128" s="171"/>
      <c r="BA128" s="171"/>
      <c r="BB128" s="171"/>
      <c r="BC128" s="171"/>
      <c r="BD128" s="171"/>
      <c r="BE128" s="171"/>
      <c r="BF128" s="225"/>
      <c r="BG128" s="171"/>
      <c r="BH128" s="171"/>
      <c r="BI128" s="171"/>
      <c r="BJ128" s="171"/>
      <c r="BK128" s="171"/>
      <c r="BL128" s="171"/>
      <c r="BM128" s="171"/>
      <c r="BN128" s="171"/>
      <c r="BO128" s="171"/>
      <c r="BP128" s="171">
        <v>1</v>
      </c>
      <c r="BQ128" s="171">
        <v>1</v>
      </c>
      <c r="BR128" s="171"/>
      <c r="BS128" s="171">
        <v>1</v>
      </c>
      <c r="BT128" s="171"/>
      <c r="BU128" s="171">
        <v>1</v>
      </c>
      <c r="BV128" s="171"/>
      <c r="BW128" s="171"/>
      <c r="BX128" s="171"/>
      <c r="BY128" s="171"/>
      <c r="BZ128" s="171">
        <v>1</v>
      </c>
      <c r="CA128" s="171"/>
      <c r="CB128" s="171">
        <v>1</v>
      </c>
      <c r="CC128" s="171">
        <v>1</v>
      </c>
      <c r="CD128" s="171"/>
      <c r="CE128" s="171">
        <v>1</v>
      </c>
      <c r="CF128" s="171"/>
      <c r="CG128" s="171">
        <v>1</v>
      </c>
      <c r="CH128" s="171">
        <v>1</v>
      </c>
      <c r="CI128" s="171"/>
      <c r="CJ128" s="171"/>
      <c r="CK128" s="171">
        <v>1</v>
      </c>
      <c r="CL128" s="171">
        <v>1</v>
      </c>
      <c r="CM128">
        <f t="shared" si="38"/>
        <v>2050</v>
      </c>
    </row>
    <row r="129" spans="1:91">
      <c r="A129" s="171">
        <v>106</v>
      </c>
      <c r="B129" s="171" t="s">
        <v>1387</v>
      </c>
      <c r="C129" s="171">
        <v>87</v>
      </c>
      <c r="D129" s="171" t="str">
        <f t="shared" si="37"/>
        <v xml:space="preserve"> SBT</v>
      </c>
      <c r="E129" s="171" t="s">
        <v>7221</v>
      </c>
      <c r="F129" s="174">
        <v>45475</v>
      </c>
      <c r="G129" s="171" t="s">
        <v>7220</v>
      </c>
      <c r="H129" s="173">
        <v>1270.3</v>
      </c>
      <c r="I129" s="171"/>
      <c r="J129" s="171" t="s">
        <v>4465</v>
      </c>
      <c r="K129" s="171" t="s">
        <v>73</v>
      </c>
      <c r="L129" s="171" t="s">
        <v>1994</v>
      </c>
      <c r="M129" s="171" t="s">
        <v>5032</v>
      </c>
      <c r="N129" s="171"/>
      <c r="O129" s="171"/>
      <c r="P129" s="171" t="s">
        <v>4174</v>
      </c>
      <c r="Q129" s="171" t="s">
        <v>22</v>
      </c>
      <c r="R129" s="171" t="s">
        <v>7233</v>
      </c>
      <c r="S129" s="171">
        <v>2033</v>
      </c>
      <c r="T129" s="171" t="s">
        <v>1</v>
      </c>
      <c r="U129" s="171"/>
      <c r="V129" s="172">
        <v>45444</v>
      </c>
      <c r="W129" s="171">
        <v>2024</v>
      </c>
      <c r="X129" s="171" t="s">
        <v>4519</v>
      </c>
      <c r="Y129" s="171" t="s">
        <v>5131</v>
      </c>
      <c r="Z129" s="171" t="s">
        <v>7225</v>
      </c>
      <c r="AA129" s="171" t="s">
        <v>4519</v>
      </c>
      <c r="AB129" s="171">
        <v>2060</v>
      </c>
      <c r="AC129" s="171">
        <v>2021</v>
      </c>
      <c r="AD129" s="171"/>
      <c r="AE129" s="171"/>
      <c r="AF129" s="171"/>
      <c r="AG129" s="171"/>
      <c r="AH129" s="171"/>
      <c r="AI129" s="171"/>
      <c r="AJ129" s="171"/>
      <c r="AK129" s="171"/>
      <c r="AL129" s="171" t="s">
        <v>6791</v>
      </c>
      <c r="AM129" s="171" t="s">
        <v>7990</v>
      </c>
      <c r="AN129" s="171" t="s">
        <v>5032</v>
      </c>
      <c r="AO129" s="171"/>
      <c r="AP129" s="171"/>
      <c r="AQ129" s="171" t="s">
        <v>5032</v>
      </c>
      <c r="AR129" s="171"/>
      <c r="AS129" s="171"/>
      <c r="AT129" s="171"/>
      <c r="AU129" s="171"/>
      <c r="AV129" s="171"/>
      <c r="AW129" s="171"/>
      <c r="AX129" s="171"/>
      <c r="AY129" s="171"/>
      <c r="AZ129" s="171"/>
      <c r="BA129" s="171"/>
      <c r="BB129" s="171"/>
      <c r="BC129" s="171"/>
      <c r="BD129" s="171"/>
      <c r="BE129" s="171"/>
      <c r="BF129" s="225"/>
      <c r="BG129" s="171"/>
      <c r="BH129" s="171"/>
      <c r="BI129" s="171"/>
      <c r="BJ129" s="171"/>
      <c r="BK129" s="171"/>
      <c r="BL129" s="171"/>
      <c r="BM129" s="171"/>
      <c r="BN129" s="171"/>
      <c r="BO129" s="171"/>
      <c r="BP129" s="171"/>
      <c r="BQ129" s="171"/>
      <c r="BR129" s="171"/>
      <c r="BS129" s="171"/>
      <c r="BT129" s="171">
        <v>1</v>
      </c>
      <c r="BU129" s="171">
        <v>1</v>
      </c>
      <c r="BV129" s="171"/>
      <c r="BW129" s="171"/>
      <c r="BX129" s="171"/>
      <c r="BY129" s="171"/>
      <c r="BZ129" s="171"/>
      <c r="CA129" s="171"/>
      <c r="CB129" s="171"/>
      <c r="CC129" s="171"/>
      <c r="CD129" s="171"/>
      <c r="CE129" s="171">
        <v>1</v>
      </c>
      <c r="CF129" s="171"/>
      <c r="CG129" s="171"/>
      <c r="CH129" s="171">
        <v>1</v>
      </c>
      <c r="CI129" s="171"/>
      <c r="CJ129" s="171"/>
      <c r="CK129" s="171"/>
      <c r="CL129" s="171"/>
    </row>
    <row r="130" spans="1:91">
      <c r="A130" s="171">
        <v>76</v>
      </c>
      <c r="B130" s="171" t="s">
        <v>1642</v>
      </c>
      <c r="C130" s="171">
        <v>77</v>
      </c>
      <c r="D130" s="171" t="str">
        <f t="shared" ref="D130:D193" si="39">CONCATENATE((IF(BM130=1, "CN", "")),(IF(BQ130=1, " NZ", "")),(IF(BU130=1, " SBT", "")),(IF(BY130=1, " RE100", "")))</f>
        <v>CN SBT</v>
      </c>
      <c r="E130" s="171" t="s">
        <v>7220</v>
      </c>
      <c r="F130" s="174">
        <v>45475</v>
      </c>
      <c r="G130" s="171" t="s">
        <v>7220</v>
      </c>
      <c r="H130" s="173">
        <v>15388</v>
      </c>
      <c r="I130" s="171"/>
      <c r="J130" s="171" t="s">
        <v>4190</v>
      </c>
      <c r="K130" s="171" t="s">
        <v>4457</v>
      </c>
      <c r="L130" s="171" t="s">
        <v>2029</v>
      </c>
      <c r="M130" s="171" t="s">
        <v>5032</v>
      </c>
      <c r="N130" s="171"/>
      <c r="O130" s="171"/>
      <c r="P130" s="171" t="s">
        <v>5032</v>
      </c>
      <c r="Q130" s="171" t="s">
        <v>165</v>
      </c>
      <c r="R130" s="171"/>
      <c r="S130" s="171">
        <v>2030</v>
      </c>
      <c r="T130" s="171" t="s">
        <v>1</v>
      </c>
      <c r="U130" s="171"/>
      <c r="V130" s="172">
        <v>44927</v>
      </c>
      <c r="W130" s="171">
        <v>2023</v>
      </c>
      <c r="X130" s="171" t="s">
        <v>1957</v>
      </c>
      <c r="Y130" s="171" t="s">
        <v>109</v>
      </c>
      <c r="Z130" s="171" t="s">
        <v>3283</v>
      </c>
      <c r="AA130" s="171" t="s">
        <v>1957</v>
      </c>
      <c r="AB130" s="171">
        <v>2035</v>
      </c>
      <c r="AC130" s="171">
        <v>2021</v>
      </c>
      <c r="AD130" s="171"/>
      <c r="AE130" s="171"/>
      <c r="AF130" s="171"/>
      <c r="AG130" s="171" t="s">
        <v>2082</v>
      </c>
      <c r="AH130" s="171"/>
      <c r="AI130" s="171" t="s">
        <v>4174</v>
      </c>
      <c r="AJ130" s="171"/>
      <c r="AK130" s="171"/>
      <c r="AL130" s="171" t="s">
        <v>7989</v>
      </c>
      <c r="AM130" s="171"/>
      <c r="AN130" s="171" t="s">
        <v>5032</v>
      </c>
      <c r="AO130" s="171"/>
      <c r="AP130" s="171"/>
      <c r="AQ130" s="171" t="s">
        <v>5032</v>
      </c>
      <c r="AR130" s="171"/>
      <c r="AS130" s="171"/>
      <c r="AT130" s="171"/>
      <c r="AU130" s="171"/>
      <c r="AV130" s="171"/>
      <c r="AW130" s="171"/>
      <c r="AX130" s="171"/>
      <c r="AY130" s="171"/>
      <c r="AZ130" s="171"/>
      <c r="BA130" s="171"/>
      <c r="BB130" s="171"/>
      <c r="BC130" s="171"/>
      <c r="BD130" s="171"/>
      <c r="BE130" s="171"/>
      <c r="BF130" s="225"/>
      <c r="BG130" s="171"/>
      <c r="BH130" s="171"/>
      <c r="BI130" s="171"/>
      <c r="BJ130" s="171"/>
      <c r="BK130" s="171"/>
      <c r="BL130" s="171">
        <v>1</v>
      </c>
      <c r="BM130" s="171">
        <v>1</v>
      </c>
      <c r="BN130" s="171"/>
      <c r="BO130" s="171"/>
      <c r="BP130" s="171"/>
      <c r="BQ130" s="171"/>
      <c r="BR130" s="171"/>
      <c r="BS130" s="171">
        <v>1</v>
      </c>
      <c r="BT130" s="171"/>
      <c r="BU130" s="171">
        <v>1</v>
      </c>
      <c r="BV130" s="171"/>
      <c r="BW130" s="171"/>
      <c r="BX130" s="171"/>
      <c r="BY130" s="171"/>
      <c r="BZ130" s="171">
        <v>1</v>
      </c>
      <c r="CA130" s="171"/>
      <c r="CB130" s="171">
        <v>1</v>
      </c>
      <c r="CC130" s="171"/>
      <c r="CD130" s="171"/>
      <c r="CE130" s="171">
        <v>1</v>
      </c>
      <c r="CF130" s="171"/>
      <c r="CG130" s="171">
        <v>1</v>
      </c>
      <c r="CH130" s="171">
        <v>1</v>
      </c>
      <c r="CI130" s="171"/>
      <c r="CJ130" s="171"/>
      <c r="CK130" s="171"/>
      <c r="CL130" s="171"/>
    </row>
    <row r="131" spans="1:91">
      <c r="A131" s="171">
        <v>484</v>
      </c>
      <c r="B131" s="171" t="s">
        <v>600</v>
      </c>
      <c r="C131" s="171"/>
      <c r="D131" s="171" t="str">
        <f t="shared" si="39"/>
        <v>CN NZ</v>
      </c>
      <c r="E131" s="171" t="s">
        <v>7223</v>
      </c>
      <c r="F131" s="174">
        <v>45512</v>
      </c>
      <c r="G131" s="185"/>
      <c r="H131" s="173">
        <v>6788.5</v>
      </c>
      <c r="I131" s="181" t="s">
        <v>795</v>
      </c>
      <c r="J131" s="171" t="s">
        <v>4465</v>
      </c>
      <c r="K131" s="171" t="s">
        <v>161</v>
      </c>
      <c r="L131" s="171" t="s">
        <v>8320</v>
      </c>
      <c r="M131" s="171" t="s">
        <v>5032</v>
      </c>
      <c r="N131" s="171"/>
      <c r="O131" s="171"/>
      <c r="P131" s="171" t="s">
        <v>5032</v>
      </c>
      <c r="Q131" s="171"/>
      <c r="R131" s="171"/>
      <c r="S131" s="171"/>
      <c r="T131" s="171"/>
      <c r="U131" s="171"/>
      <c r="V131" s="175"/>
      <c r="W131" s="171"/>
      <c r="X131" s="171" t="s">
        <v>1957</v>
      </c>
      <c r="Y131" s="171" t="s">
        <v>7988</v>
      </c>
      <c r="Z131" s="171" t="s">
        <v>3283</v>
      </c>
      <c r="AA131" s="171" t="s">
        <v>1957</v>
      </c>
      <c r="AB131" s="171">
        <v>2021</v>
      </c>
      <c r="AC131" s="171">
        <v>2021</v>
      </c>
      <c r="AD131" s="171"/>
      <c r="AE131" s="171"/>
      <c r="AF131" s="171"/>
      <c r="AG131" s="171" t="s">
        <v>4174</v>
      </c>
      <c r="AH131" s="171">
        <v>2023</v>
      </c>
      <c r="AI131" s="171" t="s">
        <v>4174</v>
      </c>
      <c r="AJ131" s="176" t="s">
        <v>7986</v>
      </c>
      <c r="AK131" s="171"/>
      <c r="AL131" s="176" t="s">
        <v>7986</v>
      </c>
      <c r="AM131" s="171"/>
      <c r="AN131" s="171" t="s">
        <v>1957</v>
      </c>
      <c r="AO131" s="171" t="s">
        <v>5131</v>
      </c>
      <c r="AP131" s="171" t="s">
        <v>2072</v>
      </c>
      <c r="AQ131" s="171" t="s">
        <v>1957</v>
      </c>
      <c r="AR131" s="171">
        <v>2050</v>
      </c>
      <c r="AS131" s="171">
        <v>2022</v>
      </c>
      <c r="AT131" s="171"/>
      <c r="AU131" s="171"/>
      <c r="AV131" s="171"/>
      <c r="AW131" s="171" t="s">
        <v>4174</v>
      </c>
      <c r="AX131" s="176" t="s">
        <v>7987</v>
      </c>
      <c r="AY131" s="171">
        <v>2023</v>
      </c>
      <c r="AZ131" s="171" t="s">
        <v>4174</v>
      </c>
      <c r="BA131" s="176" t="s">
        <v>7986</v>
      </c>
      <c r="BB131" s="171"/>
      <c r="BC131" s="171"/>
      <c r="BD131" s="171"/>
      <c r="BE131" s="171"/>
      <c r="BF131" s="225"/>
      <c r="BG131" s="171"/>
      <c r="BH131" s="171"/>
      <c r="BI131" s="171"/>
      <c r="BJ131" s="171">
        <v>1</v>
      </c>
      <c r="BK131" s="171"/>
      <c r="BL131" s="171"/>
      <c r="BM131" s="171">
        <v>1</v>
      </c>
      <c r="BN131" s="171"/>
      <c r="BO131" s="171"/>
      <c r="BP131" s="171">
        <v>1</v>
      </c>
      <c r="BQ131" s="171">
        <v>1</v>
      </c>
      <c r="BR131" s="171"/>
      <c r="BS131" s="171"/>
      <c r="BT131" s="171"/>
      <c r="BU131" s="171"/>
      <c r="BV131" s="171"/>
      <c r="BW131" s="171"/>
      <c r="BX131" s="171"/>
      <c r="BY131" s="171"/>
      <c r="BZ131" s="171">
        <v>1</v>
      </c>
      <c r="CA131" s="171">
        <v>1</v>
      </c>
      <c r="CB131" s="171">
        <v>1</v>
      </c>
      <c r="CC131" s="171">
        <v>1</v>
      </c>
      <c r="CD131" s="171"/>
      <c r="CE131" s="171">
        <v>1</v>
      </c>
      <c r="CF131" s="171">
        <v>1</v>
      </c>
      <c r="CG131" s="171">
        <v>1</v>
      </c>
      <c r="CH131" s="171">
        <v>1</v>
      </c>
      <c r="CI131" s="171"/>
      <c r="CJ131" s="171"/>
      <c r="CK131" s="171"/>
      <c r="CL131" s="171"/>
      <c r="CM131">
        <f t="shared" ref="CM131:CM194" si="40">MAX(U131,AR131)</f>
        <v>2050</v>
      </c>
    </row>
    <row r="132" spans="1:91">
      <c r="A132" s="171">
        <v>398</v>
      </c>
      <c r="B132" s="171" t="s">
        <v>477</v>
      </c>
      <c r="C132" s="171">
        <v>469</v>
      </c>
      <c r="D132" s="171" t="str">
        <f t="shared" si="39"/>
        <v>CN NZ SBT</v>
      </c>
      <c r="E132" s="171" t="s">
        <v>7223</v>
      </c>
      <c r="F132" s="174">
        <v>45511</v>
      </c>
      <c r="G132" s="171" t="s">
        <v>7223</v>
      </c>
      <c r="H132" s="173">
        <v>1609.5</v>
      </c>
      <c r="I132" s="171"/>
      <c r="J132" s="171" t="s">
        <v>4455</v>
      </c>
      <c r="K132" s="171" t="s">
        <v>4195</v>
      </c>
      <c r="L132" s="171" t="s">
        <v>1951</v>
      </c>
      <c r="M132" s="171" t="s">
        <v>5032</v>
      </c>
      <c r="N132" s="171"/>
      <c r="O132" s="171"/>
      <c r="P132" s="171" t="s">
        <v>4174</v>
      </c>
      <c r="Q132" s="171" t="s">
        <v>22</v>
      </c>
      <c r="R132" s="171" t="s">
        <v>2499</v>
      </c>
      <c r="S132" s="171">
        <v>2030</v>
      </c>
      <c r="T132" s="171" t="s">
        <v>1</v>
      </c>
      <c r="U132" s="171"/>
      <c r="V132" s="172">
        <v>44490</v>
      </c>
      <c r="W132" s="171">
        <v>2021</v>
      </c>
      <c r="X132" s="171" t="s">
        <v>1957</v>
      </c>
      <c r="Y132" s="171" t="s">
        <v>7985</v>
      </c>
      <c r="Z132" s="171" t="s">
        <v>7225</v>
      </c>
      <c r="AA132" s="171" t="s">
        <v>1957</v>
      </c>
      <c r="AB132" s="171">
        <v>2030</v>
      </c>
      <c r="AC132" s="171">
        <v>2021</v>
      </c>
      <c r="AD132" s="171"/>
      <c r="AE132" s="171"/>
      <c r="AF132" s="171"/>
      <c r="AG132" s="171" t="s">
        <v>4174</v>
      </c>
      <c r="AH132" s="171">
        <v>2023</v>
      </c>
      <c r="AI132" s="171" t="s">
        <v>4174</v>
      </c>
      <c r="AJ132" s="176" t="s">
        <v>7981</v>
      </c>
      <c r="AK132" s="171"/>
      <c r="AL132" s="176" t="s">
        <v>7982</v>
      </c>
      <c r="AM132" s="171"/>
      <c r="AN132" s="171" t="s">
        <v>4172</v>
      </c>
      <c r="AO132" s="171" t="s">
        <v>7984</v>
      </c>
      <c r="AP132" s="171" t="s">
        <v>7983</v>
      </c>
      <c r="AQ132" s="171" t="s">
        <v>4172</v>
      </c>
      <c r="AR132" s="171">
        <v>2050</v>
      </c>
      <c r="AS132" s="171">
        <v>2021</v>
      </c>
      <c r="AT132" s="171"/>
      <c r="AU132" s="171"/>
      <c r="AV132" s="171"/>
      <c r="AW132" s="171" t="s">
        <v>4174</v>
      </c>
      <c r="AX132" s="176" t="s">
        <v>7982</v>
      </c>
      <c r="AY132" s="171">
        <v>2023</v>
      </c>
      <c r="AZ132" s="171" t="s">
        <v>4174</v>
      </c>
      <c r="BA132" s="176" t="s">
        <v>7981</v>
      </c>
      <c r="BB132" s="171"/>
      <c r="BC132" s="171"/>
      <c r="BD132" s="171"/>
      <c r="BE132" s="171"/>
      <c r="BF132" s="225"/>
      <c r="BG132" s="171"/>
      <c r="BH132" s="171"/>
      <c r="BI132" s="171"/>
      <c r="BJ132" s="171"/>
      <c r="BK132" s="171">
        <v>1</v>
      </c>
      <c r="BL132" s="171"/>
      <c r="BM132" s="171">
        <v>1</v>
      </c>
      <c r="BN132" s="171"/>
      <c r="BO132" s="171"/>
      <c r="BP132" s="171">
        <v>1</v>
      </c>
      <c r="BQ132" s="171">
        <v>1</v>
      </c>
      <c r="BR132" s="171"/>
      <c r="BS132" s="171">
        <v>1</v>
      </c>
      <c r="BT132" s="171"/>
      <c r="BU132" s="171">
        <v>1</v>
      </c>
      <c r="BV132" s="171"/>
      <c r="BW132" s="171"/>
      <c r="BX132" s="171"/>
      <c r="BY132" s="171"/>
      <c r="BZ132" s="171">
        <v>1</v>
      </c>
      <c r="CA132" s="171">
        <v>1</v>
      </c>
      <c r="CB132" s="171">
        <v>1</v>
      </c>
      <c r="CC132" s="171">
        <v>1</v>
      </c>
      <c r="CD132" s="171"/>
      <c r="CE132" s="171">
        <v>1</v>
      </c>
      <c r="CF132" s="171"/>
      <c r="CG132" s="171">
        <v>1</v>
      </c>
      <c r="CH132" s="171">
        <v>1</v>
      </c>
      <c r="CI132" s="171"/>
      <c r="CJ132" s="171"/>
      <c r="CK132" s="171">
        <v>1</v>
      </c>
      <c r="CL132" s="171">
        <v>1</v>
      </c>
      <c r="CM132">
        <f t="shared" si="40"/>
        <v>2050</v>
      </c>
    </row>
    <row r="133" spans="1:91">
      <c r="A133" s="171">
        <v>235</v>
      </c>
      <c r="B133" s="171" t="s">
        <v>761</v>
      </c>
      <c r="C133" s="171">
        <v>149</v>
      </c>
      <c r="D133" s="171" t="str">
        <f t="shared" si="39"/>
        <v xml:space="preserve"> NZ</v>
      </c>
      <c r="E133" s="171" t="s">
        <v>7220</v>
      </c>
      <c r="F133" s="174">
        <v>45476</v>
      </c>
      <c r="G133" s="171" t="s">
        <v>7223</v>
      </c>
      <c r="H133" s="173">
        <v>10957</v>
      </c>
      <c r="I133" s="171"/>
      <c r="J133" s="171" t="s">
        <v>4494</v>
      </c>
      <c r="K133" s="171" t="s">
        <v>4457</v>
      </c>
      <c r="L133" s="171" t="s">
        <v>2029</v>
      </c>
      <c r="M133" s="171" t="s">
        <v>5032</v>
      </c>
      <c r="N133" s="171"/>
      <c r="O133" s="171"/>
      <c r="P133" s="171" t="s">
        <v>5032</v>
      </c>
      <c r="Q133" s="171"/>
      <c r="R133" s="171"/>
      <c r="S133" s="171"/>
      <c r="T133" s="171"/>
      <c r="U133" s="171"/>
      <c r="V133" s="175"/>
      <c r="W133" s="171"/>
      <c r="X133" s="171" t="s">
        <v>5032</v>
      </c>
      <c r="Y133" s="171"/>
      <c r="Z133" s="171"/>
      <c r="AA133" s="171" t="s">
        <v>5032</v>
      </c>
      <c r="AB133" s="171"/>
      <c r="AC133" s="171"/>
      <c r="AD133" s="171"/>
      <c r="AE133" s="171"/>
      <c r="AF133" s="171"/>
      <c r="AG133" s="171"/>
      <c r="AH133" s="171"/>
      <c r="AI133" s="171"/>
      <c r="AJ133" s="171"/>
      <c r="AK133" s="171"/>
      <c r="AL133" s="171"/>
      <c r="AM133" s="171"/>
      <c r="AN133" s="171" t="s">
        <v>1957</v>
      </c>
      <c r="AO133" s="171" t="s">
        <v>109</v>
      </c>
      <c r="AP133" s="171" t="s">
        <v>2072</v>
      </c>
      <c r="AQ133" s="171" t="s">
        <v>1957</v>
      </c>
      <c r="AR133" s="171">
        <v>2050</v>
      </c>
      <c r="AS133" s="171">
        <v>2020</v>
      </c>
      <c r="AT133" s="171"/>
      <c r="AU133" s="171"/>
      <c r="AV133" s="171"/>
      <c r="AW133" s="171" t="s">
        <v>4174</v>
      </c>
      <c r="AX133" s="171" t="s">
        <v>6536</v>
      </c>
      <c r="AY133" s="171"/>
      <c r="AZ133" s="171"/>
      <c r="BA133" s="171"/>
      <c r="BB133" s="171"/>
      <c r="BC133" s="171"/>
      <c r="BD133" s="171"/>
      <c r="BE133" s="171"/>
      <c r="BF133" s="225"/>
      <c r="BG133" s="171"/>
      <c r="BH133" s="171"/>
      <c r="BI133" s="171"/>
      <c r="BJ133" s="171"/>
      <c r="BK133" s="171"/>
      <c r="BL133" s="171"/>
      <c r="BM133" s="171"/>
      <c r="BN133" s="171"/>
      <c r="BO133" s="171"/>
      <c r="BP133" s="171">
        <v>1</v>
      </c>
      <c r="BQ133" s="171">
        <v>1</v>
      </c>
      <c r="BR133" s="171"/>
      <c r="BS133" s="171"/>
      <c r="BT133" s="171"/>
      <c r="BU133" s="171"/>
      <c r="BV133" s="171"/>
      <c r="BW133" s="171"/>
      <c r="BX133" s="171"/>
      <c r="BY133" s="171"/>
      <c r="BZ133" s="171">
        <v>1</v>
      </c>
      <c r="CA133" s="171"/>
      <c r="CB133" s="171">
        <v>1</v>
      </c>
      <c r="CC133" s="171">
        <v>1</v>
      </c>
      <c r="CD133" s="171"/>
      <c r="CE133" s="171">
        <v>1</v>
      </c>
      <c r="CF133" s="171"/>
      <c r="CG133" s="171"/>
      <c r="CH133" s="171">
        <v>1</v>
      </c>
      <c r="CI133" s="171"/>
      <c r="CJ133" s="171"/>
      <c r="CK133" s="171"/>
      <c r="CL133" s="171"/>
      <c r="CM133">
        <f t="shared" si="40"/>
        <v>2050</v>
      </c>
    </row>
    <row r="134" spans="1:91">
      <c r="A134" s="171">
        <v>250</v>
      </c>
      <c r="B134" s="171" t="s">
        <v>5932</v>
      </c>
      <c r="C134" s="171">
        <v>292</v>
      </c>
      <c r="D134" s="171" t="str">
        <f t="shared" si="39"/>
        <v>CN</v>
      </c>
      <c r="E134" s="171" t="s">
        <v>7220</v>
      </c>
      <c r="F134" s="174">
        <v>45478</v>
      </c>
      <c r="G134" s="171" t="s">
        <v>7223</v>
      </c>
      <c r="H134" s="173">
        <v>6232.5</v>
      </c>
      <c r="I134" s="171"/>
      <c r="J134" s="171" t="s">
        <v>4476</v>
      </c>
      <c r="K134" s="171" t="s">
        <v>73</v>
      </c>
      <c r="L134" s="171" t="s">
        <v>1994</v>
      </c>
      <c r="M134" s="171" t="s">
        <v>5032</v>
      </c>
      <c r="N134" s="171"/>
      <c r="O134" s="171"/>
      <c r="P134" s="171" t="s">
        <v>5032</v>
      </c>
      <c r="Q134" s="171"/>
      <c r="R134" s="171"/>
      <c r="S134" s="171"/>
      <c r="T134" s="171"/>
      <c r="U134" s="171"/>
      <c r="V134" s="175"/>
      <c r="W134" s="171"/>
      <c r="X134" s="171" t="s">
        <v>7227</v>
      </c>
      <c r="Y134" s="171" t="s">
        <v>7270</v>
      </c>
      <c r="Z134" s="171" t="s">
        <v>7238</v>
      </c>
      <c r="AA134" s="171" t="s">
        <v>1957</v>
      </c>
      <c r="AB134" s="171">
        <v>2025</v>
      </c>
      <c r="AC134" s="171">
        <v>2023</v>
      </c>
      <c r="AD134" s="171" t="s">
        <v>4172</v>
      </c>
      <c r="AE134" s="171">
        <v>2035</v>
      </c>
      <c r="AF134" s="171">
        <v>2023</v>
      </c>
      <c r="AG134" s="171" t="s">
        <v>2082</v>
      </c>
      <c r="AH134" s="171">
        <v>2023</v>
      </c>
      <c r="AI134" s="171" t="s">
        <v>4174</v>
      </c>
      <c r="AJ134" s="176" t="s">
        <v>7980</v>
      </c>
      <c r="AK134" s="171"/>
      <c r="AL134" s="171" t="s">
        <v>7979</v>
      </c>
      <c r="AM134" s="171"/>
      <c r="AN134" s="171" t="s">
        <v>5032</v>
      </c>
      <c r="AO134" s="171"/>
      <c r="AP134" s="171"/>
      <c r="AQ134" s="171" t="s">
        <v>5032</v>
      </c>
      <c r="AR134" s="171"/>
      <c r="AS134" s="171"/>
      <c r="AT134" s="171"/>
      <c r="AU134" s="171"/>
      <c r="AV134" s="171"/>
      <c r="AW134" s="171"/>
      <c r="AX134" s="171"/>
      <c r="AY134" s="171"/>
      <c r="AZ134" s="171"/>
      <c r="BA134" s="171"/>
      <c r="BB134" s="171"/>
      <c r="BC134" s="171"/>
      <c r="BD134" s="171"/>
      <c r="BE134" s="171"/>
      <c r="BF134" s="225"/>
      <c r="BG134" s="171"/>
      <c r="BH134" s="171"/>
      <c r="BI134" s="171"/>
      <c r="BJ134" s="171"/>
      <c r="BK134" s="171">
        <v>1</v>
      </c>
      <c r="BL134" s="171"/>
      <c r="BM134" s="171">
        <v>1</v>
      </c>
      <c r="BN134" s="171"/>
      <c r="BO134" s="171"/>
      <c r="BP134" s="171"/>
      <c r="BQ134" s="171"/>
      <c r="BR134" s="171"/>
      <c r="BS134" s="171"/>
      <c r="BT134" s="171"/>
      <c r="BU134" s="171"/>
      <c r="BV134" s="171"/>
      <c r="BW134" s="171"/>
      <c r="BX134" s="171"/>
      <c r="BY134" s="171"/>
      <c r="BZ134" s="171">
        <v>1</v>
      </c>
      <c r="CA134" s="171">
        <v>1</v>
      </c>
      <c r="CB134" s="171">
        <v>1</v>
      </c>
      <c r="CC134" s="171"/>
      <c r="CD134" s="171"/>
      <c r="CE134" s="171">
        <v>1</v>
      </c>
      <c r="CF134" s="171"/>
      <c r="CG134" s="171">
        <v>1</v>
      </c>
      <c r="CH134" s="171">
        <v>1</v>
      </c>
      <c r="CI134" s="171"/>
      <c r="CJ134" s="171"/>
      <c r="CK134" s="171"/>
      <c r="CL134" s="171"/>
    </row>
    <row r="135" spans="1:91">
      <c r="A135" s="171">
        <v>344</v>
      </c>
      <c r="B135" s="171" t="s">
        <v>1143</v>
      </c>
      <c r="C135" s="171">
        <v>362</v>
      </c>
      <c r="D135" s="171" t="str">
        <f t="shared" si="39"/>
        <v>CN SBT RE100</v>
      </c>
      <c r="E135" s="171" t="s">
        <v>7220</v>
      </c>
      <c r="F135" s="174">
        <v>45481</v>
      </c>
      <c r="G135" s="171" t="s">
        <v>7220</v>
      </c>
      <c r="H135" s="173">
        <v>1250.0999999999999</v>
      </c>
      <c r="I135" s="171"/>
      <c r="J135" s="171" t="s">
        <v>4476</v>
      </c>
      <c r="K135" s="171" t="s">
        <v>146</v>
      </c>
      <c r="L135" s="171" t="s">
        <v>1951</v>
      </c>
      <c r="M135" s="171" t="s">
        <v>4174</v>
      </c>
      <c r="N135" s="171">
        <v>2020</v>
      </c>
      <c r="O135" s="171">
        <v>2040</v>
      </c>
      <c r="P135" s="171" t="s">
        <v>4174</v>
      </c>
      <c r="Q135" s="171" t="s">
        <v>22</v>
      </c>
      <c r="R135" s="171" t="s">
        <v>7233</v>
      </c>
      <c r="S135" s="171">
        <v>2030</v>
      </c>
      <c r="T135" s="171" t="s">
        <v>1</v>
      </c>
      <c r="U135" s="171"/>
      <c r="V135" s="172">
        <v>44166</v>
      </c>
      <c r="W135" s="171">
        <v>2020</v>
      </c>
      <c r="X135" s="171" t="s">
        <v>4172</v>
      </c>
      <c r="Y135" s="171" t="s">
        <v>7978</v>
      </c>
      <c r="Z135" s="171" t="s">
        <v>3283</v>
      </c>
      <c r="AA135" s="171" t="s">
        <v>4172</v>
      </c>
      <c r="AB135" s="171">
        <v>2040</v>
      </c>
      <c r="AC135" s="171">
        <v>2020</v>
      </c>
      <c r="AD135" s="171"/>
      <c r="AE135" s="171"/>
      <c r="AF135" s="171"/>
      <c r="AG135" s="171" t="s">
        <v>4174</v>
      </c>
      <c r="AH135" s="171"/>
      <c r="AI135" s="171" t="s">
        <v>4174</v>
      </c>
      <c r="AJ135" s="171"/>
      <c r="AK135" s="171"/>
      <c r="AL135" s="171" t="s">
        <v>7977</v>
      </c>
      <c r="AM135" s="171"/>
      <c r="AN135" s="171" t="s">
        <v>5032</v>
      </c>
      <c r="AO135" s="171"/>
      <c r="AP135" s="171"/>
      <c r="AQ135" s="171" t="s">
        <v>5032</v>
      </c>
      <c r="AR135" s="171"/>
      <c r="AS135" s="171"/>
      <c r="AT135" s="171"/>
      <c r="AU135" s="171"/>
      <c r="AV135" s="171"/>
      <c r="AW135" s="171"/>
      <c r="AX135" s="171"/>
      <c r="AY135" s="171"/>
      <c r="AZ135" s="171"/>
      <c r="BA135" s="171"/>
      <c r="BB135" s="171"/>
      <c r="BC135" s="171"/>
      <c r="BD135" s="171"/>
      <c r="BE135" s="171"/>
      <c r="BF135" s="225"/>
      <c r="BG135" s="171"/>
      <c r="BH135" s="171"/>
      <c r="BI135" s="171"/>
      <c r="BJ135" s="171"/>
      <c r="BK135" s="171"/>
      <c r="BL135" s="171">
        <v>1</v>
      </c>
      <c r="BM135" s="171">
        <v>1</v>
      </c>
      <c r="BN135" s="171"/>
      <c r="BO135" s="171"/>
      <c r="BP135" s="171"/>
      <c r="BQ135" s="171"/>
      <c r="BR135" s="171"/>
      <c r="BS135" s="171">
        <v>1</v>
      </c>
      <c r="BT135" s="171"/>
      <c r="BU135" s="171">
        <v>1</v>
      </c>
      <c r="BV135" s="171"/>
      <c r="BW135" s="171"/>
      <c r="BX135" s="171">
        <v>1</v>
      </c>
      <c r="BY135" s="171">
        <v>1</v>
      </c>
      <c r="BZ135" s="171">
        <v>1</v>
      </c>
      <c r="CA135" s="171"/>
      <c r="CB135" s="171">
        <v>1</v>
      </c>
      <c r="CC135" s="171">
        <v>1</v>
      </c>
      <c r="CD135" s="171"/>
      <c r="CE135" s="171">
        <v>1</v>
      </c>
      <c r="CF135" s="171"/>
      <c r="CG135" s="171">
        <v>1</v>
      </c>
      <c r="CH135" s="171">
        <v>1</v>
      </c>
      <c r="CI135" s="171"/>
      <c r="CJ135" s="171"/>
      <c r="CK135" s="171"/>
      <c r="CL135" s="171"/>
    </row>
    <row r="136" spans="1:91">
      <c r="A136" s="171">
        <v>392</v>
      </c>
      <c r="B136" s="171" t="s">
        <v>415</v>
      </c>
      <c r="C136" s="171">
        <v>435</v>
      </c>
      <c r="D136" s="171" t="str">
        <f t="shared" si="39"/>
        <v xml:space="preserve"> NZ</v>
      </c>
      <c r="E136" s="171" t="s">
        <v>7223</v>
      </c>
      <c r="F136" s="174">
        <v>45511</v>
      </c>
      <c r="G136" s="171" t="s">
        <v>7223</v>
      </c>
      <c r="H136" s="173">
        <v>640</v>
      </c>
      <c r="I136" s="171"/>
      <c r="J136" s="171" t="s">
        <v>4467</v>
      </c>
      <c r="K136" s="171" t="s">
        <v>287</v>
      </c>
      <c r="L136" s="171" t="s">
        <v>1951</v>
      </c>
      <c r="M136" s="171" t="s">
        <v>5032</v>
      </c>
      <c r="N136" s="171"/>
      <c r="O136" s="171"/>
      <c r="P136" s="171" t="s">
        <v>5032</v>
      </c>
      <c r="Q136" s="171"/>
      <c r="R136" s="171"/>
      <c r="S136" s="171"/>
      <c r="T136" s="171"/>
      <c r="U136" s="171"/>
      <c r="V136" s="175"/>
      <c r="W136" s="171"/>
      <c r="X136" s="171" t="s">
        <v>5032</v>
      </c>
      <c r="Y136" s="171"/>
      <c r="Z136" s="171"/>
      <c r="AA136" s="171" t="s">
        <v>5032</v>
      </c>
      <c r="AB136" s="171"/>
      <c r="AC136" s="171"/>
      <c r="AD136" s="171"/>
      <c r="AE136" s="171"/>
      <c r="AF136" s="171"/>
      <c r="AG136" s="171"/>
      <c r="AH136" s="171"/>
      <c r="AI136" s="171"/>
      <c r="AJ136" s="171"/>
      <c r="AK136" s="171"/>
      <c r="AL136" s="171"/>
      <c r="AM136" s="171"/>
      <c r="AN136" s="171" t="s">
        <v>1957</v>
      </c>
      <c r="AO136" s="171" t="s">
        <v>5131</v>
      </c>
      <c r="AP136" s="171" t="s">
        <v>2072</v>
      </c>
      <c r="AQ136" s="171" t="s">
        <v>1957</v>
      </c>
      <c r="AR136" s="171">
        <v>2050</v>
      </c>
      <c r="AS136" s="171">
        <v>2022</v>
      </c>
      <c r="AT136" s="171"/>
      <c r="AU136" s="171"/>
      <c r="AV136" s="171"/>
      <c r="AW136" s="171" t="s">
        <v>2082</v>
      </c>
      <c r="AX136" s="176" t="s">
        <v>7976</v>
      </c>
      <c r="AY136" s="171">
        <v>2023</v>
      </c>
      <c r="AZ136" s="171" t="s">
        <v>4174</v>
      </c>
      <c r="BA136" s="176" t="s">
        <v>7976</v>
      </c>
      <c r="BB136" s="171"/>
      <c r="BC136" s="171"/>
      <c r="BD136" s="171"/>
      <c r="BE136" s="171"/>
      <c r="BF136" s="225"/>
      <c r="BG136" s="171"/>
      <c r="BH136" s="171"/>
      <c r="BI136" s="171"/>
      <c r="BJ136" s="171"/>
      <c r="BK136" s="171"/>
      <c r="BL136" s="171"/>
      <c r="BM136" s="171"/>
      <c r="BN136" s="171"/>
      <c r="BO136" s="171"/>
      <c r="BP136" s="171">
        <v>1</v>
      </c>
      <c r="BQ136" s="171">
        <v>1</v>
      </c>
      <c r="BR136" s="171"/>
      <c r="BS136" s="171"/>
      <c r="BT136" s="171"/>
      <c r="BU136" s="171"/>
      <c r="BV136" s="171"/>
      <c r="BW136" s="171"/>
      <c r="BX136" s="171"/>
      <c r="BY136" s="171"/>
      <c r="BZ136" s="171">
        <v>1</v>
      </c>
      <c r="CA136" s="171"/>
      <c r="CB136" s="171">
        <v>1</v>
      </c>
      <c r="CC136" s="171"/>
      <c r="CD136" s="171"/>
      <c r="CE136" s="171">
        <v>1</v>
      </c>
      <c r="CF136" s="171"/>
      <c r="CG136" s="171"/>
      <c r="CH136" s="171">
        <v>1</v>
      </c>
      <c r="CI136" s="171"/>
      <c r="CJ136" s="171"/>
      <c r="CK136" s="171"/>
      <c r="CL136" s="171"/>
      <c r="CM136">
        <f t="shared" si="40"/>
        <v>2050</v>
      </c>
    </row>
    <row r="137" spans="1:91">
      <c r="A137" s="171">
        <v>267</v>
      </c>
      <c r="B137" s="171" t="s">
        <v>4892</v>
      </c>
      <c r="C137" s="171">
        <v>115</v>
      </c>
      <c r="D137" s="171" t="str">
        <f t="shared" si="39"/>
        <v>CN NZ SBT</v>
      </c>
      <c r="E137" s="171" t="s">
        <v>7228</v>
      </c>
      <c r="F137" s="174">
        <v>45475</v>
      </c>
      <c r="G137" s="171" t="s">
        <v>7223</v>
      </c>
      <c r="H137" s="173">
        <v>3584.4</v>
      </c>
      <c r="I137" s="171"/>
      <c r="J137" s="171" t="s">
        <v>4179</v>
      </c>
      <c r="K137" s="171" t="s">
        <v>73</v>
      </c>
      <c r="L137" s="171" t="s">
        <v>1994</v>
      </c>
      <c r="M137" s="171" t="s">
        <v>5032</v>
      </c>
      <c r="N137" s="171"/>
      <c r="O137" s="171"/>
      <c r="P137" s="171" t="s">
        <v>4174</v>
      </c>
      <c r="Q137" s="171" t="s">
        <v>22</v>
      </c>
      <c r="R137" s="171" t="s">
        <v>7233</v>
      </c>
      <c r="S137" s="171">
        <v>2030</v>
      </c>
      <c r="T137" s="171" t="s">
        <v>361</v>
      </c>
      <c r="U137" s="171">
        <v>2050</v>
      </c>
      <c r="V137" s="172">
        <v>44927</v>
      </c>
      <c r="W137" s="171">
        <v>2023</v>
      </c>
      <c r="X137" s="171" t="s">
        <v>1957</v>
      </c>
      <c r="Y137" s="171" t="s">
        <v>2098</v>
      </c>
      <c r="Z137" s="171" t="s">
        <v>7533</v>
      </c>
      <c r="AA137" s="171" t="s">
        <v>1957</v>
      </c>
      <c r="AB137" s="171">
        <v>2060</v>
      </c>
      <c r="AC137" s="171">
        <v>2022</v>
      </c>
      <c r="AD137" s="171"/>
      <c r="AE137" s="171"/>
      <c r="AF137" s="171"/>
      <c r="AG137" s="171" t="s">
        <v>2082</v>
      </c>
      <c r="AH137" s="171"/>
      <c r="AI137" s="171" t="s">
        <v>4174</v>
      </c>
      <c r="AJ137" s="171"/>
      <c r="AK137" s="171"/>
      <c r="AL137" s="171" t="s">
        <v>7975</v>
      </c>
      <c r="AM137" s="171" t="s">
        <v>7974</v>
      </c>
      <c r="AN137" s="171" t="s">
        <v>4172</v>
      </c>
      <c r="AO137" s="171" t="s">
        <v>7716</v>
      </c>
      <c r="AP137" s="171" t="s">
        <v>4945</v>
      </c>
      <c r="AQ137" s="171" t="s">
        <v>4172</v>
      </c>
      <c r="AR137" s="171">
        <v>2050</v>
      </c>
      <c r="AS137" s="171">
        <v>2023</v>
      </c>
      <c r="AT137" s="171"/>
      <c r="AU137" s="171"/>
      <c r="AV137" s="171"/>
      <c r="AW137" s="171" t="s">
        <v>2082</v>
      </c>
      <c r="AX137" s="171"/>
      <c r="AY137" s="171"/>
      <c r="AZ137" s="171"/>
      <c r="BA137" s="171"/>
      <c r="BB137" s="171"/>
      <c r="BC137" s="171"/>
      <c r="BD137" s="171"/>
      <c r="BE137" s="171"/>
      <c r="BF137" s="225"/>
      <c r="BG137" s="171"/>
      <c r="BH137" s="171"/>
      <c r="BI137" s="171"/>
      <c r="BJ137" s="171"/>
      <c r="BK137" s="171"/>
      <c r="BL137" s="171"/>
      <c r="BM137" s="171">
        <v>1</v>
      </c>
      <c r="BN137" s="171"/>
      <c r="BO137" s="171"/>
      <c r="BP137" s="171">
        <v>1</v>
      </c>
      <c r="BQ137" s="171">
        <v>1</v>
      </c>
      <c r="BR137" s="171"/>
      <c r="BS137" s="171">
        <v>1</v>
      </c>
      <c r="BT137" s="171"/>
      <c r="BU137" s="171">
        <v>1</v>
      </c>
      <c r="BV137" s="171"/>
      <c r="BW137" s="171"/>
      <c r="BX137" s="171"/>
      <c r="BY137" s="171"/>
      <c r="BZ137" s="171">
        <v>1</v>
      </c>
      <c r="CA137" s="171"/>
      <c r="CB137" s="171"/>
      <c r="CC137" s="171"/>
      <c r="CD137" s="171"/>
      <c r="CE137" s="171">
        <v>1</v>
      </c>
      <c r="CF137" s="171"/>
      <c r="CG137" s="171">
        <v>1</v>
      </c>
      <c r="CH137" s="171">
        <v>1</v>
      </c>
      <c r="CI137" s="171"/>
      <c r="CJ137" s="171"/>
      <c r="CK137" s="171">
        <v>1</v>
      </c>
      <c r="CL137" s="171">
        <v>1</v>
      </c>
      <c r="CM137">
        <f t="shared" si="40"/>
        <v>2050</v>
      </c>
    </row>
    <row r="138" spans="1:91">
      <c r="A138" s="171">
        <v>20</v>
      </c>
      <c r="B138" s="171" t="s">
        <v>1767</v>
      </c>
      <c r="C138" s="171">
        <v>26</v>
      </c>
      <c r="D138" s="171" t="str">
        <f t="shared" si="39"/>
        <v/>
      </c>
      <c r="E138" s="171" t="s">
        <v>7223</v>
      </c>
      <c r="F138" s="174">
        <v>45474</v>
      </c>
      <c r="G138" s="171" t="s">
        <v>7223</v>
      </c>
      <c r="H138" s="173">
        <v>6292</v>
      </c>
      <c r="I138" s="171"/>
      <c r="J138" s="171" t="s">
        <v>4467</v>
      </c>
      <c r="K138" s="171" t="s">
        <v>4457</v>
      </c>
      <c r="L138" s="171" t="s">
        <v>2029</v>
      </c>
      <c r="M138" s="171" t="s">
        <v>5032</v>
      </c>
      <c r="N138" s="171"/>
      <c r="O138" s="171"/>
      <c r="P138" s="171" t="s">
        <v>5032</v>
      </c>
      <c r="Q138" s="171"/>
      <c r="R138" s="171"/>
      <c r="S138" s="171"/>
      <c r="T138" s="171"/>
      <c r="U138" s="171"/>
      <c r="V138" s="175"/>
      <c r="W138" s="171"/>
      <c r="X138" s="171" t="s">
        <v>5032</v>
      </c>
      <c r="Y138" s="171"/>
      <c r="Z138" s="171"/>
      <c r="AA138" s="171" t="s">
        <v>5032</v>
      </c>
      <c r="AB138" s="171"/>
      <c r="AC138" s="171"/>
      <c r="AD138" s="171"/>
      <c r="AE138" s="171"/>
      <c r="AF138" s="171"/>
      <c r="AG138" s="171"/>
      <c r="AH138" s="171"/>
      <c r="AI138" s="171"/>
      <c r="AJ138" s="171"/>
      <c r="AK138" s="171"/>
      <c r="AL138" s="171"/>
      <c r="AM138" s="171"/>
      <c r="AN138" s="171" t="s">
        <v>5032</v>
      </c>
      <c r="AO138" s="171"/>
      <c r="AP138" s="171"/>
      <c r="AQ138" s="171" t="s">
        <v>5032</v>
      </c>
      <c r="AR138" s="171"/>
      <c r="AS138" s="171"/>
      <c r="AT138" s="171"/>
      <c r="AU138" s="171"/>
      <c r="AV138" s="171"/>
      <c r="AW138" s="171"/>
      <c r="AX138" s="171" t="s">
        <v>7973</v>
      </c>
      <c r="AY138" s="171"/>
      <c r="AZ138" s="171"/>
      <c r="BA138" s="171"/>
      <c r="BB138" s="171"/>
      <c r="BC138" s="171"/>
      <c r="BD138" s="171"/>
      <c r="BE138" s="171"/>
      <c r="BF138" s="225"/>
      <c r="BG138" s="171"/>
      <c r="BH138" s="171"/>
      <c r="BI138" s="171" t="s">
        <v>7972</v>
      </c>
      <c r="BJ138" s="171"/>
      <c r="BK138" s="171"/>
      <c r="BL138" s="171"/>
      <c r="BM138" s="171"/>
      <c r="BN138" s="171"/>
      <c r="BO138" s="171"/>
      <c r="BP138" s="171"/>
      <c r="BQ138" s="171"/>
      <c r="BR138" s="171"/>
      <c r="BS138" s="171"/>
      <c r="BT138" s="171"/>
      <c r="BU138" s="171"/>
      <c r="BV138" s="171"/>
      <c r="BW138" s="171"/>
      <c r="BX138" s="171"/>
      <c r="BY138" s="171"/>
      <c r="BZ138" s="171"/>
      <c r="CA138" s="171"/>
      <c r="CB138" s="171"/>
      <c r="CC138" s="171"/>
      <c r="CD138" s="171"/>
      <c r="CE138" s="171"/>
      <c r="CF138" s="171"/>
      <c r="CG138" s="171"/>
      <c r="CH138" s="171"/>
      <c r="CI138" s="171"/>
      <c r="CJ138" s="171"/>
      <c r="CK138" s="171"/>
      <c r="CL138" s="171"/>
    </row>
    <row r="139" spans="1:91">
      <c r="A139" s="171">
        <v>465</v>
      </c>
      <c r="B139" s="171" t="s">
        <v>518</v>
      </c>
      <c r="C139" s="171">
        <v>378</v>
      </c>
      <c r="D139" s="171" t="str">
        <f t="shared" si="39"/>
        <v xml:space="preserve"> NZ</v>
      </c>
      <c r="E139" s="171" t="s">
        <v>7220</v>
      </c>
      <c r="F139" s="174">
        <v>45481</v>
      </c>
      <c r="G139" s="171" t="s">
        <v>7220</v>
      </c>
      <c r="H139" s="173">
        <v>-656.7</v>
      </c>
      <c r="I139" s="171"/>
      <c r="J139" s="171" t="s">
        <v>3498</v>
      </c>
      <c r="K139" s="171" t="s">
        <v>3277</v>
      </c>
      <c r="L139" s="171" t="s">
        <v>1994</v>
      </c>
      <c r="M139" s="171" t="s">
        <v>5032</v>
      </c>
      <c r="N139" s="171"/>
      <c r="O139" s="171"/>
      <c r="P139" s="171" t="s">
        <v>5032</v>
      </c>
      <c r="Q139" s="171"/>
      <c r="R139" s="171"/>
      <c r="S139" s="171"/>
      <c r="T139" s="171"/>
      <c r="U139" s="171"/>
      <c r="V139" s="175"/>
      <c r="W139" s="171"/>
      <c r="X139" s="171" t="s">
        <v>5032</v>
      </c>
      <c r="Y139" s="171"/>
      <c r="Z139" s="171"/>
      <c r="AA139" s="171" t="s">
        <v>5032</v>
      </c>
      <c r="AB139" s="171"/>
      <c r="AC139" s="171"/>
      <c r="AD139" s="171"/>
      <c r="AE139" s="171"/>
      <c r="AF139" s="171"/>
      <c r="AG139" s="171"/>
      <c r="AH139" s="171"/>
      <c r="AI139" s="171"/>
      <c r="AJ139" s="171"/>
      <c r="AK139" s="171"/>
      <c r="AL139" s="171"/>
      <c r="AM139" s="171"/>
      <c r="AN139" s="171" t="s">
        <v>1957</v>
      </c>
      <c r="AO139" s="171" t="s">
        <v>109</v>
      </c>
      <c r="AP139" s="171" t="s">
        <v>2072</v>
      </c>
      <c r="AQ139" s="171" t="s">
        <v>1957</v>
      </c>
      <c r="AR139" s="171">
        <v>2050</v>
      </c>
      <c r="AS139" s="171">
        <v>2022</v>
      </c>
      <c r="AT139" s="171"/>
      <c r="AU139" s="171"/>
      <c r="AV139" s="171"/>
      <c r="AW139" s="171" t="s">
        <v>4174</v>
      </c>
      <c r="AX139" s="171" t="s">
        <v>7971</v>
      </c>
      <c r="AY139" s="171"/>
      <c r="AZ139" s="171"/>
      <c r="BA139" s="171"/>
      <c r="BB139" s="171"/>
      <c r="BC139" s="171"/>
      <c r="BD139" s="171"/>
      <c r="BE139" s="171"/>
      <c r="BF139" s="225"/>
      <c r="BG139" s="171"/>
      <c r="BH139" s="171"/>
      <c r="BI139" s="171"/>
      <c r="BJ139" s="171"/>
      <c r="BK139" s="171"/>
      <c r="BL139" s="171"/>
      <c r="BM139" s="171"/>
      <c r="BN139" s="171"/>
      <c r="BO139" s="171"/>
      <c r="BP139" s="171">
        <v>1</v>
      </c>
      <c r="BQ139" s="171">
        <v>1</v>
      </c>
      <c r="BR139" s="171"/>
      <c r="BS139" s="171"/>
      <c r="BT139" s="171"/>
      <c r="BU139" s="171"/>
      <c r="BV139" s="171"/>
      <c r="BW139" s="171"/>
      <c r="BX139" s="171"/>
      <c r="BY139" s="171"/>
      <c r="BZ139" s="171">
        <v>1</v>
      </c>
      <c r="CA139" s="171"/>
      <c r="CB139" s="171">
        <v>1</v>
      </c>
      <c r="CC139" s="171">
        <v>1</v>
      </c>
      <c r="CD139" s="171"/>
      <c r="CE139" s="171">
        <v>1</v>
      </c>
      <c r="CF139" s="171"/>
      <c r="CG139" s="171"/>
      <c r="CH139" s="171">
        <v>1</v>
      </c>
      <c r="CI139" s="171"/>
      <c r="CJ139" s="171"/>
      <c r="CK139" s="171"/>
      <c r="CL139" s="171"/>
      <c r="CM139">
        <f t="shared" si="40"/>
        <v>2050</v>
      </c>
    </row>
    <row r="140" spans="1:91">
      <c r="A140" s="171">
        <v>118</v>
      </c>
      <c r="B140" s="171" t="s">
        <v>1567</v>
      </c>
      <c r="C140" s="171">
        <v>134</v>
      </c>
      <c r="D140" s="171" t="str">
        <f t="shared" si="39"/>
        <v>CN SBT RE100</v>
      </c>
      <c r="E140" s="171" t="s">
        <v>7223</v>
      </c>
      <c r="F140" s="174">
        <v>45476</v>
      </c>
      <c r="G140" s="171" t="s">
        <v>7223</v>
      </c>
      <c r="H140" s="173">
        <v>6862.6</v>
      </c>
      <c r="I140" s="171"/>
      <c r="J140" s="171" t="s">
        <v>4465</v>
      </c>
      <c r="K140" s="171" t="s">
        <v>63</v>
      </c>
      <c r="L140" s="171" t="s">
        <v>1951</v>
      </c>
      <c r="M140" s="171" t="s">
        <v>4174</v>
      </c>
      <c r="N140" s="171">
        <v>2016</v>
      </c>
      <c r="O140" s="171">
        <v>2030</v>
      </c>
      <c r="P140" s="171" t="s">
        <v>5032</v>
      </c>
      <c r="Q140" s="171" t="s">
        <v>165</v>
      </c>
      <c r="R140" s="171"/>
      <c r="S140" s="171">
        <v>2030</v>
      </c>
      <c r="T140" s="171" t="s">
        <v>1</v>
      </c>
      <c r="U140" s="171"/>
      <c r="V140" s="172">
        <v>42491</v>
      </c>
      <c r="W140" s="171">
        <v>2016</v>
      </c>
      <c r="X140" s="171" t="s">
        <v>7414</v>
      </c>
      <c r="Y140" s="171" t="s">
        <v>7970</v>
      </c>
      <c r="Z140" s="171" t="s">
        <v>7225</v>
      </c>
      <c r="AA140" s="171" t="s">
        <v>7414</v>
      </c>
      <c r="AB140" s="171">
        <v>2050</v>
      </c>
      <c r="AC140" s="171">
        <v>2022</v>
      </c>
      <c r="AD140" s="171"/>
      <c r="AE140" s="171"/>
      <c r="AF140" s="171"/>
      <c r="AG140" s="171" t="s">
        <v>4174</v>
      </c>
      <c r="AH140" s="171"/>
      <c r="AI140" s="171" t="s">
        <v>4174</v>
      </c>
      <c r="AJ140" s="171"/>
      <c r="AK140" s="171"/>
      <c r="AL140" s="171" t="s">
        <v>7969</v>
      </c>
      <c r="AM140" s="171"/>
      <c r="AN140" s="171" t="s">
        <v>5032</v>
      </c>
      <c r="AO140" s="171"/>
      <c r="AP140" s="171"/>
      <c r="AQ140" s="171" t="s">
        <v>5032</v>
      </c>
      <c r="AR140" s="171"/>
      <c r="AS140" s="171"/>
      <c r="AT140" s="171"/>
      <c r="AU140" s="171"/>
      <c r="AV140" s="171"/>
      <c r="AW140" s="171"/>
      <c r="AX140" s="171"/>
      <c r="AY140" s="171"/>
      <c r="AZ140" s="171"/>
      <c r="BA140" s="171"/>
      <c r="BB140" s="171"/>
      <c r="BC140" s="171" t="s">
        <v>7968</v>
      </c>
      <c r="BD140" s="171" t="s">
        <v>4174</v>
      </c>
      <c r="BE140" s="171" t="s">
        <v>7967</v>
      </c>
      <c r="BF140" s="225" t="s">
        <v>4174</v>
      </c>
      <c r="BG140" s="171" t="s">
        <v>7966</v>
      </c>
      <c r="BH140" s="171"/>
      <c r="BI140" s="171"/>
      <c r="BJ140" s="171"/>
      <c r="BK140" s="171"/>
      <c r="BL140" s="171">
        <v>1</v>
      </c>
      <c r="BM140" s="171">
        <v>1</v>
      </c>
      <c r="BN140" s="171"/>
      <c r="BO140" s="171"/>
      <c r="BP140" s="171"/>
      <c r="BQ140" s="171"/>
      <c r="BR140" s="171"/>
      <c r="BS140" s="171">
        <v>1</v>
      </c>
      <c r="BT140" s="171"/>
      <c r="BU140" s="171">
        <v>1</v>
      </c>
      <c r="BV140" s="171"/>
      <c r="BW140" s="171">
        <v>1</v>
      </c>
      <c r="BX140" s="171"/>
      <c r="BY140" s="171">
        <v>1</v>
      </c>
      <c r="BZ140" s="171">
        <v>1</v>
      </c>
      <c r="CA140" s="171"/>
      <c r="CB140" s="171">
        <v>1</v>
      </c>
      <c r="CC140" s="171">
        <v>1</v>
      </c>
      <c r="CD140" s="171"/>
      <c r="CE140" s="171">
        <v>1</v>
      </c>
      <c r="CF140" s="171"/>
      <c r="CG140" s="171">
        <v>1</v>
      </c>
      <c r="CH140" s="171">
        <v>1</v>
      </c>
      <c r="CI140" s="171"/>
      <c r="CJ140" s="171"/>
      <c r="CK140" s="171"/>
      <c r="CL140" s="171"/>
    </row>
    <row r="141" spans="1:91">
      <c r="A141" s="171">
        <v>337</v>
      </c>
      <c r="B141" s="171" t="s">
        <v>7965</v>
      </c>
      <c r="C141" s="171"/>
      <c r="D141" s="171" t="str">
        <f t="shared" si="39"/>
        <v xml:space="preserve"> NZ</v>
      </c>
      <c r="E141" s="171" t="s">
        <v>7223</v>
      </c>
      <c r="F141" s="174">
        <v>45511</v>
      </c>
      <c r="G141" s="171"/>
      <c r="H141" s="173">
        <v>4261.5</v>
      </c>
      <c r="I141" s="181" t="s">
        <v>112</v>
      </c>
      <c r="J141" s="171" t="s">
        <v>4465</v>
      </c>
      <c r="K141" s="171" t="s">
        <v>63</v>
      </c>
      <c r="L141" s="171" t="s">
        <v>1951</v>
      </c>
      <c r="M141" s="171" t="s">
        <v>5032</v>
      </c>
      <c r="N141" s="171"/>
      <c r="O141" s="171"/>
      <c r="P141" s="171" t="s">
        <v>5032</v>
      </c>
      <c r="Q141" s="171"/>
      <c r="R141" s="171"/>
      <c r="S141" s="171"/>
      <c r="T141" s="171"/>
      <c r="U141" s="171"/>
      <c r="V141" s="175"/>
      <c r="W141" s="171"/>
      <c r="X141" s="171" t="s">
        <v>5032</v>
      </c>
      <c r="Y141" s="171"/>
      <c r="Z141" s="171"/>
      <c r="AA141" s="171" t="s">
        <v>5032</v>
      </c>
      <c r="AB141" s="171"/>
      <c r="AC141" s="171"/>
      <c r="AD141" s="171"/>
      <c r="AE141" s="171"/>
      <c r="AF141" s="171"/>
      <c r="AG141" s="171"/>
      <c r="AH141" s="171"/>
      <c r="AI141" s="171"/>
      <c r="AJ141" s="171"/>
      <c r="AK141" s="171"/>
      <c r="AL141" s="171"/>
      <c r="AM141" s="171"/>
      <c r="AN141" s="171" t="s">
        <v>5050</v>
      </c>
      <c r="AO141" s="171" t="s">
        <v>7964</v>
      </c>
      <c r="AP141" s="171" t="s">
        <v>2072</v>
      </c>
      <c r="AQ141" s="171" t="s">
        <v>5050</v>
      </c>
      <c r="AR141" s="171">
        <v>2050</v>
      </c>
      <c r="AS141" s="171">
        <v>2021</v>
      </c>
      <c r="AT141" s="171"/>
      <c r="AU141" s="171"/>
      <c r="AV141" s="171"/>
      <c r="AW141" s="171" t="s">
        <v>2082</v>
      </c>
      <c r="AX141" s="176" t="s">
        <v>7963</v>
      </c>
      <c r="AY141" s="171">
        <v>2022</v>
      </c>
      <c r="AZ141" s="171" t="s">
        <v>4174</v>
      </c>
      <c r="BA141" s="176" t="s">
        <v>7962</v>
      </c>
      <c r="BB141" s="171"/>
      <c r="BC141" s="171"/>
      <c r="BD141" s="171"/>
      <c r="BE141" s="171"/>
      <c r="BF141" s="225"/>
      <c r="BG141" s="171"/>
      <c r="BH141" s="171"/>
      <c r="BI141" s="171"/>
      <c r="BJ141" s="171"/>
      <c r="BK141" s="171"/>
      <c r="BL141" s="171"/>
      <c r="BM141" s="171"/>
      <c r="BN141" s="171"/>
      <c r="BO141" s="171"/>
      <c r="BP141" s="171">
        <v>1</v>
      </c>
      <c r="BQ141" s="171">
        <v>1</v>
      </c>
      <c r="BR141" s="171"/>
      <c r="BS141" s="171"/>
      <c r="BT141" s="171"/>
      <c r="BU141" s="171"/>
      <c r="BV141" s="171"/>
      <c r="BW141" s="171"/>
      <c r="BX141" s="171"/>
      <c r="BY141" s="171"/>
      <c r="BZ141" s="171">
        <v>1</v>
      </c>
      <c r="CA141" s="171"/>
      <c r="CB141" s="171">
        <v>1</v>
      </c>
      <c r="CC141" s="171"/>
      <c r="CD141" s="171"/>
      <c r="CE141" s="171">
        <v>1</v>
      </c>
      <c r="CF141" s="171"/>
      <c r="CG141" s="171"/>
      <c r="CH141" s="171">
        <v>1</v>
      </c>
      <c r="CI141" s="171"/>
      <c r="CJ141" s="171"/>
      <c r="CK141" s="171">
        <v>1</v>
      </c>
      <c r="CL141" s="171">
        <v>1</v>
      </c>
      <c r="CM141">
        <f t="shared" si="40"/>
        <v>2050</v>
      </c>
    </row>
    <row r="142" spans="1:91">
      <c r="A142" s="171">
        <v>443</v>
      </c>
      <c r="B142" s="171" t="s">
        <v>498</v>
      </c>
      <c r="C142" s="171">
        <v>459</v>
      </c>
      <c r="D142" s="171" t="str">
        <f t="shared" si="39"/>
        <v xml:space="preserve"> NZ SBT</v>
      </c>
      <c r="E142" s="171" t="s">
        <v>7223</v>
      </c>
      <c r="F142" s="174">
        <v>45512</v>
      </c>
      <c r="G142" s="171" t="s">
        <v>7223</v>
      </c>
      <c r="H142" s="173">
        <v>3178</v>
      </c>
      <c r="I142" s="171"/>
      <c r="J142" s="171" t="s">
        <v>4459</v>
      </c>
      <c r="K142" s="171" t="s">
        <v>400</v>
      </c>
      <c r="L142" s="171" t="s">
        <v>1951</v>
      </c>
      <c r="M142" s="171" t="s">
        <v>5032</v>
      </c>
      <c r="N142" s="171"/>
      <c r="O142" s="171"/>
      <c r="P142" s="171" t="s">
        <v>4174</v>
      </c>
      <c r="Q142" s="171" t="s">
        <v>22</v>
      </c>
      <c r="R142" s="171" t="s">
        <v>7233</v>
      </c>
      <c r="S142" s="171">
        <v>2030</v>
      </c>
      <c r="T142" s="171" t="s">
        <v>1</v>
      </c>
      <c r="U142" s="171"/>
      <c r="V142" s="172">
        <v>44986</v>
      </c>
      <c r="W142" s="171">
        <v>2023</v>
      </c>
      <c r="X142" s="171" t="s">
        <v>5032</v>
      </c>
      <c r="Y142" s="171"/>
      <c r="Z142" s="171"/>
      <c r="AA142" s="171" t="s">
        <v>5032</v>
      </c>
      <c r="AB142" s="171"/>
      <c r="AC142" s="171"/>
      <c r="AD142" s="171"/>
      <c r="AE142" s="171"/>
      <c r="AF142" s="171"/>
      <c r="AG142" s="171"/>
      <c r="AH142" s="171"/>
      <c r="AI142" s="171"/>
      <c r="AJ142" s="171"/>
      <c r="AK142" s="171"/>
      <c r="AL142" s="171"/>
      <c r="AM142" s="171"/>
      <c r="AN142" s="171" t="s">
        <v>4172</v>
      </c>
      <c r="AO142" s="171" t="s">
        <v>7961</v>
      </c>
      <c r="AP142" s="171" t="s">
        <v>7360</v>
      </c>
      <c r="AQ142" s="171" t="s">
        <v>4172</v>
      </c>
      <c r="AR142" s="171">
        <v>2050</v>
      </c>
      <c r="AS142" s="171">
        <v>2021</v>
      </c>
      <c r="AT142" s="171"/>
      <c r="AU142" s="171"/>
      <c r="AV142" s="171"/>
      <c r="AW142" s="171" t="s">
        <v>2082</v>
      </c>
      <c r="AX142" s="176" t="s">
        <v>7960</v>
      </c>
      <c r="AY142" s="171">
        <v>2023</v>
      </c>
      <c r="AZ142" s="171" t="s">
        <v>4174</v>
      </c>
      <c r="BA142" s="176" t="s">
        <v>7959</v>
      </c>
      <c r="BB142" s="171"/>
      <c r="BC142" s="171"/>
      <c r="BD142" s="171"/>
      <c r="BE142" s="171"/>
      <c r="BF142" s="225"/>
      <c r="BG142" s="171"/>
      <c r="BH142" s="171"/>
      <c r="BI142" s="171"/>
      <c r="BJ142" s="171"/>
      <c r="BK142" s="171"/>
      <c r="BL142" s="171"/>
      <c r="BM142" s="171"/>
      <c r="BN142" s="171"/>
      <c r="BO142" s="171"/>
      <c r="BP142" s="171">
        <v>1</v>
      </c>
      <c r="BQ142" s="171">
        <v>1</v>
      </c>
      <c r="BR142" s="171"/>
      <c r="BS142" s="171">
        <v>1</v>
      </c>
      <c r="BT142" s="171"/>
      <c r="BU142" s="171">
        <v>1</v>
      </c>
      <c r="BV142" s="171"/>
      <c r="BW142" s="171"/>
      <c r="BX142" s="171"/>
      <c r="BY142" s="171"/>
      <c r="BZ142" s="171">
        <v>1</v>
      </c>
      <c r="CA142" s="171"/>
      <c r="CB142" s="171">
        <v>1</v>
      </c>
      <c r="CC142" s="171"/>
      <c r="CD142" s="171"/>
      <c r="CE142" s="171">
        <v>1</v>
      </c>
      <c r="CF142" s="171"/>
      <c r="CG142" s="171">
        <v>1</v>
      </c>
      <c r="CH142" s="171">
        <v>1</v>
      </c>
      <c r="CI142" s="171"/>
      <c r="CJ142" s="171"/>
      <c r="CK142" s="171">
        <v>1</v>
      </c>
      <c r="CL142" s="171">
        <v>1</v>
      </c>
      <c r="CM142">
        <f t="shared" si="40"/>
        <v>2050</v>
      </c>
    </row>
    <row r="143" spans="1:91">
      <c r="A143" s="171">
        <v>451</v>
      </c>
      <c r="B143" s="171" t="s">
        <v>638</v>
      </c>
      <c r="C143" s="171">
        <v>434</v>
      </c>
      <c r="D143" s="171" t="str">
        <f t="shared" si="39"/>
        <v>CN</v>
      </c>
      <c r="E143" s="171" t="s">
        <v>7223</v>
      </c>
      <c r="F143" s="174">
        <v>45512</v>
      </c>
      <c r="G143" s="171" t="s">
        <v>7223</v>
      </c>
      <c r="H143" s="173">
        <v>861.5</v>
      </c>
      <c r="I143" s="171"/>
      <c r="J143" s="171" t="s">
        <v>4459</v>
      </c>
      <c r="K143" s="171" t="s">
        <v>73</v>
      </c>
      <c r="L143" s="171" t="s">
        <v>1994</v>
      </c>
      <c r="M143" s="171" t="s">
        <v>5032</v>
      </c>
      <c r="N143" s="171"/>
      <c r="O143" s="171"/>
      <c r="P143" s="171" t="s">
        <v>5032</v>
      </c>
      <c r="Q143" s="171"/>
      <c r="R143" s="171"/>
      <c r="S143" s="171"/>
      <c r="T143" s="171"/>
      <c r="U143" s="171"/>
      <c r="V143" s="175"/>
      <c r="W143" s="171"/>
      <c r="X143" s="171" t="s">
        <v>7227</v>
      </c>
      <c r="Y143" s="171" t="s">
        <v>7958</v>
      </c>
      <c r="Z143" s="171" t="s">
        <v>7225</v>
      </c>
      <c r="AA143" s="171" t="s">
        <v>4239</v>
      </c>
      <c r="AB143" s="171">
        <v>2035</v>
      </c>
      <c r="AC143" s="171">
        <v>2021</v>
      </c>
      <c r="AD143" s="171" t="s">
        <v>4172</v>
      </c>
      <c r="AE143" s="171">
        <v>2050</v>
      </c>
      <c r="AF143" s="171">
        <v>2021</v>
      </c>
      <c r="AG143" s="171" t="s">
        <v>2082</v>
      </c>
      <c r="AH143" s="171">
        <v>2023</v>
      </c>
      <c r="AI143" s="171" t="s">
        <v>4174</v>
      </c>
      <c r="AJ143" s="176" t="s">
        <v>7957</v>
      </c>
      <c r="AK143" s="171"/>
      <c r="AL143" s="176" t="s">
        <v>7957</v>
      </c>
      <c r="AM143" s="171"/>
      <c r="AN143" s="171" t="s">
        <v>5032</v>
      </c>
      <c r="AO143" s="171"/>
      <c r="AP143" s="171"/>
      <c r="AQ143" s="171" t="s">
        <v>5032</v>
      </c>
      <c r="AR143" s="171"/>
      <c r="AS143" s="171"/>
      <c r="AT143" s="171"/>
      <c r="AU143" s="171"/>
      <c r="AV143" s="171"/>
      <c r="AW143" s="171"/>
      <c r="AX143" s="171"/>
      <c r="AY143" s="171"/>
      <c r="AZ143" s="171"/>
      <c r="BA143" s="171"/>
      <c r="BB143" s="171"/>
      <c r="BC143" s="171"/>
      <c r="BD143" s="171"/>
      <c r="BE143" s="171"/>
      <c r="BF143" s="225"/>
      <c r="BG143" s="171"/>
      <c r="BH143" s="171"/>
      <c r="BI143" s="171"/>
      <c r="BJ143" s="171"/>
      <c r="BK143" s="171"/>
      <c r="BL143" s="171">
        <v>1</v>
      </c>
      <c r="BM143" s="171">
        <v>1</v>
      </c>
      <c r="BN143" s="171"/>
      <c r="BO143" s="171"/>
      <c r="BP143" s="171"/>
      <c r="BQ143" s="171"/>
      <c r="BR143" s="171"/>
      <c r="BS143" s="171"/>
      <c r="BT143" s="171"/>
      <c r="BU143" s="171"/>
      <c r="BV143" s="171"/>
      <c r="BW143" s="171"/>
      <c r="BX143" s="171"/>
      <c r="BY143" s="171"/>
      <c r="BZ143" s="171">
        <v>1</v>
      </c>
      <c r="CA143" s="171"/>
      <c r="CB143" s="171">
        <v>1</v>
      </c>
      <c r="CC143" s="171"/>
      <c r="CD143" s="171"/>
      <c r="CE143" s="171">
        <v>1</v>
      </c>
      <c r="CF143" s="171"/>
      <c r="CG143" s="171"/>
      <c r="CH143" s="171">
        <v>1</v>
      </c>
      <c r="CI143" s="171"/>
      <c r="CJ143" s="171"/>
      <c r="CK143" s="171"/>
      <c r="CL143" s="171"/>
    </row>
    <row r="144" spans="1:91">
      <c r="A144" s="171">
        <v>459</v>
      </c>
      <c r="B144" s="171" t="s">
        <v>7956</v>
      </c>
      <c r="C144" s="171"/>
      <c r="D144" s="171" t="str">
        <f t="shared" si="39"/>
        <v xml:space="preserve"> NZ SBT</v>
      </c>
      <c r="E144" s="171" t="s">
        <v>7223</v>
      </c>
      <c r="F144" s="174">
        <v>45512</v>
      </c>
      <c r="G144" s="184"/>
      <c r="H144" s="173">
        <v>735</v>
      </c>
      <c r="I144" s="181" t="s">
        <v>495</v>
      </c>
      <c r="J144" s="171" t="s">
        <v>4459</v>
      </c>
      <c r="K144" s="171" t="s">
        <v>4457</v>
      </c>
      <c r="L144" s="171" t="s">
        <v>2029</v>
      </c>
      <c r="M144" s="171" t="s">
        <v>5032</v>
      </c>
      <c r="N144" s="171"/>
      <c r="O144" s="171"/>
      <c r="P144" s="171" t="s">
        <v>4174</v>
      </c>
      <c r="Q144" s="171" t="s">
        <v>22</v>
      </c>
      <c r="R144" s="171" t="s">
        <v>2499</v>
      </c>
      <c r="S144" s="171">
        <v>2030</v>
      </c>
      <c r="T144" s="171" t="s">
        <v>1</v>
      </c>
      <c r="U144" s="171"/>
      <c r="V144" s="175" t="s">
        <v>7955</v>
      </c>
      <c r="W144" s="171">
        <v>2021</v>
      </c>
      <c r="X144" s="171" t="s">
        <v>5032</v>
      </c>
      <c r="Y144" s="171"/>
      <c r="Z144" s="171"/>
      <c r="AA144" s="171" t="s">
        <v>5032</v>
      </c>
      <c r="AB144" s="171"/>
      <c r="AC144" s="171"/>
      <c r="AD144" s="171"/>
      <c r="AE144" s="171"/>
      <c r="AF144" s="171"/>
      <c r="AG144" s="171"/>
      <c r="AH144" s="171"/>
      <c r="AI144" s="171"/>
      <c r="AJ144" s="171"/>
      <c r="AK144" s="171"/>
      <c r="AL144" s="171"/>
      <c r="AM144" s="171"/>
      <c r="AN144" s="171" t="s">
        <v>1957</v>
      </c>
      <c r="AO144" s="171" t="s">
        <v>7954</v>
      </c>
      <c r="AP144" s="171" t="s">
        <v>7594</v>
      </c>
      <c r="AQ144" s="171" t="s">
        <v>1957</v>
      </c>
      <c r="AR144" s="171">
        <v>2050</v>
      </c>
      <c r="AS144" s="171">
        <v>2019</v>
      </c>
      <c r="AT144" s="171"/>
      <c r="AU144" s="171"/>
      <c r="AV144" s="171"/>
      <c r="AW144" s="171" t="s">
        <v>2082</v>
      </c>
      <c r="AX144" s="176" t="s">
        <v>7953</v>
      </c>
      <c r="AY144" s="171">
        <v>2024</v>
      </c>
      <c r="AZ144" s="171" t="s">
        <v>4174</v>
      </c>
      <c r="BA144" s="176" t="s">
        <v>7952</v>
      </c>
      <c r="BB144" s="171"/>
      <c r="BC144" s="171"/>
      <c r="BD144" s="171"/>
      <c r="BE144" s="171"/>
      <c r="BF144" s="225"/>
      <c r="BG144" s="171"/>
      <c r="BH144" s="171"/>
      <c r="BI144" s="171"/>
      <c r="BJ144" s="171"/>
      <c r="BK144" s="171"/>
      <c r="BL144" s="171"/>
      <c r="BM144" s="171"/>
      <c r="BN144" s="171"/>
      <c r="BO144" s="171"/>
      <c r="BP144" s="171">
        <v>1</v>
      </c>
      <c r="BQ144" s="171">
        <v>1</v>
      </c>
      <c r="BR144" s="171"/>
      <c r="BS144" s="171">
        <v>1</v>
      </c>
      <c r="BT144" s="171"/>
      <c r="BU144" s="171">
        <v>1</v>
      </c>
      <c r="BV144" s="171"/>
      <c r="BW144" s="171"/>
      <c r="BX144" s="171"/>
      <c r="BY144" s="171"/>
      <c r="BZ144" s="171">
        <v>1</v>
      </c>
      <c r="CA144" s="171"/>
      <c r="CB144" s="171">
        <v>1</v>
      </c>
      <c r="CC144" s="171"/>
      <c r="CD144" s="171"/>
      <c r="CE144" s="171">
        <v>1</v>
      </c>
      <c r="CF144" s="171"/>
      <c r="CG144" s="171">
        <v>1</v>
      </c>
      <c r="CH144" s="171">
        <v>1</v>
      </c>
      <c r="CI144" s="171"/>
      <c r="CJ144" s="171"/>
      <c r="CK144" s="171"/>
      <c r="CL144" s="171"/>
      <c r="CM144">
        <f t="shared" si="40"/>
        <v>2050</v>
      </c>
    </row>
    <row r="145" spans="1:91">
      <c r="A145" s="171">
        <v>10</v>
      </c>
      <c r="B145" s="171" t="s">
        <v>1815</v>
      </c>
      <c r="C145" s="171">
        <v>11</v>
      </c>
      <c r="D145" s="171" t="str">
        <f t="shared" si="39"/>
        <v>CN NZ SBT</v>
      </c>
      <c r="E145" s="171" t="s">
        <v>7221</v>
      </c>
      <c r="F145" s="174">
        <v>45474</v>
      </c>
      <c r="G145" s="171" t="s">
        <v>7223</v>
      </c>
      <c r="H145" s="173">
        <v>8344</v>
      </c>
      <c r="I145" s="171"/>
      <c r="J145" s="171" t="s">
        <v>4201</v>
      </c>
      <c r="K145" s="171" t="s">
        <v>4457</v>
      </c>
      <c r="L145" s="171" t="s">
        <v>2029</v>
      </c>
      <c r="M145" s="171" t="s">
        <v>5032</v>
      </c>
      <c r="N145" s="171"/>
      <c r="O145" s="171"/>
      <c r="P145" s="171" t="s">
        <v>4174</v>
      </c>
      <c r="Q145" s="171" t="s">
        <v>22</v>
      </c>
      <c r="R145" s="171" t="s">
        <v>7233</v>
      </c>
      <c r="S145" s="171">
        <v>2030</v>
      </c>
      <c r="T145" s="171" t="s">
        <v>361</v>
      </c>
      <c r="U145" s="171">
        <v>2050</v>
      </c>
      <c r="V145" s="172">
        <v>44470</v>
      </c>
      <c r="W145" s="171">
        <v>2021</v>
      </c>
      <c r="X145" s="171" t="s">
        <v>1957</v>
      </c>
      <c r="Y145" s="171" t="s">
        <v>418</v>
      </c>
      <c r="Z145" s="171" t="s">
        <v>7225</v>
      </c>
      <c r="AA145" s="171" t="s">
        <v>1957</v>
      </c>
      <c r="AB145" s="171">
        <v>2030</v>
      </c>
      <c r="AC145" s="171">
        <v>2021</v>
      </c>
      <c r="AD145" s="171"/>
      <c r="AE145" s="171"/>
      <c r="AF145" s="171"/>
      <c r="AG145" s="171" t="s">
        <v>2082</v>
      </c>
      <c r="AH145" s="171">
        <v>2023</v>
      </c>
      <c r="AI145" s="171" t="s">
        <v>4174</v>
      </c>
      <c r="AJ145" s="171" t="s">
        <v>7947</v>
      </c>
      <c r="AK145" s="171"/>
      <c r="AL145" s="171" t="s">
        <v>7948</v>
      </c>
      <c r="AM145" s="171" t="s">
        <v>7951</v>
      </c>
      <c r="AN145" s="171" t="s">
        <v>7227</v>
      </c>
      <c r="AO145" s="171" t="s">
        <v>7950</v>
      </c>
      <c r="AP145" s="171" t="s">
        <v>7949</v>
      </c>
      <c r="AQ145" s="171" t="s">
        <v>1957</v>
      </c>
      <c r="AR145" s="171">
        <v>2048</v>
      </c>
      <c r="AS145" s="171">
        <v>2021</v>
      </c>
      <c r="AT145" s="171" t="s">
        <v>4172</v>
      </c>
      <c r="AU145" s="171">
        <v>2050</v>
      </c>
      <c r="AV145" s="171">
        <v>2021</v>
      </c>
      <c r="AW145" s="171" t="s">
        <v>2082</v>
      </c>
      <c r="AX145" s="171" t="s">
        <v>7948</v>
      </c>
      <c r="AY145" s="171">
        <v>2023</v>
      </c>
      <c r="AZ145" s="171" t="s">
        <v>4174</v>
      </c>
      <c r="BA145" s="171" t="s">
        <v>7947</v>
      </c>
      <c r="BB145" s="171"/>
      <c r="BC145" s="171"/>
      <c r="BD145" s="171"/>
      <c r="BE145" s="171"/>
      <c r="BF145" s="225"/>
      <c r="BG145" s="171"/>
      <c r="BH145" s="171"/>
      <c r="BI145" s="171"/>
      <c r="BJ145" s="171"/>
      <c r="BK145" s="171">
        <v>1</v>
      </c>
      <c r="BL145" s="171"/>
      <c r="BM145" s="171">
        <v>1</v>
      </c>
      <c r="BN145" s="171"/>
      <c r="BO145" s="171"/>
      <c r="BP145" s="171">
        <v>1</v>
      </c>
      <c r="BQ145" s="171">
        <v>1</v>
      </c>
      <c r="BR145" s="171"/>
      <c r="BS145" s="171">
        <v>1</v>
      </c>
      <c r="BT145" s="171"/>
      <c r="BU145" s="171">
        <v>1</v>
      </c>
      <c r="BV145" s="171"/>
      <c r="BW145" s="171"/>
      <c r="BX145" s="171"/>
      <c r="BY145" s="171"/>
      <c r="BZ145" s="171">
        <v>1</v>
      </c>
      <c r="CA145" s="171">
        <v>1</v>
      </c>
      <c r="CB145" s="171">
        <v>1</v>
      </c>
      <c r="CC145" s="171"/>
      <c r="CD145" s="171"/>
      <c r="CE145" s="171">
        <v>1</v>
      </c>
      <c r="CF145" s="171"/>
      <c r="CG145" s="171">
        <v>1</v>
      </c>
      <c r="CH145" s="171">
        <v>1</v>
      </c>
      <c r="CI145" s="171"/>
      <c r="CJ145" s="171"/>
      <c r="CK145" s="171">
        <v>1</v>
      </c>
      <c r="CL145" s="171">
        <v>1</v>
      </c>
      <c r="CM145">
        <f t="shared" si="40"/>
        <v>2050</v>
      </c>
    </row>
    <row r="146" spans="1:91">
      <c r="A146" s="171">
        <v>434</v>
      </c>
      <c r="B146" s="171" t="s">
        <v>5227</v>
      </c>
      <c r="C146" s="171">
        <v>455</v>
      </c>
      <c r="D146" s="171" t="str">
        <f t="shared" si="39"/>
        <v/>
      </c>
      <c r="E146" s="171" t="s">
        <v>7223</v>
      </c>
      <c r="F146" s="174">
        <v>45512</v>
      </c>
      <c r="G146" s="171" t="s">
        <v>7223</v>
      </c>
      <c r="H146" s="173">
        <v>4745.7</v>
      </c>
      <c r="I146" s="171"/>
      <c r="J146" s="171" t="s">
        <v>7456</v>
      </c>
      <c r="K146" s="171" t="s">
        <v>4457</v>
      </c>
      <c r="L146" s="171" t="s">
        <v>2029</v>
      </c>
      <c r="M146" s="171" t="s">
        <v>5032</v>
      </c>
      <c r="N146" s="171"/>
      <c r="O146" s="171"/>
      <c r="P146" s="171" t="s">
        <v>5032</v>
      </c>
      <c r="Q146" s="171"/>
      <c r="R146" s="171"/>
      <c r="S146" s="171"/>
      <c r="T146" s="171"/>
      <c r="U146" s="171"/>
      <c r="V146" s="175"/>
      <c r="W146" s="171"/>
      <c r="X146" s="171" t="s">
        <v>5032</v>
      </c>
      <c r="Y146" s="171"/>
      <c r="Z146" s="171"/>
      <c r="AA146" s="171" t="s">
        <v>5032</v>
      </c>
      <c r="AB146" s="171"/>
      <c r="AC146" s="171"/>
      <c r="AD146" s="171"/>
      <c r="AE146" s="171"/>
      <c r="AF146" s="171"/>
      <c r="AG146" s="171"/>
      <c r="AH146" s="171"/>
      <c r="AI146" s="171"/>
      <c r="AJ146" s="171"/>
      <c r="AK146" s="171"/>
      <c r="AL146" s="171"/>
      <c r="AM146" s="171"/>
      <c r="AN146" s="171" t="s">
        <v>5032</v>
      </c>
      <c r="AO146" s="171"/>
      <c r="AP146" s="171"/>
      <c r="AQ146" s="171" t="s">
        <v>5032</v>
      </c>
      <c r="AR146" s="171"/>
      <c r="AS146" s="171"/>
      <c r="AT146" s="171"/>
      <c r="AU146" s="171"/>
      <c r="AV146" s="171"/>
      <c r="AW146" s="171"/>
      <c r="AX146" s="171"/>
      <c r="AY146" s="171"/>
      <c r="AZ146" s="171"/>
      <c r="BA146" s="171"/>
      <c r="BB146" s="171"/>
      <c r="BC146" s="171"/>
      <c r="BD146" s="171"/>
      <c r="BE146" s="171"/>
      <c r="BF146" s="225"/>
      <c r="BG146" s="171"/>
      <c r="BH146" s="171"/>
      <c r="BI146" s="171"/>
      <c r="BJ146" s="171"/>
      <c r="BK146" s="171"/>
      <c r="BL146" s="171"/>
      <c r="BM146" s="171"/>
      <c r="BN146" s="171"/>
      <c r="BO146" s="171"/>
      <c r="BP146" s="171"/>
      <c r="BQ146" s="171"/>
      <c r="BR146" s="171"/>
      <c r="BS146" s="171"/>
      <c r="BT146" s="171"/>
      <c r="BU146" s="171"/>
      <c r="BV146" s="171"/>
      <c r="BW146" s="171"/>
      <c r="BX146" s="171"/>
      <c r="BY146" s="171"/>
      <c r="BZ146" s="171"/>
      <c r="CA146" s="171"/>
      <c r="CB146" s="171"/>
      <c r="CC146" s="171"/>
      <c r="CD146" s="171"/>
      <c r="CE146" s="171"/>
      <c r="CF146" s="171"/>
      <c r="CG146" s="171"/>
      <c r="CH146" s="171"/>
      <c r="CI146" s="171"/>
      <c r="CJ146" s="171"/>
      <c r="CK146" s="171"/>
      <c r="CL146" s="171"/>
    </row>
    <row r="147" spans="1:91">
      <c r="A147" s="171">
        <v>164</v>
      </c>
      <c r="B147" s="171" t="s">
        <v>1318</v>
      </c>
      <c r="C147" s="171">
        <v>182</v>
      </c>
      <c r="D147" s="171" t="str">
        <f t="shared" si="39"/>
        <v xml:space="preserve"> NZ</v>
      </c>
      <c r="E147" s="171" t="s">
        <v>7223</v>
      </c>
      <c r="F147" s="174">
        <v>45476</v>
      </c>
      <c r="G147" s="171" t="s">
        <v>7220</v>
      </c>
      <c r="H147" s="173">
        <v>2219.4</v>
      </c>
      <c r="I147" s="171"/>
      <c r="J147" s="171" t="s">
        <v>4465</v>
      </c>
      <c r="K147" s="171" t="s">
        <v>207</v>
      </c>
      <c r="L147" s="171" t="s">
        <v>1994</v>
      </c>
      <c r="M147" s="171" t="s">
        <v>5032</v>
      </c>
      <c r="N147" s="171"/>
      <c r="O147" s="171"/>
      <c r="P147" s="171" t="s">
        <v>5032</v>
      </c>
      <c r="Q147" s="171"/>
      <c r="R147" s="171"/>
      <c r="S147" s="171"/>
      <c r="T147" s="171"/>
      <c r="U147" s="171"/>
      <c r="V147" s="175"/>
      <c r="W147" s="171"/>
      <c r="X147" s="171" t="s">
        <v>7229</v>
      </c>
      <c r="Y147" s="171"/>
      <c r="Z147" s="171"/>
      <c r="AA147" s="171" t="s">
        <v>7229</v>
      </c>
      <c r="AB147" s="171"/>
      <c r="AC147" s="171"/>
      <c r="AD147" s="171"/>
      <c r="AE147" s="171"/>
      <c r="AF147" s="171"/>
      <c r="AG147" s="171"/>
      <c r="AH147" s="171"/>
      <c r="AI147" s="171"/>
      <c r="AJ147" s="171"/>
      <c r="AK147" s="171"/>
      <c r="AL147" s="171"/>
      <c r="AM147" s="171"/>
      <c r="AN147" s="171" t="s">
        <v>4172</v>
      </c>
      <c r="AO147" s="171" t="s">
        <v>7946</v>
      </c>
      <c r="AP147" s="171" t="s">
        <v>2072</v>
      </c>
      <c r="AQ147" s="171" t="s">
        <v>4172</v>
      </c>
      <c r="AR147" s="171">
        <v>2050</v>
      </c>
      <c r="AS147" s="171">
        <v>2021</v>
      </c>
      <c r="AT147" s="171"/>
      <c r="AU147" s="171"/>
      <c r="AV147" s="171"/>
      <c r="AW147" s="171" t="s">
        <v>2082</v>
      </c>
      <c r="AX147" s="171" t="s">
        <v>7944</v>
      </c>
      <c r="AY147" s="171">
        <v>2021</v>
      </c>
      <c r="AZ147" s="171" t="s">
        <v>4174</v>
      </c>
      <c r="BA147" s="171" t="s">
        <v>6402</v>
      </c>
      <c r="BB147" s="171"/>
      <c r="BC147" s="171" t="s">
        <v>7945</v>
      </c>
      <c r="BD147" s="171" t="s">
        <v>4174</v>
      </c>
      <c r="BE147" s="171" t="s">
        <v>7944</v>
      </c>
      <c r="BF147" s="225" t="s">
        <v>5032</v>
      </c>
      <c r="BG147" s="171"/>
      <c r="BH147" s="171"/>
      <c r="BI147" s="171"/>
      <c r="BJ147" s="171"/>
      <c r="BK147" s="171"/>
      <c r="BL147" s="171"/>
      <c r="BM147" s="171"/>
      <c r="BN147" s="171"/>
      <c r="BO147" s="171"/>
      <c r="BP147" s="171">
        <v>1</v>
      </c>
      <c r="BQ147" s="171">
        <v>1</v>
      </c>
      <c r="BR147" s="171"/>
      <c r="BS147" s="171"/>
      <c r="BT147" s="171"/>
      <c r="BU147" s="171"/>
      <c r="BV147" s="171"/>
      <c r="BW147" s="171"/>
      <c r="BX147" s="171"/>
      <c r="BY147" s="171"/>
      <c r="BZ147" s="171">
        <v>1</v>
      </c>
      <c r="CA147" s="171"/>
      <c r="CB147" s="171">
        <v>1</v>
      </c>
      <c r="CC147" s="171"/>
      <c r="CD147" s="171"/>
      <c r="CE147" s="171">
        <v>1</v>
      </c>
      <c r="CF147" s="171"/>
      <c r="CG147" s="171"/>
      <c r="CH147" s="171">
        <v>1</v>
      </c>
      <c r="CI147" s="171"/>
      <c r="CJ147" s="171"/>
      <c r="CK147" s="171">
        <v>1</v>
      </c>
      <c r="CL147" s="171">
        <v>1</v>
      </c>
      <c r="CM147">
        <f t="shared" si="40"/>
        <v>2050</v>
      </c>
    </row>
    <row r="148" spans="1:91">
      <c r="A148" s="171">
        <v>227</v>
      </c>
      <c r="B148" s="171" t="s">
        <v>6051</v>
      </c>
      <c r="C148" s="171">
        <v>264</v>
      </c>
      <c r="D148" s="171" t="str">
        <f t="shared" si="39"/>
        <v>CN</v>
      </c>
      <c r="E148" s="171" t="s">
        <v>7223</v>
      </c>
      <c r="F148" s="174">
        <v>45477</v>
      </c>
      <c r="G148" s="171" t="s">
        <v>7223</v>
      </c>
      <c r="H148" s="173">
        <v>4081</v>
      </c>
      <c r="I148" s="171"/>
      <c r="J148" s="171" t="s">
        <v>4476</v>
      </c>
      <c r="K148" s="171" t="s">
        <v>146</v>
      </c>
      <c r="L148" s="171" t="s">
        <v>1951</v>
      </c>
      <c r="M148" s="171" t="s">
        <v>5032</v>
      </c>
      <c r="N148" s="171"/>
      <c r="O148" s="171"/>
      <c r="P148" s="171" t="s">
        <v>5032</v>
      </c>
      <c r="Q148" s="171"/>
      <c r="R148" s="171"/>
      <c r="S148" s="171"/>
      <c r="T148" s="171"/>
      <c r="U148" s="171"/>
      <c r="V148" s="175"/>
      <c r="W148" s="171"/>
      <c r="X148" s="171" t="s">
        <v>7227</v>
      </c>
      <c r="Y148" s="171" t="s">
        <v>7943</v>
      </c>
      <c r="Z148" s="171" t="s">
        <v>7942</v>
      </c>
      <c r="AA148" s="171" t="s">
        <v>1957</v>
      </c>
      <c r="AB148" s="171">
        <v>2039</v>
      </c>
      <c r="AC148" s="171">
        <v>2021</v>
      </c>
      <c r="AD148" s="171" t="s">
        <v>4172</v>
      </c>
      <c r="AE148" s="171">
        <v>2050</v>
      </c>
      <c r="AF148" s="171">
        <v>2021</v>
      </c>
      <c r="AG148" s="171" t="s">
        <v>2082</v>
      </c>
      <c r="AH148" s="171"/>
      <c r="AI148" s="171" t="s">
        <v>4174</v>
      </c>
      <c r="AJ148" s="171"/>
      <c r="AK148" s="171"/>
      <c r="AL148" s="171" t="s">
        <v>7941</v>
      </c>
      <c r="AM148" s="171" t="s">
        <v>7940</v>
      </c>
      <c r="AN148" s="171" t="s">
        <v>5032</v>
      </c>
      <c r="AO148" s="171"/>
      <c r="AP148" s="171"/>
      <c r="AQ148" s="171" t="s">
        <v>5032</v>
      </c>
      <c r="AR148" s="171"/>
      <c r="AS148" s="171"/>
      <c r="AT148" s="171"/>
      <c r="AU148" s="171"/>
      <c r="AV148" s="171"/>
      <c r="AW148" s="171"/>
      <c r="AX148" s="171"/>
      <c r="AY148" s="171"/>
      <c r="AZ148" s="171"/>
      <c r="BA148" s="171"/>
      <c r="BB148" s="171"/>
      <c r="BC148" s="171"/>
      <c r="BD148" s="171"/>
      <c r="BE148" s="171"/>
      <c r="BF148" s="225" t="s">
        <v>5032</v>
      </c>
      <c r="BG148" s="171"/>
      <c r="BH148" s="171"/>
      <c r="BI148" s="171"/>
      <c r="BJ148" s="171"/>
      <c r="BK148" s="171"/>
      <c r="BL148" s="171">
        <v>1</v>
      </c>
      <c r="BM148" s="171">
        <v>1</v>
      </c>
      <c r="BN148" s="171"/>
      <c r="BO148" s="171"/>
      <c r="BP148" s="171"/>
      <c r="BQ148" s="171"/>
      <c r="BR148" s="171"/>
      <c r="BS148" s="171"/>
      <c r="BT148" s="171"/>
      <c r="BU148" s="171"/>
      <c r="BV148" s="171"/>
      <c r="BW148" s="171"/>
      <c r="BX148" s="171"/>
      <c r="BY148" s="171"/>
      <c r="BZ148" s="171">
        <v>1</v>
      </c>
      <c r="CA148" s="171"/>
      <c r="CB148" s="171">
        <v>1</v>
      </c>
      <c r="CC148" s="171"/>
      <c r="CD148" s="171"/>
      <c r="CE148" s="171">
        <v>1</v>
      </c>
      <c r="CF148" s="171"/>
      <c r="CG148" s="171"/>
      <c r="CH148" s="171">
        <v>1</v>
      </c>
      <c r="CI148" s="171"/>
      <c r="CJ148" s="171"/>
      <c r="CK148" s="171"/>
      <c r="CL148" s="171"/>
    </row>
    <row r="149" spans="1:91">
      <c r="A149" s="171">
        <v>423</v>
      </c>
      <c r="B149" s="171" t="s">
        <v>736</v>
      </c>
      <c r="C149" s="171">
        <v>418</v>
      </c>
      <c r="D149" s="171" t="str">
        <f t="shared" si="39"/>
        <v>CN NZ SBT RE100</v>
      </c>
      <c r="E149" s="171" t="s">
        <v>7385</v>
      </c>
      <c r="F149" s="174">
        <v>45512</v>
      </c>
      <c r="G149" s="171" t="s">
        <v>7220</v>
      </c>
      <c r="H149" s="173">
        <v>2067.1</v>
      </c>
      <c r="I149" s="171"/>
      <c r="J149" s="171" t="s">
        <v>4197</v>
      </c>
      <c r="K149" s="171" t="s">
        <v>207</v>
      </c>
      <c r="L149" s="171" t="s">
        <v>1994</v>
      </c>
      <c r="M149" s="171" t="s">
        <v>4174</v>
      </c>
      <c r="N149" s="171">
        <v>2018</v>
      </c>
      <c r="O149" s="171">
        <v>2024</v>
      </c>
      <c r="P149" s="171" t="s">
        <v>4174</v>
      </c>
      <c r="Q149" s="171" t="s">
        <v>22</v>
      </c>
      <c r="R149" s="171" t="s">
        <v>7233</v>
      </c>
      <c r="S149" s="171">
        <v>2026</v>
      </c>
      <c r="T149" s="171" t="s">
        <v>361</v>
      </c>
      <c r="U149" s="171">
        <v>2050</v>
      </c>
      <c r="V149" s="172">
        <v>45108</v>
      </c>
      <c r="W149" s="171">
        <v>2023</v>
      </c>
      <c r="X149" s="171" t="s">
        <v>1957</v>
      </c>
      <c r="Y149" s="171" t="s">
        <v>7939</v>
      </c>
      <c r="Z149" s="171" t="s">
        <v>3283</v>
      </c>
      <c r="AA149" s="171" t="s">
        <v>1957</v>
      </c>
      <c r="AB149" s="171">
        <v>2050</v>
      </c>
      <c r="AC149" s="171">
        <v>2021</v>
      </c>
      <c r="AD149" s="171"/>
      <c r="AE149" s="171"/>
      <c r="AF149" s="171"/>
      <c r="AG149" s="171" t="s">
        <v>2082</v>
      </c>
      <c r="AH149" s="171"/>
      <c r="AI149" s="171" t="s">
        <v>4174</v>
      </c>
      <c r="AJ149" s="171"/>
      <c r="AK149" s="171"/>
      <c r="AL149" s="171" t="s">
        <v>7938</v>
      </c>
      <c r="AM149" s="171"/>
      <c r="AN149" s="171" t="s">
        <v>4172</v>
      </c>
      <c r="AO149" s="171" t="s">
        <v>4332</v>
      </c>
      <c r="AP149" s="171" t="s">
        <v>2072</v>
      </c>
      <c r="AQ149" s="171" t="s">
        <v>4172</v>
      </c>
      <c r="AR149" s="171">
        <v>2050</v>
      </c>
      <c r="AS149" s="171">
        <v>2023</v>
      </c>
      <c r="AT149" s="171"/>
      <c r="AU149" s="171"/>
      <c r="AV149" s="171"/>
      <c r="AW149" s="171" t="s">
        <v>2082</v>
      </c>
      <c r="AX149" s="171" t="s">
        <v>7938</v>
      </c>
      <c r="AY149" s="171"/>
      <c r="AZ149" s="171"/>
      <c r="BA149" s="171"/>
      <c r="BB149" s="171"/>
      <c r="BC149" s="171"/>
      <c r="BD149" s="171"/>
      <c r="BE149" s="171"/>
      <c r="BF149" s="225"/>
      <c r="BG149" s="171"/>
      <c r="BH149" s="171"/>
      <c r="BI149" s="171"/>
      <c r="BJ149" s="171"/>
      <c r="BK149" s="171"/>
      <c r="BL149" s="171">
        <v>1</v>
      </c>
      <c r="BM149" s="171">
        <v>1</v>
      </c>
      <c r="BN149" s="171"/>
      <c r="BO149" s="171"/>
      <c r="BP149" s="171">
        <v>1</v>
      </c>
      <c r="BQ149" s="171">
        <v>1</v>
      </c>
      <c r="BR149" s="171"/>
      <c r="BS149" s="171">
        <v>1</v>
      </c>
      <c r="BT149" s="171"/>
      <c r="BU149" s="171">
        <v>1</v>
      </c>
      <c r="BV149" s="171"/>
      <c r="BW149" s="171">
        <v>1</v>
      </c>
      <c r="BX149" s="171"/>
      <c r="BY149" s="171">
        <v>1</v>
      </c>
      <c r="BZ149" s="171">
        <v>1</v>
      </c>
      <c r="CA149" s="171"/>
      <c r="CB149" s="171">
        <v>1</v>
      </c>
      <c r="CC149" s="171"/>
      <c r="CD149" s="171"/>
      <c r="CE149" s="171">
        <v>1</v>
      </c>
      <c r="CF149" s="171"/>
      <c r="CG149" s="171">
        <v>1</v>
      </c>
      <c r="CH149" s="171">
        <v>1</v>
      </c>
      <c r="CI149" s="171"/>
      <c r="CJ149" s="171"/>
      <c r="CK149" s="171">
        <v>1</v>
      </c>
      <c r="CL149" s="171">
        <v>1</v>
      </c>
      <c r="CM149">
        <f t="shared" si="40"/>
        <v>2050</v>
      </c>
    </row>
    <row r="150" spans="1:91">
      <c r="A150" s="171">
        <v>221</v>
      </c>
      <c r="B150" s="171" t="s">
        <v>727</v>
      </c>
      <c r="C150" s="171">
        <v>268</v>
      </c>
      <c r="D150" s="171" t="str">
        <f t="shared" si="39"/>
        <v xml:space="preserve"> SBT</v>
      </c>
      <c r="E150" s="171" t="s">
        <v>7228</v>
      </c>
      <c r="F150" s="174">
        <v>45477</v>
      </c>
      <c r="G150" s="171" t="s">
        <v>7223</v>
      </c>
      <c r="H150" s="173">
        <v>10166</v>
      </c>
      <c r="I150" s="171"/>
      <c r="J150" s="171" t="s">
        <v>4459</v>
      </c>
      <c r="K150" s="171" t="s">
        <v>4457</v>
      </c>
      <c r="L150" s="171" t="s">
        <v>2029</v>
      </c>
      <c r="M150" s="171" t="s">
        <v>5032</v>
      </c>
      <c r="N150" s="171"/>
      <c r="O150" s="171"/>
      <c r="P150" s="171" t="s">
        <v>4174</v>
      </c>
      <c r="Q150" s="171" t="s">
        <v>22</v>
      </c>
      <c r="R150" s="171" t="s">
        <v>7233</v>
      </c>
      <c r="S150" s="171">
        <v>2030</v>
      </c>
      <c r="T150" s="171" t="s">
        <v>1</v>
      </c>
      <c r="U150" s="171"/>
      <c r="V150" s="172">
        <v>44835</v>
      </c>
      <c r="W150" s="171">
        <v>2022</v>
      </c>
      <c r="X150" s="171" t="s">
        <v>5032</v>
      </c>
      <c r="Y150" s="171"/>
      <c r="Z150" s="171"/>
      <c r="AA150" s="171" t="s">
        <v>5032</v>
      </c>
      <c r="AB150" s="171"/>
      <c r="AC150" s="171"/>
      <c r="AD150" s="171"/>
      <c r="AE150" s="171"/>
      <c r="AF150" s="171"/>
      <c r="AG150" s="171"/>
      <c r="AH150" s="171"/>
      <c r="AI150" s="171"/>
      <c r="AJ150" s="171"/>
      <c r="AK150" s="171"/>
      <c r="AL150" s="171"/>
      <c r="AM150" s="171"/>
      <c r="AN150" s="171" t="s">
        <v>5032</v>
      </c>
      <c r="AO150" s="171"/>
      <c r="AP150" s="171"/>
      <c r="AQ150" s="171" t="s">
        <v>5032</v>
      </c>
      <c r="AR150" s="171"/>
      <c r="AS150" s="171"/>
      <c r="AT150" s="171"/>
      <c r="AU150" s="171"/>
      <c r="AV150" s="171"/>
      <c r="AW150" s="171"/>
      <c r="AX150" s="171"/>
      <c r="AY150" s="171"/>
      <c r="AZ150" s="171"/>
      <c r="BA150" s="171"/>
      <c r="BB150" s="171"/>
      <c r="BC150" s="171"/>
      <c r="BD150" s="171"/>
      <c r="BE150" s="171"/>
      <c r="BF150" s="225"/>
      <c r="BG150" s="171"/>
      <c r="BH150" s="171"/>
      <c r="BI150" s="171"/>
      <c r="BJ150" s="171"/>
      <c r="BK150" s="171"/>
      <c r="BL150" s="171"/>
      <c r="BM150" s="171"/>
      <c r="BN150" s="171"/>
      <c r="BO150" s="171"/>
      <c r="BP150" s="171"/>
      <c r="BQ150" s="171"/>
      <c r="BR150" s="171"/>
      <c r="BS150" s="171">
        <v>1</v>
      </c>
      <c r="BT150" s="171"/>
      <c r="BU150" s="171">
        <v>1</v>
      </c>
      <c r="BV150" s="171"/>
      <c r="BW150" s="171"/>
      <c r="BX150" s="171"/>
      <c r="BY150" s="171"/>
      <c r="BZ150" s="171"/>
      <c r="CA150" s="171"/>
      <c r="CB150" s="171"/>
      <c r="CC150" s="171"/>
      <c r="CD150" s="171"/>
      <c r="CE150" s="171">
        <v>1</v>
      </c>
      <c r="CF150" s="171"/>
      <c r="CG150" s="171">
        <v>1</v>
      </c>
      <c r="CH150" s="171">
        <v>1</v>
      </c>
      <c r="CI150" s="171"/>
      <c r="CJ150" s="171"/>
      <c r="CK150" s="171"/>
      <c r="CL150" s="171"/>
    </row>
    <row r="151" spans="1:91">
      <c r="A151" s="171">
        <v>133</v>
      </c>
      <c r="B151" s="171" t="s">
        <v>1600</v>
      </c>
      <c r="C151" s="171">
        <v>97</v>
      </c>
      <c r="D151" s="171" t="str">
        <f t="shared" si="39"/>
        <v xml:space="preserve"> NZ SBT RE100</v>
      </c>
      <c r="E151" s="171" t="s">
        <v>7228</v>
      </c>
      <c r="F151" s="174">
        <v>45475</v>
      </c>
      <c r="G151" s="171" t="s">
        <v>7220</v>
      </c>
      <c r="H151" s="173">
        <v>3211</v>
      </c>
      <c r="I151" s="171"/>
      <c r="J151" s="171" t="s">
        <v>186</v>
      </c>
      <c r="K151" s="171" t="s">
        <v>4457</v>
      </c>
      <c r="L151" s="171" t="s">
        <v>2029</v>
      </c>
      <c r="M151" s="171" t="s">
        <v>4174</v>
      </c>
      <c r="N151" s="171">
        <v>2019</v>
      </c>
      <c r="O151" s="171">
        <v>2040</v>
      </c>
      <c r="P151" s="171" t="s">
        <v>4174</v>
      </c>
      <c r="Q151" s="171" t="s">
        <v>22</v>
      </c>
      <c r="R151" s="171" t="s">
        <v>7233</v>
      </c>
      <c r="S151" s="171">
        <v>2031</v>
      </c>
      <c r="T151" s="171" t="s">
        <v>361</v>
      </c>
      <c r="U151" s="171"/>
      <c r="V151" s="172">
        <v>44927</v>
      </c>
      <c r="W151" s="171">
        <v>2023</v>
      </c>
      <c r="X151" s="171" t="s">
        <v>5032</v>
      </c>
      <c r="Y151" s="171"/>
      <c r="Z151" s="171"/>
      <c r="AA151" s="171" t="s">
        <v>5032</v>
      </c>
      <c r="AB151" s="171"/>
      <c r="AC151" s="171"/>
      <c r="AD151" s="171"/>
      <c r="AE151" s="171"/>
      <c r="AF151" s="171"/>
      <c r="AG151" s="171"/>
      <c r="AH151" s="171"/>
      <c r="AI151" s="171"/>
      <c r="AJ151" s="171"/>
      <c r="AK151" s="171"/>
      <c r="AL151" s="171"/>
      <c r="AM151" s="171"/>
      <c r="AN151" s="171" t="s">
        <v>4172</v>
      </c>
      <c r="AO151" s="171" t="s">
        <v>4259</v>
      </c>
      <c r="AP151" s="171" t="s">
        <v>7834</v>
      </c>
      <c r="AQ151" s="171" t="s">
        <v>4172</v>
      </c>
      <c r="AR151" s="171">
        <v>2050</v>
      </c>
      <c r="AS151" s="171">
        <v>2021</v>
      </c>
      <c r="AT151" s="171"/>
      <c r="AU151" s="171"/>
      <c r="AV151" s="171"/>
      <c r="AW151" s="171" t="s">
        <v>4174</v>
      </c>
      <c r="AX151" s="171" t="s">
        <v>7937</v>
      </c>
      <c r="AY151" s="171">
        <v>2024</v>
      </c>
      <c r="AZ151" s="171" t="s">
        <v>4174</v>
      </c>
      <c r="BA151" s="171" t="s">
        <v>7937</v>
      </c>
      <c r="BB151" s="171"/>
      <c r="BC151" s="171" t="s">
        <v>7936</v>
      </c>
      <c r="BD151" s="171"/>
      <c r="BE151" s="171"/>
      <c r="BF151" s="225"/>
      <c r="BG151" s="171"/>
      <c r="BH151" s="171"/>
      <c r="BI151" s="171"/>
      <c r="BJ151" s="171"/>
      <c r="BK151" s="171"/>
      <c r="BL151" s="171"/>
      <c r="BM151" s="171"/>
      <c r="BN151" s="171"/>
      <c r="BO151" s="171"/>
      <c r="BP151" s="171">
        <v>1</v>
      </c>
      <c r="BQ151" s="171">
        <v>1</v>
      </c>
      <c r="BR151" s="171"/>
      <c r="BS151" s="171"/>
      <c r="BT151" s="171">
        <v>1</v>
      </c>
      <c r="BU151" s="171">
        <v>1</v>
      </c>
      <c r="BV151" s="171"/>
      <c r="BW151" s="171"/>
      <c r="BX151" s="171">
        <v>1</v>
      </c>
      <c r="BY151" s="171">
        <v>1</v>
      </c>
      <c r="BZ151" s="171">
        <v>1</v>
      </c>
      <c r="CA151" s="171"/>
      <c r="CB151" s="171">
        <v>1</v>
      </c>
      <c r="CC151" s="171">
        <v>1</v>
      </c>
      <c r="CD151" s="171"/>
      <c r="CE151" s="171">
        <v>1</v>
      </c>
      <c r="CF151" s="171"/>
      <c r="CG151" s="171"/>
      <c r="CH151" s="171">
        <v>1</v>
      </c>
      <c r="CI151" s="171"/>
      <c r="CJ151" s="171"/>
      <c r="CK151" s="171">
        <v>1</v>
      </c>
      <c r="CL151" s="171">
        <v>1</v>
      </c>
      <c r="CM151">
        <f t="shared" si="40"/>
        <v>2050</v>
      </c>
    </row>
    <row r="152" spans="1:91">
      <c r="A152" s="171">
        <v>237</v>
      </c>
      <c r="B152" s="171" t="s">
        <v>958</v>
      </c>
      <c r="C152" s="171">
        <v>280</v>
      </c>
      <c r="D152" s="171" t="str">
        <f t="shared" si="39"/>
        <v>CN NZ SBT</v>
      </c>
      <c r="E152" s="171" t="s">
        <v>7223</v>
      </c>
      <c r="F152" s="174">
        <v>45478</v>
      </c>
      <c r="G152" s="171" t="s">
        <v>7223</v>
      </c>
      <c r="H152" s="173">
        <v>4609</v>
      </c>
      <c r="I152" s="171"/>
      <c r="J152" s="171" t="s">
        <v>4376</v>
      </c>
      <c r="K152" s="171" t="s">
        <v>4457</v>
      </c>
      <c r="L152" s="171" t="s">
        <v>2029</v>
      </c>
      <c r="M152" s="171" t="s">
        <v>5032</v>
      </c>
      <c r="N152" s="171"/>
      <c r="O152" s="171"/>
      <c r="P152" s="171" t="s">
        <v>4174</v>
      </c>
      <c r="Q152" s="171" t="s">
        <v>22</v>
      </c>
      <c r="R152" s="171" t="s">
        <v>7277</v>
      </c>
      <c r="S152" s="171">
        <v>2035</v>
      </c>
      <c r="T152" s="171" t="s">
        <v>361</v>
      </c>
      <c r="U152" s="171"/>
      <c r="V152" s="172">
        <v>44805</v>
      </c>
      <c r="W152" s="171">
        <v>2022</v>
      </c>
      <c r="X152" s="171" t="s">
        <v>1957</v>
      </c>
      <c r="Y152" s="171" t="s">
        <v>160</v>
      </c>
      <c r="Z152" s="171" t="s">
        <v>7225</v>
      </c>
      <c r="AA152" s="171" t="s">
        <v>1957</v>
      </c>
      <c r="AB152" s="171">
        <v>2020</v>
      </c>
      <c r="AC152" s="171">
        <v>2020</v>
      </c>
      <c r="AD152" s="171"/>
      <c r="AE152" s="171"/>
      <c r="AF152" s="171"/>
      <c r="AG152" s="171" t="s">
        <v>4174</v>
      </c>
      <c r="AH152" s="171">
        <v>2024</v>
      </c>
      <c r="AI152" s="171" t="s">
        <v>5032</v>
      </c>
      <c r="AJ152" s="176" t="s">
        <v>7935</v>
      </c>
      <c r="AK152" s="171"/>
      <c r="AL152" s="171" t="s">
        <v>4486</v>
      </c>
      <c r="AM152" s="171" t="s">
        <v>7934</v>
      </c>
      <c r="AN152" s="171" t="s">
        <v>1957</v>
      </c>
      <c r="AO152" s="171" t="s">
        <v>7933</v>
      </c>
      <c r="AP152" s="171" t="s">
        <v>2072</v>
      </c>
      <c r="AQ152" s="171" t="s">
        <v>1957</v>
      </c>
      <c r="AR152" s="171">
        <v>2050</v>
      </c>
      <c r="AS152" s="171">
        <v>2021</v>
      </c>
      <c r="AT152" s="171"/>
      <c r="AU152" s="171"/>
      <c r="AV152" s="171"/>
      <c r="AW152" s="171" t="s">
        <v>4174</v>
      </c>
      <c r="AX152" s="171" t="s">
        <v>7932</v>
      </c>
      <c r="AY152" s="171"/>
      <c r="AZ152" s="171"/>
      <c r="BA152" s="171"/>
      <c r="BB152" s="171"/>
      <c r="BC152" s="171"/>
      <c r="BD152" s="171"/>
      <c r="BE152" s="171"/>
      <c r="BF152" s="225"/>
      <c r="BG152" s="171"/>
      <c r="BH152" s="171"/>
      <c r="BI152" s="171"/>
      <c r="BJ152" s="171">
        <v>1</v>
      </c>
      <c r="BK152" s="171"/>
      <c r="BL152" s="171"/>
      <c r="BM152" s="171">
        <v>1</v>
      </c>
      <c r="BN152" s="171"/>
      <c r="BO152" s="171"/>
      <c r="BP152" s="171">
        <v>1</v>
      </c>
      <c r="BQ152" s="171">
        <v>1</v>
      </c>
      <c r="BR152" s="171"/>
      <c r="BS152" s="171"/>
      <c r="BT152" s="171">
        <v>1</v>
      </c>
      <c r="BU152" s="171">
        <v>1</v>
      </c>
      <c r="BV152" s="171"/>
      <c r="BW152" s="171"/>
      <c r="BX152" s="171"/>
      <c r="BY152" s="171"/>
      <c r="BZ152" s="171">
        <v>1</v>
      </c>
      <c r="CA152" s="171">
        <v>1</v>
      </c>
      <c r="CB152" s="171">
        <v>1</v>
      </c>
      <c r="CC152" s="171">
        <v>1</v>
      </c>
      <c r="CD152" s="171"/>
      <c r="CE152" s="171">
        <v>1</v>
      </c>
      <c r="CF152" s="171">
        <v>1</v>
      </c>
      <c r="CG152" s="171">
        <v>1</v>
      </c>
      <c r="CH152" s="171">
        <v>1</v>
      </c>
      <c r="CI152" s="171"/>
      <c r="CJ152" s="171"/>
      <c r="CK152" s="171"/>
      <c r="CL152" s="171"/>
      <c r="CM152">
        <f t="shared" si="40"/>
        <v>2050</v>
      </c>
    </row>
    <row r="153" spans="1:91">
      <c r="A153" s="171">
        <v>305</v>
      </c>
      <c r="B153" s="171" t="s">
        <v>1060</v>
      </c>
      <c r="C153" s="171">
        <v>303</v>
      </c>
      <c r="D153" s="171" t="str">
        <f t="shared" si="39"/>
        <v>CN SBT</v>
      </c>
      <c r="E153" s="171" t="s">
        <v>7220</v>
      </c>
      <c r="F153" s="174">
        <v>45478</v>
      </c>
      <c r="G153" s="171" t="s">
        <v>7223</v>
      </c>
      <c r="H153" s="173">
        <v>2164.1999999999998</v>
      </c>
      <c r="I153" s="171"/>
      <c r="J153" s="171" t="s">
        <v>4476</v>
      </c>
      <c r="K153" s="171" t="s">
        <v>207</v>
      </c>
      <c r="L153" s="171" t="s">
        <v>1994</v>
      </c>
      <c r="M153" s="171" t="s">
        <v>5032</v>
      </c>
      <c r="N153" s="171"/>
      <c r="O153" s="171"/>
      <c r="P153" s="171" t="s">
        <v>4174</v>
      </c>
      <c r="Q153" s="171" t="s">
        <v>22</v>
      </c>
      <c r="R153" s="171" t="s">
        <v>7233</v>
      </c>
      <c r="S153" s="171">
        <v>2025</v>
      </c>
      <c r="T153" s="171" t="s">
        <v>1</v>
      </c>
      <c r="U153" s="171"/>
      <c r="V153" s="172">
        <v>45139</v>
      </c>
      <c r="W153" s="171">
        <v>2023</v>
      </c>
      <c r="X153" s="171" t="s">
        <v>1957</v>
      </c>
      <c r="Y153" s="171" t="s">
        <v>7931</v>
      </c>
      <c r="Z153" s="171" t="s">
        <v>7238</v>
      </c>
      <c r="AA153" s="171" t="s">
        <v>1957</v>
      </c>
      <c r="AB153" s="171">
        <v>2026</v>
      </c>
      <c r="AC153" s="171">
        <v>2021</v>
      </c>
      <c r="AD153" s="171"/>
      <c r="AE153" s="171"/>
      <c r="AF153" s="171"/>
      <c r="AG153" s="171" t="s">
        <v>4174</v>
      </c>
      <c r="AH153" s="171">
        <v>2023</v>
      </c>
      <c r="AI153" s="171" t="s">
        <v>4174</v>
      </c>
      <c r="AJ153" s="176" t="s">
        <v>7930</v>
      </c>
      <c r="AK153" s="171"/>
      <c r="AL153" s="171" t="s">
        <v>7930</v>
      </c>
      <c r="AM153" s="171" t="s">
        <v>7929</v>
      </c>
      <c r="AN153" s="171" t="s">
        <v>5032</v>
      </c>
      <c r="AO153" s="171"/>
      <c r="AP153" s="171"/>
      <c r="AQ153" s="171" t="s">
        <v>5032</v>
      </c>
      <c r="AR153" s="171"/>
      <c r="AS153" s="171"/>
      <c r="AT153" s="171"/>
      <c r="AU153" s="171"/>
      <c r="AV153" s="171"/>
      <c r="AW153" s="171"/>
      <c r="AX153" s="171"/>
      <c r="AY153" s="171"/>
      <c r="AZ153" s="171"/>
      <c r="BA153" s="171"/>
      <c r="BB153" s="171"/>
      <c r="BC153" s="171"/>
      <c r="BD153" s="171"/>
      <c r="BE153" s="171"/>
      <c r="BF153" s="225"/>
      <c r="BG153" s="171"/>
      <c r="BH153" s="171"/>
      <c r="BI153" s="171"/>
      <c r="BJ153" s="171"/>
      <c r="BK153" s="171">
        <v>1</v>
      </c>
      <c r="BL153" s="171"/>
      <c r="BM153" s="171">
        <v>1</v>
      </c>
      <c r="BN153" s="171"/>
      <c r="BO153" s="171"/>
      <c r="BP153" s="171"/>
      <c r="BQ153" s="171"/>
      <c r="BR153" s="171"/>
      <c r="BS153" s="171">
        <v>1</v>
      </c>
      <c r="BT153" s="171"/>
      <c r="BU153" s="171">
        <v>1</v>
      </c>
      <c r="BV153" s="171"/>
      <c r="BW153" s="171"/>
      <c r="BX153" s="171"/>
      <c r="BY153" s="171"/>
      <c r="BZ153" s="171">
        <v>1</v>
      </c>
      <c r="CA153" s="171">
        <v>1</v>
      </c>
      <c r="CB153" s="171">
        <v>1</v>
      </c>
      <c r="CC153" s="171">
        <v>1</v>
      </c>
      <c r="CD153" s="171"/>
      <c r="CE153" s="171">
        <v>1</v>
      </c>
      <c r="CF153" s="171"/>
      <c r="CG153" s="171">
        <v>1</v>
      </c>
      <c r="CH153" s="171">
        <v>1</v>
      </c>
      <c r="CI153" s="171"/>
      <c r="CJ153" s="171"/>
      <c r="CK153" s="171"/>
      <c r="CL153" s="171"/>
    </row>
    <row r="154" spans="1:91">
      <c r="A154" s="171">
        <v>274</v>
      </c>
      <c r="B154" s="171" t="s">
        <v>1134</v>
      </c>
      <c r="C154" s="171">
        <v>232</v>
      </c>
      <c r="D154" s="171" t="str">
        <f t="shared" si="39"/>
        <v>CN SBT</v>
      </c>
      <c r="E154" s="171" t="s">
        <v>7220</v>
      </c>
      <c r="F154" s="174">
        <v>45477</v>
      </c>
      <c r="G154" s="171" t="s">
        <v>7220</v>
      </c>
      <c r="H154" s="173">
        <v>-2566.4</v>
      </c>
      <c r="I154" s="171"/>
      <c r="J154" s="171" t="s">
        <v>4179</v>
      </c>
      <c r="K154" s="171" t="s">
        <v>146</v>
      </c>
      <c r="L154" s="171" t="s">
        <v>1951</v>
      </c>
      <c r="M154" s="171" t="s">
        <v>5032</v>
      </c>
      <c r="N154" s="171"/>
      <c r="O154" s="171"/>
      <c r="P154" s="171" t="s">
        <v>4174</v>
      </c>
      <c r="Q154" s="171" t="s">
        <v>22</v>
      </c>
      <c r="R154" s="171" t="s">
        <v>7317</v>
      </c>
      <c r="S154" s="171">
        <v>2030</v>
      </c>
      <c r="T154" s="171" t="s">
        <v>361</v>
      </c>
      <c r="U154" s="171"/>
      <c r="V154" s="172">
        <v>44013</v>
      </c>
      <c r="W154" s="171">
        <v>2020</v>
      </c>
      <c r="X154" s="171" t="s">
        <v>1957</v>
      </c>
      <c r="Y154" s="171" t="s">
        <v>5131</v>
      </c>
      <c r="Z154" s="171" t="s">
        <v>4081</v>
      </c>
      <c r="AA154" s="171" t="s">
        <v>1957</v>
      </c>
      <c r="AB154" s="171">
        <v>2040</v>
      </c>
      <c r="AC154" s="171">
        <v>2021</v>
      </c>
      <c r="AD154" s="171"/>
      <c r="AE154" s="171"/>
      <c r="AF154" s="171"/>
      <c r="AG154" s="171" t="s">
        <v>2082</v>
      </c>
      <c r="AH154" s="171"/>
      <c r="AI154" s="171" t="s">
        <v>4174</v>
      </c>
      <c r="AJ154" s="171"/>
      <c r="AK154" s="171"/>
      <c r="AL154" s="171" t="s">
        <v>7928</v>
      </c>
      <c r="AM154" s="171"/>
      <c r="AN154" s="171" t="s">
        <v>5032</v>
      </c>
      <c r="AO154" s="171"/>
      <c r="AP154" s="171"/>
      <c r="AQ154" s="171" t="s">
        <v>5032</v>
      </c>
      <c r="AR154" s="171"/>
      <c r="AS154" s="171"/>
      <c r="AT154" s="171"/>
      <c r="AU154" s="171"/>
      <c r="AV154" s="171"/>
      <c r="AW154" s="171"/>
      <c r="AX154" s="171"/>
      <c r="AY154" s="171"/>
      <c r="AZ154" s="171"/>
      <c r="BA154" s="171"/>
      <c r="BB154" s="171"/>
      <c r="BC154" s="171"/>
      <c r="BD154" s="171"/>
      <c r="BE154" s="171"/>
      <c r="BF154" s="225"/>
      <c r="BG154" s="171"/>
      <c r="BH154" s="171"/>
      <c r="BI154" s="171"/>
      <c r="BJ154" s="171"/>
      <c r="BK154" s="171"/>
      <c r="BL154" s="171">
        <v>1</v>
      </c>
      <c r="BM154" s="171">
        <v>1</v>
      </c>
      <c r="BN154" s="171"/>
      <c r="BO154" s="171"/>
      <c r="BP154" s="171"/>
      <c r="BQ154" s="171"/>
      <c r="BR154" s="171"/>
      <c r="BS154" s="171">
        <v>1</v>
      </c>
      <c r="BT154" s="171"/>
      <c r="BU154" s="171">
        <v>1</v>
      </c>
      <c r="BV154" s="171"/>
      <c r="BW154" s="171"/>
      <c r="BX154" s="171"/>
      <c r="BY154" s="171"/>
      <c r="BZ154" s="171">
        <v>1</v>
      </c>
      <c r="CA154" s="171"/>
      <c r="CB154" s="171">
        <v>1</v>
      </c>
      <c r="CC154" s="171"/>
      <c r="CD154" s="171"/>
      <c r="CE154" s="171">
        <v>1</v>
      </c>
      <c r="CF154" s="171"/>
      <c r="CG154" s="171">
        <v>1</v>
      </c>
      <c r="CH154" s="171">
        <v>1</v>
      </c>
      <c r="CI154" s="171"/>
      <c r="CJ154" s="171"/>
      <c r="CK154" s="171"/>
      <c r="CL154" s="171"/>
    </row>
    <row r="155" spans="1:91">
      <c r="A155" s="171">
        <v>205</v>
      </c>
      <c r="B155" s="171" t="s">
        <v>1023</v>
      </c>
      <c r="C155" s="171">
        <v>354</v>
      </c>
      <c r="D155" s="171" t="str">
        <f t="shared" si="39"/>
        <v xml:space="preserve"> NZ RE100</v>
      </c>
      <c r="E155" s="171" t="s">
        <v>7228</v>
      </c>
      <c r="F155" s="174">
        <v>45482</v>
      </c>
      <c r="G155" s="171" t="s">
        <v>7220</v>
      </c>
      <c r="H155" s="173">
        <v>6845.3</v>
      </c>
      <c r="I155" s="171"/>
      <c r="J155" s="171" t="s">
        <v>4465</v>
      </c>
      <c r="K155" s="171" t="s">
        <v>146</v>
      </c>
      <c r="L155" s="171" t="s">
        <v>1951</v>
      </c>
      <c r="M155" s="171" t="s">
        <v>4174</v>
      </c>
      <c r="N155" s="171">
        <v>2022</v>
      </c>
      <c r="O155" s="171">
        <v>2025</v>
      </c>
      <c r="P155" s="171" t="s">
        <v>5032</v>
      </c>
      <c r="Q155" s="171"/>
      <c r="R155" s="171"/>
      <c r="S155" s="171"/>
      <c r="T155" s="171"/>
      <c r="U155" s="171"/>
      <c r="V155" s="175"/>
      <c r="W155" s="171"/>
      <c r="X155" s="171" t="s">
        <v>5032</v>
      </c>
      <c r="Y155" s="171"/>
      <c r="Z155" s="171"/>
      <c r="AA155" s="171" t="s">
        <v>5032</v>
      </c>
      <c r="AB155" s="171"/>
      <c r="AC155" s="171"/>
      <c r="AD155" s="171"/>
      <c r="AE155" s="171"/>
      <c r="AF155" s="171"/>
      <c r="AG155" s="171"/>
      <c r="AH155" s="171"/>
      <c r="AI155" s="171"/>
      <c r="AJ155" s="171"/>
      <c r="AK155" s="171"/>
      <c r="AL155" s="171"/>
      <c r="AM155" s="171"/>
      <c r="AN155" s="171" t="s">
        <v>4172</v>
      </c>
      <c r="AO155" s="171" t="s">
        <v>7927</v>
      </c>
      <c r="AP155" s="171" t="s">
        <v>2072</v>
      </c>
      <c r="AQ155" s="171" t="s">
        <v>4172</v>
      </c>
      <c r="AR155" s="171">
        <v>2050</v>
      </c>
      <c r="AS155" s="171">
        <v>2021</v>
      </c>
      <c r="AT155" s="171"/>
      <c r="AU155" s="171"/>
      <c r="AV155" s="171"/>
      <c r="AW155" s="171" t="s">
        <v>4174</v>
      </c>
      <c r="AX155" s="176" t="s">
        <v>7926</v>
      </c>
      <c r="AY155" s="171"/>
      <c r="AZ155" s="171"/>
      <c r="BA155" s="171"/>
      <c r="BB155" s="171"/>
      <c r="BC155" s="171"/>
      <c r="BD155" s="171"/>
      <c r="BE155" s="171"/>
      <c r="BF155" s="225"/>
      <c r="BG155" s="171"/>
      <c r="BH155" s="171"/>
      <c r="BI155" s="171"/>
      <c r="BJ155" s="171"/>
      <c r="BK155" s="171"/>
      <c r="BL155" s="171"/>
      <c r="BM155" s="171"/>
      <c r="BN155" s="171"/>
      <c r="BO155" s="171"/>
      <c r="BP155" s="171">
        <v>1</v>
      </c>
      <c r="BQ155" s="171">
        <v>1</v>
      </c>
      <c r="BR155" s="171"/>
      <c r="BS155" s="171"/>
      <c r="BT155" s="171"/>
      <c r="BU155" s="171"/>
      <c r="BV155" s="171"/>
      <c r="BW155" s="171">
        <v>1</v>
      </c>
      <c r="BX155" s="171"/>
      <c r="BY155" s="171">
        <v>1</v>
      </c>
      <c r="BZ155" s="171">
        <v>1</v>
      </c>
      <c r="CA155" s="171"/>
      <c r="CB155" s="171">
        <v>1</v>
      </c>
      <c r="CC155" s="171">
        <v>1</v>
      </c>
      <c r="CD155" s="171"/>
      <c r="CE155" s="171">
        <v>1</v>
      </c>
      <c r="CF155" s="171"/>
      <c r="CG155" s="171">
        <v>1</v>
      </c>
      <c r="CH155" s="171">
        <v>1</v>
      </c>
      <c r="CI155" s="171"/>
      <c r="CJ155" s="171"/>
      <c r="CK155" s="171">
        <v>1</v>
      </c>
      <c r="CL155" s="171">
        <v>1</v>
      </c>
      <c r="CM155">
        <f t="shared" si="40"/>
        <v>2050</v>
      </c>
    </row>
    <row r="156" spans="1:91">
      <c r="A156" s="171">
        <v>77</v>
      </c>
      <c r="B156" s="171" t="s">
        <v>1574</v>
      </c>
      <c r="C156" s="171">
        <v>79</v>
      </c>
      <c r="D156" s="171" t="str">
        <f t="shared" si="39"/>
        <v>CN NZ SBT RE100</v>
      </c>
      <c r="E156" s="171" t="s">
        <v>7220</v>
      </c>
      <c r="F156" s="174">
        <v>45475</v>
      </c>
      <c r="G156" s="171" t="s">
        <v>7220</v>
      </c>
      <c r="H156" s="173">
        <v>19229.900000000001</v>
      </c>
      <c r="I156" s="171"/>
      <c r="J156" s="171" t="s">
        <v>4190</v>
      </c>
      <c r="K156" s="171" t="s">
        <v>146</v>
      </c>
      <c r="L156" s="171" t="s">
        <v>1951</v>
      </c>
      <c r="M156" s="171" t="s">
        <v>4174</v>
      </c>
      <c r="N156" s="171">
        <v>2019</v>
      </c>
      <c r="O156" s="171">
        <v>2021</v>
      </c>
      <c r="P156" s="171" t="s">
        <v>4174</v>
      </c>
      <c r="Q156" s="171" t="s">
        <v>22</v>
      </c>
      <c r="R156" s="171" t="s">
        <v>7233</v>
      </c>
      <c r="S156" s="171">
        <v>2030</v>
      </c>
      <c r="T156" s="171" t="s">
        <v>361</v>
      </c>
      <c r="U156" s="171">
        <v>2040</v>
      </c>
      <c r="V156" s="172">
        <v>45323</v>
      </c>
      <c r="W156" s="171">
        <v>2024</v>
      </c>
      <c r="X156" s="171" t="s">
        <v>1957</v>
      </c>
      <c r="Y156" s="171" t="s">
        <v>7925</v>
      </c>
      <c r="Z156" s="171" t="s">
        <v>3415</v>
      </c>
      <c r="AA156" s="171" t="s">
        <v>1957</v>
      </c>
      <c r="AB156" s="171">
        <v>2025</v>
      </c>
      <c r="AC156" s="171">
        <v>2019</v>
      </c>
      <c r="AD156" s="171"/>
      <c r="AE156" s="171"/>
      <c r="AF156" s="171"/>
      <c r="AG156" s="171" t="s">
        <v>7247</v>
      </c>
      <c r="AH156" s="171">
        <v>2024</v>
      </c>
      <c r="AI156" s="171" t="s">
        <v>4174</v>
      </c>
      <c r="AJ156" s="171"/>
      <c r="AK156" s="171" t="s">
        <v>7924</v>
      </c>
      <c r="AL156" s="176" t="s">
        <v>4958</v>
      </c>
      <c r="AM156" s="171"/>
      <c r="AN156" s="171" t="s">
        <v>4172</v>
      </c>
      <c r="AO156" s="171" t="s">
        <v>1435</v>
      </c>
      <c r="AP156" s="171" t="s">
        <v>7923</v>
      </c>
      <c r="AQ156" s="171" t="s">
        <v>4172</v>
      </c>
      <c r="AR156" s="171">
        <v>2040</v>
      </c>
      <c r="AS156" s="171">
        <v>2021</v>
      </c>
      <c r="AT156" s="171"/>
      <c r="AU156" s="171"/>
      <c r="AV156" s="171"/>
      <c r="AW156" s="171" t="s">
        <v>4174</v>
      </c>
      <c r="AX156" s="171" t="s">
        <v>7922</v>
      </c>
      <c r="AY156" s="171"/>
      <c r="AZ156" s="171"/>
      <c r="BA156" s="171"/>
      <c r="BB156" s="171"/>
      <c r="BC156" s="171"/>
      <c r="BD156" s="171"/>
      <c r="BE156" s="171"/>
      <c r="BF156" s="225"/>
      <c r="BG156" s="171"/>
      <c r="BH156" s="171"/>
      <c r="BI156" s="171"/>
      <c r="BJ156" s="171"/>
      <c r="BK156" s="171">
        <v>1</v>
      </c>
      <c r="BL156" s="171"/>
      <c r="BM156" s="171">
        <v>1</v>
      </c>
      <c r="BN156" s="171"/>
      <c r="BO156" s="171"/>
      <c r="BP156" s="171">
        <v>1</v>
      </c>
      <c r="BQ156" s="171">
        <v>1</v>
      </c>
      <c r="BR156" s="171"/>
      <c r="BS156" s="171">
        <v>1</v>
      </c>
      <c r="BT156" s="171"/>
      <c r="BU156" s="171">
        <v>1</v>
      </c>
      <c r="BV156" s="171">
        <v>1</v>
      </c>
      <c r="BW156" s="171"/>
      <c r="BX156" s="171"/>
      <c r="BY156" s="171">
        <v>1</v>
      </c>
      <c r="BZ156" s="171">
        <v>1</v>
      </c>
      <c r="CA156" s="171">
        <v>1</v>
      </c>
      <c r="CB156" s="171">
        <v>1</v>
      </c>
      <c r="CC156" s="171">
        <v>1</v>
      </c>
      <c r="CD156" s="171"/>
      <c r="CE156" s="171">
        <v>1</v>
      </c>
      <c r="CF156" s="171">
        <v>1</v>
      </c>
      <c r="CG156" s="171">
        <v>1</v>
      </c>
      <c r="CH156" s="171">
        <v>1</v>
      </c>
      <c r="CI156" s="171"/>
      <c r="CJ156" s="171"/>
      <c r="CK156" s="171">
        <v>1</v>
      </c>
      <c r="CL156" s="171">
        <v>1</v>
      </c>
      <c r="CM156">
        <f t="shared" si="40"/>
        <v>2040</v>
      </c>
    </row>
    <row r="157" spans="1:91">
      <c r="A157" s="171">
        <v>134</v>
      </c>
      <c r="B157" s="171" t="s">
        <v>7921</v>
      </c>
      <c r="C157" s="171">
        <v>103</v>
      </c>
      <c r="D157" s="171" t="str">
        <f t="shared" si="39"/>
        <v xml:space="preserve"> NZ SBT</v>
      </c>
      <c r="E157" s="171" t="s">
        <v>7223</v>
      </c>
      <c r="F157" s="174">
        <v>45511</v>
      </c>
      <c r="G157" s="171"/>
      <c r="H157" s="173">
        <v>3975.1</v>
      </c>
      <c r="I157" s="181" t="s">
        <v>360</v>
      </c>
      <c r="J157" s="171" t="s">
        <v>4179</v>
      </c>
      <c r="K157" s="171" t="s">
        <v>146</v>
      </c>
      <c r="L157" s="171" t="s">
        <v>1951</v>
      </c>
      <c r="M157" s="171" t="s">
        <v>5032</v>
      </c>
      <c r="N157" s="171"/>
      <c r="O157" s="171"/>
      <c r="P157" s="171" t="s">
        <v>4174</v>
      </c>
      <c r="Q157" s="171" t="s">
        <v>22</v>
      </c>
      <c r="R157" s="171" t="s">
        <v>2499</v>
      </c>
      <c r="S157" s="171">
        <v>2030</v>
      </c>
      <c r="T157" s="171" t="s">
        <v>361</v>
      </c>
      <c r="U157" s="171"/>
      <c r="V157" s="175" t="s">
        <v>7920</v>
      </c>
      <c r="W157" s="171">
        <v>2021</v>
      </c>
      <c r="X157" s="171" t="s">
        <v>5032</v>
      </c>
      <c r="Y157" s="171"/>
      <c r="Z157" s="171"/>
      <c r="AA157" s="171" t="s">
        <v>5032</v>
      </c>
      <c r="AB157" s="171"/>
      <c r="AC157" s="171"/>
      <c r="AD157" s="171"/>
      <c r="AE157" s="171"/>
      <c r="AF157" s="171"/>
      <c r="AG157" s="171"/>
      <c r="AH157" s="171"/>
      <c r="AI157" s="171"/>
      <c r="AJ157" s="171"/>
      <c r="AK157" s="171"/>
      <c r="AL157" s="171"/>
      <c r="AM157" s="171"/>
      <c r="AN157" s="171" t="s">
        <v>1957</v>
      </c>
      <c r="AO157" s="171" t="s">
        <v>109</v>
      </c>
      <c r="AP157" s="171" t="s">
        <v>2072</v>
      </c>
      <c r="AQ157" s="171" t="s">
        <v>1957</v>
      </c>
      <c r="AR157" s="171">
        <v>2050</v>
      </c>
      <c r="AS157" s="171">
        <v>2017</v>
      </c>
      <c r="AT157" s="171"/>
      <c r="AU157" s="171"/>
      <c r="AV157" s="171"/>
      <c r="AW157" s="171" t="s">
        <v>2082</v>
      </c>
      <c r="AX157" s="176" t="s">
        <v>7919</v>
      </c>
      <c r="AY157" s="171">
        <v>2023</v>
      </c>
      <c r="AZ157" s="171" t="s">
        <v>4174</v>
      </c>
      <c r="BA157" s="176" t="s">
        <v>7918</v>
      </c>
      <c r="BB157" s="171"/>
      <c r="BC157" s="171"/>
      <c r="BD157" s="171"/>
      <c r="BE157" s="171"/>
      <c r="BF157" s="225"/>
      <c r="BG157" s="171"/>
      <c r="BH157" s="171"/>
      <c r="BI157" s="171"/>
      <c r="BJ157" s="171"/>
      <c r="BK157" s="171"/>
      <c r="BL157" s="171"/>
      <c r="BM157" s="171"/>
      <c r="BN157" s="171"/>
      <c r="BO157" s="171"/>
      <c r="BP157" s="171">
        <v>1</v>
      </c>
      <c r="BQ157" s="171">
        <v>1</v>
      </c>
      <c r="BR157" s="171"/>
      <c r="BS157" s="171">
        <v>1</v>
      </c>
      <c r="BT157" s="171"/>
      <c r="BU157" s="171">
        <v>1</v>
      </c>
      <c r="BV157" s="171"/>
      <c r="BW157" s="171"/>
      <c r="BX157" s="171"/>
      <c r="BY157" s="171"/>
      <c r="BZ157" s="171">
        <v>1</v>
      </c>
      <c r="CA157" s="171"/>
      <c r="CB157" s="171">
        <v>1</v>
      </c>
      <c r="CC157" s="171"/>
      <c r="CD157" s="171"/>
      <c r="CE157" s="171">
        <v>1</v>
      </c>
      <c r="CF157" s="171"/>
      <c r="CG157" s="171">
        <v>1</v>
      </c>
      <c r="CH157" s="171">
        <v>1</v>
      </c>
      <c r="CI157" s="171"/>
      <c r="CJ157" s="171"/>
      <c r="CK157" s="171"/>
      <c r="CL157" s="171"/>
      <c r="CM157">
        <f t="shared" si="40"/>
        <v>2050</v>
      </c>
    </row>
    <row r="158" spans="1:91">
      <c r="A158" s="171">
        <v>389</v>
      </c>
      <c r="B158" s="171" t="s">
        <v>116</v>
      </c>
      <c r="C158" s="171">
        <v>393</v>
      </c>
      <c r="D158" s="171" t="str">
        <f t="shared" si="39"/>
        <v/>
      </c>
      <c r="E158" s="171" t="s">
        <v>7220</v>
      </c>
      <c r="F158" s="174">
        <v>45482</v>
      </c>
      <c r="G158" s="171" t="s">
        <v>7220</v>
      </c>
      <c r="H158" s="173">
        <v>1661.3</v>
      </c>
      <c r="I158" s="171"/>
      <c r="J158" s="171" t="s">
        <v>4467</v>
      </c>
      <c r="K158" s="171" t="s">
        <v>4457</v>
      </c>
      <c r="L158" s="171" t="s">
        <v>2029</v>
      </c>
      <c r="M158" s="171" t="s">
        <v>5032</v>
      </c>
      <c r="N158" s="171"/>
      <c r="O158" s="171"/>
      <c r="P158" s="171" t="s">
        <v>5032</v>
      </c>
      <c r="Q158" s="171"/>
      <c r="R158" s="171"/>
      <c r="S158" s="171"/>
      <c r="T158" s="171"/>
      <c r="U158" s="171"/>
      <c r="V158" s="175"/>
      <c r="W158" s="171"/>
      <c r="X158" s="171" t="s">
        <v>5032</v>
      </c>
      <c r="Y158" s="171"/>
      <c r="Z158" s="171"/>
      <c r="AA158" s="171" t="s">
        <v>5032</v>
      </c>
      <c r="AB158" s="171"/>
      <c r="AC158" s="171"/>
      <c r="AD158" s="171"/>
      <c r="AE158" s="171"/>
      <c r="AF158" s="171"/>
      <c r="AG158" s="171"/>
      <c r="AH158" s="171"/>
      <c r="AI158" s="171"/>
      <c r="AJ158" s="171"/>
      <c r="AK158" s="171"/>
      <c r="AL158" s="171"/>
      <c r="AM158" s="171"/>
      <c r="AN158" s="171" t="s">
        <v>5032</v>
      </c>
      <c r="AO158" s="171"/>
      <c r="AP158" s="171"/>
      <c r="AQ158" s="171" t="s">
        <v>5032</v>
      </c>
      <c r="AR158" s="171"/>
      <c r="AS158" s="171"/>
      <c r="AT158" s="171"/>
      <c r="AU158" s="171"/>
      <c r="AV158" s="171"/>
      <c r="AW158" s="171"/>
      <c r="AX158" s="171"/>
      <c r="AY158" s="171"/>
      <c r="AZ158" s="171"/>
      <c r="BA158" s="171"/>
      <c r="BB158" s="171"/>
      <c r="BC158" s="171"/>
      <c r="BD158" s="171"/>
      <c r="BE158" s="171"/>
      <c r="BF158" s="225" t="s">
        <v>4174</v>
      </c>
      <c r="BG158" s="171" t="s">
        <v>7917</v>
      </c>
      <c r="BH158" s="171"/>
      <c r="BI158" s="171" t="s">
        <v>7916</v>
      </c>
      <c r="BJ158" s="171"/>
      <c r="BK158" s="171"/>
      <c r="BL158" s="171"/>
      <c r="BM158" s="171"/>
      <c r="BN158" s="171"/>
      <c r="BO158" s="171"/>
      <c r="BP158" s="171"/>
      <c r="BQ158" s="171"/>
      <c r="BR158" s="171"/>
      <c r="BS158" s="171"/>
      <c r="BT158" s="171"/>
      <c r="BU158" s="171"/>
      <c r="BV158" s="171"/>
      <c r="BW158" s="171"/>
      <c r="BX158" s="171"/>
      <c r="BY158" s="171"/>
      <c r="BZ158" s="171"/>
      <c r="CA158" s="171"/>
      <c r="CB158" s="171"/>
      <c r="CC158" s="171"/>
      <c r="CD158" s="171"/>
      <c r="CE158" s="171"/>
      <c r="CF158" s="171"/>
      <c r="CG158" s="171"/>
      <c r="CH158" s="171"/>
      <c r="CI158" s="171"/>
      <c r="CJ158" s="171"/>
      <c r="CK158" s="171"/>
      <c r="CL158" s="171"/>
    </row>
    <row r="159" spans="1:91">
      <c r="A159" s="171">
        <v>240</v>
      </c>
      <c r="B159" s="171" t="s">
        <v>1614</v>
      </c>
      <c r="C159" s="171">
        <v>188</v>
      </c>
      <c r="D159" s="171" t="str">
        <f t="shared" si="39"/>
        <v/>
      </c>
      <c r="E159" s="171" t="s">
        <v>7228</v>
      </c>
      <c r="F159" s="174">
        <v>45477</v>
      </c>
      <c r="G159" s="171" t="s">
        <v>7220</v>
      </c>
      <c r="H159" s="173">
        <v>-391.6</v>
      </c>
      <c r="I159" s="171"/>
      <c r="J159" s="171" t="s">
        <v>4476</v>
      </c>
      <c r="K159" s="171" t="s">
        <v>73</v>
      </c>
      <c r="L159" s="171" t="s">
        <v>1994</v>
      </c>
      <c r="M159" s="171" t="s">
        <v>5032</v>
      </c>
      <c r="N159" s="171"/>
      <c r="O159" s="171"/>
      <c r="P159" s="171" t="s">
        <v>5032</v>
      </c>
      <c r="Q159" s="171"/>
      <c r="R159" s="171"/>
      <c r="S159" s="171"/>
      <c r="T159" s="171"/>
      <c r="U159" s="171"/>
      <c r="V159" s="175"/>
      <c r="W159" s="171"/>
      <c r="X159" s="171" t="s">
        <v>4519</v>
      </c>
      <c r="Y159" s="171" t="s">
        <v>4313</v>
      </c>
      <c r="Z159" s="171" t="s">
        <v>3283</v>
      </c>
      <c r="AA159" s="171" t="s">
        <v>4519</v>
      </c>
      <c r="AB159" s="171">
        <v>2060</v>
      </c>
      <c r="AC159" s="171">
        <v>2020</v>
      </c>
      <c r="AD159" s="171"/>
      <c r="AE159" s="171"/>
      <c r="AF159" s="171"/>
      <c r="AG159" s="171"/>
      <c r="AH159" s="171"/>
      <c r="AI159" s="171"/>
      <c r="AJ159" s="171"/>
      <c r="AK159" s="171"/>
      <c r="AL159" s="171" t="s">
        <v>7915</v>
      </c>
      <c r="AM159" s="171" t="s">
        <v>7914</v>
      </c>
      <c r="AN159" s="171" t="s">
        <v>5032</v>
      </c>
      <c r="AO159" s="171"/>
      <c r="AP159" s="171"/>
      <c r="AQ159" s="171" t="s">
        <v>5032</v>
      </c>
      <c r="AR159" s="171"/>
      <c r="AS159" s="171"/>
      <c r="AT159" s="171"/>
      <c r="AU159" s="171"/>
      <c r="AV159" s="171"/>
      <c r="AW159" s="171"/>
      <c r="AX159" s="171"/>
      <c r="AY159" s="171"/>
      <c r="AZ159" s="171"/>
      <c r="BA159" s="171"/>
      <c r="BB159" s="171"/>
      <c r="BC159" s="171" t="s">
        <v>7913</v>
      </c>
      <c r="BD159" s="171"/>
      <c r="BE159" s="171"/>
      <c r="BF159" s="225" t="s">
        <v>7913</v>
      </c>
      <c r="BG159" s="171" t="s">
        <v>7912</v>
      </c>
      <c r="BH159" s="171"/>
      <c r="BI159" s="171"/>
      <c r="BJ159" s="171"/>
      <c r="BK159" s="171"/>
      <c r="BL159" s="171"/>
      <c r="BM159" s="171"/>
      <c r="BN159" s="171"/>
      <c r="BO159" s="171"/>
      <c r="BP159" s="171"/>
      <c r="BQ159" s="171"/>
      <c r="BR159" s="171"/>
      <c r="BS159" s="171"/>
      <c r="BT159" s="171"/>
      <c r="BU159" s="171"/>
      <c r="BV159" s="171"/>
      <c r="BW159" s="171"/>
      <c r="BX159" s="171"/>
      <c r="BY159" s="171"/>
      <c r="BZ159" s="171"/>
      <c r="CA159" s="171"/>
      <c r="CB159" s="171"/>
      <c r="CC159" s="171"/>
      <c r="CD159" s="171"/>
      <c r="CE159" s="171"/>
      <c r="CF159" s="171"/>
      <c r="CG159" s="171"/>
      <c r="CH159" s="171"/>
      <c r="CI159" s="171"/>
      <c r="CJ159" s="171"/>
      <c r="CK159" s="171"/>
      <c r="CL159" s="171"/>
    </row>
    <row r="160" spans="1:91">
      <c r="A160" s="171">
        <v>346</v>
      </c>
      <c r="B160" s="171" t="s">
        <v>3385</v>
      </c>
      <c r="C160" s="171">
        <v>245</v>
      </c>
      <c r="D160" s="171" t="str">
        <f t="shared" si="39"/>
        <v>CN</v>
      </c>
      <c r="E160" s="171" t="s">
        <v>7221</v>
      </c>
      <c r="F160" s="174">
        <v>45477</v>
      </c>
      <c r="G160" s="171" t="s">
        <v>7223</v>
      </c>
      <c r="H160" s="173">
        <v>589</v>
      </c>
      <c r="I160" s="171"/>
      <c r="J160" s="171" t="s">
        <v>66</v>
      </c>
      <c r="K160" s="171" t="s">
        <v>4457</v>
      </c>
      <c r="L160" s="171" t="s">
        <v>2029</v>
      </c>
      <c r="M160" s="171" t="s">
        <v>5032</v>
      </c>
      <c r="N160" s="171"/>
      <c r="O160" s="171"/>
      <c r="P160" s="171" t="s">
        <v>5032</v>
      </c>
      <c r="Q160" s="171"/>
      <c r="R160" s="171"/>
      <c r="S160" s="171"/>
      <c r="T160" s="171"/>
      <c r="U160" s="171"/>
      <c r="V160" s="175"/>
      <c r="W160" s="171"/>
      <c r="X160" s="171" t="s">
        <v>4172</v>
      </c>
      <c r="Y160" s="171" t="s">
        <v>6128</v>
      </c>
      <c r="Z160" s="171" t="s">
        <v>32</v>
      </c>
      <c r="AA160" s="171" t="s">
        <v>4172</v>
      </c>
      <c r="AB160" s="171">
        <v>2050</v>
      </c>
      <c r="AC160" s="171">
        <v>2021</v>
      </c>
      <c r="AD160" s="171"/>
      <c r="AE160" s="171"/>
      <c r="AF160" s="171"/>
      <c r="AG160" s="171" t="s">
        <v>4174</v>
      </c>
      <c r="AH160" s="171"/>
      <c r="AI160" s="171" t="s">
        <v>4174</v>
      </c>
      <c r="AJ160" s="171"/>
      <c r="AK160" s="171"/>
      <c r="AL160" s="171" t="s">
        <v>7911</v>
      </c>
      <c r="AM160" s="171"/>
      <c r="AN160" s="171" t="s">
        <v>5032</v>
      </c>
      <c r="AO160" s="171"/>
      <c r="AP160" s="171"/>
      <c r="AQ160" s="171" t="s">
        <v>5032</v>
      </c>
      <c r="AR160" s="171"/>
      <c r="AS160" s="171"/>
      <c r="AT160" s="171"/>
      <c r="AU160" s="171"/>
      <c r="AV160" s="171"/>
      <c r="AW160" s="171"/>
      <c r="AX160" s="171"/>
      <c r="AY160" s="171"/>
      <c r="AZ160" s="171"/>
      <c r="BA160" s="171"/>
      <c r="BB160" s="171"/>
      <c r="BC160" s="171"/>
      <c r="BD160" s="171"/>
      <c r="BE160" s="171"/>
      <c r="BF160" s="225"/>
      <c r="BG160" s="171"/>
      <c r="BH160" s="171"/>
      <c r="BI160" s="171"/>
      <c r="BJ160" s="171"/>
      <c r="BK160" s="171"/>
      <c r="BL160" s="171">
        <v>1</v>
      </c>
      <c r="BM160" s="171">
        <v>1</v>
      </c>
      <c r="BN160" s="171"/>
      <c r="BO160" s="171"/>
      <c r="BP160" s="171"/>
      <c r="BQ160" s="171"/>
      <c r="BR160" s="171"/>
      <c r="BS160" s="171"/>
      <c r="BT160" s="171"/>
      <c r="BU160" s="171"/>
      <c r="BV160" s="171"/>
      <c r="BW160" s="171"/>
      <c r="BX160" s="171"/>
      <c r="BY160" s="171"/>
      <c r="BZ160" s="171">
        <v>1</v>
      </c>
      <c r="CA160" s="171"/>
      <c r="CB160" s="171">
        <v>1</v>
      </c>
      <c r="CC160" s="171">
        <v>1</v>
      </c>
      <c r="CD160" s="171"/>
      <c r="CE160" s="171">
        <v>1</v>
      </c>
      <c r="CF160" s="171"/>
      <c r="CG160" s="171"/>
      <c r="CH160" s="171">
        <v>1</v>
      </c>
      <c r="CI160" s="171"/>
      <c r="CJ160" s="171"/>
      <c r="CK160" s="171"/>
      <c r="CL160" s="171"/>
    </row>
    <row r="161" spans="1:91">
      <c r="A161" s="171">
        <v>404</v>
      </c>
      <c r="B161" s="171" t="s">
        <v>522</v>
      </c>
      <c r="C161" s="171"/>
      <c r="D161" s="171" t="str">
        <f t="shared" si="39"/>
        <v>CN</v>
      </c>
      <c r="E161" s="171" t="s">
        <v>7223</v>
      </c>
      <c r="F161" s="174">
        <v>45511</v>
      </c>
      <c r="G161" s="171"/>
      <c r="H161" s="173">
        <v>2302.6999999999998</v>
      </c>
      <c r="I161" s="181" t="s">
        <v>795</v>
      </c>
      <c r="J161" s="171" t="s">
        <v>4465</v>
      </c>
      <c r="K161" s="171" t="s">
        <v>146</v>
      </c>
      <c r="L161" s="171" t="s">
        <v>1951</v>
      </c>
      <c r="M161" s="171" t="s">
        <v>5032</v>
      </c>
      <c r="N161" s="171"/>
      <c r="O161" s="171"/>
      <c r="P161" s="171" t="s">
        <v>5032</v>
      </c>
      <c r="Q161" s="171"/>
      <c r="R161" s="171"/>
      <c r="S161" s="171"/>
      <c r="T161" s="171"/>
      <c r="U161" s="171"/>
      <c r="V161" s="175"/>
      <c r="W161" s="171"/>
      <c r="X161" s="171" t="s">
        <v>1957</v>
      </c>
      <c r="Y161" s="171" t="s">
        <v>4313</v>
      </c>
      <c r="Z161" s="171" t="s">
        <v>2145</v>
      </c>
      <c r="AA161" s="171" t="s">
        <v>1957</v>
      </c>
      <c r="AB161" s="171">
        <v>2050</v>
      </c>
      <c r="AC161" s="171">
        <v>2022</v>
      </c>
      <c r="AD161" s="171"/>
      <c r="AE161" s="171"/>
      <c r="AF161" s="171"/>
      <c r="AG161" s="171" t="s">
        <v>4174</v>
      </c>
      <c r="AH161" s="171">
        <v>2023</v>
      </c>
      <c r="AI161" s="171" t="s">
        <v>4174</v>
      </c>
      <c r="AJ161" s="176" t="s">
        <v>7910</v>
      </c>
      <c r="AK161" s="171"/>
      <c r="AL161" s="171"/>
      <c r="AM161" s="171"/>
      <c r="AN161" s="171" t="s">
        <v>5032</v>
      </c>
      <c r="AO161" s="171"/>
      <c r="AP161" s="171"/>
      <c r="AQ161" s="171" t="s">
        <v>5032</v>
      </c>
      <c r="AR161" s="171"/>
      <c r="AS161" s="171"/>
      <c r="AT161" s="171"/>
      <c r="AU161" s="171"/>
      <c r="AV161" s="171"/>
      <c r="AW161" s="171"/>
      <c r="AX161" s="171"/>
      <c r="AY161" s="171"/>
      <c r="AZ161" s="171"/>
      <c r="BA161" s="171"/>
      <c r="BB161" s="171"/>
      <c r="BC161" s="171"/>
      <c r="BD161" s="171"/>
      <c r="BE161" s="171"/>
      <c r="BF161" s="225"/>
      <c r="BG161" s="171"/>
      <c r="BH161" s="171"/>
      <c r="BI161" s="171"/>
      <c r="BJ161" s="171"/>
      <c r="BK161" s="171"/>
      <c r="BL161" s="171">
        <v>1</v>
      </c>
      <c r="BM161" s="171">
        <v>1</v>
      </c>
      <c r="BN161" s="171"/>
      <c r="BO161" s="171"/>
      <c r="BP161" s="171"/>
      <c r="BQ161" s="171"/>
      <c r="BR161" s="171"/>
      <c r="BS161" s="171"/>
      <c r="BT161" s="171"/>
      <c r="BU161" s="171"/>
      <c r="BV161" s="171"/>
      <c r="BW161" s="171"/>
      <c r="BX161" s="171"/>
      <c r="BY161" s="171"/>
      <c r="BZ161" s="171">
        <v>1</v>
      </c>
      <c r="CA161" s="171"/>
      <c r="CB161" s="171">
        <v>1</v>
      </c>
      <c r="CC161" s="171">
        <v>1</v>
      </c>
      <c r="CD161" s="171"/>
      <c r="CE161" s="171">
        <v>1</v>
      </c>
      <c r="CF161" s="171"/>
      <c r="CG161" s="171"/>
      <c r="CH161" s="171">
        <v>1</v>
      </c>
      <c r="CI161" s="171"/>
      <c r="CJ161" s="171"/>
      <c r="CK161" s="171"/>
      <c r="CL161" s="171"/>
    </row>
    <row r="162" spans="1:91">
      <c r="A162" s="171">
        <v>101</v>
      </c>
      <c r="B162" s="171" t="s">
        <v>672</v>
      </c>
      <c r="C162" s="171">
        <v>73</v>
      </c>
      <c r="D162" s="171" t="str">
        <f t="shared" si="39"/>
        <v>CN SBT</v>
      </c>
      <c r="E162" s="171" t="s">
        <v>7221</v>
      </c>
      <c r="F162" s="174">
        <v>45475</v>
      </c>
      <c r="G162" s="171" t="s">
        <v>7220</v>
      </c>
      <c r="H162" s="173">
        <v>558.9</v>
      </c>
      <c r="I162" s="171"/>
      <c r="J162" s="171" t="s">
        <v>4199</v>
      </c>
      <c r="K162" s="171" t="s">
        <v>146</v>
      </c>
      <c r="L162" s="171" t="s">
        <v>1951</v>
      </c>
      <c r="M162" s="171" t="s">
        <v>5032</v>
      </c>
      <c r="N162" s="171"/>
      <c r="O162" s="171"/>
      <c r="P162" s="171" t="s">
        <v>4174</v>
      </c>
      <c r="Q162" s="171" t="s">
        <v>22</v>
      </c>
      <c r="R162" s="171" t="s">
        <v>7233</v>
      </c>
      <c r="S162" s="171">
        <v>2030</v>
      </c>
      <c r="T162" s="171" t="s">
        <v>1</v>
      </c>
      <c r="U162" s="171"/>
      <c r="V162" s="172">
        <v>44682</v>
      </c>
      <c r="W162" s="171">
        <v>2022</v>
      </c>
      <c r="X162" s="171" t="s">
        <v>7227</v>
      </c>
      <c r="Y162" s="171" t="s">
        <v>7419</v>
      </c>
      <c r="Z162" s="171" t="s">
        <v>4081</v>
      </c>
      <c r="AA162" s="171" t="s">
        <v>1957</v>
      </c>
      <c r="AB162" s="171">
        <v>2040</v>
      </c>
      <c r="AC162" s="171">
        <v>2022</v>
      </c>
      <c r="AD162" s="171" t="s">
        <v>4172</v>
      </c>
      <c r="AE162" s="171">
        <v>2050</v>
      </c>
      <c r="AF162" s="171">
        <v>2022</v>
      </c>
      <c r="AG162" s="171" t="s">
        <v>4174</v>
      </c>
      <c r="AH162" s="171"/>
      <c r="AI162" s="171" t="s">
        <v>4174</v>
      </c>
      <c r="AJ162" s="171"/>
      <c r="AK162" s="171"/>
      <c r="AL162" s="171" t="s">
        <v>7909</v>
      </c>
      <c r="AM162" s="171" t="s">
        <v>7908</v>
      </c>
      <c r="AN162" s="171" t="s">
        <v>5032</v>
      </c>
      <c r="AO162" s="171"/>
      <c r="AP162" s="171"/>
      <c r="AQ162" s="171" t="s">
        <v>5032</v>
      </c>
      <c r="AR162" s="171"/>
      <c r="AS162" s="171"/>
      <c r="AT162" s="171"/>
      <c r="AU162" s="171"/>
      <c r="AV162" s="171"/>
      <c r="AW162" s="171"/>
      <c r="AX162" s="171"/>
      <c r="AY162" s="171"/>
      <c r="AZ162" s="171"/>
      <c r="BA162" s="171"/>
      <c r="BB162" s="171"/>
      <c r="BC162" s="171"/>
      <c r="BD162" s="171"/>
      <c r="BE162" s="171"/>
      <c r="BF162" s="225" t="s">
        <v>4174</v>
      </c>
      <c r="BG162" s="171" t="s">
        <v>7907</v>
      </c>
      <c r="BH162" s="171"/>
      <c r="BI162" s="171"/>
      <c r="BJ162" s="171"/>
      <c r="BK162" s="171"/>
      <c r="BL162" s="171">
        <v>1</v>
      </c>
      <c r="BM162" s="171">
        <v>1</v>
      </c>
      <c r="BN162" s="171"/>
      <c r="BO162" s="171"/>
      <c r="BP162" s="171"/>
      <c r="BQ162" s="171"/>
      <c r="BR162" s="171"/>
      <c r="BS162" s="171">
        <v>1</v>
      </c>
      <c r="BT162" s="171"/>
      <c r="BU162" s="171">
        <v>1</v>
      </c>
      <c r="BV162" s="171"/>
      <c r="BW162" s="171"/>
      <c r="BX162" s="171"/>
      <c r="BY162" s="171"/>
      <c r="BZ162" s="171">
        <v>1</v>
      </c>
      <c r="CA162" s="171"/>
      <c r="CB162" s="171">
        <v>1</v>
      </c>
      <c r="CC162" s="171">
        <v>1</v>
      </c>
      <c r="CD162" s="171"/>
      <c r="CE162" s="171">
        <v>1</v>
      </c>
      <c r="CF162" s="171"/>
      <c r="CG162" s="171">
        <v>1</v>
      </c>
      <c r="CH162" s="171">
        <v>1</v>
      </c>
      <c r="CI162" s="171"/>
      <c r="CJ162" s="171"/>
      <c r="CK162" s="171"/>
      <c r="CL162" s="171"/>
    </row>
    <row r="163" spans="1:91">
      <c r="A163" s="171">
        <v>480</v>
      </c>
      <c r="B163" s="171" t="s">
        <v>5465</v>
      </c>
      <c r="C163" s="171">
        <v>397</v>
      </c>
      <c r="D163" s="171" t="str">
        <f t="shared" si="39"/>
        <v xml:space="preserve"> NZ</v>
      </c>
      <c r="E163" s="171" t="s">
        <v>7220</v>
      </c>
      <c r="F163" s="174">
        <v>45482</v>
      </c>
      <c r="G163" s="171" t="s">
        <v>7220</v>
      </c>
      <c r="H163" s="173">
        <v>4872.3999999999996</v>
      </c>
      <c r="I163" s="171"/>
      <c r="J163" s="171" t="s">
        <v>3498</v>
      </c>
      <c r="K163" s="171" t="s">
        <v>5464</v>
      </c>
      <c r="L163" s="171" t="s">
        <v>8320</v>
      </c>
      <c r="M163" s="171" t="s">
        <v>5032</v>
      </c>
      <c r="N163" s="171"/>
      <c r="O163" s="171"/>
      <c r="P163" s="171" t="s">
        <v>5032</v>
      </c>
      <c r="Q163" s="171"/>
      <c r="R163" s="171"/>
      <c r="S163" s="171"/>
      <c r="T163" s="171"/>
      <c r="U163" s="171"/>
      <c r="V163" s="175"/>
      <c r="W163" s="171"/>
      <c r="X163" s="171" t="s">
        <v>5032</v>
      </c>
      <c r="Y163" s="171"/>
      <c r="Z163" s="171"/>
      <c r="AA163" s="171" t="s">
        <v>5032</v>
      </c>
      <c r="AB163" s="171"/>
      <c r="AC163" s="171"/>
      <c r="AD163" s="171"/>
      <c r="AE163" s="171"/>
      <c r="AF163" s="171"/>
      <c r="AG163" s="171"/>
      <c r="AH163" s="171"/>
      <c r="AI163" s="171"/>
      <c r="AJ163" s="171"/>
      <c r="AK163" s="171"/>
      <c r="AL163" s="171"/>
      <c r="AM163" s="171"/>
      <c r="AN163" s="171" t="s">
        <v>1957</v>
      </c>
      <c r="AO163" s="171" t="s">
        <v>109</v>
      </c>
      <c r="AP163" s="171" t="s">
        <v>2072</v>
      </c>
      <c r="AQ163" s="171" t="s">
        <v>1957</v>
      </c>
      <c r="AR163" s="171">
        <v>2050</v>
      </c>
      <c r="AS163" s="171">
        <v>2021</v>
      </c>
      <c r="AT163" s="171"/>
      <c r="AU163" s="171"/>
      <c r="AV163" s="171"/>
      <c r="AW163" s="171" t="s">
        <v>4174</v>
      </c>
      <c r="AX163" s="171" t="s">
        <v>7906</v>
      </c>
      <c r="AY163" s="171"/>
      <c r="AZ163" s="171"/>
      <c r="BA163" s="171"/>
      <c r="BB163" s="171"/>
      <c r="BC163" s="171"/>
      <c r="BD163" s="171"/>
      <c r="BE163" s="171"/>
      <c r="BF163" s="225"/>
      <c r="BG163" s="171"/>
      <c r="BH163" s="171"/>
      <c r="BI163" s="171"/>
      <c r="BJ163" s="171"/>
      <c r="BK163" s="171"/>
      <c r="BL163" s="171"/>
      <c r="BM163" s="171"/>
      <c r="BN163" s="171"/>
      <c r="BO163" s="171"/>
      <c r="BP163" s="171">
        <v>1</v>
      </c>
      <c r="BQ163" s="171">
        <v>1</v>
      </c>
      <c r="BR163" s="171"/>
      <c r="BS163" s="171"/>
      <c r="BT163" s="171"/>
      <c r="BU163" s="171"/>
      <c r="BV163" s="171"/>
      <c r="BW163" s="171"/>
      <c r="BX163" s="171"/>
      <c r="BY163" s="171"/>
      <c r="BZ163" s="171">
        <v>1</v>
      </c>
      <c r="CA163" s="171"/>
      <c r="CB163" s="171">
        <v>1</v>
      </c>
      <c r="CC163" s="171">
        <v>1</v>
      </c>
      <c r="CD163" s="171"/>
      <c r="CE163" s="171">
        <v>1</v>
      </c>
      <c r="CF163" s="171"/>
      <c r="CG163" s="171"/>
      <c r="CH163" s="171">
        <v>1</v>
      </c>
      <c r="CI163" s="171"/>
      <c r="CJ163" s="171"/>
      <c r="CK163" s="171"/>
      <c r="CL163" s="171"/>
      <c r="CM163">
        <f t="shared" si="40"/>
        <v>2050</v>
      </c>
    </row>
    <row r="164" spans="1:91">
      <c r="A164" s="171">
        <v>257</v>
      </c>
      <c r="B164" s="171" t="s">
        <v>814</v>
      </c>
      <c r="C164" s="171">
        <v>288</v>
      </c>
      <c r="D164" s="171" t="str">
        <f t="shared" si="39"/>
        <v xml:space="preserve"> NZ SBT</v>
      </c>
      <c r="E164" s="171" t="s">
        <v>7220</v>
      </c>
      <c r="F164" s="174">
        <v>45478</v>
      </c>
      <c r="G164" s="171" t="s">
        <v>7223</v>
      </c>
      <c r="H164" s="173">
        <v>461.7</v>
      </c>
      <c r="I164" s="171"/>
      <c r="J164" s="171" t="s">
        <v>4467</v>
      </c>
      <c r="K164" s="171" t="s">
        <v>146</v>
      </c>
      <c r="L164" s="171" t="s">
        <v>1951</v>
      </c>
      <c r="M164" s="171" t="s">
        <v>5032</v>
      </c>
      <c r="N164" s="171"/>
      <c r="O164" s="171"/>
      <c r="P164" s="171" t="s">
        <v>5032</v>
      </c>
      <c r="Q164" s="171" t="s">
        <v>165</v>
      </c>
      <c r="R164" s="171"/>
      <c r="S164" s="171">
        <v>2030</v>
      </c>
      <c r="T164" s="171" t="s">
        <v>361</v>
      </c>
      <c r="U164" s="171"/>
      <c r="V164" s="172">
        <v>44593</v>
      </c>
      <c r="W164" s="171">
        <v>2022</v>
      </c>
      <c r="X164" s="171" t="s">
        <v>5032</v>
      </c>
      <c r="Y164" s="171"/>
      <c r="Z164" s="171"/>
      <c r="AA164" s="171" t="s">
        <v>5032</v>
      </c>
      <c r="AB164" s="171"/>
      <c r="AC164" s="171"/>
      <c r="AD164" s="171"/>
      <c r="AE164" s="171"/>
      <c r="AF164" s="171"/>
      <c r="AG164" s="171"/>
      <c r="AH164" s="171"/>
      <c r="AI164" s="171"/>
      <c r="AJ164" s="171"/>
      <c r="AK164" s="171"/>
      <c r="AL164" s="171"/>
      <c r="AM164" s="171"/>
      <c r="AN164" s="171" t="s">
        <v>4172</v>
      </c>
      <c r="AO164" s="171" t="s">
        <v>1435</v>
      </c>
      <c r="AP164" s="171" t="s">
        <v>7905</v>
      </c>
      <c r="AQ164" s="171" t="s">
        <v>4172</v>
      </c>
      <c r="AR164" s="171">
        <v>2045</v>
      </c>
      <c r="AS164" s="171">
        <v>2022</v>
      </c>
      <c r="AT164" s="171"/>
      <c r="AU164" s="171"/>
      <c r="AV164" s="171"/>
      <c r="AW164" s="171" t="s">
        <v>2082</v>
      </c>
      <c r="AX164" s="171" t="s">
        <v>7904</v>
      </c>
      <c r="AY164" s="171"/>
      <c r="AZ164" s="171"/>
      <c r="BA164" s="171"/>
      <c r="BB164" s="171"/>
      <c r="BC164" s="171"/>
      <c r="BD164" s="171"/>
      <c r="BE164" s="171"/>
      <c r="BF164" s="225"/>
      <c r="BG164" s="171"/>
      <c r="BH164" s="171"/>
      <c r="BI164" s="171"/>
      <c r="BJ164" s="171"/>
      <c r="BK164" s="171"/>
      <c r="BL164" s="171"/>
      <c r="BM164" s="171"/>
      <c r="BN164" s="171"/>
      <c r="BO164" s="171"/>
      <c r="BP164" s="171">
        <v>1</v>
      </c>
      <c r="BQ164" s="171">
        <v>1</v>
      </c>
      <c r="BR164" s="171"/>
      <c r="BS164" s="171">
        <v>1</v>
      </c>
      <c r="BT164" s="171"/>
      <c r="BU164" s="171">
        <v>1</v>
      </c>
      <c r="BV164" s="171"/>
      <c r="BW164" s="171"/>
      <c r="BX164" s="171"/>
      <c r="BY164" s="171"/>
      <c r="BZ164" s="171">
        <v>1</v>
      </c>
      <c r="CA164" s="171"/>
      <c r="CB164" s="171">
        <v>1</v>
      </c>
      <c r="CC164" s="171"/>
      <c r="CD164" s="171"/>
      <c r="CE164" s="171">
        <v>1</v>
      </c>
      <c r="CF164" s="171"/>
      <c r="CG164" s="171">
        <v>1</v>
      </c>
      <c r="CH164" s="171">
        <v>1</v>
      </c>
      <c r="CI164" s="171"/>
      <c r="CJ164" s="171"/>
      <c r="CK164" s="171">
        <v>1</v>
      </c>
      <c r="CL164" s="171">
        <v>1</v>
      </c>
      <c r="CM164">
        <f t="shared" si="40"/>
        <v>2045</v>
      </c>
    </row>
    <row r="165" spans="1:91">
      <c r="A165" s="171">
        <v>49</v>
      </c>
      <c r="B165" s="171" t="s">
        <v>7903</v>
      </c>
      <c r="C165" s="171">
        <v>55</v>
      </c>
      <c r="D165" s="171" t="str">
        <f t="shared" si="39"/>
        <v xml:space="preserve"> NZ SBT</v>
      </c>
      <c r="E165" s="171" t="s">
        <v>7719</v>
      </c>
      <c r="F165" s="174">
        <v>45475</v>
      </c>
      <c r="G165" s="171" t="s">
        <v>7220</v>
      </c>
      <c r="H165" s="173">
        <v>10827.9</v>
      </c>
      <c r="I165" s="171"/>
      <c r="J165" s="171" t="s">
        <v>4199</v>
      </c>
      <c r="K165" s="171" t="s">
        <v>63</v>
      </c>
      <c r="L165" s="171" t="s">
        <v>1951</v>
      </c>
      <c r="M165" s="171" t="s">
        <v>5032</v>
      </c>
      <c r="N165" s="171"/>
      <c r="O165" s="171"/>
      <c r="P165" s="171" t="s">
        <v>4174</v>
      </c>
      <c r="Q165" s="171" t="s">
        <v>22</v>
      </c>
      <c r="R165" s="171" t="s">
        <v>7277</v>
      </c>
      <c r="S165" s="171">
        <v>2030</v>
      </c>
      <c r="T165" s="171" t="s">
        <v>1</v>
      </c>
      <c r="U165" s="171"/>
      <c r="V165" s="172">
        <v>44166</v>
      </c>
      <c r="W165" s="171">
        <v>2020</v>
      </c>
      <c r="X165" s="171" t="s">
        <v>5032</v>
      </c>
      <c r="Y165" s="171"/>
      <c r="Z165" s="171"/>
      <c r="AA165" s="171" t="s">
        <v>5032</v>
      </c>
      <c r="AB165" s="171"/>
      <c r="AC165" s="171"/>
      <c r="AD165" s="171"/>
      <c r="AE165" s="171"/>
      <c r="AF165" s="171"/>
      <c r="AG165" s="171"/>
      <c r="AH165" s="171"/>
      <c r="AI165" s="171"/>
      <c r="AJ165" s="171"/>
      <c r="AK165" s="171"/>
      <c r="AL165" s="171"/>
      <c r="AM165" s="171"/>
      <c r="AN165" s="171" t="s">
        <v>4172</v>
      </c>
      <c r="AO165" s="171" t="s">
        <v>4290</v>
      </c>
      <c r="AP165" s="171" t="s">
        <v>7303</v>
      </c>
      <c r="AQ165" s="171" t="s">
        <v>4172</v>
      </c>
      <c r="AR165" s="171">
        <v>2050</v>
      </c>
      <c r="AS165" s="171">
        <v>2018</v>
      </c>
      <c r="AT165" s="171"/>
      <c r="AU165" s="171"/>
      <c r="AV165" s="171"/>
      <c r="AW165" s="171" t="s">
        <v>2082</v>
      </c>
      <c r="AX165" s="171" t="s">
        <v>7901</v>
      </c>
      <c r="AY165" s="171"/>
      <c r="AZ165" s="171"/>
      <c r="BA165" s="171"/>
      <c r="BB165" s="171"/>
      <c r="BC165" s="171" t="s">
        <v>7902</v>
      </c>
      <c r="BD165" s="171" t="s">
        <v>4172</v>
      </c>
      <c r="BE165" s="171" t="s">
        <v>7901</v>
      </c>
      <c r="BF165" s="225" t="s">
        <v>5032</v>
      </c>
      <c r="BG165" s="171"/>
      <c r="BH165" s="171"/>
      <c r="BI165" s="171"/>
      <c r="BJ165" s="171"/>
      <c r="BK165" s="171"/>
      <c r="BL165" s="171"/>
      <c r="BM165" s="171"/>
      <c r="BN165" s="171"/>
      <c r="BO165" s="171"/>
      <c r="BP165" s="171">
        <v>1</v>
      </c>
      <c r="BQ165" s="171">
        <v>1</v>
      </c>
      <c r="BR165" s="171"/>
      <c r="BS165" s="171">
        <v>1</v>
      </c>
      <c r="BT165" s="171"/>
      <c r="BU165" s="171">
        <v>1</v>
      </c>
      <c r="BV165" s="171"/>
      <c r="BW165" s="171"/>
      <c r="BX165" s="171"/>
      <c r="BY165" s="171"/>
      <c r="BZ165" s="171">
        <v>1</v>
      </c>
      <c r="CA165" s="171"/>
      <c r="CB165" s="171">
        <v>1</v>
      </c>
      <c r="CC165" s="171"/>
      <c r="CD165" s="171"/>
      <c r="CE165" s="171">
        <v>1</v>
      </c>
      <c r="CF165" s="171"/>
      <c r="CG165" s="171">
        <v>1</v>
      </c>
      <c r="CH165" s="171">
        <v>1</v>
      </c>
      <c r="CI165" s="171"/>
      <c r="CJ165" s="171"/>
      <c r="CK165" s="171">
        <v>1</v>
      </c>
      <c r="CL165" s="171">
        <v>1</v>
      </c>
      <c r="CM165">
        <f t="shared" si="40"/>
        <v>2050</v>
      </c>
    </row>
    <row r="166" spans="1:91">
      <c r="A166" s="171">
        <v>40</v>
      </c>
      <c r="B166" s="171" t="s">
        <v>4970</v>
      </c>
      <c r="C166" s="171">
        <v>51</v>
      </c>
      <c r="D166" s="171" t="str">
        <f t="shared" si="39"/>
        <v>CN NZ RE100</v>
      </c>
      <c r="E166" s="171" t="s">
        <v>7223</v>
      </c>
      <c r="F166" s="174">
        <v>45475</v>
      </c>
      <c r="G166" s="171" t="s">
        <v>7220</v>
      </c>
      <c r="H166" s="173">
        <v>5987</v>
      </c>
      <c r="I166" s="171"/>
      <c r="J166" s="171" t="s">
        <v>4201</v>
      </c>
      <c r="K166" s="171" t="s">
        <v>4457</v>
      </c>
      <c r="L166" s="171" t="s">
        <v>2029</v>
      </c>
      <c r="M166" s="171" t="s">
        <v>4174</v>
      </c>
      <c r="N166" s="171">
        <v>2019</v>
      </c>
      <c r="O166" s="171">
        <v>2025</v>
      </c>
      <c r="P166" s="171" t="s">
        <v>5032</v>
      </c>
      <c r="Q166" s="171"/>
      <c r="R166" s="171"/>
      <c r="S166" s="171"/>
      <c r="T166" s="171"/>
      <c r="U166" s="171"/>
      <c r="V166" s="175"/>
      <c r="W166" s="171"/>
      <c r="X166" s="171" t="s">
        <v>1957</v>
      </c>
      <c r="Y166" s="171" t="s">
        <v>1659</v>
      </c>
      <c r="Z166" s="171" t="s">
        <v>3283</v>
      </c>
      <c r="AA166" s="171" t="s">
        <v>1957</v>
      </c>
      <c r="AB166" s="171">
        <v>2021</v>
      </c>
      <c r="AC166" s="171">
        <v>2021</v>
      </c>
      <c r="AD166" s="171"/>
      <c r="AE166" s="171"/>
      <c r="AF166" s="171"/>
      <c r="AG166" s="171" t="s">
        <v>2082</v>
      </c>
      <c r="AH166" s="171">
        <v>2023</v>
      </c>
      <c r="AI166" s="171" t="s">
        <v>4174</v>
      </c>
      <c r="AJ166" s="171" t="s">
        <v>7900</v>
      </c>
      <c r="AK166" s="171"/>
      <c r="AL166" s="176" t="s">
        <v>7900</v>
      </c>
      <c r="AM166" s="171"/>
      <c r="AN166" s="171" t="s">
        <v>1957</v>
      </c>
      <c r="AO166" s="171" t="s">
        <v>4189</v>
      </c>
      <c r="AP166" s="171" t="s">
        <v>7303</v>
      </c>
      <c r="AQ166" s="171" t="s">
        <v>1957</v>
      </c>
      <c r="AR166" s="171">
        <v>2050</v>
      </c>
      <c r="AS166" s="171">
        <v>2022</v>
      </c>
      <c r="AT166" s="171"/>
      <c r="AU166" s="171"/>
      <c r="AV166" s="171"/>
      <c r="AW166" s="171" t="s">
        <v>2082</v>
      </c>
      <c r="AX166" s="171" t="s">
        <v>7899</v>
      </c>
      <c r="AY166" s="171"/>
      <c r="AZ166" s="171"/>
      <c r="BA166" s="171"/>
      <c r="BB166" s="171"/>
      <c r="BC166" s="171"/>
      <c r="BD166" s="171" t="s">
        <v>1957</v>
      </c>
      <c r="BE166" s="171" t="s">
        <v>7899</v>
      </c>
      <c r="BF166" s="225" t="s">
        <v>5032</v>
      </c>
      <c r="BG166" s="171"/>
      <c r="BH166" s="171"/>
      <c r="BI166" s="171" t="s">
        <v>7898</v>
      </c>
      <c r="BJ166" s="171">
        <v>1</v>
      </c>
      <c r="BK166" s="171"/>
      <c r="BL166" s="171"/>
      <c r="BM166" s="171">
        <v>1</v>
      </c>
      <c r="BN166" s="171"/>
      <c r="BO166" s="171"/>
      <c r="BP166" s="171">
        <v>1</v>
      </c>
      <c r="BQ166" s="171">
        <v>1</v>
      </c>
      <c r="BR166" s="171"/>
      <c r="BS166" s="171"/>
      <c r="BT166" s="171"/>
      <c r="BU166" s="171"/>
      <c r="BV166" s="171"/>
      <c r="BW166" s="171">
        <v>1</v>
      </c>
      <c r="BX166" s="171"/>
      <c r="BY166" s="171">
        <v>1</v>
      </c>
      <c r="BZ166" s="171">
        <v>1</v>
      </c>
      <c r="CA166" s="171">
        <v>1</v>
      </c>
      <c r="CB166" s="171">
        <v>1</v>
      </c>
      <c r="CC166" s="171"/>
      <c r="CD166" s="171"/>
      <c r="CE166" s="171">
        <v>1</v>
      </c>
      <c r="CF166" s="171">
        <v>1</v>
      </c>
      <c r="CG166" s="171">
        <v>1</v>
      </c>
      <c r="CH166" s="171">
        <v>1</v>
      </c>
      <c r="CI166" s="171"/>
      <c r="CJ166" s="171"/>
      <c r="CK166" s="171"/>
      <c r="CL166" s="171"/>
      <c r="CM166">
        <f t="shared" si="40"/>
        <v>2050</v>
      </c>
    </row>
    <row r="167" spans="1:91">
      <c r="A167" s="171">
        <v>455</v>
      </c>
      <c r="B167" s="171" t="s">
        <v>4366</v>
      </c>
      <c r="C167" s="171"/>
      <c r="D167" s="171" t="str">
        <f t="shared" si="39"/>
        <v>CN</v>
      </c>
      <c r="E167" s="171" t="s">
        <v>7223</v>
      </c>
      <c r="F167" s="174">
        <v>45512</v>
      </c>
      <c r="G167" s="176"/>
      <c r="H167" s="173">
        <v>5240.3999999999996</v>
      </c>
      <c r="I167" s="181" t="s">
        <v>573</v>
      </c>
      <c r="J167" s="171" t="s">
        <v>4201</v>
      </c>
      <c r="K167" s="171" t="s">
        <v>4457</v>
      </c>
      <c r="L167" s="171" t="s">
        <v>2029</v>
      </c>
      <c r="M167" s="171" t="s">
        <v>5032</v>
      </c>
      <c r="N167" s="171"/>
      <c r="O167" s="171"/>
      <c r="P167" s="171" t="s">
        <v>5032</v>
      </c>
      <c r="Q167" s="171"/>
      <c r="R167" s="171"/>
      <c r="S167" s="171"/>
      <c r="T167" s="171"/>
      <c r="U167" s="171"/>
      <c r="V167" s="175"/>
      <c r="W167" s="171"/>
      <c r="X167" s="171" t="s">
        <v>1957</v>
      </c>
      <c r="Y167" s="171" t="s">
        <v>1659</v>
      </c>
      <c r="Z167" s="171" t="s">
        <v>3283</v>
      </c>
      <c r="AA167" s="171" t="s">
        <v>1957</v>
      </c>
      <c r="AB167" s="171">
        <v>2030</v>
      </c>
      <c r="AC167" s="171">
        <v>2021</v>
      </c>
      <c r="AD167" s="171"/>
      <c r="AE167" s="171"/>
      <c r="AF167" s="171"/>
      <c r="AG167" s="171" t="s">
        <v>4174</v>
      </c>
      <c r="AH167" s="171">
        <v>2023</v>
      </c>
      <c r="AI167" s="171" t="s">
        <v>4174</v>
      </c>
      <c r="AJ167" s="176" t="s">
        <v>7897</v>
      </c>
      <c r="AK167" s="171"/>
      <c r="AL167" s="171" t="s">
        <v>7896</v>
      </c>
      <c r="AM167" s="171"/>
      <c r="AN167" s="171" t="s">
        <v>5032</v>
      </c>
      <c r="AO167" s="171"/>
      <c r="AP167" s="171"/>
      <c r="AQ167" s="171" t="s">
        <v>5032</v>
      </c>
      <c r="AR167" s="171"/>
      <c r="AS167" s="171"/>
      <c r="AT167" s="171"/>
      <c r="AU167" s="171"/>
      <c r="AV167" s="171"/>
      <c r="AW167" s="171"/>
      <c r="AX167" s="171"/>
      <c r="AY167" s="171"/>
      <c r="AZ167" s="171"/>
      <c r="BA167" s="171"/>
      <c r="BB167" s="171"/>
      <c r="BC167" s="171"/>
      <c r="BD167" s="171"/>
      <c r="BE167" s="171"/>
      <c r="BF167" s="225"/>
      <c r="BG167" s="171"/>
      <c r="BH167" s="171"/>
      <c r="BI167" s="171"/>
      <c r="BJ167" s="171"/>
      <c r="BK167" s="171">
        <v>1</v>
      </c>
      <c r="BL167" s="171"/>
      <c r="BM167" s="171">
        <v>1</v>
      </c>
      <c r="BN167" s="171"/>
      <c r="BO167" s="171"/>
      <c r="BP167" s="171"/>
      <c r="BQ167" s="171"/>
      <c r="BR167" s="171"/>
      <c r="BS167" s="171"/>
      <c r="BT167" s="171"/>
      <c r="BU167" s="171"/>
      <c r="BV167" s="171"/>
      <c r="BW167" s="171"/>
      <c r="BX167" s="171"/>
      <c r="BY167" s="171"/>
      <c r="BZ167" s="171">
        <v>1</v>
      </c>
      <c r="CA167" s="171">
        <v>1</v>
      </c>
      <c r="CB167" s="171">
        <v>1</v>
      </c>
      <c r="CC167" s="171">
        <v>1</v>
      </c>
      <c r="CD167" s="171"/>
      <c r="CE167" s="171">
        <v>1</v>
      </c>
      <c r="CF167" s="171"/>
      <c r="CG167" s="171">
        <v>1</v>
      </c>
      <c r="CH167" s="171">
        <v>1</v>
      </c>
      <c r="CI167" s="171"/>
      <c r="CJ167" s="171"/>
      <c r="CK167" s="171"/>
      <c r="CL167" s="171"/>
    </row>
    <row r="168" spans="1:91">
      <c r="A168" s="171">
        <v>431</v>
      </c>
      <c r="B168" s="171" t="s">
        <v>4364</v>
      </c>
      <c r="C168" s="171">
        <v>423</v>
      </c>
      <c r="D168" s="171" t="str">
        <f t="shared" si="39"/>
        <v/>
      </c>
      <c r="E168" s="171" t="s">
        <v>7223</v>
      </c>
      <c r="F168" s="174">
        <v>45512</v>
      </c>
      <c r="G168" s="171" t="s">
        <v>7223</v>
      </c>
      <c r="H168" s="173">
        <v>-409.7</v>
      </c>
      <c r="I168" s="171"/>
      <c r="J168" s="171" t="s">
        <v>4467</v>
      </c>
      <c r="K168" s="171" t="s">
        <v>63</v>
      </c>
      <c r="L168" s="171" t="s">
        <v>1951</v>
      </c>
      <c r="M168" s="171" t="s">
        <v>5032</v>
      </c>
      <c r="N168" s="171"/>
      <c r="O168" s="171"/>
      <c r="P168" s="171" t="s">
        <v>5032</v>
      </c>
      <c r="Q168" s="171"/>
      <c r="R168" s="171"/>
      <c r="S168" s="171"/>
      <c r="T168" s="171"/>
      <c r="U168" s="171"/>
      <c r="V168" s="175"/>
      <c r="W168" s="171"/>
      <c r="X168" s="171" t="s">
        <v>5032</v>
      </c>
      <c r="Y168" s="171"/>
      <c r="Z168" s="171"/>
      <c r="AA168" s="171" t="s">
        <v>5032</v>
      </c>
      <c r="AB168" s="171"/>
      <c r="AC168" s="171"/>
      <c r="AD168" s="171"/>
      <c r="AE168" s="171"/>
      <c r="AF168" s="171"/>
      <c r="AG168" s="171"/>
      <c r="AH168" s="171"/>
      <c r="AI168" s="171"/>
      <c r="AJ168" s="171"/>
      <c r="AK168" s="171"/>
      <c r="AL168" s="171"/>
      <c r="AM168" s="171"/>
      <c r="AN168" s="171" t="s">
        <v>5032</v>
      </c>
      <c r="AO168" s="171"/>
      <c r="AP168" s="171"/>
      <c r="AQ168" s="171" t="s">
        <v>5032</v>
      </c>
      <c r="AR168" s="171"/>
      <c r="AS168" s="171"/>
      <c r="AT168" s="171"/>
      <c r="AU168" s="171"/>
      <c r="AV168" s="171"/>
      <c r="AW168" s="171"/>
      <c r="AX168" s="171"/>
      <c r="AY168" s="171"/>
      <c r="AZ168" s="171"/>
      <c r="BA168" s="171"/>
      <c r="BB168" s="171"/>
      <c r="BC168" s="171"/>
      <c r="BD168" s="171"/>
      <c r="BE168" s="171"/>
      <c r="BF168" s="225"/>
      <c r="BG168" s="171"/>
      <c r="BH168" s="171"/>
      <c r="BI168" s="171"/>
      <c r="BJ168" s="171"/>
      <c r="BK168" s="171"/>
      <c r="BL168" s="171"/>
      <c r="BM168" s="171"/>
      <c r="BN168" s="171"/>
      <c r="BO168" s="171"/>
      <c r="BP168" s="171"/>
      <c r="BQ168" s="171"/>
      <c r="BR168" s="171"/>
      <c r="BS168" s="171"/>
      <c r="BT168" s="171"/>
      <c r="BU168" s="171"/>
      <c r="BV168" s="171"/>
      <c r="BW168" s="171"/>
      <c r="BX168" s="171"/>
      <c r="BY168" s="171"/>
      <c r="BZ168" s="171"/>
      <c r="CA168" s="171"/>
      <c r="CB168" s="171"/>
      <c r="CC168" s="171"/>
      <c r="CD168" s="171"/>
      <c r="CE168" s="171"/>
      <c r="CF168" s="171"/>
      <c r="CG168" s="171"/>
      <c r="CH168" s="171"/>
      <c r="CI168" s="171"/>
      <c r="CJ168" s="171"/>
      <c r="CK168" s="171"/>
      <c r="CL168" s="171"/>
    </row>
    <row r="169" spans="1:91">
      <c r="A169" s="171">
        <v>492</v>
      </c>
      <c r="B169" s="171" t="s">
        <v>174</v>
      </c>
      <c r="C169" s="171"/>
      <c r="D169" s="171" t="str">
        <f t="shared" si="39"/>
        <v/>
      </c>
      <c r="E169" s="171" t="s">
        <v>7223</v>
      </c>
      <c r="F169" s="174">
        <v>45512</v>
      </c>
      <c r="G169" s="176"/>
      <c r="H169" s="173">
        <v>4692.1000000000004</v>
      </c>
      <c r="I169" s="181" t="s">
        <v>177</v>
      </c>
      <c r="J169" s="171" t="s">
        <v>4179</v>
      </c>
      <c r="K169" s="171" t="s">
        <v>7895</v>
      </c>
      <c r="L169" s="171" t="s">
        <v>1994</v>
      </c>
      <c r="M169" s="171" t="s">
        <v>5032</v>
      </c>
      <c r="N169" s="171"/>
      <c r="O169" s="171"/>
      <c r="P169" s="171" t="s">
        <v>5032</v>
      </c>
      <c r="Q169" s="171"/>
      <c r="R169" s="171"/>
      <c r="S169" s="171"/>
      <c r="T169" s="171"/>
      <c r="U169" s="171"/>
      <c r="V169" s="175"/>
      <c r="W169" s="171"/>
      <c r="X169" s="171" t="s">
        <v>5032</v>
      </c>
      <c r="Y169" s="171"/>
      <c r="Z169" s="171"/>
      <c r="AA169" s="171" t="s">
        <v>5032</v>
      </c>
      <c r="AB169" s="171"/>
      <c r="AC169" s="171"/>
      <c r="AD169" s="171"/>
      <c r="AE169" s="171"/>
      <c r="AF169" s="171"/>
      <c r="AG169" s="171"/>
      <c r="AH169" s="171"/>
      <c r="AI169" s="171"/>
      <c r="AJ169" s="171"/>
      <c r="AK169" s="171"/>
      <c r="AL169" s="171"/>
      <c r="AM169" s="171"/>
      <c r="AN169" s="171" t="s">
        <v>5032</v>
      </c>
      <c r="AO169" s="171"/>
      <c r="AP169" s="171"/>
      <c r="AQ169" s="171" t="s">
        <v>5032</v>
      </c>
      <c r="AR169" s="171"/>
      <c r="AS169" s="171"/>
      <c r="AT169" s="171"/>
      <c r="AU169" s="171"/>
      <c r="AV169" s="171"/>
      <c r="AW169" s="171"/>
      <c r="AX169" s="171"/>
      <c r="AY169" s="171"/>
      <c r="AZ169" s="171"/>
      <c r="BA169" s="171"/>
      <c r="BB169" s="171"/>
      <c r="BC169" s="171"/>
      <c r="BD169" s="171"/>
      <c r="BE169" s="171"/>
      <c r="BF169" s="225"/>
      <c r="BG169" s="171"/>
      <c r="BH169" s="171"/>
      <c r="BI169" s="171"/>
      <c r="BJ169" s="171"/>
      <c r="BK169" s="171"/>
      <c r="BL169" s="171"/>
      <c r="BM169" s="171"/>
      <c r="BN169" s="171"/>
      <c r="BO169" s="171"/>
      <c r="BP169" s="171"/>
      <c r="BQ169" s="171"/>
      <c r="BR169" s="171"/>
      <c r="BS169" s="171"/>
      <c r="BT169" s="171"/>
      <c r="BU169" s="171"/>
      <c r="BV169" s="171"/>
      <c r="BW169" s="171"/>
      <c r="BX169" s="171"/>
      <c r="BY169" s="171"/>
      <c r="BZ169" s="171"/>
      <c r="CA169" s="171"/>
      <c r="CB169" s="171"/>
      <c r="CC169" s="171"/>
      <c r="CD169" s="171"/>
      <c r="CE169" s="171"/>
      <c r="CF169" s="171"/>
      <c r="CG169" s="171"/>
      <c r="CH169" s="171"/>
      <c r="CI169" s="171"/>
      <c r="CJ169" s="171"/>
      <c r="CK169" s="171"/>
      <c r="CL169" s="171"/>
    </row>
    <row r="170" spans="1:91">
      <c r="A170" s="171">
        <v>497</v>
      </c>
      <c r="B170" s="171" t="s">
        <v>680</v>
      </c>
      <c r="C170" s="171">
        <v>365</v>
      </c>
      <c r="D170" s="171" t="str">
        <f t="shared" si="39"/>
        <v xml:space="preserve"> NZ</v>
      </c>
      <c r="E170" s="171" t="s">
        <v>7220</v>
      </c>
      <c r="F170" s="174">
        <v>45481</v>
      </c>
      <c r="G170" s="171" t="s">
        <v>7220</v>
      </c>
      <c r="H170" s="173">
        <v>4588.3</v>
      </c>
      <c r="I170" s="171"/>
      <c r="J170" s="171" t="s">
        <v>3498</v>
      </c>
      <c r="K170" s="171" t="s">
        <v>78</v>
      </c>
      <c r="L170" s="171" t="s">
        <v>2029</v>
      </c>
      <c r="M170" s="171" t="s">
        <v>5032</v>
      </c>
      <c r="N170" s="171"/>
      <c r="O170" s="171"/>
      <c r="P170" s="171" t="s">
        <v>5032</v>
      </c>
      <c r="Q170" s="171"/>
      <c r="R170" s="171"/>
      <c r="S170" s="171"/>
      <c r="T170" s="171"/>
      <c r="U170" s="171"/>
      <c r="V170" s="175"/>
      <c r="W170" s="171"/>
      <c r="X170" s="171" t="s">
        <v>5032</v>
      </c>
      <c r="Y170" s="171"/>
      <c r="Z170" s="171"/>
      <c r="AA170" s="171" t="s">
        <v>5032</v>
      </c>
      <c r="AB170" s="171"/>
      <c r="AC170" s="171"/>
      <c r="AD170" s="171"/>
      <c r="AE170" s="171"/>
      <c r="AF170" s="171"/>
      <c r="AG170" s="171"/>
      <c r="AH170" s="171"/>
      <c r="AI170" s="171"/>
      <c r="AJ170" s="171"/>
      <c r="AK170" s="171"/>
      <c r="AL170" s="171"/>
      <c r="AM170" s="171"/>
      <c r="AN170" s="171" t="s">
        <v>7236</v>
      </c>
      <c r="AO170" s="171" t="s">
        <v>7510</v>
      </c>
      <c r="AP170" s="171" t="s">
        <v>2072</v>
      </c>
      <c r="AQ170" s="171" t="s">
        <v>7236</v>
      </c>
      <c r="AR170" s="171">
        <v>2050</v>
      </c>
      <c r="AS170" s="171">
        <v>2020</v>
      </c>
      <c r="AT170" s="171"/>
      <c r="AU170" s="171"/>
      <c r="AV170" s="171"/>
      <c r="AW170" s="171" t="s">
        <v>4174</v>
      </c>
      <c r="AX170" s="171" t="s">
        <v>7894</v>
      </c>
      <c r="AY170" s="171"/>
      <c r="AZ170" s="171"/>
      <c r="BA170" s="171"/>
      <c r="BB170" s="171"/>
      <c r="BC170" s="171"/>
      <c r="BD170" s="171"/>
      <c r="BE170" s="171"/>
      <c r="BF170" s="225"/>
      <c r="BG170" s="171"/>
      <c r="BH170" s="171"/>
      <c r="BI170" s="171"/>
      <c r="BJ170" s="171"/>
      <c r="BK170" s="171"/>
      <c r="BL170" s="171"/>
      <c r="BM170" s="171"/>
      <c r="BN170" s="171"/>
      <c r="BO170" s="171"/>
      <c r="BP170" s="171">
        <v>1</v>
      </c>
      <c r="BQ170" s="171">
        <v>1</v>
      </c>
      <c r="BR170" s="171"/>
      <c r="BS170" s="171"/>
      <c r="BT170" s="171"/>
      <c r="BU170" s="171"/>
      <c r="BV170" s="171"/>
      <c r="BW170" s="171"/>
      <c r="BX170" s="171"/>
      <c r="BY170" s="171"/>
      <c r="BZ170" s="171">
        <v>1</v>
      </c>
      <c r="CA170" s="171"/>
      <c r="CB170" s="171">
        <v>1</v>
      </c>
      <c r="CC170" s="171">
        <v>1</v>
      </c>
      <c r="CD170" s="171"/>
      <c r="CE170" s="171">
        <v>1</v>
      </c>
      <c r="CF170" s="171"/>
      <c r="CG170" s="171"/>
      <c r="CH170" s="171">
        <v>1</v>
      </c>
      <c r="CI170" s="171"/>
      <c r="CJ170" s="171"/>
      <c r="CK170" s="171"/>
      <c r="CL170" s="171"/>
      <c r="CM170">
        <f t="shared" si="40"/>
        <v>2050</v>
      </c>
    </row>
    <row r="171" spans="1:91">
      <c r="A171" s="171">
        <v>97</v>
      </c>
      <c r="B171" s="171" t="s">
        <v>1582</v>
      </c>
      <c r="C171" s="171">
        <v>59</v>
      </c>
      <c r="D171" s="171" t="str">
        <f t="shared" si="39"/>
        <v xml:space="preserve"> NZ SBT</v>
      </c>
      <c r="E171" s="171" t="s">
        <v>7223</v>
      </c>
      <c r="F171" s="174">
        <v>45475</v>
      </c>
      <c r="G171" s="171" t="s">
        <v>7220</v>
      </c>
      <c r="H171" s="173">
        <v>3716.7</v>
      </c>
      <c r="I171" s="171"/>
      <c r="J171" s="171" t="s">
        <v>4199</v>
      </c>
      <c r="K171" s="171" t="s">
        <v>376</v>
      </c>
      <c r="L171" s="171" t="s">
        <v>1951</v>
      </c>
      <c r="M171" s="171" t="s">
        <v>5032</v>
      </c>
      <c r="N171" s="171"/>
      <c r="O171" s="171"/>
      <c r="P171" s="171" t="s">
        <v>4174</v>
      </c>
      <c r="Q171" s="171" t="s">
        <v>22</v>
      </c>
      <c r="R171" s="171" t="s">
        <v>7233</v>
      </c>
      <c r="S171" s="171">
        <v>2030</v>
      </c>
      <c r="T171" s="171" t="s">
        <v>361</v>
      </c>
      <c r="U171" s="171">
        <v>2040</v>
      </c>
      <c r="V171" s="172">
        <v>44958</v>
      </c>
      <c r="W171" s="171">
        <v>2023</v>
      </c>
      <c r="X171" s="171" t="s">
        <v>5032</v>
      </c>
      <c r="Y171" s="171"/>
      <c r="Z171" s="171"/>
      <c r="AA171" s="171" t="s">
        <v>5032</v>
      </c>
      <c r="AB171" s="171"/>
      <c r="AC171" s="171"/>
      <c r="AD171" s="171"/>
      <c r="AE171" s="171"/>
      <c r="AF171" s="171"/>
      <c r="AG171" s="171"/>
      <c r="AH171" s="171"/>
      <c r="AI171" s="171"/>
      <c r="AJ171" s="171"/>
      <c r="AK171" s="171"/>
      <c r="AL171" s="171"/>
      <c r="AM171" s="171"/>
      <c r="AN171" s="171" t="s">
        <v>4172</v>
      </c>
      <c r="AO171" s="171" t="s">
        <v>4630</v>
      </c>
      <c r="AP171" s="171" t="s">
        <v>7784</v>
      </c>
      <c r="AQ171" s="171" t="s">
        <v>4172</v>
      </c>
      <c r="AR171" s="171">
        <v>2040</v>
      </c>
      <c r="AS171" s="171">
        <v>2021</v>
      </c>
      <c r="AT171" s="171"/>
      <c r="AU171" s="171"/>
      <c r="AV171" s="171"/>
      <c r="AW171" s="171" t="s">
        <v>4174</v>
      </c>
      <c r="AX171" s="171" t="s">
        <v>7893</v>
      </c>
      <c r="AY171" s="171"/>
      <c r="AZ171" s="171"/>
      <c r="BA171" s="171"/>
      <c r="BB171" s="171"/>
      <c r="BC171" s="171" t="s">
        <v>7892</v>
      </c>
      <c r="BD171" s="171" t="s">
        <v>4172</v>
      </c>
      <c r="BE171" s="171" t="s">
        <v>7891</v>
      </c>
      <c r="BF171" s="225" t="s">
        <v>4174</v>
      </c>
      <c r="BG171" s="171" t="s">
        <v>7890</v>
      </c>
      <c r="BH171" s="171"/>
      <c r="BI171" s="171"/>
      <c r="BJ171" s="171"/>
      <c r="BK171" s="171"/>
      <c r="BL171" s="171"/>
      <c r="BM171" s="171"/>
      <c r="BN171" s="171"/>
      <c r="BO171" s="171"/>
      <c r="BP171" s="171">
        <v>1</v>
      </c>
      <c r="BQ171" s="171">
        <v>1</v>
      </c>
      <c r="BR171" s="171"/>
      <c r="BS171" s="171">
        <v>1</v>
      </c>
      <c r="BT171" s="171"/>
      <c r="BU171" s="171">
        <v>1</v>
      </c>
      <c r="BV171" s="171"/>
      <c r="BW171" s="171"/>
      <c r="BX171" s="171"/>
      <c r="BY171" s="171"/>
      <c r="BZ171" s="171">
        <v>1</v>
      </c>
      <c r="CA171" s="171"/>
      <c r="CB171" s="171">
        <v>1</v>
      </c>
      <c r="CC171" s="171">
        <v>1</v>
      </c>
      <c r="CD171" s="171"/>
      <c r="CE171" s="171">
        <v>1</v>
      </c>
      <c r="CF171" s="171"/>
      <c r="CG171" s="171">
        <v>1</v>
      </c>
      <c r="CH171" s="171">
        <v>1</v>
      </c>
      <c r="CI171" s="171"/>
      <c r="CJ171" s="171"/>
      <c r="CK171" s="171">
        <v>1</v>
      </c>
      <c r="CL171" s="171">
        <v>1</v>
      </c>
      <c r="CM171">
        <f t="shared" si="40"/>
        <v>2040</v>
      </c>
    </row>
    <row r="172" spans="1:91">
      <c r="A172" s="171">
        <v>153</v>
      </c>
      <c r="B172" s="171" t="s">
        <v>3346</v>
      </c>
      <c r="C172" s="171">
        <v>122</v>
      </c>
      <c r="D172" s="171" t="str">
        <f t="shared" si="39"/>
        <v>CN</v>
      </c>
      <c r="E172" s="171" t="s">
        <v>7288</v>
      </c>
      <c r="F172" s="174">
        <v>45476</v>
      </c>
      <c r="G172" s="171" t="s">
        <v>7223</v>
      </c>
      <c r="H172" s="173">
        <v>1993.5</v>
      </c>
      <c r="I172" s="171"/>
      <c r="J172" s="171" t="s">
        <v>3498</v>
      </c>
      <c r="K172" s="171" t="s">
        <v>207</v>
      </c>
      <c r="L172" s="171" t="s">
        <v>1994</v>
      </c>
      <c r="M172" s="171" t="s">
        <v>5032</v>
      </c>
      <c r="N172" s="171"/>
      <c r="O172" s="171"/>
      <c r="P172" s="171" t="s">
        <v>5032</v>
      </c>
      <c r="Q172" s="171"/>
      <c r="R172" s="171"/>
      <c r="S172" s="171"/>
      <c r="T172" s="171"/>
      <c r="U172" s="171"/>
      <c r="V172" s="175"/>
      <c r="W172" s="171"/>
      <c r="X172" s="171" t="s">
        <v>7227</v>
      </c>
      <c r="Y172" s="171" t="s">
        <v>7889</v>
      </c>
      <c r="Z172" s="171" t="s">
        <v>7238</v>
      </c>
      <c r="AA172" s="171" t="s">
        <v>1957</v>
      </c>
      <c r="AB172" s="171">
        <v>2040</v>
      </c>
      <c r="AC172" s="171">
        <v>2020</v>
      </c>
      <c r="AD172" s="171" t="s">
        <v>4172</v>
      </c>
      <c r="AE172" s="171">
        <v>2050</v>
      </c>
      <c r="AF172" s="171">
        <v>2020</v>
      </c>
      <c r="AG172" s="171" t="s">
        <v>4174</v>
      </c>
      <c r="AH172" s="171"/>
      <c r="AI172" s="171" t="s">
        <v>4174</v>
      </c>
      <c r="AJ172" s="171"/>
      <c r="AK172" s="171"/>
      <c r="AL172" s="176" t="s">
        <v>7888</v>
      </c>
      <c r="AM172" s="176" t="s">
        <v>7887</v>
      </c>
      <c r="AN172" s="171" t="s">
        <v>7229</v>
      </c>
      <c r="AO172" s="171"/>
      <c r="AP172" s="171"/>
      <c r="AQ172" s="171" t="s">
        <v>7229</v>
      </c>
      <c r="AR172" s="171"/>
      <c r="AS172" s="171"/>
      <c r="AT172" s="171"/>
      <c r="AU172" s="171"/>
      <c r="AV172" s="171"/>
      <c r="AW172" s="171"/>
      <c r="AX172" s="171" t="s">
        <v>7886</v>
      </c>
      <c r="AY172" s="171"/>
      <c r="AZ172" s="171"/>
      <c r="BA172" s="171"/>
      <c r="BB172" s="171"/>
      <c r="BC172" s="171"/>
      <c r="BD172" s="171"/>
      <c r="BE172" s="171"/>
      <c r="BF172" s="225"/>
      <c r="BG172" s="171"/>
      <c r="BH172" s="171"/>
      <c r="BI172" s="171"/>
      <c r="BJ172" s="171"/>
      <c r="BK172" s="171"/>
      <c r="BL172" s="171">
        <v>1</v>
      </c>
      <c r="BM172" s="171">
        <v>1</v>
      </c>
      <c r="BN172" s="171"/>
      <c r="BO172" s="171"/>
      <c r="BP172" s="171"/>
      <c r="BQ172" s="171"/>
      <c r="BR172" s="171"/>
      <c r="BS172" s="171"/>
      <c r="BT172" s="171"/>
      <c r="BU172" s="171"/>
      <c r="BV172" s="171"/>
      <c r="BW172" s="171"/>
      <c r="BX172" s="171"/>
      <c r="BY172" s="171"/>
      <c r="BZ172" s="171">
        <v>1</v>
      </c>
      <c r="CA172" s="171"/>
      <c r="CB172" s="171">
        <v>1</v>
      </c>
      <c r="CC172" s="171">
        <v>1</v>
      </c>
      <c r="CD172" s="171"/>
      <c r="CE172" s="171">
        <v>1</v>
      </c>
      <c r="CF172" s="171"/>
      <c r="CG172" s="171"/>
      <c r="CH172" s="171">
        <v>1</v>
      </c>
      <c r="CI172" s="171"/>
      <c r="CJ172" s="171"/>
      <c r="CK172" s="171"/>
      <c r="CL172" s="171"/>
    </row>
    <row r="173" spans="1:91">
      <c r="A173" s="171">
        <v>316</v>
      </c>
      <c r="B173" s="171" t="s">
        <v>4639</v>
      </c>
      <c r="C173" s="171">
        <v>237</v>
      </c>
      <c r="D173" s="171" t="str">
        <f t="shared" si="39"/>
        <v>CN SBT</v>
      </c>
      <c r="E173" s="171" t="s">
        <v>7220</v>
      </c>
      <c r="F173" s="174">
        <v>45477</v>
      </c>
      <c r="G173" s="171" t="s">
        <v>7220</v>
      </c>
      <c r="H173" s="173">
        <v>1662.2</v>
      </c>
      <c r="I173" s="171"/>
      <c r="J173" s="171" t="s">
        <v>4199</v>
      </c>
      <c r="K173" s="171" t="s">
        <v>146</v>
      </c>
      <c r="L173" s="171" t="s">
        <v>1951</v>
      </c>
      <c r="M173" s="171" t="s">
        <v>5032</v>
      </c>
      <c r="N173" s="171"/>
      <c r="O173" s="171"/>
      <c r="P173" s="171" t="s">
        <v>4174</v>
      </c>
      <c r="Q173" s="171" t="s">
        <v>22</v>
      </c>
      <c r="R173" s="171" t="s">
        <v>2499</v>
      </c>
      <c r="S173" s="171">
        <v>2035</v>
      </c>
      <c r="T173" s="171" t="s">
        <v>1</v>
      </c>
      <c r="U173" s="171"/>
      <c r="V173" s="175"/>
      <c r="W173" s="171">
        <v>2023</v>
      </c>
      <c r="X173" s="171" t="s">
        <v>1957</v>
      </c>
      <c r="Y173" s="171" t="s">
        <v>109</v>
      </c>
      <c r="Z173" s="171" t="s">
        <v>4081</v>
      </c>
      <c r="AA173" s="171" t="s">
        <v>1957</v>
      </c>
      <c r="AB173" s="171">
        <v>2035</v>
      </c>
      <c r="AC173" s="171">
        <v>2020</v>
      </c>
      <c r="AD173" s="171"/>
      <c r="AE173" s="171"/>
      <c r="AF173" s="171"/>
      <c r="AG173" s="171" t="s">
        <v>4174</v>
      </c>
      <c r="AH173" s="171"/>
      <c r="AI173" s="171" t="s">
        <v>4174</v>
      </c>
      <c r="AJ173" s="171"/>
      <c r="AK173" s="171"/>
      <c r="AL173" s="171" t="s">
        <v>7885</v>
      </c>
      <c r="AM173" s="171"/>
      <c r="AN173" s="171" t="s">
        <v>5032</v>
      </c>
      <c r="AO173" s="171"/>
      <c r="AP173" s="171"/>
      <c r="AQ173" s="171" t="s">
        <v>5032</v>
      </c>
      <c r="AR173" s="171"/>
      <c r="AS173" s="171"/>
      <c r="AT173" s="171"/>
      <c r="AU173" s="171"/>
      <c r="AV173" s="171"/>
      <c r="AW173" s="171"/>
      <c r="AX173" s="171"/>
      <c r="AY173" s="171"/>
      <c r="AZ173" s="171"/>
      <c r="BA173" s="171"/>
      <c r="BB173" s="171"/>
      <c r="BC173" s="171"/>
      <c r="BD173" s="171"/>
      <c r="BE173" s="171"/>
      <c r="BF173" s="225"/>
      <c r="BG173" s="171"/>
      <c r="BH173" s="171"/>
      <c r="BI173" s="171"/>
      <c r="BJ173" s="171"/>
      <c r="BK173" s="171"/>
      <c r="BL173" s="171">
        <v>1</v>
      </c>
      <c r="BM173" s="171">
        <v>1</v>
      </c>
      <c r="BN173" s="171"/>
      <c r="BO173" s="171"/>
      <c r="BP173" s="171"/>
      <c r="BQ173" s="171"/>
      <c r="BR173" s="171"/>
      <c r="BS173" s="171"/>
      <c r="BT173" s="171">
        <v>1</v>
      </c>
      <c r="BU173" s="171">
        <v>1</v>
      </c>
      <c r="BV173" s="171"/>
      <c r="BW173" s="171"/>
      <c r="BX173" s="171"/>
      <c r="BY173" s="171"/>
      <c r="BZ173" s="171">
        <v>1</v>
      </c>
      <c r="CA173" s="171"/>
      <c r="CB173" s="171">
        <v>1</v>
      </c>
      <c r="CC173" s="171">
        <v>1</v>
      </c>
      <c r="CD173" s="171"/>
      <c r="CE173" s="171">
        <v>1</v>
      </c>
      <c r="CF173" s="171"/>
      <c r="CG173" s="171"/>
      <c r="CH173" s="171">
        <v>1</v>
      </c>
      <c r="CI173" s="171"/>
      <c r="CJ173" s="171"/>
      <c r="CK173" s="171"/>
      <c r="CL173" s="171"/>
    </row>
    <row r="174" spans="1:91">
      <c r="A174" s="171">
        <v>155</v>
      </c>
      <c r="B174" s="171" t="s">
        <v>1185</v>
      </c>
      <c r="C174" s="171">
        <v>126</v>
      </c>
      <c r="D174" s="171" t="str">
        <f t="shared" si="39"/>
        <v/>
      </c>
      <c r="E174" s="171" t="s">
        <v>7228</v>
      </c>
      <c r="F174" s="174">
        <v>45476</v>
      </c>
      <c r="G174" s="171" t="s">
        <v>7223</v>
      </c>
      <c r="H174" s="173">
        <v>3935</v>
      </c>
      <c r="I174" s="171"/>
      <c r="J174" s="171" t="s">
        <v>3498</v>
      </c>
      <c r="K174" s="171" t="s">
        <v>4457</v>
      </c>
      <c r="L174" s="171" t="s">
        <v>2029</v>
      </c>
      <c r="M174" s="171" t="s">
        <v>5032</v>
      </c>
      <c r="N174" s="171"/>
      <c r="O174" s="171"/>
      <c r="P174" s="171" t="s">
        <v>5032</v>
      </c>
      <c r="Q174" s="171"/>
      <c r="R174" s="171"/>
      <c r="S174" s="171"/>
      <c r="T174" s="171"/>
      <c r="U174" s="171"/>
      <c r="V174" s="175"/>
      <c r="W174" s="171"/>
      <c r="X174" s="171" t="s">
        <v>5032</v>
      </c>
      <c r="Y174" s="171"/>
      <c r="Z174" s="171"/>
      <c r="AA174" s="171" t="s">
        <v>5032</v>
      </c>
      <c r="AB174" s="171"/>
      <c r="AC174" s="171"/>
      <c r="AD174" s="171"/>
      <c r="AE174" s="171"/>
      <c r="AF174" s="171"/>
      <c r="AG174" s="171"/>
      <c r="AH174" s="171"/>
      <c r="AI174" s="171"/>
      <c r="AJ174" s="171"/>
      <c r="AK174" s="171"/>
      <c r="AL174" s="171"/>
      <c r="AM174" s="171"/>
      <c r="AN174" s="171" t="s">
        <v>5032</v>
      </c>
      <c r="AO174" s="171"/>
      <c r="AP174" s="171"/>
      <c r="AQ174" s="171" t="s">
        <v>5032</v>
      </c>
      <c r="AR174" s="171"/>
      <c r="AS174" s="171"/>
      <c r="AT174" s="171"/>
      <c r="AU174" s="171"/>
      <c r="AV174" s="171"/>
      <c r="AW174" s="171"/>
      <c r="AX174" s="171"/>
      <c r="AY174" s="171"/>
      <c r="AZ174" s="171"/>
      <c r="BA174" s="171"/>
      <c r="BB174" s="171"/>
      <c r="BC174" s="171"/>
      <c r="BD174" s="171"/>
      <c r="BE174" s="171"/>
      <c r="BF174" s="225"/>
      <c r="BG174" s="171"/>
      <c r="BH174" s="171"/>
      <c r="BI174" s="171"/>
      <c r="BJ174" s="171"/>
      <c r="BK174" s="171"/>
      <c r="BL174" s="171"/>
      <c r="BM174" s="171"/>
      <c r="BN174" s="171"/>
      <c r="BO174" s="171"/>
      <c r="BP174" s="171"/>
      <c r="BQ174" s="171"/>
      <c r="BR174" s="171"/>
      <c r="BS174" s="171"/>
      <c r="BT174" s="171"/>
      <c r="BU174" s="171"/>
      <c r="BV174" s="171"/>
      <c r="BW174" s="171"/>
      <c r="BX174" s="171"/>
      <c r="BY174" s="171"/>
      <c r="BZ174" s="171"/>
      <c r="CA174" s="171"/>
      <c r="CB174" s="171"/>
      <c r="CC174" s="171"/>
      <c r="CD174" s="171"/>
      <c r="CE174" s="171"/>
      <c r="CF174" s="171"/>
      <c r="CG174" s="171"/>
      <c r="CH174" s="171"/>
      <c r="CI174" s="171"/>
      <c r="CJ174" s="171"/>
      <c r="CK174" s="171"/>
      <c r="CL174" s="171"/>
    </row>
    <row r="175" spans="1:91">
      <c r="A175" s="171">
        <v>130</v>
      </c>
      <c r="B175" s="171" t="s">
        <v>1416</v>
      </c>
      <c r="C175" s="171">
        <v>89</v>
      </c>
      <c r="D175" s="171" t="str">
        <f t="shared" si="39"/>
        <v xml:space="preserve"> NZ SBT</v>
      </c>
      <c r="E175" s="171" t="s">
        <v>7220</v>
      </c>
      <c r="F175" s="174">
        <v>45475</v>
      </c>
      <c r="G175" s="171" t="s">
        <v>7220</v>
      </c>
      <c r="H175" s="173">
        <v>2387</v>
      </c>
      <c r="I175" s="171"/>
      <c r="J175" s="171" t="s">
        <v>4199</v>
      </c>
      <c r="K175" s="171" t="s">
        <v>63</v>
      </c>
      <c r="L175" s="171" t="s">
        <v>1951</v>
      </c>
      <c r="M175" s="171" t="s">
        <v>5032</v>
      </c>
      <c r="N175" s="171"/>
      <c r="O175" s="171"/>
      <c r="P175" s="171" t="s">
        <v>4174</v>
      </c>
      <c r="Q175" s="171" t="s">
        <v>22</v>
      </c>
      <c r="R175" s="171" t="s">
        <v>7277</v>
      </c>
      <c r="S175" s="171">
        <v>2030</v>
      </c>
      <c r="T175" s="171" t="s">
        <v>1</v>
      </c>
      <c r="U175" s="171"/>
      <c r="V175" s="172">
        <v>44986</v>
      </c>
      <c r="W175" s="171">
        <v>2023</v>
      </c>
      <c r="X175" s="171" t="s">
        <v>5032</v>
      </c>
      <c r="Y175" s="171"/>
      <c r="Z175" s="171"/>
      <c r="AA175" s="171" t="s">
        <v>5032</v>
      </c>
      <c r="AB175" s="171"/>
      <c r="AC175" s="171"/>
      <c r="AD175" s="171"/>
      <c r="AE175" s="171"/>
      <c r="AF175" s="171"/>
      <c r="AG175" s="171"/>
      <c r="AH175" s="171"/>
      <c r="AI175" s="171"/>
      <c r="AJ175" s="171"/>
      <c r="AK175" s="171"/>
      <c r="AL175" s="171"/>
      <c r="AM175" s="171"/>
      <c r="AN175" s="171" t="s">
        <v>4172</v>
      </c>
      <c r="AO175" s="171" t="s">
        <v>1435</v>
      </c>
      <c r="AP175" s="171" t="s">
        <v>7884</v>
      </c>
      <c r="AQ175" s="171" t="s">
        <v>4172</v>
      </c>
      <c r="AR175" s="171">
        <v>2045</v>
      </c>
      <c r="AS175" s="171">
        <v>2021</v>
      </c>
      <c r="AT175" s="171"/>
      <c r="AU175" s="171"/>
      <c r="AV175" s="171"/>
      <c r="AW175" s="171" t="s">
        <v>4174</v>
      </c>
      <c r="AX175" s="171" t="s">
        <v>7883</v>
      </c>
      <c r="AY175" s="171"/>
      <c r="AZ175" s="171"/>
      <c r="BA175" s="171"/>
      <c r="BB175" s="171"/>
      <c r="BC175" s="171" t="s">
        <v>7882</v>
      </c>
      <c r="BD175" s="171"/>
      <c r="BE175" s="171"/>
      <c r="BF175" s="225"/>
      <c r="BG175" s="171"/>
      <c r="BH175" s="171"/>
      <c r="BI175" s="171"/>
      <c r="BJ175" s="171"/>
      <c r="BK175" s="171"/>
      <c r="BL175" s="171"/>
      <c r="BM175" s="171"/>
      <c r="BN175" s="171"/>
      <c r="BO175" s="171"/>
      <c r="BP175" s="171">
        <v>1</v>
      </c>
      <c r="BQ175" s="171">
        <v>1</v>
      </c>
      <c r="BR175" s="171"/>
      <c r="BS175" s="171">
        <v>1</v>
      </c>
      <c r="BT175" s="171"/>
      <c r="BU175" s="171">
        <v>1</v>
      </c>
      <c r="BV175" s="171"/>
      <c r="BW175" s="171"/>
      <c r="BX175" s="171"/>
      <c r="BY175" s="171"/>
      <c r="BZ175" s="171">
        <v>1</v>
      </c>
      <c r="CA175" s="171"/>
      <c r="CB175" s="171">
        <v>1</v>
      </c>
      <c r="CC175" s="171">
        <v>1</v>
      </c>
      <c r="CD175" s="171"/>
      <c r="CE175" s="171">
        <v>1</v>
      </c>
      <c r="CF175" s="171"/>
      <c r="CG175" s="171">
        <v>1</v>
      </c>
      <c r="CH175" s="171">
        <v>1</v>
      </c>
      <c r="CI175" s="171"/>
      <c r="CJ175" s="171"/>
      <c r="CK175" s="171">
        <v>1</v>
      </c>
      <c r="CL175" s="171">
        <v>1</v>
      </c>
      <c r="CM175">
        <f t="shared" si="40"/>
        <v>2045</v>
      </c>
    </row>
    <row r="176" spans="1:91">
      <c r="A176" s="171">
        <v>98</v>
      </c>
      <c r="B176" s="171" t="s">
        <v>1607</v>
      </c>
      <c r="C176" s="171">
        <v>61</v>
      </c>
      <c r="D176" s="171" t="str">
        <f t="shared" si="39"/>
        <v>CN NZ</v>
      </c>
      <c r="E176" s="171" t="s">
        <v>7223</v>
      </c>
      <c r="F176" s="174">
        <v>45475</v>
      </c>
      <c r="G176" s="171" t="s">
        <v>7220</v>
      </c>
      <c r="H176" s="173">
        <v>5157.7</v>
      </c>
      <c r="I176" s="171"/>
      <c r="J176" s="171" t="s">
        <v>3498</v>
      </c>
      <c r="K176" s="171" t="s">
        <v>376</v>
      </c>
      <c r="L176" s="171" t="s">
        <v>1951</v>
      </c>
      <c r="M176" s="171" t="s">
        <v>5032</v>
      </c>
      <c r="N176" s="171"/>
      <c r="O176" s="171"/>
      <c r="P176" s="171" t="s">
        <v>5032</v>
      </c>
      <c r="Q176" s="171"/>
      <c r="R176" s="171"/>
      <c r="S176" s="171"/>
      <c r="T176" s="171"/>
      <c r="U176" s="171"/>
      <c r="V176" s="175"/>
      <c r="W176" s="171"/>
      <c r="X176" s="171" t="s">
        <v>4172</v>
      </c>
      <c r="Y176" s="171" t="s">
        <v>7881</v>
      </c>
      <c r="Z176" s="171" t="s">
        <v>7225</v>
      </c>
      <c r="AA176" s="171" t="s">
        <v>4172</v>
      </c>
      <c r="AB176" s="171">
        <v>2050</v>
      </c>
      <c r="AC176" s="171">
        <v>2021</v>
      </c>
      <c r="AD176" s="171"/>
      <c r="AE176" s="171"/>
      <c r="AF176" s="171"/>
      <c r="AG176" s="171" t="s">
        <v>4174</v>
      </c>
      <c r="AH176" s="171"/>
      <c r="AI176" s="171" t="s">
        <v>4174</v>
      </c>
      <c r="AJ176" s="171"/>
      <c r="AK176" s="171"/>
      <c r="AL176" s="171" t="s">
        <v>7880</v>
      </c>
      <c r="AM176" s="171" t="s">
        <v>7879</v>
      </c>
      <c r="AN176" s="171" t="s">
        <v>7227</v>
      </c>
      <c r="AO176" s="171" t="s">
        <v>7878</v>
      </c>
      <c r="AP176" s="171" t="s">
        <v>2072</v>
      </c>
      <c r="AQ176" s="171" t="s">
        <v>1957</v>
      </c>
      <c r="AR176" s="171">
        <v>2035</v>
      </c>
      <c r="AS176" s="171">
        <v>2020</v>
      </c>
      <c r="AT176" s="171" t="s">
        <v>4172</v>
      </c>
      <c r="AU176" s="171">
        <v>2050</v>
      </c>
      <c r="AV176" s="171">
        <v>2020</v>
      </c>
      <c r="AW176" s="171" t="s">
        <v>4174</v>
      </c>
      <c r="AX176" s="176" t="s">
        <v>7877</v>
      </c>
      <c r="AY176" s="171"/>
      <c r="AZ176" s="171"/>
      <c r="BA176" s="171"/>
      <c r="BB176" s="171"/>
      <c r="BC176" s="171"/>
      <c r="BD176" s="171" t="s">
        <v>5032</v>
      </c>
      <c r="BE176" s="171"/>
      <c r="BF176" s="225" t="s">
        <v>5032</v>
      </c>
      <c r="BG176" s="171"/>
      <c r="BH176" s="171"/>
      <c r="BI176" s="171"/>
      <c r="BJ176" s="171"/>
      <c r="BK176" s="171"/>
      <c r="BL176" s="171">
        <v>1</v>
      </c>
      <c r="BM176" s="171">
        <v>1</v>
      </c>
      <c r="BN176" s="171"/>
      <c r="BO176" s="171"/>
      <c r="BP176" s="171">
        <v>1</v>
      </c>
      <c r="BQ176" s="171">
        <v>1</v>
      </c>
      <c r="BR176" s="171"/>
      <c r="BS176" s="171"/>
      <c r="BT176" s="171"/>
      <c r="BU176" s="171"/>
      <c r="BV176" s="171"/>
      <c r="BW176" s="171"/>
      <c r="BX176" s="171"/>
      <c r="BY176" s="171"/>
      <c r="BZ176" s="171">
        <v>1</v>
      </c>
      <c r="CA176" s="171"/>
      <c r="CB176" s="171">
        <v>1</v>
      </c>
      <c r="CC176" s="171">
        <v>1</v>
      </c>
      <c r="CD176" s="171"/>
      <c r="CE176" s="171">
        <v>1</v>
      </c>
      <c r="CF176" s="171"/>
      <c r="CG176" s="171"/>
      <c r="CH176" s="171">
        <v>1</v>
      </c>
      <c r="CI176" s="171"/>
      <c r="CJ176" s="171"/>
      <c r="CK176" s="171">
        <v>1</v>
      </c>
      <c r="CL176" s="171">
        <v>1</v>
      </c>
      <c r="CM176">
        <f t="shared" si="40"/>
        <v>2035</v>
      </c>
    </row>
    <row r="177" spans="1:91">
      <c r="A177" s="171">
        <v>303</v>
      </c>
      <c r="B177" s="171" t="s">
        <v>703</v>
      </c>
      <c r="C177" s="171">
        <v>239</v>
      </c>
      <c r="D177" s="171" t="str">
        <f t="shared" si="39"/>
        <v/>
      </c>
      <c r="E177" s="171" t="s">
        <v>7221</v>
      </c>
      <c r="F177" s="174">
        <v>45477</v>
      </c>
      <c r="G177" s="171" t="s">
        <v>7220</v>
      </c>
      <c r="H177" s="173">
        <v>5532</v>
      </c>
      <c r="I177" s="171"/>
      <c r="J177" s="171" t="s">
        <v>3498</v>
      </c>
      <c r="K177" s="171" t="s">
        <v>4457</v>
      </c>
      <c r="L177" s="171" t="s">
        <v>2029</v>
      </c>
      <c r="M177" s="171" t="s">
        <v>5032</v>
      </c>
      <c r="N177" s="171"/>
      <c r="O177" s="171"/>
      <c r="P177" s="171" t="s">
        <v>5032</v>
      </c>
      <c r="Q177" s="171"/>
      <c r="R177" s="171"/>
      <c r="S177" s="171"/>
      <c r="T177" s="171"/>
      <c r="U177" s="171"/>
      <c r="V177" s="175"/>
      <c r="W177" s="171"/>
      <c r="X177" s="171" t="s">
        <v>5032</v>
      </c>
      <c r="Y177" s="171"/>
      <c r="Z177" s="171"/>
      <c r="AA177" s="171" t="s">
        <v>5032</v>
      </c>
      <c r="AB177" s="171"/>
      <c r="AC177" s="171"/>
      <c r="AD177" s="171"/>
      <c r="AE177" s="171"/>
      <c r="AF177" s="171"/>
      <c r="AG177" s="171"/>
      <c r="AH177" s="171"/>
      <c r="AI177" s="171"/>
      <c r="AJ177" s="171"/>
      <c r="AK177" s="171"/>
      <c r="AL177" s="171"/>
      <c r="AM177" s="171"/>
      <c r="AN177" s="171" t="s">
        <v>5032</v>
      </c>
      <c r="AO177" s="171"/>
      <c r="AP177" s="171"/>
      <c r="AQ177" s="171" t="s">
        <v>5032</v>
      </c>
      <c r="AR177" s="171"/>
      <c r="AS177" s="171"/>
      <c r="AT177" s="171"/>
      <c r="AU177" s="171"/>
      <c r="AV177" s="171"/>
      <c r="AW177" s="171"/>
      <c r="AX177" s="171"/>
      <c r="AY177" s="171"/>
      <c r="AZ177" s="171"/>
      <c r="BA177" s="171"/>
      <c r="BB177" s="171"/>
      <c r="BC177" s="171"/>
      <c r="BD177" s="171"/>
      <c r="BE177" s="171"/>
      <c r="BF177" s="225"/>
      <c r="BG177" s="171"/>
      <c r="BH177" s="171"/>
      <c r="BI177" s="171"/>
      <c r="BJ177" s="171"/>
      <c r="BK177" s="171"/>
      <c r="BL177" s="171"/>
      <c r="BM177" s="171"/>
      <c r="BN177" s="171"/>
      <c r="BO177" s="171"/>
      <c r="BP177" s="171"/>
      <c r="BQ177" s="171"/>
      <c r="BR177" s="171"/>
      <c r="BS177" s="171"/>
      <c r="BT177" s="171"/>
      <c r="BU177" s="171"/>
      <c r="BV177" s="171"/>
      <c r="BW177" s="171"/>
      <c r="BX177" s="171"/>
      <c r="BY177" s="171"/>
      <c r="BZ177" s="171"/>
      <c r="CA177" s="171"/>
      <c r="CB177" s="171"/>
      <c r="CC177" s="171"/>
      <c r="CD177" s="171"/>
      <c r="CE177" s="171"/>
      <c r="CF177" s="171"/>
      <c r="CG177" s="171"/>
      <c r="CH177" s="171"/>
      <c r="CI177" s="171"/>
      <c r="CJ177" s="171"/>
      <c r="CK177" s="171"/>
      <c r="CL177" s="171"/>
    </row>
    <row r="178" spans="1:91">
      <c r="A178" s="171">
        <v>91</v>
      </c>
      <c r="B178" s="171" t="s">
        <v>1478</v>
      </c>
      <c r="C178" s="171">
        <v>56</v>
      </c>
      <c r="D178" s="171" t="str">
        <f t="shared" si="39"/>
        <v>CN NZ</v>
      </c>
      <c r="E178" s="171" t="s">
        <v>7223</v>
      </c>
      <c r="F178" s="174">
        <v>45475</v>
      </c>
      <c r="G178" s="171" t="s">
        <v>7220</v>
      </c>
      <c r="H178" s="173">
        <v>11885</v>
      </c>
      <c r="I178" s="171"/>
      <c r="J178" s="171" t="s">
        <v>3498</v>
      </c>
      <c r="K178" s="171" t="s">
        <v>1481</v>
      </c>
      <c r="L178" s="171" t="s">
        <v>1951</v>
      </c>
      <c r="M178" s="171" t="s">
        <v>5032</v>
      </c>
      <c r="N178" s="171"/>
      <c r="O178" s="171"/>
      <c r="P178" s="171" t="s">
        <v>5032</v>
      </c>
      <c r="Q178" s="171"/>
      <c r="R178" s="171"/>
      <c r="S178" s="171"/>
      <c r="T178" s="171"/>
      <c r="U178" s="171"/>
      <c r="V178" s="175"/>
      <c r="W178" s="171"/>
      <c r="X178" s="171" t="s">
        <v>1957</v>
      </c>
      <c r="Y178" s="171" t="s">
        <v>1659</v>
      </c>
      <c r="Z178" s="171" t="s">
        <v>3283</v>
      </c>
      <c r="AA178" s="171" t="s">
        <v>1957</v>
      </c>
      <c r="AB178" s="171">
        <v>2030</v>
      </c>
      <c r="AC178" s="171">
        <v>2020</v>
      </c>
      <c r="AD178" s="171"/>
      <c r="AE178" s="171"/>
      <c r="AF178" s="171"/>
      <c r="AG178" s="171" t="s">
        <v>2082</v>
      </c>
      <c r="AH178" s="171">
        <v>2024</v>
      </c>
      <c r="AI178" s="171" t="s">
        <v>5032</v>
      </c>
      <c r="AJ178" s="171"/>
      <c r="AK178" s="171" t="s">
        <v>7876</v>
      </c>
      <c r="AL178" s="171" t="s">
        <v>4911</v>
      </c>
      <c r="AM178" s="171"/>
      <c r="AN178" s="171" t="s">
        <v>4172</v>
      </c>
      <c r="AO178" s="171" t="s">
        <v>7875</v>
      </c>
      <c r="AP178" s="171" t="s">
        <v>7874</v>
      </c>
      <c r="AQ178" s="171" t="s">
        <v>4172</v>
      </c>
      <c r="AR178" s="171">
        <v>2050</v>
      </c>
      <c r="AS178" s="171">
        <v>2020</v>
      </c>
      <c r="AT178" s="171"/>
      <c r="AU178" s="171"/>
      <c r="AV178" s="171"/>
      <c r="AW178" s="171" t="s">
        <v>2082</v>
      </c>
      <c r="AX178" s="171" t="s">
        <v>4911</v>
      </c>
      <c r="AY178" s="171"/>
      <c r="AZ178" s="171"/>
      <c r="BA178" s="171"/>
      <c r="BB178" s="171"/>
      <c r="BC178" s="171"/>
      <c r="BD178" s="171" t="s">
        <v>2082</v>
      </c>
      <c r="BE178" s="171"/>
      <c r="BF178" s="225" t="s">
        <v>5032</v>
      </c>
      <c r="BG178" s="171"/>
      <c r="BH178" s="171"/>
      <c r="BI178" s="171"/>
      <c r="BJ178" s="171"/>
      <c r="BK178" s="171">
        <v>1</v>
      </c>
      <c r="BL178" s="171"/>
      <c r="BM178" s="171">
        <v>1</v>
      </c>
      <c r="BN178" s="171"/>
      <c r="BO178" s="171"/>
      <c r="BP178" s="171">
        <v>1</v>
      </c>
      <c r="BQ178" s="171">
        <v>1</v>
      </c>
      <c r="BR178" s="171"/>
      <c r="BS178" s="171"/>
      <c r="BT178" s="171"/>
      <c r="BU178" s="171"/>
      <c r="BV178" s="171"/>
      <c r="BW178" s="171"/>
      <c r="BX178" s="171"/>
      <c r="BY178" s="171"/>
      <c r="BZ178" s="171">
        <v>1</v>
      </c>
      <c r="CA178" s="171">
        <v>1</v>
      </c>
      <c r="CB178" s="171">
        <v>1</v>
      </c>
      <c r="CC178" s="171"/>
      <c r="CD178" s="171"/>
      <c r="CE178" s="171">
        <v>1</v>
      </c>
      <c r="CF178" s="171"/>
      <c r="CG178" s="171">
        <v>1</v>
      </c>
      <c r="CH178" s="171">
        <v>1</v>
      </c>
      <c r="CI178" s="171"/>
      <c r="CJ178" s="171"/>
      <c r="CK178" s="171">
        <v>1</v>
      </c>
      <c r="CL178" s="171">
        <v>1</v>
      </c>
      <c r="CM178">
        <f t="shared" si="40"/>
        <v>2050</v>
      </c>
    </row>
    <row r="179" spans="1:91">
      <c r="A179" s="171">
        <v>313</v>
      </c>
      <c r="B179" s="171" t="s">
        <v>1804</v>
      </c>
      <c r="C179" s="171">
        <v>317</v>
      </c>
      <c r="D179" s="171" t="str">
        <f t="shared" si="39"/>
        <v>CN NZ</v>
      </c>
      <c r="E179" s="171" t="s">
        <v>7228</v>
      </c>
      <c r="F179" s="174">
        <v>45481</v>
      </c>
      <c r="G179" s="171" t="s">
        <v>7223</v>
      </c>
      <c r="H179" s="173">
        <v>4534</v>
      </c>
      <c r="I179" s="171"/>
      <c r="J179" s="171" t="s">
        <v>4465</v>
      </c>
      <c r="K179" s="171" t="s">
        <v>376</v>
      </c>
      <c r="L179" s="171" t="s">
        <v>1951</v>
      </c>
      <c r="M179" s="171" t="s">
        <v>5032</v>
      </c>
      <c r="N179" s="171"/>
      <c r="O179" s="171"/>
      <c r="P179" s="171" t="s">
        <v>5032</v>
      </c>
      <c r="Q179" s="171"/>
      <c r="R179" s="171"/>
      <c r="S179" s="171"/>
      <c r="T179" s="171"/>
      <c r="U179" s="171"/>
      <c r="V179" s="175"/>
      <c r="W179" s="171"/>
      <c r="X179" s="171" t="s">
        <v>1957</v>
      </c>
      <c r="Y179" s="171" t="s">
        <v>5131</v>
      </c>
      <c r="Z179" s="171" t="s">
        <v>7225</v>
      </c>
      <c r="AA179" s="171" t="s">
        <v>1957</v>
      </c>
      <c r="AB179" s="171">
        <v>2022</v>
      </c>
      <c r="AC179" s="171">
        <v>2021</v>
      </c>
      <c r="AD179" s="171"/>
      <c r="AE179" s="171"/>
      <c r="AF179" s="171"/>
      <c r="AG179" s="171" t="s">
        <v>4174</v>
      </c>
      <c r="AH179" s="171">
        <v>2024</v>
      </c>
      <c r="AI179" s="171" t="s">
        <v>4174</v>
      </c>
      <c r="AJ179" s="176" t="s">
        <v>7873</v>
      </c>
      <c r="AK179" s="171"/>
      <c r="AL179" s="171" t="s">
        <v>7873</v>
      </c>
      <c r="AM179" s="171" t="s">
        <v>4726</v>
      </c>
      <c r="AN179" s="171" t="s">
        <v>1957</v>
      </c>
      <c r="AO179" s="171" t="s">
        <v>5131</v>
      </c>
      <c r="AP179" s="171" t="s">
        <v>7303</v>
      </c>
      <c r="AQ179" s="171" t="s">
        <v>1957</v>
      </c>
      <c r="AR179" s="171">
        <v>2025</v>
      </c>
      <c r="AS179" s="171">
        <v>2021</v>
      </c>
      <c r="AT179" s="171"/>
      <c r="AU179" s="171"/>
      <c r="AV179" s="171"/>
      <c r="AW179" s="171" t="s">
        <v>4174</v>
      </c>
      <c r="AX179" s="171" t="s">
        <v>7872</v>
      </c>
      <c r="AY179" s="171"/>
      <c r="AZ179" s="171"/>
      <c r="BA179" s="171"/>
      <c r="BB179" s="171"/>
      <c r="BC179" s="171" t="s">
        <v>4726</v>
      </c>
      <c r="BD179" s="171"/>
      <c r="BE179" s="171"/>
      <c r="BF179" s="225"/>
      <c r="BG179" s="171"/>
      <c r="BH179" s="171"/>
      <c r="BI179" s="171"/>
      <c r="BJ179" s="171">
        <v>1</v>
      </c>
      <c r="BK179" s="171"/>
      <c r="BL179" s="171"/>
      <c r="BM179" s="171">
        <v>1</v>
      </c>
      <c r="BN179" s="171"/>
      <c r="BO179" s="171">
        <v>1</v>
      </c>
      <c r="BP179" s="171"/>
      <c r="BQ179" s="171">
        <v>1</v>
      </c>
      <c r="BR179" s="171"/>
      <c r="BS179" s="171"/>
      <c r="BT179" s="171"/>
      <c r="BU179" s="171"/>
      <c r="BV179" s="171"/>
      <c r="BW179" s="171"/>
      <c r="BX179" s="171"/>
      <c r="BY179" s="171"/>
      <c r="BZ179" s="171">
        <v>1</v>
      </c>
      <c r="CA179" s="171">
        <v>1</v>
      </c>
      <c r="CB179" s="171">
        <v>1</v>
      </c>
      <c r="CC179" s="171">
        <v>1</v>
      </c>
      <c r="CD179" s="171"/>
      <c r="CE179" s="171">
        <v>1</v>
      </c>
      <c r="CF179" s="171">
        <v>1</v>
      </c>
      <c r="CG179" s="171">
        <v>1</v>
      </c>
      <c r="CH179" s="171">
        <v>1</v>
      </c>
      <c r="CI179" s="171"/>
      <c r="CJ179" s="171"/>
      <c r="CK179" s="171"/>
      <c r="CL179" s="171"/>
      <c r="CM179">
        <f t="shared" si="40"/>
        <v>2025</v>
      </c>
    </row>
    <row r="180" spans="1:91">
      <c r="A180" s="171">
        <v>12</v>
      </c>
      <c r="B180" s="171" t="s">
        <v>1868</v>
      </c>
      <c r="C180" s="171">
        <v>7</v>
      </c>
      <c r="D180" s="171" t="str">
        <f t="shared" si="39"/>
        <v xml:space="preserve"> NZ</v>
      </c>
      <c r="E180" s="171" t="s">
        <v>7220</v>
      </c>
      <c r="F180" s="174">
        <v>45474</v>
      </c>
      <c r="G180" s="171" t="s">
        <v>7223</v>
      </c>
      <c r="H180" s="173">
        <v>36010</v>
      </c>
      <c r="I180" s="171"/>
      <c r="J180" s="171" t="s">
        <v>3498</v>
      </c>
      <c r="K180" s="171" t="s">
        <v>4457</v>
      </c>
      <c r="L180" s="171" t="s">
        <v>2029</v>
      </c>
      <c r="M180" s="171" t="s">
        <v>5032</v>
      </c>
      <c r="N180" s="171"/>
      <c r="O180" s="171"/>
      <c r="P180" s="171" t="s">
        <v>5032</v>
      </c>
      <c r="Q180" s="171"/>
      <c r="R180" s="171"/>
      <c r="S180" s="171"/>
      <c r="T180" s="171"/>
      <c r="U180" s="171"/>
      <c r="V180" s="175"/>
      <c r="W180" s="171"/>
      <c r="X180" s="171" t="s">
        <v>5032</v>
      </c>
      <c r="Y180" s="171"/>
      <c r="Z180" s="171"/>
      <c r="AA180" s="171" t="s">
        <v>5032</v>
      </c>
      <c r="AB180" s="171"/>
      <c r="AC180" s="171"/>
      <c r="AD180" s="171"/>
      <c r="AE180" s="171"/>
      <c r="AF180" s="171"/>
      <c r="AG180" s="171"/>
      <c r="AH180" s="171"/>
      <c r="AI180" s="171" t="s">
        <v>7871</v>
      </c>
      <c r="AJ180" s="171"/>
      <c r="AK180" s="171"/>
      <c r="AL180" s="171"/>
      <c r="AM180" s="171"/>
      <c r="AN180" s="171" t="s">
        <v>1957</v>
      </c>
      <c r="AO180" s="171" t="s">
        <v>109</v>
      </c>
      <c r="AP180" s="171" t="s">
        <v>2072</v>
      </c>
      <c r="AQ180" s="171" t="s">
        <v>1957</v>
      </c>
      <c r="AR180" s="171">
        <v>2050</v>
      </c>
      <c r="AS180" s="171">
        <v>2022</v>
      </c>
      <c r="AT180" s="171"/>
      <c r="AU180" s="171"/>
      <c r="AV180" s="171"/>
      <c r="AW180" s="171" t="s">
        <v>4174</v>
      </c>
      <c r="AX180" s="171" t="s">
        <v>7870</v>
      </c>
      <c r="AY180" s="171">
        <v>2023</v>
      </c>
      <c r="AZ180" s="171" t="s">
        <v>5032</v>
      </c>
      <c r="BA180" s="171" t="s">
        <v>7869</v>
      </c>
      <c r="BB180" s="171"/>
      <c r="BC180" s="171" t="s">
        <v>7868</v>
      </c>
      <c r="BD180" s="171"/>
      <c r="BE180" s="171"/>
      <c r="BF180" s="225"/>
      <c r="BG180" s="171"/>
      <c r="BH180" s="171"/>
      <c r="BI180" s="171"/>
      <c r="BJ180" s="171"/>
      <c r="BK180" s="171"/>
      <c r="BL180" s="171"/>
      <c r="BM180" s="171"/>
      <c r="BN180" s="171"/>
      <c r="BO180" s="171"/>
      <c r="BP180" s="171">
        <v>1</v>
      </c>
      <c r="BQ180" s="171">
        <v>1</v>
      </c>
      <c r="BR180" s="171"/>
      <c r="BS180" s="171"/>
      <c r="BT180" s="171"/>
      <c r="BU180" s="171"/>
      <c r="BV180" s="171"/>
      <c r="BW180" s="171"/>
      <c r="BX180" s="171"/>
      <c r="BY180" s="171"/>
      <c r="BZ180" s="171">
        <v>1</v>
      </c>
      <c r="CA180" s="171"/>
      <c r="CB180" s="171">
        <v>1</v>
      </c>
      <c r="CC180" s="171">
        <v>1</v>
      </c>
      <c r="CD180" s="171"/>
      <c r="CE180" s="171">
        <v>1</v>
      </c>
      <c r="CF180" s="171"/>
      <c r="CG180" s="171"/>
      <c r="CH180" s="171">
        <v>1</v>
      </c>
      <c r="CI180" s="171"/>
      <c r="CJ180" s="171"/>
      <c r="CK180" s="171"/>
      <c r="CL180" s="171"/>
      <c r="CM180">
        <f t="shared" si="40"/>
        <v>2050</v>
      </c>
    </row>
    <row r="181" spans="1:91">
      <c r="A181" s="171">
        <v>393</v>
      </c>
      <c r="B181" s="171" t="s">
        <v>7867</v>
      </c>
      <c r="C181" s="171"/>
      <c r="D181" s="171" t="str">
        <f t="shared" si="39"/>
        <v/>
      </c>
      <c r="E181" s="171" t="s">
        <v>7223</v>
      </c>
      <c r="F181" s="174">
        <v>45511</v>
      </c>
      <c r="G181" s="171"/>
      <c r="H181" s="173">
        <v>4381.8</v>
      </c>
      <c r="I181" s="181" t="s">
        <v>1090</v>
      </c>
      <c r="J181" s="171" t="s">
        <v>4465</v>
      </c>
      <c r="K181" s="171" t="s">
        <v>78</v>
      </c>
      <c r="L181" s="171" t="s">
        <v>2029</v>
      </c>
      <c r="M181" s="171" t="s">
        <v>5032</v>
      </c>
      <c r="N181" s="171"/>
      <c r="O181" s="171"/>
      <c r="P181" s="171" t="s">
        <v>5032</v>
      </c>
      <c r="Q181" s="171"/>
      <c r="R181" s="171"/>
      <c r="S181" s="171"/>
      <c r="T181" s="171"/>
      <c r="U181" s="171"/>
      <c r="V181" s="175"/>
      <c r="W181" s="171"/>
      <c r="X181" s="171" t="s">
        <v>5032</v>
      </c>
      <c r="Y181" s="171"/>
      <c r="Z181" s="171"/>
      <c r="AA181" s="171" t="s">
        <v>5032</v>
      </c>
      <c r="AB181" s="171"/>
      <c r="AC181" s="171"/>
      <c r="AD181" s="171"/>
      <c r="AE181" s="171"/>
      <c r="AF181" s="171"/>
      <c r="AG181" s="171"/>
      <c r="AH181" s="171"/>
      <c r="AI181" s="171"/>
      <c r="AJ181" s="171"/>
      <c r="AK181" s="171"/>
      <c r="AL181" s="171"/>
      <c r="AM181" s="171"/>
      <c r="AN181" s="171" t="s">
        <v>5032</v>
      </c>
      <c r="AO181" s="171"/>
      <c r="AP181" s="171"/>
      <c r="AQ181" s="171" t="s">
        <v>5032</v>
      </c>
      <c r="AR181" s="171"/>
      <c r="AS181" s="171"/>
      <c r="AT181" s="171"/>
      <c r="AU181" s="171"/>
      <c r="AV181" s="171"/>
      <c r="AW181" s="171"/>
      <c r="AX181" s="171"/>
      <c r="AY181" s="171"/>
      <c r="AZ181" s="171"/>
      <c r="BA181" s="171"/>
      <c r="BB181" s="171"/>
      <c r="BC181" s="171"/>
      <c r="BD181" s="171"/>
      <c r="BE181" s="171"/>
      <c r="BF181" s="225"/>
      <c r="BG181" s="171"/>
      <c r="BH181" s="171"/>
      <c r="BI181" s="171"/>
      <c r="BJ181" s="171"/>
      <c r="BK181" s="171"/>
      <c r="BL181" s="171"/>
      <c r="BM181" s="171"/>
      <c r="BN181" s="171"/>
      <c r="BO181" s="171"/>
      <c r="BP181" s="171"/>
      <c r="BQ181" s="171"/>
      <c r="BR181" s="171"/>
      <c r="BS181" s="171"/>
      <c r="BT181" s="171"/>
      <c r="BU181" s="171"/>
      <c r="BV181" s="171"/>
      <c r="BW181" s="171"/>
      <c r="BX181" s="171"/>
      <c r="BY181" s="171"/>
      <c r="BZ181" s="171"/>
      <c r="CA181" s="171"/>
      <c r="CB181" s="171"/>
      <c r="CC181" s="171"/>
      <c r="CD181" s="171"/>
      <c r="CE181" s="171"/>
      <c r="CF181" s="171"/>
      <c r="CG181" s="171"/>
      <c r="CH181" s="171"/>
      <c r="CI181" s="171"/>
      <c r="CJ181" s="171"/>
      <c r="CK181" s="171"/>
      <c r="CL181" s="171"/>
    </row>
    <row r="182" spans="1:91">
      <c r="A182" s="171">
        <v>58</v>
      </c>
      <c r="B182" s="171" t="s">
        <v>1718</v>
      </c>
      <c r="C182" s="171">
        <v>75</v>
      </c>
      <c r="D182" s="171" t="str">
        <f t="shared" si="39"/>
        <v/>
      </c>
      <c r="E182" s="171" t="s">
        <v>7220</v>
      </c>
      <c r="F182" s="174">
        <v>45475</v>
      </c>
      <c r="G182" s="171" t="s">
        <v>7220</v>
      </c>
      <c r="H182" s="173">
        <v>17408</v>
      </c>
      <c r="I182" s="171"/>
      <c r="J182" s="171" t="s">
        <v>4465</v>
      </c>
      <c r="K182" s="171" t="s">
        <v>4457</v>
      </c>
      <c r="L182" s="171" t="s">
        <v>2029</v>
      </c>
      <c r="M182" s="171" t="s">
        <v>5032</v>
      </c>
      <c r="N182" s="171"/>
      <c r="O182" s="171"/>
      <c r="P182" s="171" t="s">
        <v>5032</v>
      </c>
      <c r="Q182" s="171"/>
      <c r="R182" s="171"/>
      <c r="S182" s="171"/>
      <c r="T182" s="171"/>
      <c r="U182" s="171"/>
      <c r="V182" s="175"/>
      <c r="W182" s="171"/>
      <c r="X182" s="171" t="s">
        <v>5032</v>
      </c>
      <c r="Y182" s="171"/>
      <c r="Z182" s="171"/>
      <c r="AA182" s="171" t="s">
        <v>5032</v>
      </c>
      <c r="AB182" s="171"/>
      <c r="AC182" s="171"/>
      <c r="AD182" s="171"/>
      <c r="AE182" s="171"/>
      <c r="AF182" s="171"/>
      <c r="AG182" s="171"/>
      <c r="AH182" s="171"/>
      <c r="AI182" s="171"/>
      <c r="AJ182" s="171"/>
      <c r="AK182" s="171"/>
      <c r="AL182" s="171" t="s">
        <v>6841</v>
      </c>
      <c r="AM182" s="171"/>
      <c r="AN182" s="171" t="s">
        <v>5032</v>
      </c>
      <c r="AO182" s="171"/>
      <c r="AP182" s="171"/>
      <c r="AQ182" s="171" t="s">
        <v>5032</v>
      </c>
      <c r="AR182" s="171"/>
      <c r="AS182" s="171"/>
      <c r="AT182" s="171"/>
      <c r="AU182" s="171"/>
      <c r="AV182" s="171"/>
      <c r="AW182" s="171"/>
      <c r="AX182" s="171"/>
      <c r="AY182" s="171"/>
      <c r="AZ182" s="171"/>
      <c r="BA182" s="171"/>
      <c r="BB182" s="171"/>
      <c r="BC182" s="171"/>
      <c r="BD182" s="171"/>
      <c r="BE182" s="171"/>
      <c r="BF182" s="225" t="s">
        <v>4174</v>
      </c>
      <c r="BG182" s="171" t="s">
        <v>6841</v>
      </c>
      <c r="BH182" s="171"/>
      <c r="BI182" s="171"/>
      <c r="BJ182" s="171"/>
      <c r="BK182" s="171"/>
      <c r="BL182" s="171"/>
      <c r="BM182" s="171"/>
      <c r="BN182" s="171"/>
      <c r="BO182" s="171"/>
      <c r="BP182" s="171"/>
      <c r="BQ182" s="171"/>
      <c r="BR182" s="171"/>
      <c r="BS182" s="171"/>
      <c r="BT182" s="171"/>
      <c r="BU182" s="171"/>
      <c r="BV182" s="171"/>
      <c r="BW182" s="171"/>
      <c r="BX182" s="171"/>
      <c r="BY182" s="171"/>
      <c r="BZ182" s="171"/>
      <c r="CA182" s="171"/>
      <c r="CB182" s="171"/>
      <c r="CC182" s="171"/>
      <c r="CD182" s="171"/>
      <c r="CE182" s="171"/>
      <c r="CF182" s="171"/>
      <c r="CG182" s="171"/>
      <c r="CH182" s="171"/>
      <c r="CI182" s="171"/>
      <c r="CJ182" s="171"/>
      <c r="CK182" s="171"/>
      <c r="CL182" s="171"/>
    </row>
    <row r="183" spans="1:91">
      <c r="A183" s="171">
        <v>127</v>
      </c>
      <c r="B183" s="171" t="s">
        <v>1319</v>
      </c>
      <c r="C183" s="171">
        <v>114</v>
      </c>
      <c r="D183" s="171" t="str">
        <f t="shared" si="39"/>
        <v>CN</v>
      </c>
      <c r="E183" s="171" t="s">
        <v>7228</v>
      </c>
      <c r="F183" s="174">
        <v>45475</v>
      </c>
      <c r="G183" s="171" t="s">
        <v>7223</v>
      </c>
      <c r="H183" s="173">
        <v>3972</v>
      </c>
      <c r="I183" s="171"/>
      <c r="J183" s="171" t="s">
        <v>4179</v>
      </c>
      <c r="K183" s="171" t="s">
        <v>4457</v>
      </c>
      <c r="L183" s="171" t="s">
        <v>2029</v>
      </c>
      <c r="M183" s="171" t="s">
        <v>5032</v>
      </c>
      <c r="N183" s="171"/>
      <c r="O183" s="171"/>
      <c r="P183" s="171" t="s">
        <v>5032</v>
      </c>
      <c r="Q183" s="171"/>
      <c r="R183" s="171"/>
      <c r="S183" s="171"/>
      <c r="T183" s="171"/>
      <c r="U183" s="171"/>
      <c r="V183" s="175"/>
      <c r="W183" s="171"/>
      <c r="X183" s="171" t="s">
        <v>1957</v>
      </c>
      <c r="Y183" s="171" t="s">
        <v>160</v>
      </c>
      <c r="Z183" s="171" t="s">
        <v>3283</v>
      </c>
      <c r="AA183" s="171" t="s">
        <v>1957</v>
      </c>
      <c r="AB183" s="171">
        <v>2040</v>
      </c>
      <c r="AC183" s="171">
        <v>2023</v>
      </c>
      <c r="AD183" s="171"/>
      <c r="AE183" s="171"/>
      <c r="AF183" s="171"/>
      <c r="AG183" s="171" t="s">
        <v>2082</v>
      </c>
      <c r="AH183" s="171"/>
      <c r="AI183" s="171" t="s">
        <v>4174</v>
      </c>
      <c r="AJ183" s="171"/>
      <c r="AK183" s="171"/>
      <c r="AL183" s="171" t="s">
        <v>6671</v>
      </c>
      <c r="AM183" s="171" t="s">
        <v>7866</v>
      </c>
      <c r="AN183" s="171" t="s">
        <v>5032</v>
      </c>
      <c r="AO183" s="171"/>
      <c r="AP183" s="171"/>
      <c r="AQ183" s="171" t="s">
        <v>5032</v>
      </c>
      <c r="AR183" s="171"/>
      <c r="AS183" s="171"/>
      <c r="AT183" s="171"/>
      <c r="AU183" s="171"/>
      <c r="AV183" s="171"/>
      <c r="AW183" s="171"/>
      <c r="AX183" s="171"/>
      <c r="AY183" s="171"/>
      <c r="AZ183" s="171"/>
      <c r="BA183" s="171"/>
      <c r="BB183" s="171"/>
      <c r="BC183" s="171"/>
      <c r="BD183" s="171"/>
      <c r="BE183" s="171"/>
      <c r="BF183" s="225" t="s">
        <v>4174</v>
      </c>
      <c r="BG183" s="171" t="s">
        <v>7865</v>
      </c>
      <c r="BH183" s="171"/>
      <c r="BI183" s="171"/>
      <c r="BJ183" s="171"/>
      <c r="BK183" s="171"/>
      <c r="BL183" s="171">
        <v>1</v>
      </c>
      <c r="BM183" s="171">
        <v>1</v>
      </c>
      <c r="BN183" s="171"/>
      <c r="BO183" s="171"/>
      <c r="BP183" s="171"/>
      <c r="BQ183" s="171"/>
      <c r="BR183" s="171"/>
      <c r="BS183" s="171"/>
      <c r="BT183" s="171"/>
      <c r="BU183" s="171"/>
      <c r="BV183" s="171"/>
      <c r="BW183" s="171"/>
      <c r="BX183" s="171"/>
      <c r="BY183" s="171"/>
      <c r="BZ183" s="171">
        <v>1</v>
      </c>
      <c r="CA183" s="171"/>
      <c r="CB183" s="171">
        <v>1</v>
      </c>
      <c r="CC183" s="171"/>
      <c r="CD183" s="171"/>
      <c r="CE183" s="171">
        <v>1</v>
      </c>
      <c r="CF183" s="171"/>
      <c r="CG183" s="171"/>
      <c r="CH183" s="171">
        <v>1</v>
      </c>
      <c r="CI183" s="171"/>
      <c r="CJ183" s="171"/>
      <c r="CK183" s="171"/>
      <c r="CL183" s="171"/>
    </row>
    <row r="184" spans="1:91">
      <c r="A184" s="171">
        <v>349</v>
      </c>
      <c r="B184" s="171" t="s">
        <v>120</v>
      </c>
      <c r="C184" s="171">
        <v>454</v>
      </c>
      <c r="D184" s="171" t="str">
        <f t="shared" si="39"/>
        <v/>
      </c>
      <c r="E184" s="171" t="s">
        <v>7223</v>
      </c>
      <c r="F184" s="174">
        <v>45511</v>
      </c>
      <c r="G184" s="171" t="s">
        <v>7223</v>
      </c>
      <c r="H184" s="173">
        <v>3703.9</v>
      </c>
      <c r="I184" s="171"/>
      <c r="J184" s="171" t="s">
        <v>4455</v>
      </c>
      <c r="K184" s="171" t="s">
        <v>121</v>
      </c>
      <c r="L184" s="171" t="s">
        <v>2029</v>
      </c>
      <c r="M184" s="171" t="s">
        <v>5032</v>
      </c>
      <c r="N184" s="171"/>
      <c r="O184" s="171"/>
      <c r="P184" s="171" t="s">
        <v>5032</v>
      </c>
      <c r="Q184" s="171"/>
      <c r="R184" s="171"/>
      <c r="S184" s="171"/>
      <c r="T184" s="171"/>
      <c r="U184" s="171"/>
      <c r="V184" s="175"/>
      <c r="W184" s="171"/>
      <c r="X184" s="171" t="s">
        <v>5032</v>
      </c>
      <c r="Y184" s="171"/>
      <c r="Z184" s="171"/>
      <c r="AA184" s="171" t="s">
        <v>5032</v>
      </c>
      <c r="AB184" s="171"/>
      <c r="AC184" s="171"/>
      <c r="AD184" s="171"/>
      <c r="AE184" s="171"/>
      <c r="AF184" s="171"/>
      <c r="AG184" s="171"/>
      <c r="AH184" s="171"/>
      <c r="AI184" s="171"/>
      <c r="AJ184" s="171"/>
      <c r="AK184" s="171"/>
      <c r="AL184" s="171"/>
      <c r="AM184" s="171"/>
      <c r="AN184" s="171" t="s">
        <v>5032</v>
      </c>
      <c r="AO184" s="171"/>
      <c r="AP184" s="171"/>
      <c r="AQ184" s="171" t="s">
        <v>5032</v>
      </c>
      <c r="AR184" s="171"/>
      <c r="AS184" s="171"/>
      <c r="AT184" s="171"/>
      <c r="AU184" s="171"/>
      <c r="AV184" s="171"/>
      <c r="AW184" s="171"/>
      <c r="AX184" s="171"/>
      <c r="AY184" s="171"/>
      <c r="AZ184" s="171"/>
      <c r="BA184" s="171"/>
      <c r="BB184" s="171"/>
      <c r="BC184" s="171"/>
      <c r="BD184" s="171"/>
      <c r="BE184" s="171"/>
      <c r="BF184" s="225"/>
      <c r="BG184" s="171"/>
      <c r="BH184" s="171"/>
      <c r="BI184" s="171"/>
      <c r="BJ184" s="171"/>
      <c r="BK184" s="171"/>
      <c r="BL184" s="171"/>
      <c r="BM184" s="171"/>
      <c r="BN184" s="171"/>
      <c r="BO184" s="171"/>
      <c r="BP184" s="171"/>
      <c r="BQ184" s="171"/>
      <c r="BR184" s="171"/>
      <c r="BS184" s="171"/>
      <c r="BT184" s="171"/>
      <c r="BU184" s="171"/>
      <c r="BV184" s="171"/>
      <c r="BW184" s="171"/>
      <c r="BX184" s="171"/>
      <c r="BY184" s="171"/>
      <c r="BZ184" s="171"/>
      <c r="CA184" s="171"/>
      <c r="CB184" s="171"/>
      <c r="CC184" s="171"/>
      <c r="CD184" s="171"/>
      <c r="CE184" s="171"/>
      <c r="CF184" s="171"/>
      <c r="CG184" s="171"/>
      <c r="CH184" s="171"/>
      <c r="CI184" s="171"/>
      <c r="CJ184" s="171"/>
      <c r="CK184" s="171"/>
      <c r="CL184" s="171"/>
    </row>
    <row r="185" spans="1:91">
      <c r="A185" s="171">
        <v>36</v>
      </c>
      <c r="B185" s="171" t="s">
        <v>1787</v>
      </c>
      <c r="C185" s="171">
        <v>46</v>
      </c>
      <c r="D185" s="171" t="str">
        <f t="shared" si="39"/>
        <v>CN SBT</v>
      </c>
      <c r="E185" s="171" t="s">
        <v>7288</v>
      </c>
      <c r="F185" s="174">
        <v>45474</v>
      </c>
      <c r="G185" s="171" t="s">
        <v>7220</v>
      </c>
      <c r="H185" s="173">
        <v>4347</v>
      </c>
      <c r="I185" s="171"/>
      <c r="J185" s="171" t="s">
        <v>4476</v>
      </c>
      <c r="K185" s="171" t="s">
        <v>4457</v>
      </c>
      <c r="L185" s="171" t="s">
        <v>2029</v>
      </c>
      <c r="M185" s="171" t="s">
        <v>5032</v>
      </c>
      <c r="N185" s="171"/>
      <c r="O185" s="171"/>
      <c r="P185" s="171" t="s">
        <v>4174</v>
      </c>
      <c r="Q185" s="171" t="s">
        <v>22</v>
      </c>
      <c r="R185" s="171" t="s">
        <v>7262</v>
      </c>
      <c r="S185" s="171">
        <v>2035</v>
      </c>
      <c r="T185" s="171" t="s">
        <v>361</v>
      </c>
      <c r="U185" s="171"/>
      <c r="V185" s="172">
        <v>44256</v>
      </c>
      <c r="W185" s="171">
        <v>2021</v>
      </c>
      <c r="X185" s="171" t="s">
        <v>4172</v>
      </c>
      <c r="Y185" s="171" t="s">
        <v>7864</v>
      </c>
      <c r="Z185" s="171" t="s">
        <v>7533</v>
      </c>
      <c r="AA185" s="171" t="s">
        <v>4172</v>
      </c>
      <c r="AB185" s="171">
        <v>2050</v>
      </c>
      <c r="AC185" s="171">
        <v>2020</v>
      </c>
      <c r="AD185" s="171"/>
      <c r="AE185" s="171"/>
      <c r="AF185" s="171"/>
      <c r="AG185" s="171" t="s">
        <v>4174</v>
      </c>
      <c r="AH185" s="171"/>
      <c r="AI185" s="171" t="s">
        <v>4174</v>
      </c>
      <c r="AJ185" s="171"/>
      <c r="AK185" s="171"/>
      <c r="AL185" s="171" t="s">
        <v>7863</v>
      </c>
      <c r="AM185" s="171" t="s">
        <v>3287</v>
      </c>
      <c r="AN185" s="171" t="s">
        <v>5032</v>
      </c>
      <c r="AO185" s="171"/>
      <c r="AP185" s="171"/>
      <c r="AQ185" s="171" t="s">
        <v>5032</v>
      </c>
      <c r="AR185" s="171"/>
      <c r="AS185" s="171"/>
      <c r="AT185" s="171"/>
      <c r="AU185" s="171"/>
      <c r="AV185" s="171"/>
      <c r="AW185" s="171"/>
      <c r="AX185" s="171"/>
      <c r="AY185" s="171"/>
      <c r="AZ185" s="171"/>
      <c r="BA185" s="171"/>
      <c r="BB185" s="171"/>
      <c r="BC185" s="171"/>
      <c r="BD185" s="171" t="s">
        <v>4174</v>
      </c>
      <c r="BE185" s="171" t="s">
        <v>7863</v>
      </c>
      <c r="BF185" s="225" t="s">
        <v>5032</v>
      </c>
      <c r="BG185" s="171"/>
      <c r="BH185" s="171"/>
      <c r="BI185" s="171"/>
      <c r="BJ185" s="171"/>
      <c r="BK185" s="171"/>
      <c r="BL185" s="171">
        <v>1</v>
      </c>
      <c r="BM185" s="171">
        <v>1</v>
      </c>
      <c r="BN185" s="171"/>
      <c r="BO185" s="171"/>
      <c r="BP185" s="171"/>
      <c r="BQ185" s="171"/>
      <c r="BR185" s="171"/>
      <c r="BS185" s="171"/>
      <c r="BT185" s="171">
        <v>1</v>
      </c>
      <c r="BU185" s="171">
        <v>1</v>
      </c>
      <c r="BV185" s="171"/>
      <c r="BW185" s="171"/>
      <c r="BX185" s="171"/>
      <c r="BY185" s="171"/>
      <c r="BZ185" s="171">
        <v>1</v>
      </c>
      <c r="CA185" s="171"/>
      <c r="CB185" s="171">
        <v>1</v>
      </c>
      <c r="CC185" s="171">
        <v>1</v>
      </c>
      <c r="CD185" s="171"/>
      <c r="CE185" s="171">
        <v>1</v>
      </c>
      <c r="CF185" s="171"/>
      <c r="CG185" s="171"/>
      <c r="CH185" s="171">
        <v>1</v>
      </c>
      <c r="CI185" s="171"/>
      <c r="CJ185" s="171"/>
      <c r="CK185" s="171"/>
      <c r="CL185" s="171"/>
    </row>
    <row r="186" spans="1:91">
      <c r="A186" s="171">
        <v>88</v>
      </c>
      <c r="B186" s="171" t="s">
        <v>1412</v>
      </c>
      <c r="C186" s="171">
        <v>133</v>
      </c>
      <c r="D186" s="171" t="str">
        <f t="shared" si="39"/>
        <v/>
      </c>
      <c r="E186" s="171" t="s">
        <v>7223</v>
      </c>
      <c r="F186" s="174">
        <v>45476</v>
      </c>
      <c r="G186" s="171" t="s">
        <v>7223</v>
      </c>
      <c r="H186" s="173">
        <v>10538</v>
      </c>
      <c r="I186" s="171"/>
      <c r="J186" s="171" t="s">
        <v>4465</v>
      </c>
      <c r="K186" s="171" t="s">
        <v>4457</v>
      </c>
      <c r="L186" s="171" t="s">
        <v>2029</v>
      </c>
      <c r="M186" s="171" t="s">
        <v>5032</v>
      </c>
      <c r="N186" s="171"/>
      <c r="O186" s="171"/>
      <c r="P186" s="171" t="s">
        <v>5032</v>
      </c>
      <c r="Q186" s="171"/>
      <c r="R186" s="171"/>
      <c r="S186" s="171"/>
      <c r="T186" s="171"/>
      <c r="U186" s="171"/>
      <c r="V186" s="175"/>
      <c r="W186" s="171"/>
      <c r="X186" s="171" t="s">
        <v>5032</v>
      </c>
      <c r="Y186" s="171"/>
      <c r="Z186" s="171"/>
      <c r="AA186" s="171" t="s">
        <v>5032</v>
      </c>
      <c r="AB186" s="171"/>
      <c r="AC186" s="171"/>
      <c r="AD186" s="171"/>
      <c r="AE186" s="171"/>
      <c r="AF186" s="171"/>
      <c r="AG186" s="171"/>
      <c r="AH186" s="171"/>
      <c r="AI186" s="171"/>
      <c r="AJ186" s="171"/>
      <c r="AK186" s="171"/>
      <c r="AL186" s="171"/>
      <c r="AM186" s="171"/>
      <c r="AN186" s="171" t="s">
        <v>5032</v>
      </c>
      <c r="AO186" s="171"/>
      <c r="AP186" s="171"/>
      <c r="AQ186" s="171" t="s">
        <v>5032</v>
      </c>
      <c r="AR186" s="171"/>
      <c r="AS186" s="171"/>
      <c r="AT186" s="171"/>
      <c r="AU186" s="171"/>
      <c r="AV186" s="171"/>
      <c r="AW186" s="171"/>
      <c r="AX186" s="171"/>
      <c r="AY186" s="171"/>
      <c r="AZ186" s="171"/>
      <c r="BA186" s="171"/>
      <c r="BB186" s="171"/>
      <c r="BC186" s="171"/>
      <c r="BD186" s="171" t="s">
        <v>5032</v>
      </c>
      <c r="BE186" s="171"/>
      <c r="BF186" s="225" t="s">
        <v>4174</v>
      </c>
      <c r="BG186" s="171" t="s">
        <v>7862</v>
      </c>
      <c r="BH186" s="171"/>
      <c r="BI186" s="171"/>
      <c r="BJ186" s="171"/>
      <c r="BK186" s="171"/>
      <c r="BL186" s="171"/>
      <c r="BM186" s="171"/>
      <c r="BN186" s="171"/>
      <c r="BO186" s="171"/>
      <c r="BP186" s="171"/>
      <c r="BQ186" s="171"/>
      <c r="BR186" s="171"/>
      <c r="BS186" s="171"/>
      <c r="BT186" s="171"/>
      <c r="BU186" s="171"/>
      <c r="BV186" s="171"/>
      <c r="BW186" s="171"/>
      <c r="BX186" s="171"/>
      <c r="BY186" s="171"/>
      <c r="BZ186" s="171"/>
      <c r="CA186" s="171"/>
      <c r="CB186" s="171"/>
      <c r="CC186" s="171"/>
      <c r="CD186" s="171"/>
      <c r="CE186" s="171"/>
      <c r="CF186" s="171"/>
      <c r="CG186" s="171"/>
      <c r="CH186" s="171"/>
      <c r="CI186" s="171"/>
      <c r="CJ186" s="171"/>
      <c r="CK186" s="171"/>
      <c r="CL186" s="171"/>
    </row>
    <row r="187" spans="1:91">
      <c r="A187" s="171">
        <v>102</v>
      </c>
      <c r="B187" s="171" t="s">
        <v>1743</v>
      </c>
      <c r="C187" s="171">
        <v>41</v>
      </c>
      <c r="D187" s="171" t="str">
        <f t="shared" si="39"/>
        <v/>
      </c>
      <c r="E187" s="171" t="s">
        <v>7228</v>
      </c>
      <c r="F187" s="174">
        <v>45474</v>
      </c>
      <c r="G187" s="171" t="s">
        <v>7220</v>
      </c>
      <c r="H187" s="173">
        <v>-7383.4</v>
      </c>
      <c r="I187" s="171"/>
      <c r="J187" s="171" t="s">
        <v>3498</v>
      </c>
      <c r="K187" s="171" t="s">
        <v>972</v>
      </c>
      <c r="L187" s="171" t="s">
        <v>1994</v>
      </c>
      <c r="M187" s="171" t="s">
        <v>5032</v>
      </c>
      <c r="N187" s="171"/>
      <c r="O187" s="171"/>
      <c r="P187" s="171" t="s">
        <v>5032</v>
      </c>
      <c r="Q187" s="171"/>
      <c r="R187" s="171"/>
      <c r="S187" s="171"/>
      <c r="T187" s="171"/>
      <c r="U187" s="171"/>
      <c r="V187" s="175"/>
      <c r="W187" s="171"/>
      <c r="X187" s="171" t="s">
        <v>5032</v>
      </c>
      <c r="Y187" s="171"/>
      <c r="Z187" s="171"/>
      <c r="AA187" s="171" t="s">
        <v>5032</v>
      </c>
      <c r="AB187" s="171"/>
      <c r="AC187" s="171"/>
      <c r="AD187" s="171"/>
      <c r="AE187" s="171"/>
      <c r="AF187" s="171"/>
      <c r="AG187" s="171"/>
      <c r="AH187" s="171"/>
      <c r="AI187" s="171"/>
      <c r="AJ187" s="171"/>
      <c r="AK187" s="171"/>
      <c r="AL187" s="171" t="s">
        <v>7861</v>
      </c>
      <c r="AM187" s="171"/>
      <c r="AN187" s="171" t="s">
        <v>5032</v>
      </c>
      <c r="AO187" s="171"/>
      <c r="AP187" s="171"/>
      <c r="AQ187" s="171" t="s">
        <v>5032</v>
      </c>
      <c r="AR187" s="171"/>
      <c r="AS187" s="171"/>
      <c r="AT187" s="171"/>
      <c r="AU187" s="171"/>
      <c r="AV187" s="171"/>
      <c r="AW187" s="171"/>
      <c r="AX187" s="171"/>
      <c r="AY187" s="171"/>
      <c r="AZ187" s="171"/>
      <c r="BA187" s="171"/>
      <c r="BB187" s="171"/>
      <c r="BC187" s="171"/>
      <c r="BD187" s="171"/>
      <c r="BE187" s="171"/>
      <c r="BF187" s="225" t="s">
        <v>4174</v>
      </c>
      <c r="BG187" s="171"/>
      <c r="BH187" s="171" t="s">
        <v>7860</v>
      </c>
      <c r="BI187" s="171"/>
      <c r="BJ187" s="171"/>
      <c r="BK187" s="171"/>
      <c r="BL187" s="171"/>
      <c r="BM187" s="171"/>
      <c r="BN187" s="171"/>
      <c r="BO187" s="171"/>
      <c r="BP187" s="171"/>
      <c r="BQ187" s="171"/>
      <c r="BR187" s="171"/>
      <c r="BS187" s="171"/>
      <c r="BT187" s="171"/>
      <c r="BU187" s="171"/>
      <c r="BV187" s="171"/>
      <c r="BW187" s="171"/>
      <c r="BX187" s="171"/>
      <c r="BY187" s="171"/>
      <c r="BZ187" s="171"/>
      <c r="CA187" s="171"/>
      <c r="CB187" s="171"/>
      <c r="CC187" s="171"/>
      <c r="CD187" s="171"/>
      <c r="CE187" s="171"/>
      <c r="CF187" s="171"/>
      <c r="CG187" s="171"/>
      <c r="CH187" s="171"/>
      <c r="CI187" s="171"/>
      <c r="CJ187" s="171"/>
      <c r="CK187" s="171"/>
      <c r="CL187" s="171"/>
    </row>
    <row r="188" spans="1:91">
      <c r="A188" s="171">
        <v>362</v>
      </c>
      <c r="B188" s="171" t="s">
        <v>688</v>
      </c>
      <c r="C188" s="171">
        <v>379</v>
      </c>
      <c r="D188" s="171" t="str">
        <f t="shared" si="39"/>
        <v>CN</v>
      </c>
      <c r="E188" s="171" t="s">
        <v>7221</v>
      </c>
      <c r="F188" s="174">
        <v>45481</v>
      </c>
      <c r="G188" s="171" t="s">
        <v>7220</v>
      </c>
      <c r="H188" s="173">
        <v>3315</v>
      </c>
      <c r="I188" s="171"/>
      <c r="J188" s="171" t="s">
        <v>4260</v>
      </c>
      <c r="K188" s="171" t="s">
        <v>4457</v>
      </c>
      <c r="L188" s="171" t="s">
        <v>2029</v>
      </c>
      <c r="M188" s="171" t="s">
        <v>5032</v>
      </c>
      <c r="N188" s="171"/>
      <c r="O188" s="171"/>
      <c r="P188" s="171" t="s">
        <v>5032</v>
      </c>
      <c r="Q188" s="171"/>
      <c r="R188" s="171"/>
      <c r="S188" s="171"/>
      <c r="T188" s="171"/>
      <c r="U188" s="171"/>
      <c r="V188" s="175"/>
      <c r="W188" s="171"/>
      <c r="X188" s="171" t="s">
        <v>1957</v>
      </c>
      <c r="Y188" s="171" t="s">
        <v>7859</v>
      </c>
      <c r="Z188" s="171" t="s">
        <v>3283</v>
      </c>
      <c r="AA188" s="171" t="s">
        <v>1957</v>
      </c>
      <c r="AB188" s="171">
        <v>2060</v>
      </c>
      <c r="AC188" s="171">
        <v>2024</v>
      </c>
      <c r="AD188" s="171"/>
      <c r="AE188" s="171"/>
      <c r="AF188" s="171"/>
      <c r="AG188" s="171" t="s">
        <v>2082</v>
      </c>
      <c r="AH188" s="171"/>
      <c r="AI188" s="171" t="s">
        <v>4174</v>
      </c>
      <c r="AJ188" s="171"/>
      <c r="AK188" s="171"/>
      <c r="AL188" s="171" t="s">
        <v>7858</v>
      </c>
      <c r="AM188" s="171"/>
      <c r="AN188" s="171" t="s">
        <v>5032</v>
      </c>
      <c r="AO188" s="171"/>
      <c r="AP188" s="171"/>
      <c r="AQ188" s="171" t="s">
        <v>5032</v>
      </c>
      <c r="AR188" s="171"/>
      <c r="AS188" s="171"/>
      <c r="AT188" s="171"/>
      <c r="AU188" s="171"/>
      <c r="AV188" s="171"/>
      <c r="AW188" s="171"/>
      <c r="AX188" s="171" t="s">
        <v>7857</v>
      </c>
      <c r="AY188" s="171"/>
      <c r="AZ188" s="171"/>
      <c r="BA188" s="171"/>
      <c r="BB188" s="171"/>
      <c r="BC188" s="171"/>
      <c r="BD188" s="171"/>
      <c r="BE188" s="171"/>
      <c r="BF188" s="225" t="s">
        <v>4174</v>
      </c>
      <c r="BG188" s="171" t="s">
        <v>7857</v>
      </c>
      <c r="BH188" s="171"/>
      <c r="BI188" s="171"/>
      <c r="BJ188" s="171"/>
      <c r="BK188" s="171"/>
      <c r="BL188" s="171"/>
      <c r="BM188" s="171">
        <v>1</v>
      </c>
      <c r="BN188" s="171"/>
      <c r="BO188" s="171"/>
      <c r="BP188" s="171"/>
      <c r="BQ188" s="171"/>
      <c r="BR188" s="171"/>
      <c r="BS188" s="171"/>
      <c r="BT188" s="171"/>
      <c r="BU188" s="171"/>
      <c r="BV188" s="171"/>
      <c r="BW188" s="171"/>
      <c r="BX188" s="171"/>
      <c r="BY188" s="171"/>
      <c r="BZ188" s="171">
        <v>1</v>
      </c>
      <c r="CA188" s="171"/>
      <c r="CB188" s="171"/>
      <c r="CC188" s="171"/>
      <c r="CD188" s="171"/>
      <c r="CE188" s="171">
        <v>1</v>
      </c>
      <c r="CF188" s="171"/>
      <c r="CG188" s="171"/>
      <c r="CH188" s="171"/>
      <c r="CI188" s="171"/>
      <c r="CJ188" s="171"/>
      <c r="CK188" s="171"/>
      <c r="CL188" s="171"/>
    </row>
    <row r="189" spans="1:91">
      <c r="A189" s="171">
        <v>191</v>
      </c>
      <c r="B189" s="171" t="s">
        <v>1720</v>
      </c>
      <c r="C189" s="171">
        <v>167</v>
      </c>
      <c r="D189" s="171" t="str">
        <f t="shared" si="39"/>
        <v>CN NZ</v>
      </c>
      <c r="E189" s="171" t="s">
        <v>7220</v>
      </c>
      <c r="F189" s="174">
        <v>45476</v>
      </c>
      <c r="G189" s="171" t="s">
        <v>7220</v>
      </c>
      <c r="H189" s="173">
        <v>9481</v>
      </c>
      <c r="I189" s="171"/>
      <c r="J189" s="171" t="s">
        <v>4459</v>
      </c>
      <c r="K189" s="171" t="s">
        <v>4457</v>
      </c>
      <c r="L189" s="171" t="s">
        <v>2029</v>
      </c>
      <c r="M189" s="171" t="s">
        <v>5032</v>
      </c>
      <c r="N189" s="171"/>
      <c r="O189" s="171"/>
      <c r="P189" s="171" t="s">
        <v>5032</v>
      </c>
      <c r="Q189" s="171"/>
      <c r="R189" s="171"/>
      <c r="S189" s="171"/>
      <c r="T189" s="171"/>
      <c r="U189" s="171"/>
      <c r="V189" s="175"/>
      <c r="W189" s="171"/>
      <c r="X189" s="171" t="s">
        <v>1957</v>
      </c>
      <c r="Y189" s="171" t="s">
        <v>5342</v>
      </c>
      <c r="Z189" s="171" t="s">
        <v>32</v>
      </c>
      <c r="AA189" s="171" t="s">
        <v>1957</v>
      </c>
      <c r="AB189" s="171">
        <v>2030</v>
      </c>
      <c r="AC189" s="171">
        <v>2020</v>
      </c>
      <c r="AD189" s="171"/>
      <c r="AE189" s="171"/>
      <c r="AF189" s="171"/>
      <c r="AG189" s="171" t="s">
        <v>2082</v>
      </c>
      <c r="AH189" s="171">
        <v>2022</v>
      </c>
      <c r="AI189" s="171" t="s">
        <v>4174</v>
      </c>
      <c r="AJ189" s="171" t="s">
        <v>6460</v>
      </c>
      <c r="AK189" s="171"/>
      <c r="AL189" s="176" t="s">
        <v>7856</v>
      </c>
      <c r="AM189" s="171" t="s">
        <v>7855</v>
      </c>
      <c r="AN189" s="171" t="s">
        <v>4172</v>
      </c>
      <c r="AO189" s="171" t="s">
        <v>1435</v>
      </c>
      <c r="AP189" s="171" t="s">
        <v>2072</v>
      </c>
      <c r="AQ189" s="171" t="s">
        <v>4172</v>
      </c>
      <c r="AR189" s="171">
        <v>2050</v>
      </c>
      <c r="AS189" s="171">
        <v>2020</v>
      </c>
      <c r="AT189" s="171"/>
      <c r="AU189" s="171"/>
      <c r="AV189" s="171"/>
      <c r="AW189" s="171" t="s">
        <v>4174</v>
      </c>
      <c r="AX189" s="171" t="s">
        <v>7854</v>
      </c>
      <c r="AY189" s="171"/>
      <c r="AZ189" s="171"/>
      <c r="BA189" s="171"/>
      <c r="BB189" s="171"/>
      <c r="BC189" s="171" t="s">
        <v>7853</v>
      </c>
      <c r="BD189" s="171"/>
      <c r="BE189" s="171"/>
      <c r="BF189" s="225"/>
      <c r="BG189" s="171"/>
      <c r="BH189" s="171"/>
      <c r="BI189" s="171"/>
      <c r="BJ189" s="171"/>
      <c r="BK189" s="171">
        <v>1</v>
      </c>
      <c r="BL189" s="171"/>
      <c r="BM189" s="171">
        <v>1</v>
      </c>
      <c r="BN189" s="171"/>
      <c r="BO189" s="171"/>
      <c r="BP189" s="171">
        <v>1</v>
      </c>
      <c r="BQ189" s="171">
        <v>1</v>
      </c>
      <c r="BR189" s="171"/>
      <c r="BS189" s="171"/>
      <c r="BT189" s="171"/>
      <c r="BU189" s="171"/>
      <c r="BV189" s="171"/>
      <c r="BW189" s="171"/>
      <c r="BX189" s="171"/>
      <c r="BY189" s="171"/>
      <c r="BZ189" s="171">
        <v>1</v>
      </c>
      <c r="CA189" s="171">
        <v>1</v>
      </c>
      <c r="CB189" s="171">
        <v>1</v>
      </c>
      <c r="CC189" s="171">
        <v>1</v>
      </c>
      <c r="CD189" s="171"/>
      <c r="CE189" s="171">
        <v>1</v>
      </c>
      <c r="CF189" s="171"/>
      <c r="CG189" s="171">
        <v>1</v>
      </c>
      <c r="CH189" s="171">
        <v>1</v>
      </c>
      <c r="CI189" s="171"/>
      <c r="CJ189" s="171"/>
      <c r="CK189" s="171">
        <v>1</v>
      </c>
      <c r="CL189" s="171">
        <v>1</v>
      </c>
      <c r="CM189">
        <f t="shared" si="40"/>
        <v>2050</v>
      </c>
    </row>
    <row r="190" spans="1:91">
      <c r="A190" s="171">
        <v>39</v>
      </c>
      <c r="B190" s="171" t="s">
        <v>1781</v>
      </c>
      <c r="C190" s="171">
        <v>50</v>
      </c>
      <c r="D190" s="171" t="str">
        <f t="shared" si="39"/>
        <v>CN SBT RE100</v>
      </c>
      <c r="E190" s="171" t="s">
        <v>7719</v>
      </c>
      <c r="F190" s="174">
        <v>45475</v>
      </c>
      <c r="G190" s="171" t="s">
        <v>7220</v>
      </c>
      <c r="H190" s="173">
        <v>10127</v>
      </c>
      <c r="I190" s="171"/>
      <c r="J190" s="171" t="s">
        <v>4476</v>
      </c>
      <c r="K190" s="171" t="s">
        <v>4457</v>
      </c>
      <c r="L190" s="171" t="s">
        <v>2029</v>
      </c>
      <c r="M190" s="171" t="s">
        <v>4174</v>
      </c>
      <c r="N190" s="171">
        <v>2016</v>
      </c>
      <c r="O190" s="171">
        <v>2035</v>
      </c>
      <c r="P190" s="171" t="s">
        <v>4174</v>
      </c>
      <c r="Q190" s="171" t="s">
        <v>22</v>
      </c>
      <c r="R190" s="171" t="s">
        <v>7262</v>
      </c>
      <c r="S190" s="171">
        <v>2035</v>
      </c>
      <c r="T190" s="171" t="s">
        <v>361</v>
      </c>
      <c r="U190" s="171"/>
      <c r="V190" s="172">
        <v>44317</v>
      </c>
      <c r="W190" s="171">
        <v>2021</v>
      </c>
      <c r="X190" s="171" t="s">
        <v>1957</v>
      </c>
      <c r="Y190" s="171" t="s">
        <v>4348</v>
      </c>
      <c r="Z190" s="171" t="s">
        <v>3283</v>
      </c>
      <c r="AA190" s="171" t="s">
        <v>1957</v>
      </c>
      <c r="AB190" s="171">
        <v>2040</v>
      </c>
      <c r="AC190" s="171">
        <v>2021</v>
      </c>
      <c r="AD190" s="171"/>
      <c r="AE190" s="171"/>
      <c r="AF190" s="171"/>
      <c r="AG190" s="171" t="s">
        <v>2082</v>
      </c>
      <c r="AH190" s="171"/>
      <c r="AI190" s="171" t="s">
        <v>4174</v>
      </c>
      <c r="AJ190" s="171"/>
      <c r="AK190" s="171"/>
      <c r="AL190" s="171" t="s">
        <v>7852</v>
      </c>
      <c r="AM190" s="171"/>
      <c r="AN190" s="171" t="s">
        <v>5032</v>
      </c>
      <c r="AO190" s="171"/>
      <c r="AP190" s="171"/>
      <c r="AQ190" s="171" t="s">
        <v>5032</v>
      </c>
      <c r="AR190" s="171"/>
      <c r="AS190" s="171"/>
      <c r="AT190" s="171"/>
      <c r="AU190" s="171"/>
      <c r="AV190" s="171"/>
      <c r="AW190" s="171"/>
      <c r="AX190" s="171"/>
      <c r="AY190" s="171"/>
      <c r="AZ190" s="171"/>
      <c r="BA190" s="171"/>
      <c r="BB190" s="171"/>
      <c r="BC190" s="171"/>
      <c r="BD190" s="171" t="s">
        <v>1957</v>
      </c>
      <c r="BE190" s="171" t="s">
        <v>7851</v>
      </c>
      <c r="BF190" s="225" t="s">
        <v>5032</v>
      </c>
      <c r="BG190" s="171"/>
      <c r="BH190" s="171"/>
      <c r="BI190" s="171"/>
      <c r="BJ190" s="171"/>
      <c r="BK190" s="171"/>
      <c r="BL190" s="171">
        <v>1</v>
      </c>
      <c r="BM190" s="171">
        <v>1</v>
      </c>
      <c r="BN190" s="171"/>
      <c r="BO190" s="171"/>
      <c r="BP190" s="171"/>
      <c r="BQ190" s="171"/>
      <c r="BR190" s="171"/>
      <c r="BS190" s="171"/>
      <c r="BT190" s="171">
        <v>1</v>
      </c>
      <c r="BU190" s="171">
        <v>1</v>
      </c>
      <c r="BV190" s="171"/>
      <c r="BW190" s="171"/>
      <c r="BX190" s="171">
        <v>1</v>
      </c>
      <c r="BY190" s="171">
        <v>1</v>
      </c>
      <c r="BZ190" s="171">
        <v>1</v>
      </c>
      <c r="CA190" s="171"/>
      <c r="CB190" s="171">
        <v>1</v>
      </c>
      <c r="CC190" s="171"/>
      <c r="CD190" s="171"/>
      <c r="CE190" s="171">
        <v>1</v>
      </c>
      <c r="CF190" s="171"/>
      <c r="CG190" s="171"/>
      <c r="CH190" s="171">
        <v>1</v>
      </c>
      <c r="CI190" s="171"/>
      <c r="CJ190" s="171"/>
      <c r="CK190" s="171"/>
      <c r="CL190" s="171"/>
    </row>
    <row r="191" spans="1:91">
      <c r="A191" s="171">
        <v>347</v>
      </c>
      <c r="B191" s="171" t="s">
        <v>745</v>
      </c>
      <c r="C191" s="171">
        <v>336</v>
      </c>
      <c r="D191" s="171" t="str">
        <f t="shared" si="39"/>
        <v xml:space="preserve"> NZ</v>
      </c>
      <c r="E191" s="171" t="s">
        <v>7228</v>
      </c>
      <c r="F191" s="174">
        <v>45482</v>
      </c>
      <c r="G191" s="171" t="s">
        <v>7220</v>
      </c>
      <c r="H191" s="173">
        <v>1141.3</v>
      </c>
      <c r="I191" s="171"/>
      <c r="J191" s="171" t="s">
        <v>4467</v>
      </c>
      <c r="K191" s="171" t="s">
        <v>78</v>
      </c>
      <c r="L191" s="171" t="s">
        <v>2029</v>
      </c>
      <c r="M191" s="171" t="s">
        <v>5032</v>
      </c>
      <c r="N191" s="171"/>
      <c r="O191" s="171"/>
      <c r="P191" s="171" t="s">
        <v>5032</v>
      </c>
      <c r="Q191" s="171"/>
      <c r="R191" s="171"/>
      <c r="S191" s="171"/>
      <c r="T191" s="171"/>
      <c r="U191" s="171"/>
      <c r="V191" s="175"/>
      <c r="W191" s="171"/>
      <c r="X191" s="171" t="s">
        <v>5032</v>
      </c>
      <c r="Y191" s="171"/>
      <c r="Z191" s="171"/>
      <c r="AA191" s="171" t="s">
        <v>5032</v>
      </c>
      <c r="AB191" s="171"/>
      <c r="AC191" s="171"/>
      <c r="AD191" s="171"/>
      <c r="AE191" s="171"/>
      <c r="AF191" s="171"/>
      <c r="AG191" s="171"/>
      <c r="AH191" s="171"/>
      <c r="AI191" s="171"/>
      <c r="AJ191" s="171"/>
      <c r="AK191" s="171"/>
      <c r="AL191" s="171"/>
      <c r="AM191" s="171"/>
      <c r="AN191" s="171" t="s">
        <v>7227</v>
      </c>
      <c r="AO191" s="171" t="s">
        <v>7850</v>
      </c>
      <c r="AP191" s="171" t="s">
        <v>7475</v>
      </c>
      <c r="AQ191" s="171" t="s">
        <v>1957</v>
      </c>
      <c r="AR191" s="171">
        <v>2040</v>
      </c>
      <c r="AS191" s="171">
        <v>2021</v>
      </c>
      <c r="AT191" s="171" t="s">
        <v>4172</v>
      </c>
      <c r="AU191" s="171">
        <v>2050</v>
      </c>
      <c r="AV191" s="171">
        <v>2021</v>
      </c>
      <c r="AW191" s="171" t="s">
        <v>4174</v>
      </c>
      <c r="AX191" s="171" t="s">
        <v>7849</v>
      </c>
      <c r="AY191" s="171"/>
      <c r="AZ191" s="171"/>
      <c r="BA191" s="171"/>
      <c r="BB191" s="171"/>
      <c r="BC191" s="171" t="s">
        <v>7848</v>
      </c>
      <c r="BD191" s="171"/>
      <c r="BE191" s="171"/>
      <c r="BF191" s="225"/>
      <c r="BG191" s="171"/>
      <c r="BH191" s="171"/>
      <c r="BI191" s="171"/>
      <c r="BJ191" s="171"/>
      <c r="BK191" s="171"/>
      <c r="BL191" s="171"/>
      <c r="BM191" s="171"/>
      <c r="BN191" s="171"/>
      <c r="BO191" s="171"/>
      <c r="BP191" s="171">
        <v>1</v>
      </c>
      <c r="BQ191" s="171">
        <v>1</v>
      </c>
      <c r="BR191" s="171"/>
      <c r="BS191" s="171"/>
      <c r="BT191" s="171"/>
      <c r="BU191" s="171"/>
      <c r="BV191" s="171"/>
      <c r="BW191" s="171"/>
      <c r="BX191" s="171"/>
      <c r="BY191" s="171"/>
      <c r="BZ191" s="171">
        <v>1</v>
      </c>
      <c r="CA191" s="171"/>
      <c r="CB191" s="171">
        <v>1</v>
      </c>
      <c r="CC191" s="171">
        <v>1</v>
      </c>
      <c r="CD191" s="171"/>
      <c r="CE191" s="171">
        <v>1</v>
      </c>
      <c r="CF191" s="171"/>
      <c r="CG191" s="171"/>
      <c r="CH191" s="171">
        <v>1</v>
      </c>
      <c r="CI191" s="171"/>
      <c r="CJ191" s="171"/>
      <c r="CK191" s="171">
        <v>1</v>
      </c>
      <c r="CL191" s="171">
        <v>1</v>
      </c>
      <c r="CM191">
        <f t="shared" si="40"/>
        <v>2040</v>
      </c>
    </row>
    <row r="192" spans="1:91">
      <c r="A192" s="171">
        <v>24</v>
      </c>
      <c r="B192" s="171" t="s">
        <v>1828</v>
      </c>
      <c r="C192" s="171">
        <v>21</v>
      </c>
      <c r="D192" s="171" t="str">
        <f t="shared" si="39"/>
        <v xml:space="preserve"> NZ</v>
      </c>
      <c r="E192" s="171" t="s">
        <v>7223</v>
      </c>
      <c r="F192" s="174">
        <v>45474</v>
      </c>
      <c r="G192" s="171" t="s">
        <v>7223</v>
      </c>
      <c r="H192" s="173">
        <v>4280</v>
      </c>
      <c r="I192" s="171"/>
      <c r="J192" s="171" t="s">
        <v>4494</v>
      </c>
      <c r="K192" s="171" t="s">
        <v>287</v>
      </c>
      <c r="L192" s="171" t="s">
        <v>1951</v>
      </c>
      <c r="M192" s="171" t="s">
        <v>5032</v>
      </c>
      <c r="N192" s="171"/>
      <c r="O192" s="171"/>
      <c r="P192" s="171" t="s">
        <v>5032</v>
      </c>
      <c r="Q192" s="171"/>
      <c r="R192" s="171"/>
      <c r="S192" s="171"/>
      <c r="T192" s="171"/>
      <c r="U192" s="171"/>
      <c r="V192" s="175"/>
      <c r="W192" s="171"/>
      <c r="X192" s="171" t="s">
        <v>5032</v>
      </c>
      <c r="Y192" s="171"/>
      <c r="Z192" s="171"/>
      <c r="AA192" s="171" t="s">
        <v>5032</v>
      </c>
      <c r="AB192" s="171"/>
      <c r="AC192" s="171"/>
      <c r="AD192" s="171"/>
      <c r="AE192" s="171"/>
      <c r="AF192" s="171"/>
      <c r="AG192" s="171"/>
      <c r="AH192" s="171"/>
      <c r="AI192" s="171"/>
      <c r="AJ192" s="171"/>
      <c r="AK192" s="171"/>
      <c r="AL192" s="171"/>
      <c r="AM192" s="171"/>
      <c r="AN192" s="171" t="s">
        <v>4172</v>
      </c>
      <c r="AO192" s="171" t="s">
        <v>4302</v>
      </c>
      <c r="AP192" s="171" t="s">
        <v>7847</v>
      </c>
      <c r="AQ192" s="171" t="s">
        <v>4172</v>
      </c>
      <c r="AR192" s="171">
        <v>2050</v>
      </c>
      <c r="AS192" s="171">
        <v>2020</v>
      </c>
      <c r="AT192" s="171"/>
      <c r="AU192" s="171"/>
      <c r="AV192" s="171"/>
      <c r="AW192" s="171" t="s">
        <v>2082</v>
      </c>
      <c r="AX192" s="171" t="s">
        <v>7846</v>
      </c>
      <c r="AY192" s="171">
        <v>2024</v>
      </c>
      <c r="AZ192" s="171" t="s">
        <v>4174</v>
      </c>
      <c r="BA192" s="171" t="s">
        <v>7845</v>
      </c>
      <c r="BB192" s="171"/>
      <c r="BC192" s="171" t="s">
        <v>7844</v>
      </c>
      <c r="BD192" s="171"/>
      <c r="BE192" s="171"/>
      <c r="BF192" s="225"/>
      <c r="BG192" s="171"/>
      <c r="BH192" s="171"/>
      <c r="BI192" s="171" t="s">
        <v>7843</v>
      </c>
      <c r="BJ192" s="171"/>
      <c r="BK192" s="171"/>
      <c r="BL192" s="171"/>
      <c r="BM192" s="171"/>
      <c r="BN192" s="171"/>
      <c r="BO192" s="171"/>
      <c r="BP192" s="171">
        <v>1</v>
      </c>
      <c r="BQ192" s="171">
        <v>1</v>
      </c>
      <c r="BR192" s="171"/>
      <c r="BS192" s="171"/>
      <c r="BT192" s="171"/>
      <c r="BU192" s="171"/>
      <c r="BV192" s="171"/>
      <c r="BW192" s="171"/>
      <c r="BX192" s="171"/>
      <c r="BY192" s="171"/>
      <c r="BZ192" s="171">
        <v>1</v>
      </c>
      <c r="CA192" s="171"/>
      <c r="CB192" s="171">
        <v>1</v>
      </c>
      <c r="CC192" s="171"/>
      <c r="CD192" s="171"/>
      <c r="CE192" s="171">
        <v>1</v>
      </c>
      <c r="CF192" s="171"/>
      <c r="CG192" s="171"/>
      <c r="CH192" s="171">
        <v>1</v>
      </c>
      <c r="CI192" s="171"/>
      <c r="CJ192" s="171"/>
      <c r="CK192" s="171">
        <v>1</v>
      </c>
      <c r="CL192" s="171">
        <v>1</v>
      </c>
      <c r="CM192">
        <f t="shared" si="40"/>
        <v>2050</v>
      </c>
    </row>
    <row r="193" spans="1:91">
      <c r="A193" s="171">
        <v>87</v>
      </c>
      <c r="B193" s="171" t="s">
        <v>1146</v>
      </c>
      <c r="C193" s="171">
        <v>185</v>
      </c>
      <c r="D193" s="171" t="str">
        <f t="shared" si="39"/>
        <v>CN NZ RE100</v>
      </c>
      <c r="E193" s="171" t="s">
        <v>7228</v>
      </c>
      <c r="F193" s="174">
        <v>45476</v>
      </c>
      <c r="G193" s="171" t="s">
        <v>7220</v>
      </c>
      <c r="H193" s="173">
        <v>8516</v>
      </c>
      <c r="I193" s="171"/>
      <c r="J193" s="171" t="s">
        <v>4465</v>
      </c>
      <c r="K193" s="171" t="s">
        <v>4457</v>
      </c>
      <c r="L193" s="171" t="s">
        <v>2029</v>
      </c>
      <c r="M193" s="171" t="s">
        <v>4174</v>
      </c>
      <c r="N193" s="171">
        <v>2015</v>
      </c>
      <c r="O193" s="171">
        <v>2021</v>
      </c>
      <c r="P193" s="171" t="s">
        <v>5032</v>
      </c>
      <c r="Q193" s="171"/>
      <c r="R193" s="171"/>
      <c r="S193" s="171"/>
      <c r="T193" s="171"/>
      <c r="U193" s="171"/>
      <c r="V193" s="175"/>
      <c r="W193" s="171"/>
      <c r="X193" s="171" t="s">
        <v>1957</v>
      </c>
      <c r="Y193" s="171" t="s">
        <v>4344</v>
      </c>
      <c r="Z193" s="171" t="s">
        <v>3283</v>
      </c>
      <c r="AA193" s="171" t="s">
        <v>1957</v>
      </c>
      <c r="AB193" s="171">
        <v>2015</v>
      </c>
      <c r="AC193" s="171">
        <v>2015</v>
      </c>
      <c r="AD193" s="171"/>
      <c r="AE193" s="171"/>
      <c r="AF193" s="171"/>
      <c r="AG193" s="171" t="s">
        <v>4174</v>
      </c>
      <c r="AH193" s="171">
        <v>2023</v>
      </c>
      <c r="AI193" s="171" t="s">
        <v>4174</v>
      </c>
      <c r="AJ193" s="171" t="s">
        <v>7841</v>
      </c>
      <c r="AK193" s="171"/>
      <c r="AL193" s="171" t="s">
        <v>7842</v>
      </c>
      <c r="AM193" s="171" t="s">
        <v>7841</v>
      </c>
      <c r="AN193" s="171" t="s">
        <v>1957</v>
      </c>
      <c r="AO193" s="171" t="s">
        <v>4667</v>
      </c>
      <c r="AP193" s="171" t="s">
        <v>7475</v>
      </c>
      <c r="AQ193" s="171" t="s">
        <v>1957</v>
      </c>
      <c r="AR193" s="171">
        <v>2030</v>
      </c>
      <c r="AS193" s="171">
        <v>2021</v>
      </c>
      <c r="AT193" s="171"/>
      <c r="AU193" s="171"/>
      <c r="AV193" s="171"/>
      <c r="AW193" s="171" t="s">
        <v>2082</v>
      </c>
      <c r="AX193" s="171" t="s">
        <v>7842</v>
      </c>
      <c r="AY193" s="171">
        <v>2023</v>
      </c>
      <c r="AZ193" s="171" t="s">
        <v>4174</v>
      </c>
      <c r="BA193" s="171" t="s">
        <v>7841</v>
      </c>
      <c r="BB193" s="171"/>
      <c r="BC193" s="171"/>
      <c r="BD193" s="171"/>
      <c r="BE193" s="171"/>
      <c r="BF193" s="225"/>
      <c r="BG193" s="171"/>
      <c r="BH193" s="171"/>
      <c r="BI193" s="171"/>
      <c r="BJ193" s="171">
        <v>1</v>
      </c>
      <c r="BK193" s="171"/>
      <c r="BL193" s="171"/>
      <c r="BM193" s="171">
        <v>1</v>
      </c>
      <c r="BN193" s="171"/>
      <c r="BO193" s="171">
        <v>1</v>
      </c>
      <c r="BP193" s="171"/>
      <c r="BQ193" s="171">
        <v>1</v>
      </c>
      <c r="BR193" s="171"/>
      <c r="BS193" s="171"/>
      <c r="BT193" s="171"/>
      <c r="BU193" s="171"/>
      <c r="BV193" s="171">
        <v>1</v>
      </c>
      <c r="BW193" s="171"/>
      <c r="BX193" s="171"/>
      <c r="BY193" s="171">
        <v>1</v>
      </c>
      <c r="BZ193" s="171">
        <v>1</v>
      </c>
      <c r="CA193" s="171">
        <v>1</v>
      </c>
      <c r="CB193" s="171">
        <v>1</v>
      </c>
      <c r="CC193" s="171">
        <v>1</v>
      </c>
      <c r="CD193" s="171"/>
      <c r="CE193" s="171">
        <v>1</v>
      </c>
      <c r="CF193" s="171">
        <v>1</v>
      </c>
      <c r="CG193" s="171">
        <v>1</v>
      </c>
      <c r="CH193" s="171">
        <v>1</v>
      </c>
      <c r="CI193" s="171"/>
      <c r="CJ193" s="171"/>
      <c r="CK193" s="171"/>
      <c r="CL193" s="171"/>
      <c r="CM193">
        <f t="shared" si="40"/>
        <v>2030</v>
      </c>
    </row>
    <row r="194" spans="1:91">
      <c r="A194" s="171">
        <v>291</v>
      </c>
      <c r="B194" s="171" t="s">
        <v>1153</v>
      </c>
      <c r="C194" s="171">
        <v>205</v>
      </c>
      <c r="D194" s="171" t="str">
        <f t="shared" ref="D194:D257" si="41">CONCATENATE((IF(BM194=1, "CN", "")),(IF(BQ194=1, " NZ", "")),(IF(BU194=1, " SBT", "")),(IF(BY194=1, " RE100", "")))</f>
        <v/>
      </c>
      <c r="E194" s="171" t="s">
        <v>7228</v>
      </c>
      <c r="F194" s="174">
        <v>45477</v>
      </c>
      <c r="G194" s="171" t="s">
        <v>7220</v>
      </c>
      <c r="H194" s="173">
        <v>-1349.9</v>
      </c>
      <c r="I194" s="171"/>
      <c r="J194" s="171" t="s">
        <v>976</v>
      </c>
      <c r="K194" s="171" t="s">
        <v>73</v>
      </c>
      <c r="L194" s="171" t="s">
        <v>1994</v>
      </c>
      <c r="M194" s="171" t="s">
        <v>5032</v>
      </c>
      <c r="N194" s="171"/>
      <c r="O194" s="171"/>
      <c r="P194" s="171" t="s">
        <v>5032</v>
      </c>
      <c r="Q194" s="171"/>
      <c r="R194" s="171"/>
      <c r="S194" s="171"/>
      <c r="T194" s="171"/>
      <c r="U194" s="171"/>
      <c r="V194" s="175"/>
      <c r="W194" s="171"/>
      <c r="X194" s="171" t="s">
        <v>5032</v>
      </c>
      <c r="Y194" s="171"/>
      <c r="Z194" s="171"/>
      <c r="AA194" s="171" t="s">
        <v>5032</v>
      </c>
      <c r="AB194" s="171"/>
      <c r="AC194" s="171"/>
      <c r="AD194" s="171"/>
      <c r="AE194" s="171"/>
      <c r="AF194" s="171"/>
      <c r="AG194" s="171"/>
      <c r="AH194" s="171"/>
      <c r="AI194" s="171"/>
      <c r="AJ194" s="171"/>
      <c r="AK194" s="171"/>
      <c r="AL194" s="171"/>
      <c r="AM194" s="171"/>
      <c r="AN194" s="171" t="s">
        <v>5032</v>
      </c>
      <c r="AO194" s="171"/>
      <c r="AP194" s="171"/>
      <c r="AQ194" s="171" t="s">
        <v>5032</v>
      </c>
      <c r="AR194" s="171"/>
      <c r="AS194" s="171"/>
      <c r="AT194" s="171"/>
      <c r="AU194" s="171"/>
      <c r="AV194" s="171"/>
      <c r="AW194" s="171"/>
      <c r="AX194" s="171"/>
      <c r="AY194" s="171"/>
      <c r="AZ194" s="171"/>
      <c r="BA194" s="171"/>
      <c r="BB194" s="171"/>
      <c r="BC194" s="171"/>
      <c r="BD194" s="171"/>
      <c r="BE194" s="171"/>
      <c r="BF194" s="225"/>
      <c r="BG194" s="171"/>
      <c r="BH194" s="171"/>
      <c r="BI194" s="171"/>
      <c r="BJ194" s="171"/>
      <c r="BK194" s="171"/>
      <c r="BL194" s="171"/>
      <c r="BM194" s="171"/>
      <c r="BN194" s="171"/>
      <c r="BO194" s="171"/>
      <c r="BP194" s="171"/>
      <c r="BQ194" s="171"/>
      <c r="BR194" s="171"/>
      <c r="BS194" s="171"/>
      <c r="BT194" s="171"/>
      <c r="BU194" s="171"/>
      <c r="BV194" s="171"/>
      <c r="BW194" s="171"/>
      <c r="BX194" s="171"/>
      <c r="BY194" s="171"/>
      <c r="BZ194" s="171"/>
      <c r="CA194" s="171"/>
      <c r="CB194" s="171"/>
      <c r="CC194" s="171"/>
      <c r="CD194" s="171"/>
      <c r="CE194" s="171"/>
      <c r="CF194" s="171"/>
      <c r="CG194" s="171"/>
      <c r="CH194" s="171"/>
      <c r="CI194" s="171"/>
      <c r="CJ194" s="171"/>
      <c r="CK194" s="171"/>
      <c r="CL194" s="171"/>
    </row>
    <row r="195" spans="1:91">
      <c r="A195" s="171">
        <v>174</v>
      </c>
      <c r="B195" s="171" t="s">
        <v>1091</v>
      </c>
      <c r="C195" s="171">
        <v>300</v>
      </c>
      <c r="D195" s="171" t="str">
        <f t="shared" si="41"/>
        <v>CN</v>
      </c>
      <c r="E195" s="171" t="s">
        <v>7220</v>
      </c>
      <c r="F195" s="174">
        <v>45478</v>
      </c>
      <c r="G195" s="171" t="s">
        <v>7223</v>
      </c>
      <c r="H195" s="173">
        <v>3031.3</v>
      </c>
      <c r="I195" s="171"/>
      <c r="J195" s="171" t="s">
        <v>4465</v>
      </c>
      <c r="K195" s="171" t="s">
        <v>63</v>
      </c>
      <c r="L195" s="171" t="s">
        <v>1951</v>
      </c>
      <c r="M195" s="171" t="s">
        <v>5032</v>
      </c>
      <c r="N195" s="171"/>
      <c r="O195" s="171"/>
      <c r="P195" s="171" t="s">
        <v>5032</v>
      </c>
      <c r="Q195" s="171"/>
      <c r="R195" s="171"/>
      <c r="S195" s="171"/>
      <c r="T195" s="171"/>
      <c r="U195" s="171"/>
      <c r="V195" s="175"/>
      <c r="W195" s="171"/>
      <c r="X195" s="171" t="s">
        <v>5050</v>
      </c>
      <c r="Y195" s="171" t="s">
        <v>7840</v>
      </c>
      <c r="Z195" s="171" t="s">
        <v>7225</v>
      </c>
      <c r="AA195" s="171" t="s">
        <v>5050</v>
      </c>
      <c r="AB195" s="171">
        <v>2050</v>
      </c>
      <c r="AC195" s="171">
        <v>2021</v>
      </c>
      <c r="AD195" s="171"/>
      <c r="AE195" s="171"/>
      <c r="AF195" s="171"/>
      <c r="AG195" s="171" t="s">
        <v>4174</v>
      </c>
      <c r="AH195" s="171"/>
      <c r="AI195" s="171" t="s">
        <v>4174</v>
      </c>
      <c r="AJ195" s="171"/>
      <c r="AK195" s="171"/>
      <c r="AL195" s="176" t="s">
        <v>7839</v>
      </c>
      <c r="AM195" s="171"/>
      <c r="AN195" s="171" t="s">
        <v>7229</v>
      </c>
      <c r="AO195" s="171"/>
      <c r="AP195" s="171"/>
      <c r="AQ195" s="171" t="s">
        <v>7229</v>
      </c>
      <c r="AR195" s="171"/>
      <c r="AS195" s="171"/>
      <c r="AT195" s="171"/>
      <c r="AU195" s="171"/>
      <c r="AV195" s="171"/>
      <c r="AW195" s="171"/>
      <c r="AX195" s="171"/>
      <c r="AY195" s="171"/>
      <c r="AZ195" s="171"/>
      <c r="BA195" s="171"/>
      <c r="BB195" s="171"/>
      <c r="BC195" s="171"/>
      <c r="BD195" s="171"/>
      <c r="BE195" s="171"/>
      <c r="BF195" s="225"/>
      <c r="BG195" s="171"/>
      <c r="BH195" s="171"/>
      <c r="BI195" s="171"/>
      <c r="BJ195" s="171"/>
      <c r="BK195" s="171"/>
      <c r="BL195" s="171">
        <v>1</v>
      </c>
      <c r="BM195" s="171">
        <v>1</v>
      </c>
      <c r="BN195" s="171"/>
      <c r="BO195" s="171"/>
      <c r="BP195" s="171"/>
      <c r="BQ195" s="171"/>
      <c r="BR195" s="171"/>
      <c r="BS195" s="171"/>
      <c r="BT195" s="171"/>
      <c r="BU195" s="171"/>
      <c r="BV195" s="171"/>
      <c r="BW195" s="171"/>
      <c r="BX195" s="171"/>
      <c r="BY195" s="171"/>
      <c r="BZ195" s="171">
        <v>1</v>
      </c>
      <c r="CA195" s="171"/>
      <c r="CB195" s="171">
        <v>1</v>
      </c>
      <c r="CC195" s="171">
        <v>1</v>
      </c>
      <c r="CD195" s="171"/>
      <c r="CE195" s="171">
        <v>1</v>
      </c>
      <c r="CF195" s="171"/>
      <c r="CG195" s="171"/>
      <c r="CH195" s="171">
        <v>1</v>
      </c>
      <c r="CI195" s="171"/>
      <c r="CJ195" s="171"/>
      <c r="CK195" s="171"/>
      <c r="CL195" s="171"/>
    </row>
    <row r="196" spans="1:91">
      <c r="A196" s="171">
        <v>405</v>
      </c>
      <c r="B196" s="171" t="s">
        <v>587</v>
      </c>
      <c r="C196" s="171">
        <v>322</v>
      </c>
      <c r="D196" s="171" t="str">
        <f t="shared" si="41"/>
        <v/>
      </c>
      <c r="E196" s="171" t="s">
        <v>7228</v>
      </c>
      <c r="F196" s="174">
        <v>45481</v>
      </c>
      <c r="G196" s="171" t="s">
        <v>7220</v>
      </c>
      <c r="H196" s="173">
        <v>882.6</v>
      </c>
      <c r="I196" s="171"/>
      <c r="J196" s="171" t="s">
        <v>3498</v>
      </c>
      <c r="K196" s="171" t="s">
        <v>114</v>
      </c>
      <c r="L196" s="171" t="s">
        <v>1994</v>
      </c>
      <c r="M196" s="171" t="s">
        <v>5032</v>
      </c>
      <c r="N196" s="171"/>
      <c r="O196" s="171"/>
      <c r="P196" s="171" t="s">
        <v>5032</v>
      </c>
      <c r="Q196" s="171"/>
      <c r="R196" s="171"/>
      <c r="S196" s="171"/>
      <c r="T196" s="171"/>
      <c r="U196" s="171"/>
      <c r="V196" s="175"/>
      <c r="W196" s="171"/>
      <c r="X196" s="171" t="s">
        <v>4519</v>
      </c>
      <c r="Y196" s="171" t="s">
        <v>109</v>
      </c>
      <c r="Z196" s="171" t="s">
        <v>7225</v>
      </c>
      <c r="AA196" s="171" t="s">
        <v>4519</v>
      </c>
      <c r="AB196" s="171">
        <v>2050</v>
      </c>
      <c r="AC196" s="171">
        <v>2021</v>
      </c>
      <c r="AD196" s="171"/>
      <c r="AE196" s="171"/>
      <c r="AF196" s="171"/>
      <c r="AG196" s="171"/>
      <c r="AH196" s="171"/>
      <c r="AI196" s="171"/>
      <c r="AJ196" s="171"/>
      <c r="AK196" s="171"/>
      <c r="AL196" s="176" t="s">
        <v>7838</v>
      </c>
      <c r="AM196" s="171" t="s">
        <v>7837</v>
      </c>
      <c r="AN196" s="171" t="s">
        <v>5032</v>
      </c>
      <c r="AO196" s="171"/>
      <c r="AP196" s="171"/>
      <c r="AQ196" s="171" t="s">
        <v>5032</v>
      </c>
      <c r="AR196" s="171"/>
      <c r="AS196" s="171"/>
      <c r="AT196" s="171"/>
      <c r="AU196" s="171"/>
      <c r="AV196" s="171"/>
      <c r="AW196" s="171"/>
      <c r="AX196" s="171"/>
      <c r="AY196" s="171"/>
      <c r="AZ196" s="171"/>
      <c r="BA196" s="171"/>
      <c r="BB196" s="171"/>
      <c r="BC196" s="171"/>
      <c r="BD196" s="171"/>
      <c r="BE196" s="171"/>
      <c r="BF196" s="225"/>
      <c r="BG196" s="171"/>
      <c r="BH196" s="171"/>
      <c r="BI196" s="171" t="s">
        <v>7836</v>
      </c>
      <c r="BJ196" s="171"/>
      <c r="BK196" s="171"/>
      <c r="BL196" s="171"/>
      <c r="BM196" s="171"/>
      <c r="BN196" s="171"/>
      <c r="BO196" s="171"/>
      <c r="BP196" s="171"/>
      <c r="BQ196" s="171"/>
      <c r="BR196" s="171"/>
      <c r="BS196" s="171"/>
      <c r="BT196" s="171"/>
      <c r="BU196" s="171"/>
      <c r="BV196" s="171"/>
      <c r="BW196" s="171"/>
      <c r="BX196" s="171"/>
      <c r="BY196" s="171"/>
      <c r="BZ196" s="171"/>
      <c r="CA196" s="171"/>
      <c r="CB196" s="171"/>
      <c r="CC196" s="171"/>
      <c r="CD196" s="171"/>
      <c r="CE196" s="171"/>
      <c r="CF196" s="171"/>
      <c r="CG196" s="171"/>
      <c r="CH196" s="171"/>
      <c r="CI196" s="171"/>
      <c r="CJ196" s="171"/>
      <c r="CK196" s="171"/>
      <c r="CL196" s="171"/>
    </row>
    <row r="197" spans="1:91">
      <c r="A197" s="171">
        <v>400</v>
      </c>
      <c r="B197" s="171" t="s">
        <v>4725</v>
      </c>
      <c r="C197" s="171">
        <v>343</v>
      </c>
      <c r="D197" s="171" t="str">
        <f t="shared" si="41"/>
        <v xml:space="preserve"> NZ SBT RE100</v>
      </c>
      <c r="E197" s="171" t="s">
        <v>7228</v>
      </c>
      <c r="F197" s="174">
        <v>45482</v>
      </c>
      <c r="G197" s="171" t="s">
        <v>7220</v>
      </c>
      <c r="H197" s="173">
        <v>6124.5</v>
      </c>
      <c r="I197" s="171"/>
      <c r="J197" s="171" t="s">
        <v>4201</v>
      </c>
      <c r="K197" s="171" t="s">
        <v>4195</v>
      </c>
      <c r="L197" s="171" t="s">
        <v>1951</v>
      </c>
      <c r="M197" s="171" t="s">
        <v>4174</v>
      </c>
      <c r="N197" s="171">
        <v>2020</v>
      </c>
      <c r="O197" s="171">
        <v>2030</v>
      </c>
      <c r="P197" s="171" t="s">
        <v>4174</v>
      </c>
      <c r="Q197" s="171" t="s">
        <v>22</v>
      </c>
      <c r="R197" s="171" t="s">
        <v>7233</v>
      </c>
      <c r="S197" s="171">
        <v>2030</v>
      </c>
      <c r="T197" s="171" t="s">
        <v>361</v>
      </c>
      <c r="U197" s="171">
        <v>2045</v>
      </c>
      <c r="V197" s="172">
        <v>45231</v>
      </c>
      <c r="W197" s="171">
        <v>2023</v>
      </c>
      <c r="X197" s="171" t="s">
        <v>5032</v>
      </c>
      <c r="Y197" s="171"/>
      <c r="Z197" s="171"/>
      <c r="AA197" s="171" t="s">
        <v>5032</v>
      </c>
      <c r="AB197" s="171"/>
      <c r="AC197" s="171"/>
      <c r="AD197" s="171"/>
      <c r="AE197" s="171"/>
      <c r="AF197" s="171"/>
      <c r="AG197" s="171"/>
      <c r="AH197" s="171"/>
      <c r="AI197" s="171"/>
      <c r="AJ197" s="171"/>
      <c r="AK197" s="171"/>
      <c r="AL197" s="171"/>
      <c r="AM197" s="171"/>
      <c r="AN197" s="171" t="s">
        <v>4172</v>
      </c>
      <c r="AO197" s="171" t="s">
        <v>7835</v>
      </c>
      <c r="AP197" s="171" t="s">
        <v>7834</v>
      </c>
      <c r="AQ197" s="171" t="s">
        <v>4172</v>
      </c>
      <c r="AR197" s="171">
        <v>2045</v>
      </c>
      <c r="AS197" s="171">
        <v>2020</v>
      </c>
      <c r="AT197" s="171"/>
      <c r="AU197" s="171"/>
      <c r="AV197" s="171"/>
      <c r="AW197" s="171" t="s">
        <v>4174</v>
      </c>
      <c r="AX197" s="171" t="s">
        <v>7833</v>
      </c>
      <c r="AY197" s="171"/>
      <c r="AZ197" s="171"/>
      <c r="BA197" s="171"/>
      <c r="BB197" s="171"/>
      <c r="BC197" s="171" t="s">
        <v>7832</v>
      </c>
      <c r="BD197" s="171"/>
      <c r="BE197" s="171"/>
      <c r="BF197" s="225"/>
      <c r="BG197" s="171"/>
      <c r="BH197" s="171"/>
      <c r="BI197" s="171"/>
      <c r="BJ197" s="171"/>
      <c r="BK197" s="171"/>
      <c r="BL197" s="171"/>
      <c r="BM197" s="171"/>
      <c r="BN197" s="171"/>
      <c r="BO197" s="171"/>
      <c r="BP197" s="171">
        <v>1</v>
      </c>
      <c r="BQ197" s="171">
        <v>1</v>
      </c>
      <c r="BR197" s="171"/>
      <c r="BS197" s="171">
        <v>1</v>
      </c>
      <c r="BT197" s="171"/>
      <c r="BU197" s="171">
        <v>1</v>
      </c>
      <c r="BV197" s="171"/>
      <c r="BW197" s="171">
        <v>1</v>
      </c>
      <c r="BX197" s="171"/>
      <c r="BY197" s="171">
        <v>1</v>
      </c>
      <c r="BZ197" s="171">
        <v>1</v>
      </c>
      <c r="CA197" s="171"/>
      <c r="CB197" s="171">
        <v>1</v>
      </c>
      <c r="CC197" s="171">
        <v>1</v>
      </c>
      <c r="CD197" s="171"/>
      <c r="CE197" s="171">
        <v>1</v>
      </c>
      <c r="CF197" s="171"/>
      <c r="CG197" s="171">
        <v>1</v>
      </c>
      <c r="CH197" s="171">
        <v>1</v>
      </c>
      <c r="CI197" s="171"/>
      <c r="CJ197" s="171"/>
      <c r="CK197" s="171">
        <v>1</v>
      </c>
      <c r="CL197" s="171">
        <v>1</v>
      </c>
      <c r="CM197">
        <f t="shared" ref="CM195:CM258" si="42">MAX(U197,AR197)</f>
        <v>2045</v>
      </c>
    </row>
    <row r="198" spans="1:91">
      <c r="A198" s="171">
        <v>414</v>
      </c>
      <c r="B198" s="171" t="s">
        <v>5337</v>
      </c>
      <c r="C198" s="171">
        <v>427</v>
      </c>
      <c r="D198" s="171" t="str">
        <f t="shared" si="41"/>
        <v/>
      </c>
      <c r="E198" s="171" t="s">
        <v>7385</v>
      </c>
      <c r="F198" s="174">
        <v>45512</v>
      </c>
      <c r="G198" s="171" t="s">
        <v>7220</v>
      </c>
      <c r="H198" s="173">
        <v>86</v>
      </c>
      <c r="I198" s="171"/>
      <c r="J198" s="171" t="s">
        <v>4465</v>
      </c>
      <c r="K198" s="171" t="s">
        <v>73</v>
      </c>
      <c r="L198" s="171" t="s">
        <v>1994</v>
      </c>
      <c r="M198" s="171" t="s">
        <v>5032</v>
      </c>
      <c r="N198" s="171"/>
      <c r="O198" s="171"/>
      <c r="P198" s="171" t="s">
        <v>5032</v>
      </c>
      <c r="Q198" s="171"/>
      <c r="R198" s="171"/>
      <c r="S198" s="171"/>
      <c r="T198" s="171"/>
      <c r="U198" s="171"/>
      <c r="V198" s="175"/>
      <c r="W198" s="171"/>
      <c r="X198" s="171" t="s">
        <v>5032</v>
      </c>
      <c r="Y198" s="171"/>
      <c r="Z198" s="171"/>
      <c r="AA198" s="171" t="s">
        <v>5032</v>
      </c>
      <c r="AB198" s="171"/>
      <c r="AC198" s="171"/>
      <c r="AD198" s="171"/>
      <c r="AE198" s="171"/>
      <c r="AF198" s="171"/>
      <c r="AG198" s="171"/>
      <c r="AH198" s="171"/>
      <c r="AI198" s="171"/>
      <c r="AJ198" s="171"/>
      <c r="AK198" s="171"/>
      <c r="AL198" s="171"/>
      <c r="AM198" s="171"/>
      <c r="AN198" s="171" t="s">
        <v>5032</v>
      </c>
      <c r="AO198" s="171"/>
      <c r="AP198" s="171"/>
      <c r="AQ198" s="171" t="s">
        <v>5032</v>
      </c>
      <c r="AR198" s="171"/>
      <c r="AS198" s="171"/>
      <c r="AT198" s="171"/>
      <c r="AU198" s="171"/>
      <c r="AV198" s="171"/>
      <c r="AW198" s="171"/>
      <c r="AX198" s="171"/>
      <c r="AY198" s="171"/>
      <c r="AZ198" s="171"/>
      <c r="BA198" s="171"/>
      <c r="BB198" s="171"/>
      <c r="BC198" s="171"/>
      <c r="BD198" s="171"/>
      <c r="BE198" s="171"/>
      <c r="BF198" s="225"/>
      <c r="BG198" s="171"/>
      <c r="BH198" s="171"/>
      <c r="BI198" s="171"/>
      <c r="BJ198" s="171"/>
      <c r="BK198" s="171"/>
      <c r="BL198" s="171"/>
      <c r="BM198" s="171"/>
      <c r="BN198" s="171"/>
      <c r="BO198" s="171"/>
      <c r="BP198" s="171"/>
      <c r="BQ198" s="171"/>
      <c r="BR198" s="171"/>
      <c r="BS198" s="171"/>
      <c r="BT198" s="171"/>
      <c r="BU198" s="171"/>
      <c r="BV198" s="171"/>
      <c r="BW198" s="171"/>
      <c r="BX198" s="171"/>
      <c r="BY198" s="171"/>
      <c r="BZ198" s="171"/>
      <c r="CA198" s="171"/>
      <c r="CB198" s="171"/>
      <c r="CC198" s="171"/>
      <c r="CD198" s="171"/>
      <c r="CE198" s="171"/>
      <c r="CF198" s="171"/>
      <c r="CG198" s="171"/>
      <c r="CH198" s="171"/>
      <c r="CI198" s="171"/>
      <c r="CJ198" s="171"/>
      <c r="CK198" s="171"/>
      <c r="CL198" s="171"/>
    </row>
    <row r="199" spans="1:91">
      <c r="A199" s="171">
        <v>472</v>
      </c>
      <c r="B199" s="171" t="s">
        <v>3218</v>
      </c>
      <c r="C199" s="171">
        <v>495</v>
      </c>
      <c r="D199" s="171" t="str">
        <f t="shared" si="41"/>
        <v/>
      </c>
      <c r="E199" s="171" t="s">
        <v>7259</v>
      </c>
      <c r="F199" s="174">
        <v>45511</v>
      </c>
      <c r="G199" s="171" t="s">
        <v>7220</v>
      </c>
      <c r="H199" s="173">
        <v>68.099999999999994</v>
      </c>
      <c r="I199" s="171"/>
      <c r="J199" s="171" t="s">
        <v>4465</v>
      </c>
      <c r="K199" s="171" t="s">
        <v>73</v>
      </c>
      <c r="L199" s="171" t="s">
        <v>1994</v>
      </c>
      <c r="M199" s="171" t="s">
        <v>5032</v>
      </c>
      <c r="N199" s="171"/>
      <c r="O199" s="171"/>
      <c r="P199" s="171" t="s">
        <v>5032</v>
      </c>
      <c r="Q199" s="171"/>
      <c r="R199" s="171"/>
      <c r="S199" s="171"/>
      <c r="T199" s="171"/>
      <c r="U199" s="171"/>
      <c r="V199" s="175"/>
      <c r="W199" s="171"/>
      <c r="X199" s="171" t="s">
        <v>5032</v>
      </c>
      <c r="Y199" s="171"/>
      <c r="Z199" s="171"/>
      <c r="AA199" s="171" t="s">
        <v>5032</v>
      </c>
      <c r="AB199" s="171"/>
      <c r="AC199" s="171"/>
      <c r="AD199" s="171"/>
      <c r="AE199" s="171"/>
      <c r="AF199" s="171"/>
      <c r="AG199" s="171"/>
      <c r="AH199" s="171"/>
      <c r="AI199" s="171"/>
      <c r="AJ199" s="171"/>
      <c r="AK199" s="171"/>
      <c r="AL199" s="171"/>
      <c r="AM199" s="171"/>
      <c r="AN199" s="171" t="s">
        <v>5032</v>
      </c>
      <c r="AO199" s="171"/>
      <c r="AP199" s="171"/>
      <c r="AQ199" s="171" t="s">
        <v>5032</v>
      </c>
      <c r="AR199" s="171"/>
      <c r="AS199" s="171"/>
      <c r="AT199" s="171"/>
      <c r="AU199" s="171"/>
      <c r="AV199" s="171"/>
      <c r="AW199" s="171"/>
      <c r="AX199" s="171"/>
      <c r="AY199" s="171"/>
      <c r="AZ199" s="171"/>
      <c r="BA199" s="171"/>
      <c r="BB199" s="171"/>
      <c r="BC199" s="171"/>
      <c r="BD199" s="171"/>
      <c r="BE199" s="171"/>
      <c r="BF199" s="225"/>
      <c r="BG199" s="171"/>
      <c r="BH199" s="171"/>
      <c r="BI199" s="171"/>
      <c r="BJ199" s="171"/>
      <c r="BK199" s="171"/>
      <c r="BL199" s="171"/>
      <c r="BM199" s="171"/>
      <c r="BN199" s="171"/>
      <c r="BO199" s="171"/>
      <c r="BP199" s="171"/>
      <c r="BQ199" s="171"/>
      <c r="BR199" s="171"/>
      <c r="BS199" s="171"/>
      <c r="BT199" s="171"/>
      <c r="BU199" s="171"/>
      <c r="BV199" s="171"/>
      <c r="BW199" s="171"/>
      <c r="BX199" s="171"/>
      <c r="BY199" s="171"/>
      <c r="BZ199" s="171"/>
      <c r="CA199" s="171"/>
      <c r="CB199" s="171"/>
      <c r="CC199" s="171"/>
      <c r="CD199" s="171"/>
      <c r="CE199" s="171"/>
      <c r="CF199" s="171"/>
      <c r="CG199" s="171"/>
      <c r="CH199" s="171"/>
      <c r="CI199" s="171"/>
      <c r="CJ199" s="171"/>
      <c r="CK199" s="171"/>
      <c r="CL199" s="171"/>
    </row>
    <row r="200" spans="1:91">
      <c r="A200" s="171">
        <v>181</v>
      </c>
      <c r="B200" s="171" t="s">
        <v>1199</v>
      </c>
      <c r="C200" s="171">
        <v>165</v>
      </c>
      <c r="D200" s="171" t="str">
        <f t="shared" si="41"/>
        <v>CN</v>
      </c>
      <c r="E200" s="171" t="s">
        <v>7220</v>
      </c>
      <c r="F200" s="174">
        <v>45476</v>
      </c>
      <c r="G200" s="171" t="s">
        <v>7223</v>
      </c>
      <c r="H200" s="173">
        <v>345.4</v>
      </c>
      <c r="I200" s="171"/>
      <c r="J200" s="171" t="s">
        <v>4476</v>
      </c>
      <c r="K200" s="171" t="s">
        <v>73</v>
      </c>
      <c r="L200" s="171" t="s">
        <v>1994</v>
      </c>
      <c r="M200" s="171" t="s">
        <v>5032</v>
      </c>
      <c r="N200" s="171"/>
      <c r="O200" s="171"/>
      <c r="P200" s="171" t="s">
        <v>5032</v>
      </c>
      <c r="Q200" s="171"/>
      <c r="R200" s="171"/>
      <c r="S200" s="171"/>
      <c r="T200" s="171"/>
      <c r="U200" s="171"/>
      <c r="V200" s="175"/>
      <c r="W200" s="171"/>
      <c r="X200" s="171" t="s">
        <v>1957</v>
      </c>
      <c r="Y200" s="171" t="s">
        <v>5131</v>
      </c>
      <c r="Z200" s="171" t="s">
        <v>7238</v>
      </c>
      <c r="AA200" s="171" t="s">
        <v>1957</v>
      </c>
      <c r="AB200" s="171">
        <v>2050</v>
      </c>
      <c r="AC200" s="171">
        <v>2021</v>
      </c>
      <c r="AD200" s="171"/>
      <c r="AE200" s="171"/>
      <c r="AF200" s="171"/>
      <c r="AG200" s="171" t="s">
        <v>4174</v>
      </c>
      <c r="AH200" s="171"/>
      <c r="AI200" s="171" t="s">
        <v>4174</v>
      </c>
      <c r="AJ200" s="171"/>
      <c r="AK200" s="171"/>
      <c r="AL200" s="171" t="s">
        <v>7831</v>
      </c>
      <c r="AM200" s="171" t="s">
        <v>7830</v>
      </c>
      <c r="AN200" s="171" t="s">
        <v>5032</v>
      </c>
      <c r="AO200" s="171"/>
      <c r="AP200" s="171"/>
      <c r="AQ200" s="171" t="s">
        <v>5032</v>
      </c>
      <c r="AR200" s="171"/>
      <c r="AS200" s="171"/>
      <c r="AT200" s="171"/>
      <c r="AU200" s="171"/>
      <c r="AV200" s="171"/>
      <c r="AW200" s="171"/>
      <c r="AX200" s="171"/>
      <c r="AY200" s="171"/>
      <c r="AZ200" s="171"/>
      <c r="BA200" s="171"/>
      <c r="BB200" s="171"/>
      <c r="BC200" s="171"/>
      <c r="BD200" s="171"/>
      <c r="BE200" s="171"/>
      <c r="BF200" s="225"/>
      <c r="BG200" s="171"/>
      <c r="BH200" s="171"/>
      <c r="BI200" s="171"/>
      <c r="BJ200" s="171"/>
      <c r="BK200" s="171"/>
      <c r="BL200" s="171">
        <v>1</v>
      </c>
      <c r="BM200" s="171">
        <v>1</v>
      </c>
      <c r="BN200" s="171"/>
      <c r="BO200" s="171"/>
      <c r="BP200" s="171"/>
      <c r="BQ200" s="171"/>
      <c r="BR200" s="171"/>
      <c r="BS200" s="171"/>
      <c r="BT200" s="171"/>
      <c r="BU200" s="171"/>
      <c r="BV200" s="171"/>
      <c r="BW200" s="171"/>
      <c r="BX200" s="171"/>
      <c r="BY200" s="171"/>
      <c r="BZ200" s="171">
        <v>1</v>
      </c>
      <c r="CA200" s="171"/>
      <c r="CB200" s="171">
        <v>1</v>
      </c>
      <c r="CC200" s="171">
        <v>1</v>
      </c>
      <c r="CD200" s="171"/>
      <c r="CE200" s="171">
        <v>1</v>
      </c>
      <c r="CF200" s="171"/>
      <c r="CG200" s="171"/>
      <c r="CH200" s="171">
        <v>1</v>
      </c>
      <c r="CI200" s="171"/>
      <c r="CJ200" s="171"/>
      <c r="CK200" s="171"/>
      <c r="CL200" s="171"/>
    </row>
    <row r="201" spans="1:91">
      <c r="A201" s="171">
        <v>394</v>
      </c>
      <c r="B201" s="171" t="s">
        <v>5392</v>
      </c>
      <c r="C201" s="171">
        <v>414</v>
      </c>
      <c r="D201" s="171" t="str">
        <f t="shared" si="41"/>
        <v/>
      </c>
      <c r="E201" s="171" t="s">
        <v>7223</v>
      </c>
      <c r="F201" s="174">
        <v>45511</v>
      </c>
      <c r="G201" s="171" t="s">
        <v>7223</v>
      </c>
      <c r="H201" s="173">
        <v>150.69999999999999</v>
      </c>
      <c r="I201" s="171"/>
      <c r="J201" s="171" t="s">
        <v>4459</v>
      </c>
      <c r="K201" s="171" t="s">
        <v>73</v>
      </c>
      <c r="L201" s="171" t="s">
        <v>1994</v>
      </c>
      <c r="M201" s="171" t="s">
        <v>5032</v>
      </c>
      <c r="N201" s="171"/>
      <c r="O201" s="171"/>
      <c r="P201" s="171" t="s">
        <v>5032</v>
      </c>
      <c r="Q201" s="171"/>
      <c r="R201" s="171"/>
      <c r="S201" s="171"/>
      <c r="T201" s="171"/>
      <c r="U201" s="171"/>
      <c r="V201" s="175"/>
      <c r="W201" s="171"/>
      <c r="X201" s="171" t="s">
        <v>5032</v>
      </c>
      <c r="Y201" s="171"/>
      <c r="Z201" s="171"/>
      <c r="AA201" s="171" t="s">
        <v>5032</v>
      </c>
      <c r="AB201" s="171"/>
      <c r="AC201" s="171"/>
      <c r="AD201" s="171"/>
      <c r="AE201" s="171"/>
      <c r="AF201" s="171"/>
      <c r="AG201" s="171"/>
      <c r="AH201" s="171"/>
      <c r="AI201" s="171"/>
      <c r="AJ201" s="171"/>
      <c r="AK201" s="171"/>
      <c r="AL201" s="171"/>
      <c r="AM201" s="171"/>
      <c r="AN201" s="171" t="s">
        <v>5032</v>
      </c>
      <c r="AO201" s="171"/>
      <c r="AP201" s="171"/>
      <c r="AQ201" s="171" t="s">
        <v>5032</v>
      </c>
      <c r="AR201" s="171"/>
      <c r="AS201" s="171"/>
      <c r="AT201" s="171"/>
      <c r="AU201" s="171"/>
      <c r="AV201" s="171"/>
      <c r="AW201" s="171"/>
      <c r="AX201" s="171"/>
      <c r="AY201" s="171"/>
      <c r="AZ201" s="171"/>
      <c r="BA201" s="171"/>
      <c r="BB201" s="171"/>
      <c r="BC201" s="171"/>
      <c r="BD201" s="171"/>
      <c r="BE201" s="171"/>
      <c r="BF201" s="225"/>
      <c r="BG201" s="171"/>
      <c r="BH201" s="171"/>
      <c r="BI201" s="171"/>
      <c r="BJ201" s="171"/>
      <c r="BK201" s="171"/>
      <c r="BL201" s="171"/>
      <c r="BM201" s="171"/>
      <c r="BN201" s="171"/>
      <c r="BO201" s="171"/>
      <c r="BP201" s="171"/>
      <c r="BQ201" s="171"/>
      <c r="BR201" s="171"/>
      <c r="BS201" s="171"/>
      <c r="BT201" s="171"/>
      <c r="BU201" s="171"/>
      <c r="BV201" s="171"/>
      <c r="BW201" s="171"/>
      <c r="BX201" s="171"/>
      <c r="BY201" s="171"/>
      <c r="BZ201" s="171"/>
      <c r="CA201" s="171"/>
      <c r="CB201" s="171"/>
      <c r="CC201" s="171"/>
      <c r="CD201" s="171"/>
      <c r="CE201" s="171"/>
      <c r="CF201" s="171"/>
      <c r="CG201" s="171"/>
      <c r="CH201" s="171"/>
      <c r="CI201" s="171"/>
      <c r="CJ201" s="171"/>
      <c r="CK201" s="171"/>
      <c r="CL201" s="171"/>
    </row>
    <row r="202" spans="1:91">
      <c r="A202" s="171">
        <v>361</v>
      </c>
      <c r="B202" s="171" t="s">
        <v>4340</v>
      </c>
      <c r="C202" s="171">
        <v>380</v>
      </c>
      <c r="D202" s="171" t="str">
        <f t="shared" si="41"/>
        <v/>
      </c>
      <c r="E202" s="171" t="s">
        <v>7220</v>
      </c>
      <c r="F202" s="174">
        <v>45481</v>
      </c>
      <c r="G202" s="171" t="s">
        <v>7220</v>
      </c>
      <c r="H202" s="173">
        <v>152</v>
      </c>
      <c r="I202" s="171"/>
      <c r="J202" s="171" t="s">
        <v>4197</v>
      </c>
      <c r="K202" s="171" t="s">
        <v>73</v>
      </c>
      <c r="L202" s="171" t="s">
        <v>1994</v>
      </c>
      <c r="M202" s="171" t="s">
        <v>5032</v>
      </c>
      <c r="N202" s="171"/>
      <c r="O202" s="171"/>
      <c r="P202" s="171" t="s">
        <v>5032</v>
      </c>
      <c r="Q202" s="171"/>
      <c r="R202" s="171"/>
      <c r="S202" s="171"/>
      <c r="T202" s="171"/>
      <c r="U202" s="171"/>
      <c r="V202" s="175"/>
      <c r="W202" s="171"/>
      <c r="X202" s="171" t="s">
        <v>5032</v>
      </c>
      <c r="Y202" s="171"/>
      <c r="Z202" s="171"/>
      <c r="AA202" s="171" t="s">
        <v>5032</v>
      </c>
      <c r="AB202" s="171"/>
      <c r="AC202" s="171"/>
      <c r="AD202" s="171"/>
      <c r="AE202" s="171"/>
      <c r="AF202" s="171"/>
      <c r="AG202" s="171"/>
      <c r="AH202" s="171"/>
      <c r="AI202" s="171"/>
      <c r="AJ202" s="171"/>
      <c r="AK202" s="171"/>
      <c r="AL202" s="171"/>
      <c r="AM202" s="171"/>
      <c r="AN202" s="171" t="s">
        <v>5032</v>
      </c>
      <c r="AO202" s="171"/>
      <c r="AP202" s="171"/>
      <c r="AQ202" s="171" t="s">
        <v>5032</v>
      </c>
      <c r="AR202" s="171"/>
      <c r="AS202" s="171"/>
      <c r="AT202" s="171"/>
      <c r="AU202" s="171"/>
      <c r="AV202" s="171"/>
      <c r="AW202" s="171"/>
      <c r="AX202" s="171"/>
      <c r="AY202" s="171"/>
      <c r="AZ202" s="171"/>
      <c r="BA202" s="171"/>
      <c r="BB202" s="171"/>
      <c r="BC202" s="171"/>
      <c r="BD202" s="171"/>
      <c r="BE202" s="171"/>
      <c r="BF202" s="225"/>
      <c r="BG202" s="171"/>
      <c r="BH202" s="171"/>
      <c r="BI202" s="171"/>
      <c r="BJ202" s="171"/>
      <c r="BK202" s="171"/>
      <c r="BL202" s="171"/>
      <c r="BM202" s="171"/>
      <c r="BN202" s="171"/>
      <c r="BO202" s="171"/>
      <c r="BP202" s="171"/>
      <c r="BQ202" s="171"/>
      <c r="BR202" s="171"/>
      <c r="BS202" s="171"/>
      <c r="BT202" s="171"/>
      <c r="BU202" s="171"/>
      <c r="BV202" s="171"/>
      <c r="BW202" s="171"/>
      <c r="BX202" s="171"/>
      <c r="BY202" s="171"/>
      <c r="BZ202" s="171"/>
      <c r="CA202" s="171"/>
      <c r="CB202" s="171"/>
      <c r="CC202" s="171"/>
      <c r="CD202" s="171"/>
      <c r="CE202" s="171"/>
      <c r="CF202" s="171"/>
      <c r="CG202" s="171"/>
      <c r="CH202" s="171"/>
      <c r="CI202" s="171"/>
      <c r="CJ202" s="171"/>
      <c r="CK202" s="171"/>
      <c r="CL202" s="171"/>
    </row>
    <row r="203" spans="1:91">
      <c r="A203" s="171">
        <v>417</v>
      </c>
      <c r="B203" s="171" t="s">
        <v>4339</v>
      </c>
      <c r="C203" s="171">
        <v>426</v>
      </c>
      <c r="D203" s="171" t="str">
        <f t="shared" si="41"/>
        <v/>
      </c>
      <c r="E203" s="171" t="s">
        <v>7385</v>
      </c>
      <c r="F203" s="174">
        <v>45512</v>
      </c>
      <c r="G203" s="171" t="s">
        <v>7220</v>
      </c>
      <c r="H203" s="173">
        <v>324</v>
      </c>
      <c r="I203" s="171"/>
      <c r="J203" s="171" t="s">
        <v>4201</v>
      </c>
      <c r="K203" s="171" t="s">
        <v>73</v>
      </c>
      <c r="L203" s="171" t="s">
        <v>1994</v>
      </c>
      <c r="M203" s="171" t="s">
        <v>5032</v>
      </c>
      <c r="N203" s="171"/>
      <c r="O203" s="171"/>
      <c r="P203" s="171" t="s">
        <v>5032</v>
      </c>
      <c r="Q203" s="171"/>
      <c r="R203" s="171"/>
      <c r="S203" s="171"/>
      <c r="T203" s="171"/>
      <c r="U203" s="171"/>
      <c r="V203" s="175"/>
      <c r="W203" s="171"/>
      <c r="X203" s="171" t="s">
        <v>5032</v>
      </c>
      <c r="Y203" s="171"/>
      <c r="Z203" s="171"/>
      <c r="AA203" s="171" t="s">
        <v>5032</v>
      </c>
      <c r="AB203" s="171"/>
      <c r="AC203" s="171"/>
      <c r="AD203" s="171"/>
      <c r="AE203" s="171"/>
      <c r="AF203" s="171"/>
      <c r="AG203" s="171"/>
      <c r="AH203" s="171"/>
      <c r="AI203" s="171"/>
      <c r="AJ203" s="171"/>
      <c r="AK203" s="171"/>
      <c r="AL203" s="171"/>
      <c r="AM203" s="171"/>
      <c r="AN203" s="171" t="s">
        <v>5032</v>
      </c>
      <c r="AO203" s="171"/>
      <c r="AP203" s="171"/>
      <c r="AQ203" s="171" t="s">
        <v>5032</v>
      </c>
      <c r="AR203" s="171"/>
      <c r="AS203" s="171"/>
      <c r="AT203" s="171"/>
      <c r="AU203" s="171"/>
      <c r="AV203" s="171"/>
      <c r="AW203" s="171"/>
      <c r="AX203" s="171"/>
      <c r="AY203" s="171"/>
      <c r="AZ203" s="171"/>
      <c r="BA203" s="171"/>
      <c r="BB203" s="171"/>
      <c r="BC203" s="171"/>
      <c r="BD203" s="171"/>
      <c r="BE203" s="171"/>
      <c r="BF203" s="225"/>
      <c r="BG203" s="171"/>
      <c r="BH203" s="171"/>
      <c r="BI203" s="171"/>
      <c r="BJ203" s="171"/>
      <c r="BK203" s="171"/>
      <c r="BL203" s="171"/>
      <c r="BM203" s="171"/>
      <c r="BN203" s="171"/>
      <c r="BO203" s="171"/>
      <c r="BP203" s="171"/>
      <c r="BQ203" s="171"/>
      <c r="BR203" s="171"/>
      <c r="BS203" s="171"/>
      <c r="BT203" s="171"/>
      <c r="BU203" s="171"/>
      <c r="BV203" s="171"/>
      <c r="BW203" s="171"/>
      <c r="BX203" s="171"/>
      <c r="BY203" s="171"/>
      <c r="BZ203" s="171"/>
      <c r="CA203" s="171"/>
      <c r="CB203" s="171"/>
      <c r="CC203" s="171"/>
      <c r="CD203" s="171"/>
      <c r="CE203" s="171"/>
      <c r="CF203" s="171"/>
      <c r="CG203" s="171"/>
      <c r="CH203" s="171"/>
      <c r="CI203" s="171"/>
      <c r="CJ203" s="171"/>
      <c r="CK203" s="171"/>
      <c r="CL203" s="171"/>
    </row>
    <row r="204" spans="1:91">
      <c r="A204" s="171">
        <v>407</v>
      </c>
      <c r="B204" s="171" t="s">
        <v>284</v>
      </c>
      <c r="C204" s="171">
        <v>419</v>
      </c>
      <c r="D204" s="171" t="str">
        <f t="shared" si="41"/>
        <v/>
      </c>
      <c r="E204" s="171" t="s">
        <v>7223</v>
      </c>
      <c r="F204" s="174">
        <v>45511</v>
      </c>
      <c r="G204" s="171" t="s">
        <v>7223</v>
      </c>
      <c r="H204" s="173">
        <v>2344.4</v>
      </c>
      <c r="I204" s="171"/>
      <c r="J204" s="171" t="s">
        <v>4459</v>
      </c>
      <c r="K204" s="171" t="s">
        <v>4338</v>
      </c>
      <c r="L204" s="171" t="s">
        <v>1994</v>
      </c>
      <c r="M204" s="171" t="s">
        <v>5032</v>
      </c>
      <c r="N204" s="171"/>
      <c r="O204" s="171"/>
      <c r="P204" s="171" t="s">
        <v>5032</v>
      </c>
      <c r="Q204" s="171"/>
      <c r="R204" s="171"/>
      <c r="S204" s="171"/>
      <c r="T204" s="171"/>
      <c r="U204" s="171"/>
      <c r="V204" s="175"/>
      <c r="W204" s="171"/>
      <c r="X204" s="171" t="s">
        <v>4519</v>
      </c>
      <c r="Y204" s="171" t="s">
        <v>5131</v>
      </c>
      <c r="Z204" s="171" t="s">
        <v>7225</v>
      </c>
      <c r="AA204" s="171" t="s">
        <v>4519</v>
      </c>
      <c r="AB204" s="171">
        <v>2060</v>
      </c>
      <c r="AC204" s="171">
        <v>2021</v>
      </c>
      <c r="AD204" s="171"/>
      <c r="AE204" s="171"/>
      <c r="AF204" s="171"/>
      <c r="AG204" s="171"/>
      <c r="AH204" s="171"/>
      <c r="AI204" s="171"/>
      <c r="AJ204" s="171"/>
      <c r="AK204" s="171"/>
      <c r="AL204" s="176" t="s">
        <v>7829</v>
      </c>
      <c r="AM204" s="171"/>
      <c r="AN204" s="171" t="s">
        <v>5032</v>
      </c>
      <c r="AO204" s="171"/>
      <c r="AP204" s="171"/>
      <c r="AQ204" s="171" t="s">
        <v>5032</v>
      </c>
      <c r="AR204" s="171"/>
      <c r="AS204" s="171"/>
      <c r="AT204" s="171"/>
      <c r="AU204" s="171"/>
      <c r="AV204" s="171"/>
      <c r="AW204" s="171"/>
      <c r="AX204" s="171"/>
      <c r="AY204" s="171"/>
      <c r="AZ204" s="171"/>
      <c r="BA204" s="171"/>
      <c r="BB204" s="171"/>
      <c r="BC204" s="171"/>
      <c r="BD204" s="171"/>
      <c r="BE204" s="171"/>
      <c r="BF204" s="225"/>
      <c r="BG204" s="171"/>
      <c r="BH204" s="171"/>
      <c r="BI204" s="171"/>
      <c r="BJ204" s="171"/>
      <c r="BK204" s="171"/>
      <c r="BL204" s="171"/>
      <c r="BM204" s="171"/>
      <c r="BN204" s="171"/>
      <c r="BO204" s="171"/>
      <c r="BP204" s="171"/>
      <c r="BQ204" s="171"/>
      <c r="BR204" s="171"/>
      <c r="BS204" s="171"/>
      <c r="BT204" s="171"/>
      <c r="BU204" s="171"/>
      <c r="BV204" s="171"/>
      <c r="BW204" s="171"/>
      <c r="BX204" s="171"/>
      <c r="BY204" s="171"/>
      <c r="BZ204" s="171"/>
      <c r="CA204" s="171"/>
      <c r="CB204" s="171"/>
      <c r="CC204" s="171"/>
      <c r="CD204" s="171"/>
      <c r="CE204" s="171"/>
      <c r="CF204" s="171"/>
      <c r="CG204" s="171"/>
      <c r="CH204" s="171"/>
      <c r="CI204" s="171"/>
      <c r="CJ204" s="171"/>
      <c r="CK204" s="171"/>
      <c r="CL204" s="171"/>
    </row>
    <row r="205" spans="1:91">
      <c r="A205" s="171">
        <v>429</v>
      </c>
      <c r="B205" s="171" t="s">
        <v>187</v>
      </c>
      <c r="C205" s="171"/>
      <c r="D205" s="171" t="str">
        <f t="shared" si="41"/>
        <v/>
      </c>
      <c r="E205" s="171" t="s">
        <v>7385</v>
      </c>
      <c r="F205" s="174">
        <v>45512</v>
      </c>
      <c r="G205" s="171"/>
      <c r="H205" s="173">
        <v>32.200000000000003</v>
      </c>
      <c r="I205" s="171"/>
      <c r="J205" s="171" t="s">
        <v>4465</v>
      </c>
      <c r="K205" s="171" t="s">
        <v>73</v>
      </c>
      <c r="L205" s="171" t="s">
        <v>1994</v>
      </c>
      <c r="M205" s="171" t="s">
        <v>5032</v>
      </c>
      <c r="N205" s="171"/>
      <c r="O205" s="171"/>
      <c r="P205" s="171" t="s">
        <v>5032</v>
      </c>
      <c r="Q205" s="171"/>
      <c r="R205" s="171"/>
      <c r="S205" s="171"/>
      <c r="T205" s="171"/>
      <c r="U205" s="171"/>
      <c r="V205" s="175"/>
      <c r="W205" s="171"/>
      <c r="X205" s="171" t="s">
        <v>5032</v>
      </c>
      <c r="Y205" s="171"/>
      <c r="Z205" s="171"/>
      <c r="AA205" s="171" t="s">
        <v>5032</v>
      </c>
      <c r="AB205" s="171"/>
      <c r="AC205" s="171"/>
      <c r="AD205" s="171"/>
      <c r="AE205" s="171"/>
      <c r="AF205" s="171"/>
      <c r="AG205" s="171"/>
      <c r="AH205" s="171"/>
      <c r="AI205" s="171"/>
      <c r="AJ205" s="171"/>
      <c r="AK205" s="171"/>
      <c r="AL205" s="171"/>
      <c r="AM205" s="171"/>
      <c r="AN205" s="171" t="s">
        <v>5032</v>
      </c>
      <c r="AO205" s="171"/>
      <c r="AP205" s="171"/>
      <c r="AQ205" s="171" t="s">
        <v>5032</v>
      </c>
      <c r="AR205" s="171"/>
      <c r="AS205" s="171"/>
      <c r="AT205" s="171"/>
      <c r="AU205" s="171"/>
      <c r="AV205" s="171"/>
      <c r="AW205" s="171"/>
      <c r="AX205" s="171"/>
      <c r="AY205" s="171"/>
      <c r="AZ205" s="171"/>
      <c r="BA205" s="171"/>
      <c r="BB205" s="171"/>
      <c r="BC205" s="171"/>
      <c r="BD205" s="171"/>
      <c r="BE205" s="171"/>
      <c r="BF205" s="225"/>
      <c r="BG205" s="171"/>
      <c r="BH205" s="171"/>
      <c r="BI205" s="171"/>
      <c r="BJ205" s="171"/>
      <c r="BK205" s="171"/>
      <c r="BL205" s="171"/>
      <c r="BM205" s="171"/>
      <c r="BN205" s="171"/>
      <c r="BO205" s="171"/>
      <c r="BP205" s="171"/>
      <c r="BQ205" s="171"/>
      <c r="BR205" s="171"/>
      <c r="BS205" s="171"/>
      <c r="BT205" s="171"/>
      <c r="BU205" s="171"/>
      <c r="BV205" s="171"/>
      <c r="BW205" s="171"/>
      <c r="BX205" s="171"/>
      <c r="BY205" s="171"/>
      <c r="BZ205" s="171"/>
      <c r="CA205" s="171"/>
      <c r="CB205" s="171"/>
      <c r="CC205" s="171"/>
      <c r="CD205" s="171"/>
      <c r="CE205" s="171"/>
      <c r="CF205" s="171"/>
      <c r="CG205" s="171"/>
      <c r="CH205" s="171"/>
      <c r="CI205" s="171"/>
      <c r="CJ205" s="171"/>
      <c r="CK205" s="171"/>
      <c r="CL205" s="171"/>
    </row>
    <row r="206" spans="1:91">
      <c r="A206" s="171">
        <v>402</v>
      </c>
      <c r="B206" s="171" t="s">
        <v>7828</v>
      </c>
      <c r="C206" s="171"/>
      <c r="D206" s="171" t="str">
        <f t="shared" si="41"/>
        <v/>
      </c>
      <c r="E206" s="171" t="s">
        <v>7385</v>
      </c>
      <c r="F206" s="174">
        <v>45512</v>
      </c>
      <c r="G206" s="171"/>
      <c r="H206" s="173">
        <v>364.1</v>
      </c>
      <c r="I206" s="181" t="s">
        <v>112</v>
      </c>
      <c r="J206" s="171" t="s">
        <v>4465</v>
      </c>
      <c r="K206" s="171" t="s">
        <v>73</v>
      </c>
      <c r="L206" s="171" t="s">
        <v>1994</v>
      </c>
      <c r="M206" s="171" t="s">
        <v>5032</v>
      </c>
      <c r="N206" s="171"/>
      <c r="O206" s="171"/>
      <c r="P206" s="171" t="s">
        <v>5032</v>
      </c>
      <c r="Q206" s="171"/>
      <c r="R206" s="171"/>
      <c r="S206" s="171"/>
      <c r="T206" s="171"/>
      <c r="U206" s="171"/>
      <c r="V206" s="175"/>
      <c r="W206" s="171"/>
      <c r="X206" s="171" t="s">
        <v>5032</v>
      </c>
      <c r="Y206" s="171"/>
      <c r="Z206" s="171"/>
      <c r="AA206" s="171" t="s">
        <v>5032</v>
      </c>
      <c r="AB206" s="171"/>
      <c r="AC206" s="171"/>
      <c r="AD206" s="171"/>
      <c r="AE206" s="171"/>
      <c r="AF206" s="171"/>
      <c r="AG206" s="171"/>
      <c r="AH206" s="171"/>
      <c r="AI206" s="171"/>
      <c r="AJ206" s="171"/>
      <c r="AK206" s="171"/>
      <c r="AL206" s="171"/>
      <c r="AM206" s="171" t="s">
        <v>7451</v>
      </c>
      <c r="AN206" s="171" t="s">
        <v>5032</v>
      </c>
      <c r="AO206" s="171"/>
      <c r="AP206" s="171"/>
      <c r="AQ206" s="171" t="s">
        <v>5032</v>
      </c>
      <c r="AR206" s="171"/>
      <c r="AS206" s="171"/>
      <c r="AT206" s="171"/>
      <c r="AU206" s="171"/>
      <c r="AV206" s="171"/>
      <c r="AW206" s="171"/>
      <c r="AX206" s="171"/>
      <c r="AY206" s="171"/>
      <c r="AZ206" s="171"/>
      <c r="BA206" s="171"/>
      <c r="BB206" s="171"/>
      <c r="BC206" s="171" t="s">
        <v>7451</v>
      </c>
      <c r="BD206" s="171"/>
      <c r="BE206" s="171"/>
      <c r="BF206" s="225"/>
      <c r="BG206" s="171"/>
      <c r="BH206" s="171"/>
      <c r="BI206" s="171"/>
      <c r="BJ206" s="171"/>
      <c r="BK206" s="171"/>
      <c r="BL206" s="171"/>
      <c r="BM206" s="171"/>
      <c r="BN206" s="171"/>
      <c r="BO206" s="171"/>
      <c r="BP206" s="171"/>
      <c r="BQ206" s="171"/>
      <c r="BR206" s="171"/>
      <c r="BS206" s="171"/>
      <c r="BT206" s="171"/>
      <c r="BU206" s="171"/>
      <c r="BV206" s="171"/>
      <c r="BW206" s="171"/>
      <c r="BX206" s="171"/>
      <c r="BY206" s="171"/>
      <c r="BZ206" s="171"/>
      <c r="CA206" s="171"/>
      <c r="CB206" s="171"/>
      <c r="CC206" s="171"/>
      <c r="CD206" s="171"/>
      <c r="CE206" s="171"/>
      <c r="CF206" s="171"/>
      <c r="CG206" s="171"/>
      <c r="CH206" s="171"/>
      <c r="CI206" s="171"/>
      <c r="CJ206" s="171"/>
      <c r="CK206" s="171"/>
      <c r="CL206" s="171"/>
    </row>
    <row r="207" spans="1:91">
      <c r="A207" s="171">
        <v>410</v>
      </c>
      <c r="B207" s="171" t="s">
        <v>4684</v>
      </c>
      <c r="C207" s="171">
        <v>411</v>
      </c>
      <c r="D207" s="171" t="str">
        <f t="shared" si="41"/>
        <v/>
      </c>
      <c r="E207" s="171" t="s">
        <v>7223</v>
      </c>
      <c r="F207" s="174">
        <v>45511</v>
      </c>
      <c r="G207" s="171" t="s">
        <v>7223</v>
      </c>
      <c r="H207" s="173">
        <v>197.3</v>
      </c>
      <c r="I207" s="171"/>
      <c r="J207" s="171" t="s">
        <v>4494</v>
      </c>
      <c r="K207" s="171" t="s">
        <v>73</v>
      </c>
      <c r="L207" s="171" t="s">
        <v>1994</v>
      </c>
      <c r="M207" s="171" t="s">
        <v>5032</v>
      </c>
      <c r="N207" s="171"/>
      <c r="O207" s="171"/>
      <c r="P207" s="171" t="s">
        <v>5032</v>
      </c>
      <c r="Q207" s="171"/>
      <c r="R207" s="171"/>
      <c r="S207" s="171"/>
      <c r="T207" s="171"/>
      <c r="U207" s="171"/>
      <c r="V207" s="175"/>
      <c r="W207" s="171"/>
      <c r="X207" s="171" t="s">
        <v>5032</v>
      </c>
      <c r="Y207" s="171"/>
      <c r="Z207" s="171"/>
      <c r="AA207" s="171" t="s">
        <v>5032</v>
      </c>
      <c r="AB207" s="171"/>
      <c r="AC207" s="171"/>
      <c r="AD207" s="171"/>
      <c r="AE207" s="171"/>
      <c r="AF207" s="171"/>
      <c r="AG207" s="171"/>
      <c r="AH207" s="171"/>
      <c r="AI207" s="171"/>
      <c r="AJ207" s="171"/>
      <c r="AK207" s="171"/>
      <c r="AL207" s="171"/>
      <c r="AM207" s="171" t="s">
        <v>7451</v>
      </c>
      <c r="AN207" s="171" t="s">
        <v>5032</v>
      </c>
      <c r="AO207" s="171"/>
      <c r="AP207" s="171"/>
      <c r="AQ207" s="171" t="s">
        <v>5032</v>
      </c>
      <c r="AR207" s="171"/>
      <c r="AS207" s="171"/>
      <c r="AT207" s="171"/>
      <c r="AU207" s="171"/>
      <c r="AV207" s="171"/>
      <c r="AW207" s="171"/>
      <c r="AX207" s="171"/>
      <c r="AY207" s="171"/>
      <c r="AZ207" s="171"/>
      <c r="BA207" s="171"/>
      <c r="BB207" s="171"/>
      <c r="BC207" s="171" t="s">
        <v>7451</v>
      </c>
      <c r="BD207" s="171"/>
      <c r="BE207" s="171"/>
      <c r="BF207" s="225"/>
      <c r="BG207" s="171"/>
      <c r="BH207" s="171"/>
      <c r="BI207" s="171"/>
      <c r="BJ207" s="171"/>
      <c r="BK207" s="171"/>
      <c r="BL207" s="171"/>
      <c r="BM207" s="171"/>
      <c r="BN207" s="171"/>
      <c r="BO207" s="171"/>
      <c r="BP207" s="171"/>
      <c r="BQ207" s="171"/>
      <c r="BR207" s="171"/>
      <c r="BS207" s="171"/>
      <c r="BT207" s="171"/>
      <c r="BU207" s="171"/>
      <c r="BV207" s="171"/>
      <c r="BW207" s="171"/>
      <c r="BX207" s="171"/>
      <c r="BY207" s="171"/>
      <c r="BZ207" s="171"/>
      <c r="CA207" s="171"/>
      <c r="CB207" s="171"/>
      <c r="CC207" s="171"/>
      <c r="CD207" s="171"/>
      <c r="CE207" s="171"/>
      <c r="CF207" s="171"/>
      <c r="CG207" s="171"/>
      <c r="CH207" s="171"/>
      <c r="CI207" s="171"/>
      <c r="CJ207" s="171"/>
      <c r="CK207" s="171"/>
      <c r="CL207" s="171"/>
    </row>
    <row r="208" spans="1:91">
      <c r="A208" s="171">
        <v>372</v>
      </c>
      <c r="B208" s="171" t="s">
        <v>956</v>
      </c>
      <c r="C208" s="171">
        <v>296</v>
      </c>
      <c r="D208" s="171" t="str">
        <f t="shared" si="41"/>
        <v xml:space="preserve"> NZ</v>
      </c>
      <c r="E208" s="171" t="s">
        <v>7220</v>
      </c>
      <c r="F208" s="174">
        <v>45478</v>
      </c>
      <c r="G208" s="171" t="s">
        <v>7223</v>
      </c>
      <c r="H208" s="173">
        <v>291.3</v>
      </c>
      <c r="I208" s="171"/>
      <c r="J208" s="171" t="s">
        <v>4465</v>
      </c>
      <c r="K208" s="171" t="s">
        <v>114</v>
      </c>
      <c r="L208" s="171" t="s">
        <v>1994</v>
      </c>
      <c r="M208" s="171" t="s">
        <v>5032</v>
      </c>
      <c r="N208" s="171"/>
      <c r="O208" s="171"/>
      <c r="P208" s="171" t="s">
        <v>5032</v>
      </c>
      <c r="Q208" s="171"/>
      <c r="R208" s="171"/>
      <c r="S208" s="171"/>
      <c r="T208" s="171"/>
      <c r="U208" s="171"/>
      <c r="V208" s="175"/>
      <c r="W208" s="171"/>
      <c r="X208" s="171" t="s">
        <v>7229</v>
      </c>
      <c r="Y208" s="171"/>
      <c r="Z208" s="171"/>
      <c r="AA208" s="171" t="s">
        <v>7229</v>
      </c>
      <c r="AB208" s="171"/>
      <c r="AC208" s="171"/>
      <c r="AD208" s="171"/>
      <c r="AE208" s="171"/>
      <c r="AF208" s="171"/>
      <c r="AG208" s="171"/>
      <c r="AH208" s="171"/>
      <c r="AI208" s="171"/>
      <c r="AJ208" s="171"/>
      <c r="AK208" s="171"/>
      <c r="AL208" s="171"/>
      <c r="AM208" s="171"/>
      <c r="AN208" s="171" t="s">
        <v>1957</v>
      </c>
      <c r="AO208" s="171" t="s">
        <v>109</v>
      </c>
      <c r="AP208" s="171" t="s">
        <v>2072</v>
      </c>
      <c r="AQ208" s="171" t="s">
        <v>1957</v>
      </c>
      <c r="AR208" s="171">
        <v>2050</v>
      </c>
      <c r="AS208" s="171">
        <v>2022</v>
      </c>
      <c r="AT208" s="171"/>
      <c r="AU208" s="171"/>
      <c r="AV208" s="171"/>
      <c r="AW208" s="171" t="s">
        <v>4174</v>
      </c>
      <c r="AX208" s="171" t="s">
        <v>7827</v>
      </c>
      <c r="AY208" s="171"/>
      <c r="AZ208" s="171"/>
      <c r="BA208" s="171"/>
      <c r="BB208" s="171"/>
      <c r="BC208" s="171"/>
      <c r="BD208" s="171"/>
      <c r="BE208" s="171"/>
      <c r="BF208" s="225"/>
      <c r="BG208" s="171"/>
      <c r="BH208" s="171"/>
      <c r="BI208" s="171"/>
      <c r="BJ208" s="171"/>
      <c r="BK208" s="171"/>
      <c r="BL208" s="171"/>
      <c r="BM208" s="171"/>
      <c r="BN208" s="171"/>
      <c r="BO208" s="171"/>
      <c r="BP208" s="171">
        <v>1</v>
      </c>
      <c r="BQ208" s="171">
        <v>1</v>
      </c>
      <c r="BR208" s="171"/>
      <c r="BS208" s="171"/>
      <c r="BT208" s="171"/>
      <c r="BU208" s="171"/>
      <c r="BV208" s="171"/>
      <c r="BW208" s="171"/>
      <c r="BX208" s="171"/>
      <c r="BY208" s="171"/>
      <c r="BZ208" s="171">
        <v>1</v>
      </c>
      <c r="CA208" s="171"/>
      <c r="CB208" s="171">
        <v>1</v>
      </c>
      <c r="CC208" s="171">
        <v>1</v>
      </c>
      <c r="CD208" s="171"/>
      <c r="CE208" s="171">
        <v>1</v>
      </c>
      <c r="CF208" s="171"/>
      <c r="CG208" s="171"/>
      <c r="CH208" s="171">
        <v>1</v>
      </c>
      <c r="CI208" s="171"/>
      <c r="CJ208" s="171"/>
      <c r="CK208" s="171"/>
      <c r="CL208" s="171"/>
      <c r="CM208">
        <f t="shared" si="42"/>
        <v>2050</v>
      </c>
    </row>
    <row r="209" spans="1:91">
      <c r="A209" s="171">
        <v>249</v>
      </c>
      <c r="B209" s="171" t="s">
        <v>1119</v>
      </c>
      <c r="C209" s="171">
        <v>229</v>
      </c>
      <c r="D209" s="171" t="str">
        <f t="shared" si="41"/>
        <v>CN</v>
      </c>
      <c r="E209" s="171" t="s">
        <v>7220</v>
      </c>
      <c r="F209" s="174">
        <v>45477</v>
      </c>
      <c r="G209" s="171" t="s">
        <v>7220</v>
      </c>
      <c r="H209" s="173">
        <v>23.7</v>
      </c>
      <c r="I209" s="171"/>
      <c r="J209" s="171" t="s">
        <v>4494</v>
      </c>
      <c r="K209" s="171" t="s">
        <v>73</v>
      </c>
      <c r="L209" s="171" t="s">
        <v>1994</v>
      </c>
      <c r="M209" s="171" t="s">
        <v>5032</v>
      </c>
      <c r="N209" s="171"/>
      <c r="O209" s="171"/>
      <c r="P209" s="171" t="s">
        <v>5032</v>
      </c>
      <c r="Q209" s="171"/>
      <c r="R209" s="171"/>
      <c r="S209" s="171"/>
      <c r="T209" s="171"/>
      <c r="U209" s="171"/>
      <c r="V209" s="175"/>
      <c r="W209" s="171"/>
      <c r="X209" s="171" t="s">
        <v>1957</v>
      </c>
      <c r="Y209" s="171" t="s">
        <v>5131</v>
      </c>
      <c r="Z209" s="171" t="s">
        <v>32</v>
      </c>
      <c r="AA209" s="171" t="s">
        <v>1957</v>
      </c>
      <c r="AB209" s="171">
        <v>2050</v>
      </c>
      <c r="AC209" s="171">
        <v>2021</v>
      </c>
      <c r="AD209" s="171" t="s">
        <v>1878</v>
      </c>
      <c r="AE209" s="171"/>
      <c r="AF209" s="171"/>
      <c r="AG209" s="171" t="s">
        <v>2082</v>
      </c>
      <c r="AH209" s="171"/>
      <c r="AI209" s="171" t="s">
        <v>4174</v>
      </c>
      <c r="AJ209" s="171"/>
      <c r="AK209" s="171"/>
      <c r="AL209" s="171" t="s">
        <v>7826</v>
      </c>
      <c r="AM209" s="171"/>
      <c r="AN209" s="171" t="s">
        <v>5032</v>
      </c>
      <c r="AO209" s="171"/>
      <c r="AP209" s="171"/>
      <c r="AQ209" s="171" t="s">
        <v>5032</v>
      </c>
      <c r="AR209" s="171"/>
      <c r="AS209" s="171"/>
      <c r="AT209" s="171"/>
      <c r="AU209" s="171"/>
      <c r="AV209" s="171"/>
      <c r="AW209" s="171"/>
      <c r="AX209" s="171"/>
      <c r="AY209" s="171"/>
      <c r="AZ209" s="171"/>
      <c r="BA209" s="171"/>
      <c r="BB209" s="171"/>
      <c r="BC209" s="171"/>
      <c r="BD209" s="171"/>
      <c r="BE209" s="171"/>
      <c r="BF209" s="225"/>
      <c r="BG209" s="171"/>
      <c r="BH209" s="171"/>
      <c r="BI209" s="171"/>
      <c r="BJ209" s="171"/>
      <c r="BK209" s="171"/>
      <c r="BL209" s="171">
        <v>1</v>
      </c>
      <c r="BM209" s="171">
        <v>1</v>
      </c>
      <c r="BN209" s="171"/>
      <c r="BO209" s="171"/>
      <c r="BP209" s="171"/>
      <c r="BQ209" s="171"/>
      <c r="BR209" s="171"/>
      <c r="BS209" s="171"/>
      <c r="BT209" s="171"/>
      <c r="BU209" s="171"/>
      <c r="BV209" s="171"/>
      <c r="BW209" s="171"/>
      <c r="BX209" s="171"/>
      <c r="BY209" s="171"/>
      <c r="BZ209" s="171">
        <v>1</v>
      </c>
      <c r="CA209" s="171"/>
      <c r="CB209" s="171">
        <v>1</v>
      </c>
      <c r="CC209" s="171"/>
      <c r="CD209" s="171"/>
      <c r="CE209" s="171">
        <v>1</v>
      </c>
      <c r="CF209" s="171"/>
      <c r="CG209" s="171"/>
      <c r="CH209" s="171">
        <v>1</v>
      </c>
      <c r="CI209" s="171"/>
      <c r="CJ209" s="171"/>
      <c r="CK209" s="171"/>
      <c r="CL209" s="171"/>
    </row>
    <row r="210" spans="1:91">
      <c r="A210" s="171">
        <v>207</v>
      </c>
      <c r="B210" s="171" t="s">
        <v>1018</v>
      </c>
      <c r="C210" s="171">
        <v>226</v>
      </c>
      <c r="D210" s="171" t="str">
        <f t="shared" si="41"/>
        <v xml:space="preserve"> NZ</v>
      </c>
      <c r="E210" s="171" t="s">
        <v>7221</v>
      </c>
      <c r="F210" s="174">
        <v>45477</v>
      </c>
      <c r="G210" s="171" t="s">
        <v>7220</v>
      </c>
      <c r="H210" s="173">
        <v>5242</v>
      </c>
      <c r="I210" s="171"/>
      <c r="J210" s="171" t="s">
        <v>4201</v>
      </c>
      <c r="K210" s="171" t="s">
        <v>4457</v>
      </c>
      <c r="L210" s="171" t="s">
        <v>2029</v>
      </c>
      <c r="M210" s="171" t="s">
        <v>5032</v>
      </c>
      <c r="N210" s="171"/>
      <c r="O210" s="171"/>
      <c r="P210" s="171" t="s">
        <v>5032</v>
      </c>
      <c r="Q210" s="171"/>
      <c r="R210" s="171"/>
      <c r="S210" s="171"/>
      <c r="T210" s="171"/>
      <c r="U210" s="171"/>
      <c r="V210" s="175"/>
      <c r="W210" s="171"/>
      <c r="X210" s="171" t="s">
        <v>5032</v>
      </c>
      <c r="Y210" s="171"/>
      <c r="Z210" s="171"/>
      <c r="AA210" s="171" t="s">
        <v>5032</v>
      </c>
      <c r="AB210" s="171"/>
      <c r="AC210" s="171"/>
      <c r="AD210" s="171"/>
      <c r="AE210" s="171"/>
      <c r="AF210" s="171"/>
      <c r="AG210" s="171"/>
      <c r="AH210" s="171"/>
      <c r="AI210" s="171"/>
      <c r="AJ210" s="171"/>
      <c r="AK210" s="171"/>
      <c r="AL210" s="171"/>
      <c r="AM210" s="171"/>
      <c r="AN210" s="171" t="s">
        <v>1957</v>
      </c>
      <c r="AO210" s="171" t="s">
        <v>3793</v>
      </c>
      <c r="AP210" s="171" t="s">
        <v>7316</v>
      </c>
      <c r="AQ210" s="171" t="s">
        <v>1957</v>
      </c>
      <c r="AR210" s="171">
        <v>2050</v>
      </c>
      <c r="AS210" s="171">
        <v>2023</v>
      </c>
      <c r="AT210" s="171"/>
      <c r="AU210" s="171"/>
      <c r="AV210" s="171"/>
      <c r="AW210" s="171" t="s">
        <v>2082</v>
      </c>
      <c r="AX210" s="171" t="s">
        <v>7825</v>
      </c>
      <c r="AY210" s="171"/>
      <c r="AZ210" s="171"/>
      <c r="BA210" s="171"/>
      <c r="BB210" s="171"/>
      <c r="BC210" s="171"/>
      <c r="BD210" s="171"/>
      <c r="BE210" s="171"/>
      <c r="BF210" s="225"/>
      <c r="BG210" s="171"/>
      <c r="BH210" s="171"/>
      <c r="BI210" s="171"/>
      <c r="BJ210" s="171"/>
      <c r="BK210" s="171"/>
      <c r="BL210" s="171"/>
      <c r="BM210" s="171"/>
      <c r="BN210" s="171"/>
      <c r="BO210" s="171"/>
      <c r="BP210" s="171">
        <v>1</v>
      </c>
      <c r="BQ210" s="171">
        <v>1</v>
      </c>
      <c r="BR210" s="171"/>
      <c r="BS210" s="171"/>
      <c r="BT210" s="171"/>
      <c r="BU210" s="171"/>
      <c r="BV210" s="171"/>
      <c r="BW210" s="171"/>
      <c r="BX210" s="171"/>
      <c r="BY210" s="171"/>
      <c r="BZ210" s="171">
        <v>1</v>
      </c>
      <c r="CA210" s="171"/>
      <c r="CB210" s="171">
        <v>1</v>
      </c>
      <c r="CC210" s="171"/>
      <c r="CD210" s="171"/>
      <c r="CE210" s="171">
        <v>1</v>
      </c>
      <c r="CF210" s="171"/>
      <c r="CG210" s="171"/>
      <c r="CH210" s="171">
        <v>1</v>
      </c>
      <c r="CI210" s="171"/>
      <c r="CJ210" s="171"/>
      <c r="CK210" s="171"/>
      <c r="CL210" s="171"/>
      <c r="CM210">
        <f t="shared" si="42"/>
        <v>2050</v>
      </c>
    </row>
    <row r="211" spans="1:91">
      <c r="A211" s="171">
        <v>321</v>
      </c>
      <c r="B211" s="171" t="s">
        <v>5867</v>
      </c>
      <c r="C211" s="171">
        <v>305</v>
      </c>
      <c r="D211" s="171" t="str">
        <f t="shared" si="41"/>
        <v/>
      </c>
      <c r="E211" s="171" t="s">
        <v>7220</v>
      </c>
      <c r="F211" s="174">
        <v>45478</v>
      </c>
      <c r="G211" s="171" t="s">
        <v>7223</v>
      </c>
      <c r="H211" s="173">
        <v>202.5</v>
      </c>
      <c r="I211" s="171"/>
      <c r="J211" s="171" t="s">
        <v>3498</v>
      </c>
      <c r="K211" s="171" t="s">
        <v>114</v>
      </c>
      <c r="L211" s="171" t="s">
        <v>1994</v>
      </c>
      <c r="M211" s="171" t="s">
        <v>5032</v>
      </c>
      <c r="N211" s="171"/>
      <c r="O211" s="171"/>
      <c r="P211" s="171" t="s">
        <v>5032</v>
      </c>
      <c r="Q211" s="171"/>
      <c r="R211" s="171"/>
      <c r="S211" s="171"/>
      <c r="T211" s="171"/>
      <c r="U211" s="171"/>
      <c r="V211" s="175"/>
      <c r="W211" s="171"/>
      <c r="X211" s="171" t="s">
        <v>5032</v>
      </c>
      <c r="Y211" s="171"/>
      <c r="Z211" s="171"/>
      <c r="AA211" s="171" t="s">
        <v>5032</v>
      </c>
      <c r="AB211" s="171"/>
      <c r="AC211" s="171"/>
      <c r="AD211" s="171"/>
      <c r="AE211" s="171"/>
      <c r="AF211" s="171"/>
      <c r="AG211" s="171"/>
      <c r="AH211" s="171"/>
      <c r="AI211" s="171"/>
      <c r="AJ211" s="171"/>
      <c r="AK211" s="171"/>
      <c r="AL211" s="171" t="s">
        <v>7824</v>
      </c>
      <c r="AM211" s="171" t="s">
        <v>7823</v>
      </c>
      <c r="AN211" s="171" t="s">
        <v>5032</v>
      </c>
      <c r="AO211" s="171"/>
      <c r="AP211" s="171"/>
      <c r="AQ211" s="171" t="s">
        <v>5032</v>
      </c>
      <c r="AR211" s="171"/>
      <c r="AS211" s="171"/>
      <c r="AT211" s="171"/>
      <c r="AU211" s="171"/>
      <c r="AV211" s="171"/>
      <c r="AW211" s="171"/>
      <c r="AX211" s="171"/>
      <c r="AY211" s="171"/>
      <c r="AZ211" s="171"/>
      <c r="BA211" s="171"/>
      <c r="BB211" s="171"/>
      <c r="BC211" s="171"/>
      <c r="BD211" s="171"/>
      <c r="BE211" s="171"/>
      <c r="BF211" s="225"/>
      <c r="BG211" s="171"/>
      <c r="BH211" s="171"/>
      <c r="BI211" s="171"/>
      <c r="BJ211" s="171"/>
      <c r="BK211" s="171"/>
      <c r="BL211" s="171"/>
      <c r="BM211" s="171"/>
      <c r="BN211" s="171"/>
      <c r="BO211" s="171"/>
      <c r="BP211" s="171"/>
      <c r="BQ211" s="171"/>
      <c r="BR211" s="171"/>
      <c r="BS211" s="171"/>
      <c r="BT211" s="171"/>
      <c r="BU211" s="171"/>
      <c r="BV211" s="171"/>
      <c r="BW211" s="171"/>
      <c r="BX211" s="171"/>
      <c r="BY211" s="171"/>
      <c r="BZ211" s="171"/>
      <c r="CA211" s="171"/>
      <c r="CB211" s="171"/>
      <c r="CC211" s="171"/>
      <c r="CD211" s="171"/>
      <c r="CE211" s="171"/>
      <c r="CF211" s="171"/>
      <c r="CG211" s="171"/>
      <c r="CH211" s="171"/>
      <c r="CI211" s="171"/>
      <c r="CJ211" s="171"/>
      <c r="CK211" s="171"/>
      <c r="CL211" s="171"/>
    </row>
    <row r="212" spans="1:91">
      <c r="A212" s="171">
        <v>306</v>
      </c>
      <c r="B212" s="171" t="s">
        <v>7822</v>
      </c>
      <c r="C212" s="171"/>
      <c r="D212" s="171" t="str">
        <f t="shared" si="41"/>
        <v/>
      </c>
      <c r="E212" s="171" t="s">
        <v>7385</v>
      </c>
      <c r="F212" s="174">
        <v>45512</v>
      </c>
      <c r="G212" s="171"/>
      <c r="H212" s="173">
        <v>7740.8</v>
      </c>
      <c r="I212" s="181" t="s">
        <v>795</v>
      </c>
      <c r="J212" s="171" t="s">
        <v>4465</v>
      </c>
      <c r="K212" s="171" t="s">
        <v>87</v>
      </c>
      <c r="L212" s="171" t="s">
        <v>1994</v>
      </c>
      <c r="M212" s="171" t="s">
        <v>5032</v>
      </c>
      <c r="N212" s="171"/>
      <c r="O212" s="171"/>
      <c r="P212" s="171" t="s">
        <v>5032</v>
      </c>
      <c r="Q212" s="171"/>
      <c r="R212" s="171"/>
      <c r="S212" s="171"/>
      <c r="T212" s="171"/>
      <c r="U212" s="171"/>
      <c r="V212" s="175"/>
      <c r="W212" s="171"/>
      <c r="X212" s="171" t="s">
        <v>5032</v>
      </c>
      <c r="Y212" s="171"/>
      <c r="Z212" s="171"/>
      <c r="AA212" s="171" t="s">
        <v>5032</v>
      </c>
      <c r="AB212" s="171"/>
      <c r="AC212" s="171"/>
      <c r="AD212" s="171"/>
      <c r="AE212" s="171"/>
      <c r="AF212" s="171"/>
      <c r="AG212" s="171"/>
      <c r="AH212" s="171"/>
      <c r="AI212" s="171"/>
      <c r="AJ212" s="171"/>
      <c r="AK212" s="171"/>
      <c r="AL212" s="171"/>
      <c r="AM212" s="171"/>
      <c r="AN212" s="171" t="s">
        <v>5032</v>
      </c>
      <c r="AO212" s="171"/>
      <c r="AP212" s="171"/>
      <c r="AQ212" s="171" t="s">
        <v>5032</v>
      </c>
      <c r="AR212" s="171"/>
      <c r="AS212" s="171"/>
      <c r="AT212" s="171"/>
      <c r="AU212" s="171"/>
      <c r="AV212" s="171"/>
      <c r="AW212" s="171"/>
      <c r="AX212" s="171"/>
      <c r="AY212" s="171"/>
      <c r="AZ212" s="171"/>
      <c r="BA212" s="171"/>
      <c r="BB212" s="171"/>
      <c r="BC212" s="171"/>
      <c r="BD212" s="171"/>
      <c r="BE212" s="171"/>
      <c r="BF212" s="225"/>
      <c r="BG212" s="171"/>
      <c r="BH212" s="171"/>
      <c r="BI212" s="171"/>
      <c r="BJ212" s="171"/>
      <c r="BK212" s="171"/>
      <c r="BL212" s="171"/>
      <c r="BM212" s="171"/>
      <c r="BN212" s="171"/>
      <c r="BO212" s="171"/>
      <c r="BP212" s="171"/>
      <c r="BQ212" s="171"/>
      <c r="BR212" s="171"/>
      <c r="BS212" s="171"/>
      <c r="BT212" s="171"/>
      <c r="BU212" s="171"/>
      <c r="BV212" s="171"/>
      <c r="BW212" s="171"/>
      <c r="BX212" s="171"/>
      <c r="BY212" s="171"/>
      <c r="BZ212" s="171"/>
      <c r="CA212" s="171"/>
      <c r="CB212" s="171"/>
      <c r="CC212" s="171"/>
      <c r="CD212" s="171"/>
      <c r="CE212" s="171"/>
      <c r="CF212" s="171"/>
      <c r="CG212" s="171"/>
      <c r="CH212" s="171"/>
      <c r="CI212" s="171"/>
      <c r="CJ212" s="171"/>
      <c r="CK212" s="171"/>
      <c r="CL212" s="171"/>
    </row>
    <row r="213" spans="1:91">
      <c r="A213" s="171">
        <v>487</v>
      </c>
      <c r="B213" s="171" t="s">
        <v>7821</v>
      </c>
      <c r="C213" s="171"/>
      <c r="D213" s="171" t="str">
        <f t="shared" si="41"/>
        <v>CN NZ SBT RE100</v>
      </c>
      <c r="E213" s="171" t="s">
        <v>7223</v>
      </c>
      <c r="F213" s="174">
        <v>45512</v>
      </c>
      <c r="G213" s="176"/>
      <c r="H213" s="173">
        <v>1269.2</v>
      </c>
      <c r="I213" s="181" t="s">
        <v>123</v>
      </c>
      <c r="J213" s="171" t="s">
        <v>4455</v>
      </c>
      <c r="K213" s="171" t="s">
        <v>96</v>
      </c>
      <c r="L213" s="171" t="s">
        <v>1951</v>
      </c>
      <c r="M213" s="171" t="s">
        <v>4174</v>
      </c>
      <c r="N213" s="171">
        <v>2021</v>
      </c>
      <c r="O213" s="171">
        <v>2030</v>
      </c>
      <c r="P213" s="171" t="s">
        <v>4174</v>
      </c>
      <c r="Q213" s="171" t="s">
        <v>22</v>
      </c>
      <c r="R213" s="171" t="s">
        <v>2499</v>
      </c>
      <c r="S213" s="171">
        <v>2030</v>
      </c>
      <c r="T213" s="171" t="s">
        <v>361</v>
      </c>
      <c r="U213" s="171">
        <v>2040</v>
      </c>
      <c r="V213" s="175" t="s">
        <v>7820</v>
      </c>
      <c r="W213" s="171">
        <v>2021</v>
      </c>
      <c r="X213" s="171" t="s">
        <v>7227</v>
      </c>
      <c r="Y213" s="171" t="s">
        <v>7819</v>
      </c>
      <c r="Z213" s="171" t="s">
        <v>3283</v>
      </c>
      <c r="AA213" s="171" t="s">
        <v>1957</v>
      </c>
      <c r="AB213" s="171">
        <v>2030</v>
      </c>
      <c r="AC213" s="171">
        <v>2021</v>
      </c>
      <c r="AD213" s="171" t="s">
        <v>4172</v>
      </c>
      <c r="AE213" s="171">
        <v>2040</v>
      </c>
      <c r="AF213" s="171">
        <v>2021</v>
      </c>
      <c r="AG213" s="171" t="s">
        <v>2082</v>
      </c>
      <c r="AH213" s="171">
        <v>2022</v>
      </c>
      <c r="AI213" s="171" t="s">
        <v>4174</v>
      </c>
      <c r="AJ213" s="176" t="s">
        <v>7818</v>
      </c>
      <c r="AK213" s="171"/>
      <c r="AL213" s="176" t="s">
        <v>7817</v>
      </c>
      <c r="AM213" s="171"/>
      <c r="AN213" s="171" t="s">
        <v>4172</v>
      </c>
      <c r="AO213" s="171" t="s">
        <v>7716</v>
      </c>
      <c r="AP213" s="171" t="s">
        <v>4945</v>
      </c>
      <c r="AQ213" s="171" t="s">
        <v>4172</v>
      </c>
      <c r="AR213" s="171">
        <v>2040</v>
      </c>
      <c r="AS213" s="171">
        <v>2021</v>
      </c>
      <c r="AT213" s="171"/>
      <c r="AU213" s="171"/>
      <c r="AV213" s="171"/>
      <c r="AW213" s="171" t="s">
        <v>2082</v>
      </c>
      <c r="AX213" s="171"/>
      <c r="AY213" s="171"/>
      <c r="AZ213" s="171"/>
      <c r="BA213" s="171"/>
      <c r="BB213" s="171"/>
      <c r="BC213" s="171"/>
      <c r="BD213" s="171"/>
      <c r="BE213" s="171"/>
      <c r="BF213" s="225"/>
      <c r="BG213" s="171"/>
      <c r="BH213" s="171"/>
      <c r="BI213" s="171"/>
      <c r="BJ213" s="171"/>
      <c r="BK213" s="171">
        <v>1</v>
      </c>
      <c r="BL213" s="171"/>
      <c r="BM213" s="171">
        <v>1</v>
      </c>
      <c r="BN213" s="171"/>
      <c r="BO213" s="171"/>
      <c r="BP213" s="171">
        <v>1</v>
      </c>
      <c r="BQ213" s="171">
        <v>1</v>
      </c>
      <c r="BR213" s="171"/>
      <c r="BS213" s="171">
        <v>1</v>
      </c>
      <c r="BT213" s="171"/>
      <c r="BU213" s="171">
        <v>1</v>
      </c>
      <c r="BV213" s="171"/>
      <c r="BW213" s="171">
        <v>1</v>
      </c>
      <c r="BX213" s="171"/>
      <c r="BY213" s="171">
        <v>1</v>
      </c>
      <c r="BZ213" s="171">
        <v>1</v>
      </c>
      <c r="CA213" s="171">
        <v>1</v>
      </c>
      <c r="CB213" s="171">
        <v>1</v>
      </c>
      <c r="CC213" s="171"/>
      <c r="CD213" s="171"/>
      <c r="CE213" s="171">
        <v>1</v>
      </c>
      <c r="CF213" s="171"/>
      <c r="CG213" s="171">
        <v>1</v>
      </c>
      <c r="CH213" s="171">
        <v>1</v>
      </c>
      <c r="CI213" s="171"/>
      <c r="CJ213" s="171"/>
      <c r="CK213" s="171">
        <v>1</v>
      </c>
      <c r="CL213" s="171">
        <v>1</v>
      </c>
      <c r="CM213">
        <f t="shared" si="42"/>
        <v>2040</v>
      </c>
    </row>
    <row r="214" spans="1:91">
      <c r="A214" s="171">
        <v>81</v>
      </c>
      <c r="B214" s="171" t="s">
        <v>1223</v>
      </c>
      <c r="C214" s="171">
        <v>123</v>
      </c>
      <c r="D214" s="171" t="str">
        <f t="shared" si="41"/>
        <v/>
      </c>
      <c r="E214" s="171" t="s">
        <v>7228</v>
      </c>
      <c r="F214" s="174">
        <v>45476</v>
      </c>
      <c r="G214" s="171" t="s">
        <v>7223</v>
      </c>
      <c r="H214" s="173">
        <v>980.8</v>
      </c>
      <c r="I214" s="171"/>
      <c r="J214" s="171" t="s">
        <v>4643</v>
      </c>
      <c r="K214" s="171" t="s">
        <v>73</v>
      </c>
      <c r="L214" s="171" t="s">
        <v>1994</v>
      </c>
      <c r="M214" s="171" t="s">
        <v>5032</v>
      </c>
      <c r="N214" s="171"/>
      <c r="O214" s="171"/>
      <c r="P214" s="171" t="s">
        <v>5032</v>
      </c>
      <c r="Q214" s="171"/>
      <c r="R214" s="171"/>
      <c r="S214" s="171"/>
      <c r="T214" s="171"/>
      <c r="U214" s="171"/>
      <c r="V214" s="175"/>
      <c r="W214" s="171"/>
      <c r="X214" s="171" t="s">
        <v>5032</v>
      </c>
      <c r="Y214" s="171"/>
      <c r="Z214" s="171"/>
      <c r="AA214" s="171" t="s">
        <v>5032</v>
      </c>
      <c r="AB214" s="171"/>
      <c r="AC214" s="171"/>
      <c r="AD214" s="171"/>
      <c r="AE214" s="171"/>
      <c r="AF214" s="171"/>
      <c r="AG214" s="171"/>
      <c r="AH214" s="171"/>
      <c r="AI214" s="171"/>
      <c r="AJ214" s="171"/>
      <c r="AK214" s="171"/>
      <c r="AL214" s="171"/>
      <c r="AM214" s="171"/>
      <c r="AN214" s="171" t="s">
        <v>5032</v>
      </c>
      <c r="AO214" s="171"/>
      <c r="AP214" s="171"/>
      <c r="AQ214" s="171" t="s">
        <v>5032</v>
      </c>
      <c r="AR214" s="171"/>
      <c r="AS214" s="171"/>
      <c r="AT214" s="171"/>
      <c r="AU214" s="171"/>
      <c r="AV214" s="171"/>
      <c r="AW214" s="171"/>
      <c r="AX214" s="171"/>
      <c r="AY214" s="171"/>
      <c r="AZ214" s="171"/>
      <c r="BA214" s="171"/>
      <c r="BB214" s="171"/>
      <c r="BC214" s="171"/>
      <c r="BD214" s="171"/>
      <c r="BE214" s="171"/>
      <c r="BF214" s="225"/>
      <c r="BG214" s="171"/>
      <c r="BH214" s="171"/>
      <c r="BI214" s="171"/>
      <c r="BJ214" s="171"/>
      <c r="BK214" s="171"/>
      <c r="BL214" s="171"/>
      <c r="BM214" s="171"/>
      <c r="BN214" s="171"/>
      <c r="BO214" s="171"/>
      <c r="BP214" s="171"/>
      <c r="BQ214" s="171"/>
      <c r="BR214" s="171"/>
      <c r="BS214" s="171"/>
      <c r="BT214" s="171"/>
      <c r="BU214" s="171"/>
      <c r="BV214" s="171"/>
      <c r="BW214" s="171"/>
      <c r="BX214" s="171"/>
      <c r="BY214" s="171"/>
      <c r="BZ214" s="171"/>
      <c r="CA214" s="171"/>
      <c r="CB214" s="171"/>
      <c r="CC214" s="171"/>
      <c r="CD214" s="171"/>
      <c r="CE214" s="171"/>
      <c r="CF214" s="171"/>
      <c r="CG214" s="171"/>
      <c r="CH214" s="171"/>
      <c r="CI214" s="171"/>
      <c r="CJ214" s="171"/>
      <c r="CK214" s="171"/>
      <c r="CL214" s="171"/>
    </row>
    <row r="215" spans="1:91">
      <c r="A215" s="171">
        <v>196</v>
      </c>
      <c r="B215" s="171" t="s">
        <v>1528</v>
      </c>
      <c r="C215" s="171">
        <v>153</v>
      </c>
      <c r="D215" s="171" t="str">
        <f t="shared" si="41"/>
        <v>CN SBT</v>
      </c>
      <c r="E215" s="171" t="s">
        <v>7220</v>
      </c>
      <c r="F215" s="174">
        <v>45476</v>
      </c>
      <c r="G215" s="171" t="s">
        <v>7223</v>
      </c>
      <c r="H215" s="173">
        <v>4081.5</v>
      </c>
      <c r="I215" s="171"/>
      <c r="J215" s="171" t="s">
        <v>4459</v>
      </c>
      <c r="K215" s="171" t="s">
        <v>207</v>
      </c>
      <c r="L215" s="171" t="s">
        <v>1994</v>
      </c>
      <c r="M215" s="171" t="s">
        <v>5032</v>
      </c>
      <c r="N215" s="171"/>
      <c r="O215" s="171"/>
      <c r="P215" s="171" t="s">
        <v>4174</v>
      </c>
      <c r="Q215" s="171" t="s">
        <v>22</v>
      </c>
      <c r="R215" s="171" t="s">
        <v>7233</v>
      </c>
      <c r="S215" s="171">
        <v>2030</v>
      </c>
      <c r="T215" s="171" t="s">
        <v>361</v>
      </c>
      <c r="U215" s="171"/>
      <c r="V215" s="172">
        <v>44166</v>
      </c>
      <c r="W215" s="171">
        <v>2020</v>
      </c>
      <c r="X215" s="171" t="s">
        <v>7227</v>
      </c>
      <c r="Y215" s="171" t="s">
        <v>7816</v>
      </c>
      <c r="Z215" s="171" t="s">
        <v>7238</v>
      </c>
      <c r="AA215" s="171" t="s">
        <v>1957</v>
      </c>
      <c r="AB215" s="171">
        <v>2030</v>
      </c>
      <c r="AC215" s="171">
        <v>2020</v>
      </c>
      <c r="AD215" s="171" t="s">
        <v>4172</v>
      </c>
      <c r="AE215" s="171">
        <v>2050</v>
      </c>
      <c r="AF215" s="171">
        <v>2020</v>
      </c>
      <c r="AG215" s="171" t="s">
        <v>4174</v>
      </c>
      <c r="AH215" s="171">
        <v>2023</v>
      </c>
      <c r="AI215" s="171" t="s">
        <v>4174</v>
      </c>
      <c r="AJ215" s="171" t="s">
        <v>7815</v>
      </c>
      <c r="AK215" s="171"/>
      <c r="AL215" s="176" t="s">
        <v>7815</v>
      </c>
      <c r="AM215" s="171" t="s">
        <v>7814</v>
      </c>
      <c r="AN215" s="171" t="s">
        <v>5032</v>
      </c>
      <c r="AO215" s="171"/>
      <c r="AP215" s="171"/>
      <c r="AQ215" s="171" t="s">
        <v>5032</v>
      </c>
      <c r="AR215" s="171"/>
      <c r="AS215" s="171"/>
      <c r="AT215" s="171"/>
      <c r="AU215" s="171"/>
      <c r="AV215" s="171"/>
      <c r="AW215" s="171"/>
      <c r="AX215" s="171"/>
      <c r="AY215" s="171"/>
      <c r="AZ215" s="171"/>
      <c r="BA215" s="171"/>
      <c r="BB215" s="171"/>
      <c r="BC215" s="171"/>
      <c r="BD215" s="171"/>
      <c r="BE215" s="171"/>
      <c r="BF215" s="225"/>
      <c r="BG215" s="171"/>
      <c r="BH215" s="171"/>
      <c r="BI215" s="171"/>
      <c r="BJ215" s="171"/>
      <c r="BK215" s="171">
        <v>1</v>
      </c>
      <c r="BL215" s="171"/>
      <c r="BM215" s="171">
        <v>1</v>
      </c>
      <c r="BN215" s="171"/>
      <c r="BO215" s="171"/>
      <c r="BP215" s="171"/>
      <c r="BQ215" s="171"/>
      <c r="BR215" s="171"/>
      <c r="BS215" s="171">
        <v>1</v>
      </c>
      <c r="BT215" s="171"/>
      <c r="BU215" s="171">
        <v>1</v>
      </c>
      <c r="BV215" s="171"/>
      <c r="BW215" s="171"/>
      <c r="BX215" s="171"/>
      <c r="BY215" s="171"/>
      <c r="BZ215" s="171">
        <v>1</v>
      </c>
      <c r="CA215" s="171">
        <v>1</v>
      </c>
      <c r="CB215" s="171">
        <v>1</v>
      </c>
      <c r="CC215" s="171">
        <v>1</v>
      </c>
      <c r="CD215" s="171"/>
      <c r="CE215" s="171">
        <v>1</v>
      </c>
      <c r="CF215" s="171"/>
      <c r="CG215" s="171">
        <v>1</v>
      </c>
      <c r="CH215" s="171">
        <v>1</v>
      </c>
      <c r="CI215" s="171"/>
      <c r="CJ215" s="171"/>
      <c r="CK215" s="171"/>
      <c r="CL215" s="171"/>
    </row>
    <row r="216" spans="1:91">
      <c r="A216" s="171">
        <v>48</v>
      </c>
      <c r="B216" s="171" t="s">
        <v>1681</v>
      </c>
      <c r="C216" s="171">
        <v>48</v>
      </c>
      <c r="D216" s="171" t="str">
        <f t="shared" si="41"/>
        <v xml:space="preserve"> SBT RE100</v>
      </c>
      <c r="E216" s="171" t="s">
        <v>7335</v>
      </c>
      <c r="F216" s="174">
        <v>45475</v>
      </c>
      <c r="G216" s="171" t="s">
        <v>7220</v>
      </c>
      <c r="H216" s="173">
        <v>15143</v>
      </c>
      <c r="I216" s="171"/>
      <c r="J216" s="171" t="s">
        <v>4467</v>
      </c>
      <c r="K216" s="171" t="s">
        <v>4457</v>
      </c>
      <c r="L216" s="171" t="s">
        <v>2029</v>
      </c>
      <c r="M216" s="171" t="s">
        <v>4174</v>
      </c>
      <c r="N216" s="171">
        <v>2021</v>
      </c>
      <c r="O216" s="171">
        <v>2030</v>
      </c>
      <c r="P216" s="171" t="s">
        <v>4174</v>
      </c>
      <c r="Q216" s="171" t="s">
        <v>22</v>
      </c>
      <c r="R216" s="171" t="s">
        <v>7233</v>
      </c>
      <c r="S216" s="171">
        <v>2030</v>
      </c>
      <c r="T216" s="171" t="s">
        <v>1</v>
      </c>
      <c r="U216" s="171"/>
      <c r="V216" s="172">
        <v>45352</v>
      </c>
      <c r="W216" s="171">
        <v>2024</v>
      </c>
      <c r="X216" s="171" t="s">
        <v>5032</v>
      </c>
      <c r="Y216" s="171"/>
      <c r="Z216" s="171"/>
      <c r="AA216" s="171" t="s">
        <v>5032</v>
      </c>
      <c r="AB216" s="171"/>
      <c r="AC216" s="171"/>
      <c r="AD216" s="171"/>
      <c r="AE216" s="171"/>
      <c r="AF216" s="171"/>
      <c r="AG216" s="171"/>
      <c r="AH216" s="171"/>
      <c r="AI216" s="171"/>
      <c r="AJ216" s="171"/>
      <c r="AK216" s="171"/>
      <c r="AL216" s="171"/>
      <c r="AM216" s="171"/>
      <c r="AN216" s="171" t="s">
        <v>5032</v>
      </c>
      <c r="AO216" s="171"/>
      <c r="AP216" s="171"/>
      <c r="AQ216" s="171" t="s">
        <v>5032</v>
      </c>
      <c r="AR216" s="171"/>
      <c r="AS216" s="171"/>
      <c r="AT216" s="171"/>
      <c r="AU216" s="171"/>
      <c r="AV216" s="171"/>
      <c r="AW216" s="171"/>
      <c r="AX216" s="171"/>
      <c r="AY216" s="171"/>
      <c r="AZ216" s="171"/>
      <c r="BA216" s="171"/>
      <c r="BB216" s="171"/>
      <c r="BC216" s="171"/>
      <c r="BD216" s="171" t="s">
        <v>4172</v>
      </c>
      <c r="BE216" s="171" t="s">
        <v>7813</v>
      </c>
      <c r="BF216" s="225" t="s">
        <v>5032</v>
      </c>
      <c r="BG216" s="171"/>
      <c r="BH216" s="171"/>
      <c r="BI216" s="171"/>
      <c r="BJ216" s="171"/>
      <c r="BK216" s="171"/>
      <c r="BL216" s="171"/>
      <c r="BM216" s="171"/>
      <c r="BN216" s="171"/>
      <c r="BO216" s="171"/>
      <c r="BP216" s="171"/>
      <c r="BQ216" s="171"/>
      <c r="BR216" s="171"/>
      <c r="BS216" s="171">
        <v>1</v>
      </c>
      <c r="BT216" s="171"/>
      <c r="BU216" s="171">
        <v>1</v>
      </c>
      <c r="BV216" s="171"/>
      <c r="BW216" s="171">
        <v>1</v>
      </c>
      <c r="BX216" s="171"/>
      <c r="BY216" s="171">
        <v>1</v>
      </c>
      <c r="BZ216" s="171"/>
      <c r="CA216" s="171"/>
      <c r="CB216" s="171"/>
      <c r="CC216" s="171"/>
      <c r="CD216" s="171"/>
      <c r="CE216" s="171">
        <v>1</v>
      </c>
      <c r="CF216" s="171"/>
      <c r="CG216" s="171">
        <v>1</v>
      </c>
      <c r="CH216" s="171">
        <v>1</v>
      </c>
      <c r="CI216" s="171"/>
      <c r="CJ216" s="171"/>
      <c r="CK216" s="171"/>
      <c r="CL216" s="171"/>
    </row>
    <row r="217" spans="1:91">
      <c r="A217" s="171">
        <v>32</v>
      </c>
      <c r="B217" s="171" t="s">
        <v>1806</v>
      </c>
      <c r="C217" s="171">
        <v>27</v>
      </c>
      <c r="D217" s="171" t="str">
        <f t="shared" si="41"/>
        <v xml:space="preserve"> NZ SBT</v>
      </c>
      <c r="E217" s="171" t="s">
        <v>7335</v>
      </c>
      <c r="F217" s="174">
        <v>45474</v>
      </c>
      <c r="G217" s="171" t="s">
        <v>7223</v>
      </c>
      <c r="H217" s="173">
        <v>4562.8999999999996</v>
      </c>
      <c r="I217" s="171"/>
      <c r="J217" s="171" t="s">
        <v>4459</v>
      </c>
      <c r="K217" s="171" t="s">
        <v>3277</v>
      </c>
      <c r="L217" s="171" t="s">
        <v>1994</v>
      </c>
      <c r="M217" s="171" t="s">
        <v>5032</v>
      </c>
      <c r="N217" s="171"/>
      <c r="O217" s="171"/>
      <c r="P217" s="171" t="s">
        <v>4174</v>
      </c>
      <c r="Q217" s="171" t="s">
        <v>22</v>
      </c>
      <c r="R217" s="171" t="s">
        <v>7233</v>
      </c>
      <c r="S217" s="171">
        <v>2030</v>
      </c>
      <c r="T217" s="171" t="s">
        <v>361</v>
      </c>
      <c r="U217" s="171">
        <v>2050</v>
      </c>
      <c r="V217" s="172">
        <v>45413</v>
      </c>
      <c r="W217" s="171">
        <v>2024</v>
      </c>
      <c r="X217" s="171" t="s">
        <v>5032</v>
      </c>
      <c r="Y217" s="171"/>
      <c r="Z217" s="171"/>
      <c r="AA217" s="171" t="s">
        <v>5032</v>
      </c>
      <c r="AB217" s="171"/>
      <c r="AC217" s="171"/>
      <c r="AD217" s="171"/>
      <c r="AE217" s="171"/>
      <c r="AF217" s="171"/>
      <c r="AG217" s="171"/>
      <c r="AH217" s="171"/>
      <c r="AI217" s="171"/>
      <c r="AJ217" s="171"/>
      <c r="AK217" s="171"/>
      <c r="AL217" s="171"/>
      <c r="AM217" s="171"/>
      <c r="AN217" s="171" t="s">
        <v>4172</v>
      </c>
      <c r="AO217" s="171" t="s">
        <v>2760</v>
      </c>
      <c r="AP217" s="171" t="s">
        <v>7303</v>
      </c>
      <c r="AQ217" s="171" t="s">
        <v>4172</v>
      </c>
      <c r="AR217" s="171">
        <v>2050</v>
      </c>
      <c r="AS217" s="171">
        <v>2020</v>
      </c>
      <c r="AT217" s="171"/>
      <c r="AU217" s="171"/>
      <c r="AV217" s="171"/>
      <c r="AW217" s="171" t="s">
        <v>4174</v>
      </c>
      <c r="AX217" s="171" t="s">
        <v>7812</v>
      </c>
      <c r="AY217" s="171">
        <v>2022</v>
      </c>
      <c r="AZ217" s="171" t="s">
        <v>4174</v>
      </c>
      <c r="BA217" s="171" t="s">
        <v>7812</v>
      </c>
      <c r="BB217" s="171"/>
      <c r="BC217" s="171" t="s">
        <v>7811</v>
      </c>
      <c r="BD217" s="171"/>
      <c r="BE217" s="171"/>
      <c r="BF217" s="225"/>
      <c r="BG217" s="171"/>
      <c r="BH217" s="171"/>
      <c r="BI217" s="171"/>
      <c r="BJ217" s="171"/>
      <c r="BK217" s="171"/>
      <c r="BL217" s="171"/>
      <c r="BM217" s="171"/>
      <c r="BN217" s="171"/>
      <c r="BO217" s="171"/>
      <c r="BP217" s="171">
        <v>1</v>
      </c>
      <c r="BQ217" s="171">
        <v>1</v>
      </c>
      <c r="BR217" s="171"/>
      <c r="BS217" s="171">
        <v>1</v>
      </c>
      <c r="BT217" s="171"/>
      <c r="BU217" s="171">
        <v>1</v>
      </c>
      <c r="BV217" s="171"/>
      <c r="BW217" s="171"/>
      <c r="BX217" s="171"/>
      <c r="BY217" s="171"/>
      <c r="BZ217" s="171">
        <v>1</v>
      </c>
      <c r="CA217" s="171"/>
      <c r="CB217" s="171">
        <v>1</v>
      </c>
      <c r="CC217" s="171">
        <v>1</v>
      </c>
      <c r="CD217" s="171"/>
      <c r="CE217" s="171">
        <v>1</v>
      </c>
      <c r="CF217" s="171"/>
      <c r="CG217" s="171">
        <v>1</v>
      </c>
      <c r="CH217" s="171">
        <v>1</v>
      </c>
      <c r="CI217" s="171"/>
      <c r="CJ217" s="171"/>
      <c r="CK217" s="171">
        <v>1</v>
      </c>
      <c r="CL217" s="171">
        <v>1</v>
      </c>
      <c r="CM217">
        <f t="shared" si="42"/>
        <v>2050</v>
      </c>
    </row>
    <row r="218" spans="1:91">
      <c r="A218" s="171">
        <v>57</v>
      </c>
      <c r="B218" s="171" t="s">
        <v>1768</v>
      </c>
      <c r="C218" s="171">
        <v>70</v>
      </c>
      <c r="D218" s="171" t="str">
        <f t="shared" si="41"/>
        <v>CN</v>
      </c>
      <c r="E218" s="171" t="s">
        <v>7220</v>
      </c>
      <c r="F218" s="174">
        <v>45475</v>
      </c>
      <c r="G218" s="171" t="s">
        <v>7220</v>
      </c>
      <c r="H218" s="173">
        <v>7660.6</v>
      </c>
      <c r="I218" s="171"/>
      <c r="J218" s="171" t="s">
        <v>4476</v>
      </c>
      <c r="K218" s="171" t="s">
        <v>207</v>
      </c>
      <c r="L218" s="171" t="s">
        <v>1994</v>
      </c>
      <c r="M218" s="171" t="s">
        <v>5032</v>
      </c>
      <c r="N218" s="171"/>
      <c r="O218" s="171"/>
      <c r="P218" s="171" t="s">
        <v>5032</v>
      </c>
      <c r="Q218" s="171"/>
      <c r="R218" s="171"/>
      <c r="S218" s="171"/>
      <c r="T218" s="171"/>
      <c r="U218" s="171"/>
      <c r="V218" s="175"/>
      <c r="W218" s="171"/>
      <c r="X218" s="171" t="s">
        <v>4172</v>
      </c>
      <c r="Y218" s="171" t="s">
        <v>1435</v>
      </c>
      <c r="Z218" s="171" t="s">
        <v>7533</v>
      </c>
      <c r="AA218" s="171" t="s">
        <v>4172</v>
      </c>
      <c r="AB218" s="171">
        <v>2050</v>
      </c>
      <c r="AC218" s="171">
        <v>2021</v>
      </c>
      <c r="AD218" s="171"/>
      <c r="AE218" s="171"/>
      <c r="AF218" s="171"/>
      <c r="AG218" s="171" t="s">
        <v>2082</v>
      </c>
      <c r="AH218" s="171"/>
      <c r="AI218" s="171" t="s">
        <v>4174</v>
      </c>
      <c r="AJ218" s="171"/>
      <c r="AK218" s="171"/>
      <c r="AL218" s="171" t="s">
        <v>7810</v>
      </c>
      <c r="AM218" s="171" t="s">
        <v>7809</v>
      </c>
      <c r="AN218" s="171" t="s">
        <v>7229</v>
      </c>
      <c r="AO218" s="171"/>
      <c r="AP218" s="171"/>
      <c r="AQ218" s="171" t="s">
        <v>7229</v>
      </c>
      <c r="AR218" s="171"/>
      <c r="AS218" s="171"/>
      <c r="AT218" s="171"/>
      <c r="AU218" s="171"/>
      <c r="AV218" s="171"/>
      <c r="AW218" s="171"/>
      <c r="AX218" s="171"/>
      <c r="AY218" s="171"/>
      <c r="AZ218" s="171"/>
      <c r="BA218" s="171"/>
      <c r="BB218" s="171"/>
      <c r="BC218" s="171"/>
      <c r="BD218" s="171"/>
      <c r="BE218" s="171"/>
      <c r="BF218" s="225"/>
      <c r="BG218" s="171"/>
      <c r="BH218" s="171"/>
      <c r="BI218" s="171"/>
      <c r="BJ218" s="171"/>
      <c r="BK218" s="171"/>
      <c r="BL218" s="171">
        <v>1</v>
      </c>
      <c r="BM218" s="171">
        <v>1</v>
      </c>
      <c r="BN218" s="171"/>
      <c r="BO218" s="171"/>
      <c r="BP218" s="171"/>
      <c r="BQ218" s="171"/>
      <c r="BR218" s="171"/>
      <c r="BS218" s="171"/>
      <c r="BT218" s="171"/>
      <c r="BU218" s="171"/>
      <c r="BV218" s="171"/>
      <c r="BW218" s="171"/>
      <c r="BX218" s="171"/>
      <c r="BY218" s="171"/>
      <c r="BZ218" s="171">
        <v>1</v>
      </c>
      <c r="CA218" s="171"/>
      <c r="CB218" s="171">
        <v>1</v>
      </c>
      <c r="CC218" s="171"/>
      <c r="CD218" s="171"/>
      <c r="CE218" s="171">
        <v>1</v>
      </c>
      <c r="CF218" s="171"/>
      <c r="CG218" s="171"/>
      <c r="CH218" s="171">
        <v>1</v>
      </c>
      <c r="CI218" s="171"/>
      <c r="CJ218" s="171"/>
      <c r="CK218" s="171"/>
      <c r="CL218" s="171"/>
    </row>
    <row r="219" spans="1:91">
      <c r="A219" s="171">
        <v>413</v>
      </c>
      <c r="B219" s="171" t="s">
        <v>875</v>
      </c>
      <c r="C219" s="171">
        <v>425</v>
      </c>
      <c r="D219" s="171" t="str">
        <f t="shared" si="41"/>
        <v>CN SBT</v>
      </c>
      <c r="E219" s="171" t="s">
        <v>7385</v>
      </c>
      <c r="F219" s="174">
        <v>45512</v>
      </c>
      <c r="G219" s="171" t="s">
        <v>7220</v>
      </c>
      <c r="H219" s="173">
        <v>5658</v>
      </c>
      <c r="I219" s="171"/>
      <c r="J219" s="171" t="s">
        <v>4459</v>
      </c>
      <c r="K219" s="171" t="s">
        <v>4457</v>
      </c>
      <c r="L219" s="171" t="s">
        <v>2029</v>
      </c>
      <c r="M219" s="171" t="s">
        <v>5032</v>
      </c>
      <c r="N219" s="171"/>
      <c r="O219" s="171"/>
      <c r="P219" s="171" t="s">
        <v>4174</v>
      </c>
      <c r="Q219" s="171" t="s">
        <v>22</v>
      </c>
      <c r="R219" s="171" t="s">
        <v>7277</v>
      </c>
      <c r="S219" s="171">
        <v>2037</v>
      </c>
      <c r="T219" s="171" t="s">
        <v>1</v>
      </c>
      <c r="U219" s="171"/>
      <c r="V219" s="172">
        <v>45047</v>
      </c>
      <c r="W219" s="171">
        <v>2023</v>
      </c>
      <c r="X219" s="171" t="s">
        <v>1957</v>
      </c>
      <c r="Y219" s="171" t="s">
        <v>1659</v>
      </c>
      <c r="Z219" s="171" t="s">
        <v>3283</v>
      </c>
      <c r="AA219" s="171" t="s">
        <v>1957</v>
      </c>
      <c r="AB219" s="171">
        <v>2035</v>
      </c>
      <c r="AC219" s="171">
        <v>2021</v>
      </c>
      <c r="AD219" s="171"/>
      <c r="AE219" s="171"/>
      <c r="AF219" s="171"/>
      <c r="AG219" s="171" t="s">
        <v>2082</v>
      </c>
      <c r="AH219" s="171"/>
      <c r="AI219" s="171" t="s">
        <v>4174</v>
      </c>
      <c r="AJ219" s="171"/>
      <c r="AK219" s="171"/>
      <c r="AL219" s="171" t="s">
        <v>7808</v>
      </c>
      <c r="AM219" s="171"/>
      <c r="AN219" s="171" t="s">
        <v>7229</v>
      </c>
      <c r="AO219" s="171"/>
      <c r="AP219" s="171"/>
      <c r="AQ219" s="171" t="s">
        <v>7229</v>
      </c>
      <c r="AR219" s="171"/>
      <c r="AS219" s="171"/>
      <c r="AT219" s="171"/>
      <c r="AU219" s="171"/>
      <c r="AV219" s="171"/>
      <c r="AW219" s="171"/>
      <c r="AX219" s="171"/>
      <c r="AY219" s="171"/>
      <c r="AZ219" s="171"/>
      <c r="BA219" s="171"/>
      <c r="BB219" s="171"/>
      <c r="BC219" s="171"/>
      <c r="BD219" s="171"/>
      <c r="BE219" s="171"/>
      <c r="BF219" s="225"/>
      <c r="BG219" s="171"/>
      <c r="BH219" s="171"/>
      <c r="BI219" s="171"/>
      <c r="BJ219" s="171"/>
      <c r="BK219" s="171"/>
      <c r="BL219" s="171">
        <v>1</v>
      </c>
      <c r="BM219" s="171">
        <v>1</v>
      </c>
      <c r="BN219" s="171"/>
      <c r="BO219" s="171"/>
      <c r="BP219" s="171"/>
      <c r="BQ219" s="171"/>
      <c r="BR219" s="171"/>
      <c r="BS219" s="171"/>
      <c r="BT219" s="171">
        <v>1</v>
      </c>
      <c r="BU219" s="171">
        <v>1</v>
      </c>
      <c r="BV219" s="171"/>
      <c r="BW219" s="171"/>
      <c r="BX219" s="171"/>
      <c r="BY219" s="171"/>
      <c r="BZ219" s="171">
        <v>1</v>
      </c>
      <c r="CA219" s="171"/>
      <c r="CB219" s="171">
        <v>1</v>
      </c>
      <c r="CC219" s="171"/>
      <c r="CD219" s="171"/>
      <c r="CE219" s="171">
        <v>1</v>
      </c>
      <c r="CF219" s="171"/>
      <c r="CG219" s="171"/>
      <c r="CH219" s="171">
        <v>1</v>
      </c>
      <c r="CI219" s="171"/>
      <c r="CJ219" s="171"/>
      <c r="CK219" s="171"/>
      <c r="CL219" s="171"/>
    </row>
    <row r="220" spans="1:91">
      <c r="A220" s="171">
        <v>269</v>
      </c>
      <c r="B220" s="171" t="s">
        <v>1252</v>
      </c>
      <c r="C220" s="171">
        <v>213</v>
      </c>
      <c r="D220" s="171" t="str">
        <f t="shared" si="41"/>
        <v>CN NZ SBT RE100</v>
      </c>
      <c r="E220" s="171" t="s">
        <v>7223</v>
      </c>
      <c r="F220" s="174">
        <v>45476</v>
      </c>
      <c r="G220" s="171" t="s">
        <v>7220</v>
      </c>
      <c r="H220" s="173">
        <v>3263</v>
      </c>
      <c r="I220" s="171"/>
      <c r="J220" s="171" t="s">
        <v>186</v>
      </c>
      <c r="K220" s="171" t="s">
        <v>4457</v>
      </c>
      <c r="L220" s="171" t="s">
        <v>2029</v>
      </c>
      <c r="M220" s="171" t="s">
        <v>4174</v>
      </c>
      <c r="N220" s="171">
        <v>2016</v>
      </c>
      <c r="O220" s="171">
        <v>2025</v>
      </c>
      <c r="P220" s="171" t="s">
        <v>4174</v>
      </c>
      <c r="Q220" s="171" t="s">
        <v>22</v>
      </c>
      <c r="R220" s="171" t="s">
        <v>7233</v>
      </c>
      <c r="S220" s="171">
        <v>2025</v>
      </c>
      <c r="T220" s="171" t="s">
        <v>361</v>
      </c>
      <c r="U220" s="171"/>
      <c r="V220" s="172">
        <v>44774</v>
      </c>
      <c r="W220" s="171">
        <v>2022</v>
      </c>
      <c r="X220" s="171" t="s">
        <v>1957</v>
      </c>
      <c r="Y220" s="171" t="s">
        <v>1659</v>
      </c>
      <c r="Z220" s="171" t="s">
        <v>3283</v>
      </c>
      <c r="AA220" s="171" t="s">
        <v>1957</v>
      </c>
      <c r="AB220" s="171">
        <v>2025</v>
      </c>
      <c r="AC220" s="171">
        <v>2021</v>
      </c>
      <c r="AD220" s="171"/>
      <c r="AE220" s="171"/>
      <c r="AF220" s="171"/>
      <c r="AG220" s="171" t="s">
        <v>4174</v>
      </c>
      <c r="AH220" s="171">
        <v>2023</v>
      </c>
      <c r="AI220" s="171" t="s">
        <v>4174</v>
      </c>
      <c r="AJ220" s="171" t="s">
        <v>7807</v>
      </c>
      <c r="AK220" s="171"/>
      <c r="AL220" s="176" t="s">
        <v>7806</v>
      </c>
      <c r="AM220" s="171"/>
      <c r="AN220" s="171" t="s">
        <v>4172</v>
      </c>
      <c r="AO220" s="171" t="s">
        <v>2760</v>
      </c>
      <c r="AP220" s="171" t="s">
        <v>2072</v>
      </c>
      <c r="AQ220" s="171" t="s">
        <v>4172</v>
      </c>
      <c r="AR220" s="171">
        <v>2040</v>
      </c>
      <c r="AS220" s="171">
        <v>2021</v>
      </c>
      <c r="AT220" s="171"/>
      <c r="AU220" s="171"/>
      <c r="AV220" s="171"/>
      <c r="AW220" s="171" t="s">
        <v>4174</v>
      </c>
      <c r="AX220" s="171" t="s">
        <v>7806</v>
      </c>
      <c r="AY220" s="171"/>
      <c r="AZ220" s="171"/>
      <c r="BA220" s="171"/>
      <c r="BB220" s="171"/>
      <c r="BC220" s="171"/>
      <c r="BD220" s="171" t="s">
        <v>4174</v>
      </c>
      <c r="BE220" s="171" t="s">
        <v>7805</v>
      </c>
      <c r="BF220" s="225" t="s">
        <v>5032</v>
      </c>
      <c r="BG220" s="171"/>
      <c r="BH220" s="171"/>
      <c r="BI220" s="171"/>
      <c r="BJ220" s="171"/>
      <c r="BK220" s="171">
        <v>1</v>
      </c>
      <c r="BL220" s="171"/>
      <c r="BM220" s="171">
        <v>1</v>
      </c>
      <c r="BN220" s="171"/>
      <c r="BO220" s="171"/>
      <c r="BP220" s="171">
        <v>1</v>
      </c>
      <c r="BQ220" s="171">
        <v>1</v>
      </c>
      <c r="BR220" s="171"/>
      <c r="BS220" s="171">
        <v>1</v>
      </c>
      <c r="BT220" s="171"/>
      <c r="BU220" s="171">
        <v>1</v>
      </c>
      <c r="BV220" s="171"/>
      <c r="BW220" s="171">
        <v>1</v>
      </c>
      <c r="BX220" s="171"/>
      <c r="BY220" s="171">
        <v>1</v>
      </c>
      <c r="BZ220" s="171">
        <v>1</v>
      </c>
      <c r="CA220" s="171">
        <v>1</v>
      </c>
      <c r="CB220" s="171">
        <v>1</v>
      </c>
      <c r="CC220" s="171">
        <v>1</v>
      </c>
      <c r="CD220" s="171"/>
      <c r="CE220" s="171">
        <v>1</v>
      </c>
      <c r="CF220" s="171"/>
      <c r="CG220" s="171">
        <v>1</v>
      </c>
      <c r="CH220" s="171">
        <v>1</v>
      </c>
      <c r="CI220" s="171"/>
      <c r="CJ220" s="171"/>
      <c r="CK220" s="171">
        <v>1</v>
      </c>
      <c r="CL220" s="171">
        <v>1</v>
      </c>
      <c r="CM220">
        <f t="shared" si="42"/>
        <v>2040</v>
      </c>
    </row>
    <row r="221" spans="1:91">
      <c r="A221" s="171">
        <v>67</v>
      </c>
      <c r="B221" s="171" t="s">
        <v>1542</v>
      </c>
      <c r="C221" s="171">
        <v>130</v>
      </c>
      <c r="D221" s="171" t="str">
        <f t="shared" si="41"/>
        <v xml:space="preserve"> NZ RE100</v>
      </c>
      <c r="E221" s="171" t="s">
        <v>7288</v>
      </c>
      <c r="F221" s="174">
        <v>45476</v>
      </c>
      <c r="G221" s="171" t="s">
        <v>7223</v>
      </c>
      <c r="H221" s="173">
        <v>23533</v>
      </c>
      <c r="I221" s="171"/>
      <c r="J221" s="171" t="s">
        <v>4465</v>
      </c>
      <c r="K221" s="171" t="s">
        <v>4195</v>
      </c>
      <c r="L221" s="171" t="s">
        <v>1951</v>
      </c>
      <c r="M221" s="171" t="s">
        <v>4174</v>
      </c>
      <c r="N221" s="171">
        <v>2017</v>
      </c>
      <c r="O221" s="171">
        <v>2030</v>
      </c>
      <c r="P221" s="171" t="s">
        <v>5032</v>
      </c>
      <c r="Q221" s="171"/>
      <c r="R221" s="171"/>
      <c r="S221" s="171"/>
      <c r="T221" s="171"/>
      <c r="U221" s="171"/>
      <c r="V221" s="175"/>
      <c r="W221" s="171"/>
      <c r="X221" s="171" t="s">
        <v>5032</v>
      </c>
      <c r="Y221" s="171"/>
      <c r="Z221" s="171"/>
      <c r="AA221" s="171" t="s">
        <v>5032</v>
      </c>
      <c r="AB221" s="171"/>
      <c r="AC221" s="171"/>
      <c r="AD221" s="171"/>
      <c r="AE221" s="171"/>
      <c r="AF221" s="171"/>
      <c r="AG221" s="171"/>
      <c r="AH221" s="171"/>
      <c r="AI221" s="171"/>
      <c r="AJ221" s="171"/>
      <c r="AK221" s="171"/>
      <c r="AL221" s="171"/>
      <c r="AM221" s="171"/>
      <c r="AN221" s="171" t="s">
        <v>7218</v>
      </c>
      <c r="AO221" s="171" t="s">
        <v>7804</v>
      </c>
      <c r="AP221" s="171" t="s">
        <v>2072</v>
      </c>
      <c r="AQ221" s="171" t="s">
        <v>1957</v>
      </c>
      <c r="AR221" s="171">
        <v>2030</v>
      </c>
      <c r="AS221" s="171">
        <v>2020</v>
      </c>
      <c r="AT221" s="171" t="s">
        <v>5050</v>
      </c>
      <c r="AU221" s="171">
        <v>2050</v>
      </c>
      <c r="AV221" s="171">
        <v>2020</v>
      </c>
      <c r="AW221" s="171" t="s">
        <v>4174</v>
      </c>
      <c r="AX221" s="171" t="s">
        <v>7803</v>
      </c>
      <c r="AY221" s="171">
        <v>2023</v>
      </c>
      <c r="AZ221" s="171" t="s">
        <v>4174</v>
      </c>
      <c r="BA221" s="171" t="s">
        <v>7802</v>
      </c>
      <c r="BB221" s="171"/>
      <c r="BC221" s="171" t="s">
        <v>7801</v>
      </c>
      <c r="BD221" s="171"/>
      <c r="BE221" s="171"/>
      <c r="BF221" s="225"/>
      <c r="BG221" s="171"/>
      <c r="BH221" s="171"/>
      <c r="BI221" s="171"/>
      <c r="BJ221" s="171"/>
      <c r="BK221" s="171"/>
      <c r="BL221" s="171"/>
      <c r="BM221" s="171"/>
      <c r="BN221" s="171"/>
      <c r="BO221" s="171">
        <v>1</v>
      </c>
      <c r="BP221" s="171"/>
      <c r="BQ221" s="171">
        <v>1</v>
      </c>
      <c r="BR221" s="171"/>
      <c r="BS221" s="171"/>
      <c r="BT221" s="171"/>
      <c r="BU221" s="171"/>
      <c r="BV221" s="171"/>
      <c r="BW221" s="171">
        <v>1</v>
      </c>
      <c r="BX221" s="171"/>
      <c r="BY221" s="171">
        <v>1</v>
      </c>
      <c r="BZ221" s="171">
        <v>1</v>
      </c>
      <c r="CA221" s="171">
        <v>1</v>
      </c>
      <c r="CB221" s="171">
        <v>1</v>
      </c>
      <c r="CC221" s="171">
        <v>1</v>
      </c>
      <c r="CD221" s="171"/>
      <c r="CE221" s="171">
        <v>1</v>
      </c>
      <c r="CF221" s="171"/>
      <c r="CG221" s="171">
        <v>1</v>
      </c>
      <c r="CH221" s="171">
        <v>1</v>
      </c>
      <c r="CI221" s="171"/>
      <c r="CJ221" s="171"/>
      <c r="CK221" s="171">
        <v>1</v>
      </c>
      <c r="CL221" s="171">
        <v>1</v>
      </c>
      <c r="CM221">
        <f t="shared" si="42"/>
        <v>2030</v>
      </c>
    </row>
    <row r="222" spans="1:91">
      <c r="A222" s="171">
        <v>103</v>
      </c>
      <c r="B222" s="171" t="s">
        <v>1683</v>
      </c>
      <c r="C222" s="171">
        <v>111</v>
      </c>
      <c r="D222" s="171" t="str">
        <f t="shared" si="41"/>
        <v/>
      </c>
      <c r="E222" s="171" t="s">
        <v>7228</v>
      </c>
      <c r="F222" s="174">
        <v>45475</v>
      </c>
      <c r="G222" s="171" t="s">
        <v>7223</v>
      </c>
      <c r="H222" s="173">
        <v>12274.4</v>
      </c>
      <c r="I222" s="171"/>
      <c r="J222" s="171" t="s">
        <v>4190</v>
      </c>
      <c r="K222" s="171" t="s">
        <v>73</v>
      </c>
      <c r="L222" s="171" t="s">
        <v>1994</v>
      </c>
      <c r="M222" s="171" t="s">
        <v>5032</v>
      </c>
      <c r="N222" s="171"/>
      <c r="O222" s="171"/>
      <c r="P222" s="171" t="s">
        <v>5032</v>
      </c>
      <c r="Q222" s="171"/>
      <c r="R222" s="171"/>
      <c r="S222" s="171"/>
      <c r="T222" s="171"/>
      <c r="U222" s="171"/>
      <c r="V222" s="175"/>
      <c r="W222" s="171"/>
      <c r="X222" s="171" t="s">
        <v>5032</v>
      </c>
      <c r="Y222" s="171"/>
      <c r="Z222" s="171"/>
      <c r="AA222" s="171" t="s">
        <v>5032</v>
      </c>
      <c r="AB222" s="171"/>
      <c r="AC222" s="171"/>
      <c r="AD222" s="171"/>
      <c r="AE222" s="171"/>
      <c r="AF222" s="171"/>
      <c r="AG222" s="171"/>
      <c r="AH222" s="171"/>
      <c r="AI222" s="171"/>
      <c r="AJ222" s="171"/>
      <c r="AK222" s="171"/>
      <c r="AL222" s="171" t="s">
        <v>7800</v>
      </c>
      <c r="AM222" s="171"/>
      <c r="AN222" s="171" t="s">
        <v>5032</v>
      </c>
      <c r="AO222" s="171"/>
      <c r="AP222" s="171"/>
      <c r="AQ222" s="171" t="s">
        <v>5032</v>
      </c>
      <c r="AR222" s="171"/>
      <c r="AS222" s="171"/>
      <c r="AT222" s="171"/>
      <c r="AU222" s="171"/>
      <c r="AV222" s="171"/>
      <c r="AW222" s="171"/>
      <c r="AX222" s="171"/>
      <c r="AY222" s="171"/>
      <c r="AZ222" s="171"/>
      <c r="BA222" s="171"/>
      <c r="BB222" s="171"/>
      <c r="BC222" s="171"/>
      <c r="BD222" s="171" t="s">
        <v>4174</v>
      </c>
      <c r="BE222" s="171" t="s">
        <v>7800</v>
      </c>
      <c r="BF222" s="225"/>
      <c r="BG222" s="171"/>
      <c r="BH222" s="171"/>
      <c r="BI222" s="171"/>
      <c r="BJ222" s="171"/>
      <c r="BK222" s="171"/>
      <c r="BL222" s="171"/>
      <c r="BM222" s="171"/>
      <c r="BN222" s="171"/>
      <c r="BO222" s="171"/>
      <c r="BP222" s="171"/>
      <c r="BQ222" s="171"/>
      <c r="BR222" s="171"/>
      <c r="BS222" s="171"/>
      <c r="BT222" s="171"/>
      <c r="BU222" s="171"/>
      <c r="BV222" s="171"/>
      <c r="BW222" s="171"/>
      <c r="BX222" s="171"/>
      <c r="BY222" s="171"/>
      <c r="BZ222" s="171"/>
      <c r="CA222" s="171"/>
      <c r="CB222" s="171"/>
      <c r="CC222" s="171"/>
      <c r="CD222" s="171"/>
      <c r="CE222" s="171"/>
      <c r="CF222" s="171"/>
      <c r="CG222" s="171"/>
      <c r="CH222" s="171"/>
      <c r="CI222" s="171"/>
      <c r="CJ222" s="171"/>
      <c r="CK222" s="171"/>
      <c r="CL222" s="171"/>
    </row>
    <row r="223" spans="1:91">
      <c r="A223" s="171">
        <v>92</v>
      </c>
      <c r="B223" s="171" t="s">
        <v>1227</v>
      </c>
      <c r="C223" s="171">
        <v>116</v>
      </c>
      <c r="D223" s="171" t="str">
        <f t="shared" si="41"/>
        <v xml:space="preserve"> SBT</v>
      </c>
      <c r="E223" s="171" t="s">
        <v>7228</v>
      </c>
      <c r="F223" s="174">
        <v>45475</v>
      </c>
      <c r="G223" s="171" t="s">
        <v>7223</v>
      </c>
      <c r="H223" s="173">
        <v>2489</v>
      </c>
      <c r="I223" s="171"/>
      <c r="J223" s="171" t="s">
        <v>4201</v>
      </c>
      <c r="K223" s="171" t="s">
        <v>4457</v>
      </c>
      <c r="L223" s="171" t="s">
        <v>2029</v>
      </c>
      <c r="M223" s="171" t="s">
        <v>5032</v>
      </c>
      <c r="N223" s="171"/>
      <c r="O223" s="171"/>
      <c r="P223" s="171" t="s">
        <v>4174</v>
      </c>
      <c r="Q223" s="171" t="s">
        <v>22</v>
      </c>
      <c r="R223" s="171" t="s">
        <v>7233</v>
      </c>
      <c r="S223" s="171">
        <v>2032</v>
      </c>
      <c r="T223" s="171" t="s">
        <v>1</v>
      </c>
      <c r="U223" s="171"/>
      <c r="V223" s="172">
        <v>45261</v>
      </c>
      <c r="W223" s="171">
        <v>2023</v>
      </c>
      <c r="X223" s="171" t="s">
        <v>5032</v>
      </c>
      <c r="Y223" s="171"/>
      <c r="Z223" s="171"/>
      <c r="AA223" s="171" t="s">
        <v>5032</v>
      </c>
      <c r="AB223" s="171"/>
      <c r="AC223" s="171"/>
      <c r="AD223" s="171"/>
      <c r="AE223" s="171"/>
      <c r="AF223" s="171"/>
      <c r="AG223" s="171"/>
      <c r="AH223" s="171"/>
      <c r="AI223" s="171"/>
      <c r="AJ223" s="171"/>
      <c r="AK223" s="171"/>
      <c r="AL223" s="171" t="s">
        <v>7799</v>
      </c>
      <c r="AM223" s="171"/>
      <c r="AN223" s="171" t="s">
        <v>5032</v>
      </c>
      <c r="AO223" s="171"/>
      <c r="AP223" s="171"/>
      <c r="AQ223" s="171" t="s">
        <v>5032</v>
      </c>
      <c r="AR223" s="171"/>
      <c r="AS223" s="171"/>
      <c r="AT223" s="171"/>
      <c r="AU223" s="171"/>
      <c r="AV223" s="171"/>
      <c r="AW223" s="171"/>
      <c r="AX223" s="171"/>
      <c r="AY223" s="171"/>
      <c r="AZ223" s="171"/>
      <c r="BA223" s="171"/>
      <c r="BB223" s="171"/>
      <c r="BC223" s="171"/>
      <c r="BD223" s="171"/>
      <c r="BE223" s="171"/>
      <c r="BF223" s="225"/>
      <c r="BG223" s="171"/>
      <c r="BH223" s="171"/>
      <c r="BI223" s="171"/>
      <c r="BJ223" s="171"/>
      <c r="BK223" s="171"/>
      <c r="BL223" s="171"/>
      <c r="BM223" s="171"/>
      <c r="BN223" s="171"/>
      <c r="BO223" s="171"/>
      <c r="BP223" s="171"/>
      <c r="BQ223" s="171"/>
      <c r="BR223" s="171"/>
      <c r="BS223" s="171"/>
      <c r="BT223" s="171">
        <v>1</v>
      </c>
      <c r="BU223" s="171">
        <v>1</v>
      </c>
      <c r="BV223" s="171"/>
      <c r="BW223" s="171"/>
      <c r="BX223" s="171"/>
      <c r="BY223" s="171"/>
      <c r="BZ223" s="171"/>
      <c r="CA223" s="171"/>
      <c r="CB223" s="171"/>
      <c r="CC223" s="171"/>
      <c r="CD223" s="171"/>
      <c r="CE223" s="171">
        <v>1</v>
      </c>
      <c r="CF223" s="171"/>
      <c r="CG223" s="171"/>
      <c r="CH223" s="171">
        <v>1</v>
      </c>
      <c r="CI223" s="171"/>
      <c r="CJ223" s="171"/>
      <c r="CK223" s="171"/>
      <c r="CL223" s="171"/>
    </row>
    <row r="224" spans="1:91">
      <c r="A224" s="171">
        <v>475</v>
      </c>
      <c r="B224" s="171" t="s">
        <v>4567</v>
      </c>
      <c r="C224" s="171">
        <v>466</v>
      </c>
      <c r="D224" s="171" t="str">
        <f t="shared" si="41"/>
        <v/>
      </c>
      <c r="E224" s="171" t="s">
        <v>7259</v>
      </c>
      <c r="F224" s="174">
        <v>45511</v>
      </c>
      <c r="G224" s="171" t="s">
        <v>7220</v>
      </c>
      <c r="H224" s="173">
        <v>834</v>
      </c>
      <c r="I224" s="171"/>
      <c r="J224" s="171" t="s">
        <v>4494</v>
      </c>
      <c r="K224" s="171" t="s">
        <v>73</v>
      </c>
      <c r="L224" s="171" t="s">
        <v>1994</v>
      </c>
      <c r="M224" s="171" t="s">
        <v>5032</v>
      </c>
      <c r="N224" s="171"/>
      <c r="O224" s="171"/>
      <c r="P224" s="171" t="s">
        <v>5032</v>
      </c>
      <c r="Q224" s="171"/>
      <c r="R224" s="171"/>
      <c r="S224" s="171"/>
      <c r="T224" s="171"/>
      <c r="U224" s="171"/>
      <c r="V224" s="175"/>
      <c r="W224" s="171"/>
      <c r="X224" s="171" t="s">
        <v>5032</v>
      </c>
      <c r="Y224" s="171"/>
      <c r="Z224" s="171"/>
      <c r="AA224" s="171" t="s">
        <v>5032</v>
      </c>
      <c r="AB224" s="171"/>
      <c r="AC224" s="171"/>
      <c r="AD224" s="171"/>
      <c r="AE224" s="171"/>
      <c r="AF224" s="171"/>
      <c r="AG224" s="171"/>
      <c r="AH224" s="171"/>
      <c r="AI224" s="171"/>
      <c r="AJ224" s="171"/>
      <c r="AK224" s="171"/>
      <c r="AL224" s="171"/>
      <c r="AM224" s="171"/>
      <c r="AN224" s="171" t="s">
        <v>5032</v>
      </c>
      <c r="AO224" s="171"/>
      <c r="AP224" s="171"/>
      <c r="AQ224" s="171" t="s">
        <v>5032</v>
      </c>
      <c r="AR224" s="171"/>
      <c r="AS224" s="171"/>
      <c r="AT224" s="171"/>
      <c r="AU224" s="171"/>
      <c r="AV224" s="171"/>
      <c r="AW224" s="171"/>
      <c r="AX224" s="171"/>
      <c r="AY224" s="171"/>
      <c r="AZ224" s="171"/>
      <c r="BA224" s="171"/>
      <c r="BB224" s="171"/>
      <c r="BC224" s="171"/>
      <c r="BD224" s="171"/>
      <c r="BE224" s="171"/>
      <c r="BF224" s="225"/>
      <c r="BG224" s="171"/>
      <c r="BH224" s="171"/>
      <c r="BI224" s="171"/>
      <c r="BJ224" s="171"/>
      <c r="BK224" s="171"/>
      <c r="BL224" s="171"/>
      <c r="BM224" s="171"/>
      <c r="BN224" s="171"/>
      <c r="BO224" s="171"/>
      <c r="BP224" s="171"/>
      <c r="BQ224" s="171"/>
      <c r="BR224" s="171"/>
      <c r="BS224" s="171"/>
      <c r="BT224" s="171"/>
      <c r="BU224" s="171"/>
      <c r="BV224" s="171"/>
      <c r="BW224" s="171"/>
      <c r="BX224" s="171"/>
      <c r="BY224" s="171"/>
      <c r="BZ224" s="171"/>
      <c r="CA224" s="171"/>
      <c r="CB224" s="171"/>
      <c r="CC224" s="171"/>
      <c r="CD224" s="171"/>
      <c r="CE224" s="171"/>
      <c r="CF224" s="171"/>
      <c r="CG224" s="171"/>
      <c r="CH224" s="171"/>
      <c r="CI224" s="171"/>
      <c r="CJ224" s="171"/>
      <c r="CK224" s="171"/>
      <c r="CL224" s="171"/>
    </row>
    <row r="225" spans="1:91">
      <c r="A225" s="171">
        <v>339</v>
      </c>
      <c r="B225" s="171" t="s">
        <v>520</v>
      </c>
      <c r="C225" s="171">
        <v>372</v>
      </c>
      <c r="D225" s="171" t="str">
        <f t="shared" si="41"/>
        <v xml:space="preserve"> NZ SBT RE100</v>
      </c>
      <c r="E225" s="171" t="s">
        <v>7220</v>
      </c>
      <c r="F225" s="174">
        <v>45481</v>
      </c>
      <c r="G225" s="171" t="s">
        <v>7220</v>
      </c>
      <c r="H225" s="173">
        <v>2620.6</v>
      </c>
      <c r="I225" s="171"/>
      <c r="J225" s="171" t="s">
        <v>4476</v>
      </c>
      <c r="K225" s="171" t="s">
        <v>114</v>
      </c>
      <c r="L225" s="171" t="s">
        <v>1994</v>
      </c>
      <c r="M225" s="171" t="s">
        <v>4174</v>
      </c>
      <c r="N225" s="171">
        <v>2022</v>
      </c>
      <c r="O225" s="171">
        <v>2040</v>
      </c>
      <c r="P225" s="171" t="s">
        <v>5032</v>
      </c>
      <c r="Q225" s="171" t="s">
        <v>165</v>
      </c>
      <c r="R225" s="171"/>
      <c r="S225" s="171">
        <v>2030</v>
      </c>
      <c r="T225" s="171" t="s">
        <v>361</v>
      </c>
      <c r="U225" s="171"/>
      <c r="V225" s="172">
        <v>44470</v>
      </c>
      <c r="W225" s="171">
        <v>2021</v>
      </c>
      <c r="X225" s="171" t="s">
        <v>5032</v>
      </c>
      <c r="Y225" s="171"/>
      <c r="Z225" s="171"/>
      <c r="AA225" s="171" t="s">
        <v>5032</v>
      </c>
      <c r="AB225" s="171"/>
      <c r="AC225" s="171"/>
      <c r="AD225" s="171"/>
      <c r="AE225" s="171"/>
      <c r="AF225" s="171"/>
      <c r="AG225" s="171"/>
      <c r="AH225" s="171"/>
      <c r="AI225" s="171"/>
      <c r="AJ225" s="171"/>
      <c r="AK225" s="171"/>
      <c r="AL225" s="171"/>
      <c r="AM225" s="171"/>
      <c r="AN225" s="171" t="s">
        <v>7227</v>
      </c>
      <c r="AO225" s="171" t="s">
        <v>7798</v>
      </c>
      <c r="AP225" s="171" t="s">
        <v>2072</v>
      </c>
      <c r="AQ225" s="171" t="s">
        <v>1957</v>
      </c>
      <c r="AR225" s="171">
        <v>2040</v>
      </c>
      <c r="AS225" s="171">
        <v>2021</v>
      </c>
      <c r="AT225" s="171" t="s">
        <v>4172</v>
      </c>
      <c r="AU225" s="171">
        <v>2045</v>
      </c>
      <c r="AV225" s="171">
        <v>2021</v>
      </c>
      <c r="AW225" s="171" t="s">
        <v>4174</v>
      </c>
      <c r="AX225" s="171" t="s">
        <v>7797</v>
      </c>
      <c r="AY225" s="171"/>
      <c r="AZ225" s="171"/>
      <c r="BA225" s="171"/>
      <c r="BB225" s="171"/>
      <c r="BC225" s="171"/>
      <c r="BD225" s="171"/>
      <c r="BE225" s="171"/>
      <c r="BF225" s="225"/>
      <c r="BG225" s="171"/>
      <c r="BH225" s="171"/>
      <c r="BI225" s="171"/>
      <c r="BJ225" s="171"/>
      <c r="BK225" s="171"/>
      <c r="BL225" s="171"/>
      <c r="BM225" s="171"/>
      <c r="BN225" s="171"/>
      <c r="BO225" s="171"/>
      <c r="BP225" s="171">
        <v>1</v>
      </c>
      <c r="BQ225" s="171">
        <v>1</v>
      </c>
      <c r="BR225" s="171"/>
      <c r="BS225" s="171">
        <v>1</v>
      </c>
      <c r="BT225" s="171"/>
      <c r="BU225" s="171">
        <v>1</v>
      </c>
      <c r="BV225" s="171"/>
      <c r="BW225" s="171"/>
      <c r="BX225" s="171">
        <v>1</v>
      </c>
      <c r="BY225" s="171">
        <v>1</v>
      </c>
      <c r="BZ225" s="171">
        <v>1</v>
      </c>
      <c r="CA225" s="171"/>
      <c r="CB225" s="171">
        <v>1</v>
      </c>
      <c r="CC225" s="171">
        <v>1</v>
      </c>
      <c r="CD225" s="171"/>
      <c r="CE225" s="171">
        <v>1</v>
      </c>
      <c r="CF225" s="171"/>
      <c r="CG225" s="171">
        <v>1</v>
      </c>
      <c r="CH225" s="171">
        <v>1</v>
      </c>
      <c r="CI225" s="171"/>
      <c r="CJ225" s="171"/>
      <c r="CK225" s="171">
        <v>1</v>
      </c>
      <c r="CL225" s="171">
        <v>1</v>
      </c>
      <c r="CM225">
        <f t="shared" si="42"/>
        <v>2040</v>
      </c>
    </row>
    <row r="226" spans="1:91">
      <c r="A226" s="171">
        <v>73</v>
      </c>
      <c r="B226" s="171" t="s">
        <v>1558</v>
      </c>
      <c r="C226" s="171">
        <v>85</v>
      </c>
      <c r="D226" s="171" t="str">
        <f t="shared" si="41"/>
        <v>CN RE100</v>
      </c>
      <c r="E226" s="171" t="s">
        <v>7221</v>
      </c>
      <c r="F226" s="174">
        <v>45475</v>
      </c>
      <c r="G226" s="171" t="s">
        <v>7220</v>
      </c>
      <c r="H226" s="173">
        <v>9158.6</v>
      </c>
      <c r="I226" s="171"/>
      <c r="J226" s="171" t="s">
        <v>4476</v>
      </c>
      <c r="K226" s="171" t="s">
        <v>114</v>
      </c>
      <c r="L226" s="171" t="s">
        <v>1994</v>
      </c>
      <c r="M226" s="171" t="s">
        <v>4174</v>
      </c>
      <c r="N226" s="171">
        <v>2022</v>
      </c>
      <c r="O226" s="171">
        <v>2045</v>
      </c>
      <c r="P226" s="171" t="s">
        <v>5032</v>
      </c>
      <c r="Q226" s="171"/>
      <c r="R226" s="171"/>
      <c r="S226" s="171"/>
      <c r="T226" s="171"/>
      <c r="U226" s="171"/>
      <c r="V226" s="175"/>
      <c r="W226" s="171"/>
      <c r="X226" s="171" t="s">
        <v>4172</v>
      </c>
      <c r="Y226" s="171" t="s">
        <v>1435</v>
      </c>
      <c r="Z226" s="171" t="s">
        <v>3283</v>
      </c>
      <c r="AA226" s="171" t="s">
        <v>4172</v>
      </c>
      <c r="AB226" s="171">
        <v>2045</v>
      </c>
      <c r="AC226" s="171">
        <v>2021</v>
      </c>
      <c r="AD226" s="171"/>
      <c r="AE226" s="171"/>
      <c r="AF226" s="171"/>
      <c r="AG226" s="171" t="s">
        <v>4174</v>
      </c>
      <c r="AH226" s="171"/>
      <c r="AI226" s="171" t="s">
        <v>4174</v>
      </c>
      <c r="AJ226" s="171"/>
      <c r="AK226" s="171"/>
      <c r="AL226" s="171" t="s">
        <v>7796</v>
      </c>
      <c r="AM226" s="171" t="s">
        <v>7795</v>
      </c>
      <c r="AN226" s="171" t="s">
        <v>7229</v>
      </c>
      <c r="AO226" s="171"/>
      <c r="AP226" s="171"/>
      <c r="AQ226" s="171" t="s">
        <v>7229</v>
      </c>
      <c r="AR226" s="171"/>
      <c r="AS226" s="171"/>
      <c r="AT226" s="171"/>
      <c r="AU226" s="171"/>
      <c r="AV226" s="171"/>
      <c r="AW226" s="171"/>
      <c r="AX226" s="171"/>
      <c r="AY226" s="171"/>
      <c r="AZ226" s="171"/>
      <c r="BA226" s="171"/>
      <c r="BB226" s="171"/>
      <c r="BC226" s="171" t="s">
        <v>7794</v>
      </c>
      <c r="BD226" s="171"/>
      <c r="BE226" s="171"/>
      <c r="BF226" s="225"/>
      <c r="BG226" s="171"/>
      <c r="BH226" s="171"/>
      <c r="BI226" s="171"/>
      <c r="BJ226" s="171"/>
      <c r="BK226" s="171"/>
      <c r="BL226" s="171">
        <v>1</v>
      </c>
      <c r="BM226" s="171">
        <v>1</v>
      </c>
      <c r="BN226" s="171"/>
      <c r="BO226" s="171"/>
      <c r="BP226" s="171"/>
      <c r="BQ226" s="171"/>
      <c r="BR226" s="171"/>
      <c r="BS226" s="171"/>
      <c r="BT226" s="171"/>
      <c r="BU226" s="171"/>
      <c r="BV226" s="171"/>
      <c r="BW226" s="171"/>
      <c r="BX226" s="171">
        <v>1</v>
      </c>
      <c r="BY226" s="171">
        <v>1</v>
      </c>
      <c r="BZ226" s="171">
        <v>1</v>
      </c>
      <c r="CA226" s="171"/>
      <c r="CB226" s="171">
        <v>1</v>
      </c>
      <c r="CC226" s="171">
        <v>1</v>
      </c>
      <c r="CD226" s="171"/>
      <c r="CE226" s="171">
        <v>1</v>
      </c>
      <c r="CF226" s="171"/>
      <c r="CG226" s="171"/>
      <c r="CH226" s="171">
        <v>1</v>
      </c>
      <c r="CI226" s="171"/>
      <c r="CJ226" s="171"/>
      <c r="CK226" s="171"/>
      <c r="CL226" s="171"/>
    </row>
    <row r="227" spans="1:91">
      <c r="A227" s="171">
        <v>273</v>
      </c>
      <c r="B227" s="171" t="s">
        <v>866</v>
      </c>
      <c r="C227" s="171">
        <v>246</v>
      </c>
      <c r="D227" s="171" t="str">
        <f t="shared" si="41"/>
        <v>CN NZ SBT</v>
      </c>
      <c r="E227" s="171" t="s">
        <v>7223</v>
      </c>
      <c r="F227" s="174">
        <v>45477</v>
      </c>
      <c r="G227" s="171" t="s">
        <v>7223</v>
      </c>
      <c r="H227" s="173">
        <v>5192.3</v>
      </c>
      <c r="I227" s="171"/>
      <c r="J227" s="171" t="s">
        <v>4199</v>
      </c>
      <c r="K227" s="171" t="s">
        <v>267</v>
      </c>
      <c r="L227" s="171" t="s">
        <v>1951</v>
      </c>
      <c r="M227" s="171" t="s">
        <v>5032</v>
      </c>
      <c r="N227" s="171"/>
      <c r="O227" s="171"/>
      <c r="P227" s="171" t="s">
        <v>4174</v>
      </c>
      <c r="Q227" s="171" t="s">
        <v>22</v>
      </c>
      <c r="R227" s="171" t="s">
        <v>7233</v>
      </c>
      <c r="S227" s="171">
        <v>2030</v>
      </c>
      <c r="T227" s="171" t="s">
        <v>361</v>
      </c>
      <c r="U227" s="171">
        <v>2039</v>
      </c>
      <c r="V227" s="172">
        <v>44866</v>
      </c>
      <c r="W227" s="171">
        <v>2022</v>
      </c>
      <c r="X227" s="171" t="s">
        <v>1957</v>
      </c>
      <c r="Y227" s="171" t="s">
        <v>7793</v>
      </c>
      <c r="Z227" s="171" t="s">
        <v>3283</v>
      </c>
      <c r="AA227" s="171" t="s">
        <v>1957</v>
      </c>
      <c r="AB227" s="171">
        <v>2030</v>
      </c>
      <c r="AC227" s="171">
        <v>2022</v>
      </c>
      <c r="AD227" s="171"/>
      <c r="AE227" s="171"/>
      <c r="AF227" s="171"/>
      <c r="AG227" s="171" t="s">
        <v>4174</v>
      </c>
      <c r="AH227" s="171">
        <v>2024</v>
      </c>
      <c r="AI227" s="171" t="s">
        <v>4174</v>
      </c>
      <c r="AJ227" s="176" t="s">
        <v>7791</v>
      </c>
      <c r="AK227" s="171"/>
      <c r="AL227" s="171" t="s">
        <v>7792</v>
      </c>
      <c r="AM227" s="171"/>
      <c r="AN227" s="171" t="s">
        <v>4172</v>
      </c>
      <c r="AO227" s="171" t="s">
        <v>3452</v>
      </c>
      <c r="AP227" s="171" t="s">
        <v>2072</v>
      </c>
      <c r="AQ227" s="171" t="s">
        <v>4172</v>
      </c>
      <c r="AR227" s="171">
        <v>2040</v>
      </c>
      <c r="AS227" s="171">
        <v>2022</v>
      </c>
      <c r="AT227" s="171"/>
      <c r="AU227" s="171"/>
      <c r="AV227" s="171"/>
      <c r="AW227" s="171" t="s">
        <v>4174</v>
      </c>
      <c r="AX227" s="171" t="s">
        <v>7792</v>
      </c>
      <c r="AY227" s="171"/>
      <c r="AZ227" s="171"/>
      <c r="BA227" s="171"/>
      <c r="BB227" s="171"/>
      <c r="BC227" s="171"/>
      <c r="BD227" s="171"/>
      <c r="BE227" s="171"/>
      <c r="BF227" s="225" t="s">
        <v>4174</v>
      </c>
      <c r="BG227" s="171" t="s">
        <v>7791</v>
      </c>
      <c r="BH227" s="171"/>
      <c r="BI227" s="171"/>
      <c r="BJ227" s="171"/>
      <c r="BK227" s="171">
        <v>1</v>
      </c>
      <c r="BL227" s="171"/>
      <c r="BM227" s="171">
        <v>1</v>
      </c>
      <c r="BN227" s="171"/>
      <c r="BO227" s="171"/>
      <c r="BP227" s="171">
        <v>1</v>
      </c>
      <c r="BQ227" s="171">
        <v>1</v>
      </c>
      <c r="BR227" s="171"/>
      <c r="BS227" s="171">
        <v>1</v>
      </c>
      <c r="BT227" s="171"/>
      <c r="BU227" s="171">
        <v>1</v>
      </c>
      <c r="BV227" s="171"/>
      <c r="BW227" s="171"/>
      <c r="BX227" s="171"/>
      <c r="BY227" s="171"/>
      <c r="BZ227" s="171">
        <v>1</v>
      </c>
      <c r="CA227" s="171">
        <v>1</v>
      </c>
      <c r="CB227" s="171">
        <v>1</v>
      </c>
      <c r="CC227" s="171">
        <v>1</v>
      </c>
      <c r="CD227" s="171"/>
      <c r="CE227" s="171">
        <v>1</v>
      </c>
      <c r="CF227" s="171"/>
      <c r="CG227" s="171">
        <v>1</v>
      </c>
      <c r="CH227" s="171">
        <v>1</v>
      </c>
      <c r="CI227" s="171"/>
      <c r="CJ227" s="171"/>
      <c r="CK227" s="171">
        <v>1</v>
      </c>
      <c r="CL227" s="171">
        <v>1</v>
      </c>
      <c r="CM227">
        <f t="shared" si="42"/>
        <v>2040</v>
      </c>
    </row>
    <row r="228" spans="1:91">
      <c r="A228" s="171">
        <v>219</v>
      </c>
      <c r="B228" s="171" t="s">
        <v>1474</v>
      </c>
      <c r="C228" s="171">
        <v>224</v>
      </c>
      <c r="D228" s="171" t="str">
        <f t="shared" si="41"/>
        <v xml:space="preserve"> NZ</v>
      </c>
      <c r="E228" s="171" t="s">
        <v>7221</v>
      </c>
      <c r="F228" s="174">
        <v>45477</v>
      </c>
      <c r="G228" s="171" t="s">
        <v>7220</v>
      </c>
      <c r="H228" s="173">
        <v>7502</v>
      </c>
      <c r="I228" s="171"/>
      <c r="J228" s="171" t="s">
        <v>186</v>
      </c>
      <c r="K228" s="171" t="s">
        <v>4457</v>
      </c>
      <c r="L228" s="171" t="s">
        <v>2029</v>
      </c>
      <c r="M228" s="171" t="s">
        <v>5032</v>
      </c>
      <c r="N228" s="171"/>
      <c r="O228" s="171"/>
      <c r="P228" s="171" t="s">
        <v>5032</v>
      </c>
      <c r="Q228" s="171"/>
      <c r="R228" s="171"/>
      <c r="S228" s="171"/>
      <c r="T228" s="171"/>
      <c r="U228" s="171"/>
      <c r="V228" s="175"/>
      <c r="W228" s="171"/>
      <c r="X228" s="171" t="s">
        <v>5032</v>
      </c>
      <c r="Y228" s="171"/>
      <c r="Z228" s="171"/>
      <c r="AA228" s="171" t="s">
        <v>5032</v>
      </c>
      <c r="AB228" s="171"/>
      <c r="AC228" s="171"/>
      <c r="AD228" s="171"/>
      <c r="AE228" s="171"/>
      <c r="AF228" s="171"/>
      <c r="AG228" s="171"/>
      <c r="AH228" s="171"/>
      <c r="AI228" s="171"/>
      <c r="AJ228" s="171"/>
      <c r="AK228" s="171"/>
      <c r="AL228" s="171"/>
      <c r="AM228" s="171"/>
      <c r="AN228" s="171" t="s">
        <v>1957</v>
      </c>
      <c r="AO228" s="171" t="s">
        <v>109</v>
      </c>
      <c r="AP228" s="171" t="s">
        <v>7790</v>
      </c>
      <c r="AQ228" s="171" t="s">
        <v>1957</v>
      </c>
      <c r="AR228" s="171">
        <v>2030</v>
      </c>
      <c r="AS228" s="171">
        <v>2021</v>
      </c>
      <c r="AT228" s="171"/>
      <c r="AU228" s="171"/>
      <c r="AV228" s="171"/>
      <c r="AW228" s="171" t="s">
        <v>4174</v>
      </c>
      <c r="AX228" s="171" t="s">
        <v>7789</v>
      </c>
      <c r="AY228" s="171"/>
      <c r="AZ228" s="171"/>
      <c r="BA228" s="171"/>
      <c r="BB228" s="171"/>
      <c r="BC228" s="171"/>
      <c r="BD228" s="171"/>
      <c r="BE228" s="171"/>
      <c r="BF228" s="225"/>
      <c r="BG228" s="171"/>
      <c r="BH228" s="171"/>
      <c r="BI228" s="171"/>
      <c r="BJ228" s="171"/>
      <c r="BK228" s="171"/>
      <c r="BL228" s="171"/>
      <c r="BM228" s="171"/>
      <c r="BN228" s="171"/>
      <c r="BO228" s="171">
        <v>1</v>
      </c>
      <c r="BP228" s="171"/>
      <c r="BQ228" s="171">
        <v>1</v>
      </c>
      <c r="BR228" s="171"/>
      <c r="BS228" s="171"/>
      <c r="BT228" s="171"/>
      <c r="BU228" s="171"/>
      <c r="BV228" s="171"/>
      <c r="BW228" s="171"/>
      <c r="BX228" s="171"/>
      <c r="BY228" s="171"/>
      <c r="BZ228" s="171">
        <v>1</v>
      </c>
      <c r="CA228" s="171">
        <v>1</v>
      </c>
      <c r="CB228" s="171">
        <v>1</v>
      </c>
      <c r="CC228" s="171">
        <v>1</v>
      </c>
      <c r="CD228" s="171"/>
      <c r="CE228" s="171">
        <v>1</v>
      </c>
      <c r="CF228" s="171"/>
      <c r="CG228" s="171">
        <v>1</v>
      </c>
      <c r="CH228" s="171">
        <v>1</v>
      </c>
      <c r="CI228" s="171"/>
      <c r="CJ228" s="171"/>
      <c r="CK228" s="171"/>
      <c r="CL228" s="171"/>
      <c r="CM228">
        <f t="shared" si="42"/>
        <v>2030</v>
      </c>
    </row>
    <row r="229" spans="1:91">
      <c r="A229" s="171">
        <v>275</v>
      </c>
      <c r="B229" s="171" t="s">
        <v>649</v>
      </c>
      <c r="C229" s="171">
        <v>221</v>
      </c>
      <c r="D229" s="171" t="str">
        <f t="shared" si="41"/>
        <v>CN</v>
      </c>
      <c r="E229" s="171" t="s">
        <v>7220</v>
      </c>
      <c r="F229" s="174">
        <v>45477</v>
      </c>
      <c r="G229" s="171" t="s">
        <v>7220</v>
      </c>
      <c r="H229" s="173">
        <v>1581.1</v>
      </c>
      <c r="I229" s="171"/>
      <c r="J229" s="171" t="s">
        <v>3498</v>
      </c>
      <c r="K229" s="171" t="s">
        <v>207</v>
      </c>
      <c r="L229" s="171" t="s">
        <v>1994</v>
      </c>
      <c r="M229" s="171" t="s">
        <v>5032</v>
      </c>
      <c r="N229" s="171"/>
      <c r="O229" s="171"/>
      <c r="P229" s="171" t="s">
        <v>5032</v>
      </c>
      <c r="Q229" s="171"/>
      <c r="R229" s="171"/>
      <c r="S229" s="171"/>
      <c r="T229" s="171"/>
      <c r="U229" s="171"/>
      <c r="V229" s="175"/>
      <c r="W229" s="171"/>
      <c r="X229" s="171" t="s">
        <v>1957</v>
      </c>
      <c r="Y229" s="171" t="s">
        <v>5131</v>
      </c>
      <c r="Z229" s="171" t="s">
        <v>7238</v>
      </c>
      <c r="AA229" s="171" t="s">
        <v>1957</v>
      </c>
      <c r="AB229" s="171">
        <v>2050</v>
      </c>
      <c r="AC229" s="171">
        <v>2020</v>
      </c>
      <c r="AD229" s="171"/>
      <c r="AE229" s="171"/>
      <c r="AF229" s="171"/>
      <c r="AG229" s="171" t="s">
        <v>4174</v>
      </c>
      <c r="AH229" s="171"/>
      <c r="AI229" s="171" t="s">
        <v>4174</v>
      </c>
      <c r="AJ229" s="171"/>
      <c r="AK229" s="171"/>
      <c r="AL229" s="171" t="s">
        <v>7788</v>
      </c>
      <c r="AM229" s="171"/>
      <c r="AN229" s="171" t="s">
        <v>7229</v>
      </c>
      <c r="AO229" s="171"/>
      <c r="AP229" s="171"/>
      <c r="AQ229" s="171" t="s">
        <v>7229</v>
      </c>
      <c r="AR229" s="171"/>
      <c r="AS229" s="171"/>
      <c r="AT229" s="171"/>
      <c r="AU229" s="171"/>
      <c r="AV229" s="171"/>
      <c r="AW229" s="171"/>
      <c r="AX229" s="171"/>
      <c r="AY229" s="171"/>
      <c r="AZ229" s="171"/>
      <c r="BA229" s="171"/>
      <c r="BB229" s="171"/>
      <c r="BC229" s="171"/>
      <c r="BD229" s="171"/>
      <c r="BE229" s="171"/>
      <c r="BF229" s="225"/>
      <c r="BG229" s="171"/>
      <c r="BH229" s="171"/>
      <c r="BI229" s="171"/>
      <c r="BJ229" s="171"/>
      <c r="BK229" s="171"/>
      <c r="BL229" s="171">
        <v>1</v>
      </c>
      <c r="BM229" s="171">
        <v>1</v>
      </c>
      <c r="BN229" s="171"/>
      <c r="BO229" s="171"/>
      <c r="BP229" s="171"/>
      <c r="BQ229" s="171"/>
      <c r="BR229" s="171"/>
      <c r="BS229" s="171"/>
      <c r="BT229" s="171"/>
      <c r="BU229" s="171"/>
      <c r="BV229" s="171"/>
      <c r="BW229" s="171"/>
      <c r="BX229" s="171"/>
      <c r="BY229" s="171"/>
      <c r="BZ229" s="171">
        <v>1</v>
      </c>
      <c r="CA229" s="171"/>
      <c r="CB229" s="171">
        <v>1</v>
      </c>
      <c r="CC229" s="171">
        <v>1</v>
      </c>
      <c r="CD229" s="171"/>
      <c r="CE229" s="171">
        <v>1</v>
      </c>
      <c r="CF229" s="171"/>
      <c r="CG229" s="171"/>
      <c r="CH229" s="171">
        <v>1</v>
      </c>
      <c r="CI229" s="171"/>
      <c r="CJ229" s="171"/>
      <c r="CK229" s="171"/>
      <c r="CL229" s="171"/>
    </row>
    <row r="230" spans="1:91">
      <c r="A230" s="171">
        <v>116</v>
      </c>
      <c r="B230" s="171" t="s">
        <v>1457</v>
      </c>
      <c r="C230" s="171">
        <v>94</v>
      </c>
      <c r="D230" s="171" t="str">
        <f t="shared" si="41"/>
        <v xml:space="preserve"> NZ</v>
      </c>
      <c r="E230" s="171" t="s">
        <v>7228</v>
      </c>
      <c r="F230" s="174">
        <v>45475</v>
      </c>
      <c r="G230" s="171" t="s">
        <v>7220</v>
      </c>
      <c r="H230" s="173">
        <v>5042.3</v>
      </c>
      <c r="I230" s="171"/>
      <c r="J230" s="171" t="s">
        <v>3498</v>
      </c>
      <c r="K230" s="171" t="s">
        <v>87</v>
      </c>
      <c r="L230" s="171" t="s">
        <v>1994</v>
      </c>
      <c r="M230" s="171" t="s">
        <v>5032</v>
      </c>
      <c r="N230" s="171"/>
      <c r="O230" s="171"/>
      <c r="P230" s="171" t="s">
        <v>5032</v>
      </c>
      <c r="Q230" s="171"/>
      <c r="R230" s="171"/>
      <c r="S230" s="171"/>
      <c r="T230" s="171"/>
      <c r="U230" s="171"/>
      <c r="V230" s="175"/>
      <c r="W230" s="171"/>
      <c r="X230" s="171" t="s">
        <v>5032</v>
      </c>
      <c r="Y230" s="171"/>
      <c r="Z230" s="171"/>
      <c r="AA230" s="171" t="s">
        <v>5032</v>
      </c>
      <c r="AB230" s="171"/>
      <c r="AC230" s="171"/>
      <c r="AD230" s="171"/>
      <c r="AE230" s="171"/>
      <c r="AF230" s="171"/>
      <c r="AG230" s="171"/>
      <c r="AH230" s="171"/>
      <c r="AI230" s="171"/>
      <c r="AJ230" s="171"/>
      <c r="AK230" s="171"/>
      <c r="AL230" s="171" t="s">
        <v>7787</v>
      </c>
      <c r="AM230" s="171"/>
      <c r="AN230" s="171" t="s">
        <v>1957</v>
      </c>
      <c r="AO230" s="171" t="s">
        <v>3819</v>
      </c>
      <c r="AP230" s="171" t="s">
        <v>2072</v>
      </c>
      <c r="AQ230" s="171" t="s">
        <v>1957</v>
      </c>
      <c r="AR230" s="171">
        <v>2046</v>
      </c>
      <c r="AS230" s="171">
        <v>2022</v>
      </c>
      <c r="AT230" s="171"/>
      <c r="AU230" s="171"/>
      <c r="AV230" s="171"/>
      <c r="AW230" s="171" t="s">
        <v>4174</v>
      </c>
      <c r="AX230" s="171" t="s">
        <v>7786</v>
      </c>
      <c r="AY230" s="171"/>
      <c r="AZ230" s="171"/>
      <c r="BA230" s="171"/>
      <c r="BB230" s="171"/>
      <c r="BC230" s="171" t="s">
        <v>7785</v>
      </c>
      <c r="BD230" s="171"/>
      <c r="BE230" s="171"/>
      <c r="BF230" s="225"/>
      <c r="BG230" s="171"/>
      <c r="BH230" s="171"/>
      <c r="BI230" s="171"/>
      <c r="BJ230" s="171"/>
      <c r="BK230" s="171"/>
      <c r="BL230" s="171"/>
      <c r="BM230" s="171"/>
      <c r="BN230" s="171"/>
      <c r="BO230" s="171"/>
      <c r="BP230" s="171">
        <v>1</v>
      </c>
      <c r="BQ230" s="171">
        <v>1</v>
      </c>
      <c r="BR230" s="171"/>
      <c r="BS230" s="171"/>
      <c r="BT230" s="171"/>
      <c r="BU230" s="171"/>
      <c r="BV230" s="171"/>
      <c r="BW230" s="171"/>
      <c r="BX230" s="171"/>
      <c r="BY230" s="171"/>
      <c r="BZ230" s="171">
        <v>1</v>
      </c>
      <c r="CA230" s="171"/>
      <c r="CB230" s="171">
        <v>1</v>
      </c>
      <c r="CC230" s="171">
        <v>1</v>
      </c>
      <c r="CD230" s="171"/>
      <c r="CE230" s="171">
        <v>1</v>
      </c>
      <c r="CF230" s="171"/>
      <c r="CG230" s="171"/>
      <c r="CH230" s="171">
        <v>1</v>
      </c>
      <c r="CI230" s="171"/>
      <c r="CJ230" s="171"/>
      <c r="CK230" s="171"/>
      <c r="CL230" s="171"/>
      <c r="CM230">
        <f t="shared" si="42"/>
        <v>2046</v>
      </c>
    </row>
    <row r="231" spans="1:91">
      <c r="A231" s="171">
        <v>386</v>
      </c>
      <c r="B231" s="171" t="s">
        <v>452</v>
      </c>
      <c r="C231" s="171">
        <v>444</v>
      </c>
      <c r="D231" s="171" t="str">
        <f t="shared" si="41"/>
        <v xml:space="preserve"> NZ SBT</v>
      </c>
      <c r="E231" s="171" t="s">
        <v>7223</v>
      </c>
      <c r="F231" s="174">
        <v>45511</v>
      </c>
      <c r="G231" s="171" t="s">
        <v>7223</v>
      </c>
      <c r="H231" s="173">
        <v>5823.5</v>
      </c>
      <c r="I231" s="171"/>
      <c r="J231" s="171" t="s">
        <v>4467</v>
      </c>
      <c r="K231" s="171" t="s">
        <v>267</v>
      </c>
      <c r="L231" s="171" t="s">
        <v>1951</v>
      </c>
      <c r="M231" s="171" t="s">
        <v>5032</v>
      </c>
      <c r="N231" s="171"/>
      <c r="O231" s="171"/>
      <c r="P231" s="171" t="s">
        <v>4174</v>
      </c>
      <c r="Q231" s="171" t="s">
        <v>22</v>
      </c>
      <c r="R231" s="171" t="s">
        <v>7233</v>
      </c>
      <c r="S231" s="171">
        <v>2030</v>
      </c>
      <c r="T231" s="171" t="s">
        <v>361</v>
      </c>
      <c r="U231" s="171"/>
      <c r="V231" s="172">
        <v>44044</v>
      </c>
      <c r="W231" s="171">
        <v>2020</v>
      </c>
      <c r="X231" s="171" t="s">
        <v>5032</v>
      </c>
      <c r="Y231" s="171"/>
      <c r="Z231" s="171"/>
      <c r="AA231" s="171" t="s">
        <v>5032</v>
      </c>
      <c r="AB231" s="171"/>
      <c r="AC231" s="171"/>
      <c r="AD231" s="171"/>
      <c r="AE231" s="171"/>
      <c r="AF231" s="171"/>
      <c r="AG231" s="171"/>
      <c r="AH231" s="171"/>
      <c r="AI231" s="171"/>
      <c r="AJ231" s="171"/>
      <c r="AK231" s="171"/>
      <c r="AL231" s="171"/>
      <c r="AM231" s="171"/>
      <c r="AN231" s="171" t="s">
        <v>4172</v>
      </c>
      <c r="AO231" s="171" t="s">
        <v>4441</v>
      </c>
      <c r="AP231" s="171" t="s">
        <v>7784</v>
      </c>
      <c r="AQ231" s="171" t="s">
        <v>4172</v>
      </c>
      <c r="AR231" s="171">
        <v>2040</v>
      </c>
      <c r="AS231" s="171">
        <v>2023</v>
      </c>
      <c r="AT231" s="171"/>
      <c r="AU231" s="171"/>
      <c r="AV231" s="171"/>
      <c r="AW231" s="171" t="s">
        <v>2082</v>
      </c>
      <c r="AX231" s="176" t="s">
        <v>7783</v>
      </c>
      <c r="AY231" s="171">
        <v>2023</v>
      </c>
      <c r="AZ231" s="171" t="s">
        <v>4174</v>
      </c>
      <c r="BA231" s="176" t="s">
        <v>7782</v>
      </c>
      <c r="BB231" s="171"/>
      <c r="BC231" s="171"/>
      <c r="BD231" s="171"/>
      <c r="BE231" s="171"/>
      <c r="BF231" s="225"/>
      <c r="BG231" s="171"/>
      <c r="BH231" s="171"/>
      <c r="BI231" s="171"/>
      <c r="BJ231" s="171"/>
      <c r="BK231" s="171"/>
      <c r="BL231" s="171"/>
      <c r="BM231" s="171"/>
      <c r="BN231" s="171"/>
      <c r="BO231" s="171"/>
      <c r="BP231" s="171">
        <v>1</v>
      </c>
      <c r="BQ231" s="171">
        <v>1</v>
      </c>
      <c r="BR231" s="171"/>
      <c r="BS231" s="171">
        <v>1</v>
      </c>
      <c r="BT231" s="171"/>
      <c r="BU231" s="171">
        <v>1</v>
      </c>
      <c r="BV231" s="171"/>
      <c r="BW231" s="171"/>
      <c r="BX231" s="171"/>
      <c r="BY231" s="171"/>
      <c r="BZ231" s="171">
        <v>1</v>
      </c>
      <c r="CA231" s="171"/>
      <c r="CB231" s="171">
        <v>1</v>
      </c>
      <c r="CC231" s="171"/>
      <c r="CD231" s="171"/>
      <c r="CE231" s="171">
        <v>1</v>
      </c>
      <c r="CF231" s="171"/>
      <c r="CG231" s="171">
        <v>1</v>
      </c>
      <c r="CH231" s="171">
        <v>1</v>
      </c>
      <c r="CI231" s="171"/>
      <c r="CJ231" s="171"/>
      <c r="CK231" s="171">
        <v>1</v>
      </c>
      <c r="CL231" s="171">
        <v>1</v>
      </c>
      <c r="CM231">
        <f t="shared" si="42"/>
        <v>2040</v>
      </c>
    </row>
    <row r="232" spans="1:91">
      <c r="A232" s="171">
        <v>22</v>
      </c>
      <c r="B232" s="171" t="s">
        <v>1799</v>
      </c>
      <c r="C232" s="171">
        <v>28</v>
      </c>
      <c r="D232" s="171" t="str">
        <f t="shared" si="41"/>
        <v/>
      </c>
      <c r="E232" s="171" t="s">
        <v>7223</v>
      </c>
      <c r="F232" s="174">
        <v>45474</v>
      </c>
      <c r="G232" s="171" t="s">
        <v>7223</v>
      </c>
      <c r="H232" s="173">
        <v>51417</v>
      </c>
      <c r="I232" s="171"/>
      <c r="J232" s="171" t="s">
        <v>4465</v>
      </c>
      <c r="K232" s="171" t="s">
        <v>73</v>
      </c>
      <c r="L232" s="171" t="s">
        <v>1994</v>
      </c>
      <c r="M232" s="171" t="s">
        <v>5032</v>
      </c>
      <c r="N232" s="171"/>
      <c r="O232" s="171"/>
      <c r="P232" s="171" t="s">
        <v>5032</v>
      </c>
      <c r="Q232" s="171"/>
      <c r="R232" s="171"/>
      <c r="S232" s="171"/>
      <c r="T232" s="171"/>
      <c r="U232" s="171"/>
      <c r="V232" s="175"/>
      <c r="W232" s="171"/>
      <c r="X232" s="171" t="s">
        <v>4519</v>
      </c>
      <c r="Y232" s="171" t="s">
        <v>7781</v>
      </c>
      <c r="Z232" s="171" t="s">
        <v>7225</v>
      </c>
      <c r="AA232" s="171" t="s">
        <v>4519</v>
      </c>
      <c r="AB232" s="171">
        <v>2060</v>
      </c>
      <c r="AC232" s="171">
        <v>2021</v>
      </c>
      <c r="AD232" s="171"/>
      <c r="AE232" s="171"/>
      <c r="AF232" s="171"/>
      <c r="AG232" s="171"/>
      <c r="AH232" s="171"/>
      <c r="AI232" s="171"/>
      <c r="AJ232" s="171"/>
      <c r="AK232" s="171"/>
      <c r="AL232" s="171" t="s">
        <v>7780</v>
      </c>
      <c r="AM232" s="171" t="s">
        <v>7779</v>
      </c>
      <c r="AN232" s="171" t="s">
        <v>5032</v>
      </c>
      <c r="AO232" s="171"/>
      <c r="AP232" s="171"/>
      <c r="AQ232" s="171" t="s">
        <v>5032</v>
      </c>
      <c r="AR232" s="171"/>
      <c r="AS232" s="171"/>
      <c r="AT232" s="171"/>
      <c r="AU232" s="171"/>
      <c r="AV232" s="171"/>
      <c r="AW232" s="171"/>
      <c r="AX232" s="171"/>
      <c r="AY232" s="171"/>
      <c r="AZ232" s="171"/>
      <c r="BA232" s="171"/>
      <c r="BB232" s="171"/>
      <c r="BC232" s="171"/>
      <c r="BD232" s="171"/>
      <c r="BE232" s="171"/>
      <c r="BF232" s="225"/>
      <c r="BG232" s="171"/>
      <c r="BH232" s="171"/>
      <c r="BI232" s="171"/>
      <c r="BJ232" s="171"/>
      <c r="BK232" s="171"/>
      <c r="BL232" s="171"/>
      <c r="BM232" s="171"/>
      <c r="BN232" s="171"/>
      <c r="BO232" s="171"/>
      <c r="BP232" s="171"/>
      <c r="BQ232" s="171"/>
      <c r="BR232" s="171"/>
      <c r="BS232" s="171"/>
      <c r="BT232" s="171"/>
      <c r="BU232" s="171"/>
      <c r="BV232" s="171"/>
      <c r="BW232" s="171"/>
      <c r="BX232" s="171"/>
      <c r="BY232" s="171"/>
      <c r="BZ232" s="171"/>
      <c r="CA232" s="171"/>
      <c r="CB232" s="171"/>
      <c r="CC232" s="171"/>
      <c r="CD232" s="171"/>
      <c r="CE232" s="171"/>
      <c r="CF232" s="171"/>
      <c r="CG232" s="171"/>
      <c r="CH232" s="171"/>
      <c r="CI232" s="171"/>
      <c r="CJ232" s="171"/>
      <c r="CK232" s="171"/>
      <c r="CL232" s="171"/>
    </row>
    <row r="233" spans="1:91">
      <c r="A233" s="171">
        <v>232</v>
      </c>
      <c r="B233" s="171" t="s">
        <v>1121</v>
      </c>
      <c r="C233" s="171">
        <v>223</v>
      </c>
      <c r="D233" s="171" t="str">
        <f t="shared" si="41"/>
        <v/>
      </c>
      <c r="E233" s="171" t="s">
        <v>7220</v>
      </c>
      <c r="F233" s="174">
        <v>45477</v>
      </c>
      <c r="G233" s="171" t="s">
        <v>7220</v>
      </c>
      <c r="H233" s="173">
        <v>10893.3</v>
      </c>
      <c r="I233" s="171"/>
      <c r="J233" s="171" t="s">
        <v>4465</v>
      </c>
      <c r="K233" s="171" t="s">
        <v>73</v>
      </c>
      <c r="L233" s="171" t="s">
        <v>1994</v>
      </c>
      <c r="M233" s="171" t="s">
        <v>5032</v>
      </c>
      <c r="N233" s="171"/>
      <c r="O233" s="171"/>
      <c r="P233" s="171" t="s">
        <v>5032</v>
      </c>
      <c r="Q233" s="171"/>
      <c r="R233" s="171"/>
      <c r="S233" s="171"/>
      <c r="T233" s="171"/>
      <c r="U233" s="171"/>
      <c r="V233" s="175"/>
      <c r="W233" s="171"/>
      <c r="X233" s="171" t="s">
        <v>4519</v>
      </c>
      <c r="Y233" s="171" t="s">
        <v>5131</v>
      </c>
      <c r="Z233" s="171" t="s">
        <v>7778</v>
      </c>
      <c r="AA233" s="171" t="s">
        <v>4519</v>
      </c>
      <c r="AB233" s="171">
        <v>2060</v>
      </c>
      <c r="AC233" s="171">
        <v>2020</v>
      </c>
      <c r="AD233" s="171"/>
      <c r="AE233" s="171"/>
      <c r="AF233" s="171"/>
      <c r="AG233" s="171"/>
      <c r="AH233" s="171"/>
      <c r="AI233" s="171"/>
      <c r="AJ233" s="171"/>
      <c r="AK233" s="171"/>
      <c r="AL233" s="171" t="s">
        <v>7777</v>
      </c>
      <c r="AM233" s="171"/>
      <c r="AN233" s="171" t="s">
        <v>5032</v>
      </c>
      <c r="AO233" s="171"/>
      <c r="AP233" s="171"/>
      <c r="AQ233" s="171" t="s">
        <v>5032</v>
      </c>
      <c r="AR233" s="171"/>
      <c r="AS233" s="171"/>
      <c r="AT233" s="171"/>
      <c r="AU233" s="171"/>
      <c r="AV233" s="171"/>
      <c r="AW233" s="171"/>
      <c r="AX233" s="171"/>
      <c r="AY233" s="171"/>
      <c r="AZ233" s="171"/>
      <c r="BA233" s="171"/>
      <c r="BB233" s="171"/>
      <c r="BC233" s="171"/>
      <c r="BD233" s="171"/>
      <c r="BE233" s="171"/>
      <c r="BF233" s="225"/>
      <c r="BG233" s="171"/>
      <c r="BH233" s="171"/>
      <c r="BI233" s="171"/>
      <c r="BJ233" s="171"/>
      <c r="BK233" s="171"/>
      <c r="BL233" s="171"/>
      <c r="BM233" s="171"/>
      <c r="BN233" s="171"/>
      <c r="BO233" s="171"/>
      <c r="BP233" s="171"/>
      <c r="BQ233" s="171"/>
      <c r="BR233" s="171"/>
      <c r="BS233" s="171"/>
      <c r="BT233" s="171"/>
      <c r="BU233" s="171"/>
      <c r="BV233" s="171"/>
      <c r="BW233" s="171"/>
      <c r="BX233" s="171"/>
      <c r="BY233" s="171"/>
      <c r="BZ233" s="171"/>
      <c r="CA233" s="171"/>
      <c r="CB233" s="171"/>
      <c r="CC233" s="171"/>
      <c r="CD233" s="171"/>
      <c r="CE233" s="171"/>
      <c r="CF233" s="171"/>
      <c r="CG233" s="171"/>
      <c r="CH233" s="171"/>
      <c r="CI233" s="171"/>
      <c r="CJ233" s="171"/>
      <c r="CK233" s="171"/>
      <c r="CL233" s="171"/>
    </row>
    <row r="234" spans="1:91">
      <c r="A234" s="171">
        <v>228</v>
      </c>
      <c r="B234" s="171" t="s">
        <v>790</v>
      </c>
      <c r="C234" s="171">
        <v>297</v>
      </c>
      <c r="D234" s="171" t="str">
        <f t="shared" si="41"/>
        <v>CN NZ SBT RE100</v>
      </c>
      <c r="E234" s="171" t="s">
        <v>7220</v>
      </c>
      <c r="F234" s="174">
        <v>45478</v>
      </c>
      <c r="G234" s="171" t="s">
        <v>7223</v>
      </c>
      <c r="H234" s="173">
        <v>4475.6000000000004</v>
      </c>
      <c r="I234" s="171"/>
      <c r="J234" s="171" t="s">
        <v>4465</v>
      </c>
      <c r="K234" s="171" t="s">
        <v>96</v>
      </c>
      <c r="L234" s="171" t="s">
        <v>1951</v>
      </c>
      <c r="M234" s="171" t="s">
        <v>4174</v>
      </c>
      <c r="N234" s="171">
        <v>2015</v>
      </c>
      <c r="O234" s="171">
        <v>2020</v>
      </c>
      <c r="P234" s="171" t="s">
        <v>5032</v>
      </c>
      <c r="Q234" s="171" t="s">
        <v>165</v>
      </c>
      <c r="R234" s="171"/>
      <c r="S234" s="171">
        <v>2030</v>
      </c>
      <c r="T234" s="171" t="s">
        <v>1</v>
      </c>
      <c r="U234" s="171"/>
      <c r="V234" s="172">
        <v>42156</v>
      </c>
      <c r="W234" s="171">
        <v>2015</v>
      </c>
      <c r="X234" s="171" t="s">
        <v>1957</v>
      </c>
      <c r="Y234" s="179" t="s">
        <v>1659</v>
      </c>
      <c r="Z234" s="171" t="s">
        <v>3283</v>
      </c>
      <c r="AA234" s="171" t="s">
        <v>1957</v>
      </c>
      <c r="AB234" s="171">
        <v>2007</v>
      </c>
      <c r="AC234" s="171">
        <v>2007</v>
      </c>
      <c r="AD234" s="171"/>
      <c r="AE234" s="171"/>
      <c r="AF234" s="171"/>
      <c r="AG234" s="171" t="s">
        <v>4174</v>
      </c>
      <c r="AH234" s="171">
        <v>2023</v>
      </c>
      <c r="AI234" s="171" t="s">
        <v>5032</v>
      </c>
      <c r="AJ234" s="171" t="s">
        <v>7776</v>
      </c>
      <c r="AK234" s="171"/>
      <c r="AL234" s="176" t="s">
        <v>4557</v>
      </c>
      <c r="AM234" s="171" t="s">
        <v>7775</v>
      </c>
      <c r="AN234" s="171" t="s">
        <v>5050</v>
      </c>
      <c r="AO234" s="171" t="s">
        <v>4274</v>
      </c>
      <c r="AP234" s="171" t="s">
        <v>2072</v>
      </c>
      <c r="AQ234" s="171" t="s">
        <v>5050</v>
      </c>
      <c r="AR234" s="171">
        <v>2050</v>
      </c>
      <c r="AS234" s="171">
        <v>2021</v>
      </c>
      <c r="AT234" s="171"/>
      <c r="AU234" s="171"/>
      <c r="AV234" s="171"/>
      <c r="AW234" s="171" t="s">
        <v>4174</v>
      </c>
      <c r="AX234" s="171" t="s">
        <v>7774</v>
      </c>
      <c r="AY234" s="171"/>
      <c r="AZ234" s="171"/>
      <c r="BA234" s="171"/>
      <c r="BB234" s="171"/>
      <c r="BC234" s="171"/>
      <c r="BD234" s="171"/>
      <c r="BE234" s="171"/>
      <c r="BF234" s="225"/>
      <c r="BG234" s="171"/>
      <c r="BH234" s="171"/>
      <c r="BI234" s="171"/>
      <c r="BJ234" s="171">
        <v>1</v>
      </c>
      <c r="BK234" s="171"/>
      <c r="BL234" s="171"/>
      <c r="BM234" s="171">
        <v>1</v>
      </c>
      <c r="BN234" s="171"/>
      <c r="BO234" s="171"/>
      <c r="BP234" s="171">
        <v>1</v>
      </c>
      <c r="BQ234" s="171">
        <v>1</v>
      </c>
      <c r="BR234" s="171"/>
      <c r="BS234" s="171">
        <v>1</v>
      </c>
      <c r="BT234" s="171"/>
      <c r="BU234" s="171">
        <v>1</v>
      </c>
      <c r="BV234" s="171">
        <v>1</v>
      </c>
      <c r="BW234" s="171"/>
      <c r="BX234" s="171"/>
      <c r="BY234" s="171">
        <v>1</v>
      </c>
      <c r="BZ234" s="171">
        <v>1</v>
      </c>
      <c r="CA234" s="171">
        <v>1</v>
      </c>
      <c r="CB234" s="171">
        <v>1</v>
      </c>
      <c r="CC234" s="171">
        <v>1</v>
      </c>
      <c r="CD234" s="171"/>
      <c r="CE234" s="171">
        <v>1</v>
      </c>
      <c r="CF234" s="171">
        <v>1</v>
      </c>
      <c r="CG234" s="171">
        <v>1</v>
      </c>
      <c r="CH234" s="171">
        <v>1</v>
      </c>
      <c r="CI234" s="171"/>
      <c r="CJ234" s="171"/>
      <c r="CK234" s="171">
        <v>1</v>
      </c>
      <c r="CL234" s="171">
        <v>1</v>
      </c>
      <c r="CM234">
        <f t="shared" si="42"/>
        <v>2050</v>
      </c>
    </row>
    <row r="235" spans="1:91">
      <c r="A235" s="171">
        <v>322</v>
      </c>
      <c r="B235" s="171" t="s">
        <v>4323</v>
      </c>
      <c r="C235" s="171">
        <v>314</v>
      </c>
      <c r="D235" s="171" t="str">
        <f t="shared" si="41"/>
        <v>CN NZ SBT RE100</v>
      </c>
      <c r="E235" s="171" t="s">
        <v>7228</v>
      </c>
      <c r="F235" s="174">
        <v>45481</v>
      </c>
      <c r="G235" s="171" t="s">
        <v>7223</v>
      </c>
      <c r="H235" s="173">
        <v>1596.7</v>
      </c>
      <c r="I235" s="171"/>
      <c r="J235" s="171" t="s">
        <v>4467</v>
      </c>
      <c r="K235" s="171" t="s">
        <v>96</v>
      </c>
      <c r="L235" s="171" t="s">
        <v>1951</v>
      </c>
      <c r="M235" s="171" t="s">
        <v>4174</v>
      </c>
      <c r="N235" s="171">
        <v>2014</v>
      </c>
      <c r="O235" s="171">
        <v>2025</v>
      </c>
      <c r="P235" s="171" t="s">
        <v>4174</v>
      </c>
      <c r="Q235" s="171" t="s">
        <v>22</v>
      </c>
      <c r="R235" s="171" t="s">
        <v>7233</v>
      </c>
      <c r="S235" s="171">
        <v>2030</v>
      </c>
      <c r="T235" s="171" t="s">
        <v>361</v>
      </c>
      <c r="U235" s="171">
        <v>2050</v>
      </c>
      <c r="V235" s="172">
        <v>45444</v>
      </c>
      <c r="W235" s="171">
        <v>2024</v>
      </c>
      <c r="X235" s="171" t="s">
        <v>4172</v>
      </c>
      <c r="Y235" s="171" t="s">
        <v>2760</v>
      </c>
      <c r="Z235" s="171" t="s">
        <v>7773</v>
      </c>
      <c r="AA235" s="171" t="s">
        <v>4172</v>
      </c>
      <c r="AB235" s="171">
        <v>2030</v>
      </c>
      <c r="AC235" s="171">
        <v>2021</v>
      </c>
      <c r="AD235" s="171"/>
      <c r="AE235" s="171"/>
      <c r="AF235" s="171"/>
      <c r="AG235" s="171" t="s">
        <v>5032</v>
      </c>
      <c r="AH235" s="171">
        <v>2023</v>
      </c>
      <c r="AI235" s="171" t="s">
        <v>4174</v>
      </c>
      <c r="AJ235" s="176" t="s">
        <v>7772</v>
      </c>
      <c r="AK235" s="171"/>
      <c r="AL235" s="171" t="s">
        <v>7772</v>
      </c>
      <c r="AM235" s="171"/>
      <c r="AN235" s="171" t="s">
        <v>4172</v>
      </c>
      <c r="AO235" s="171" t="s">
        <v>4441</v>
      </c>
      <c r="AP235" s="171" t="s">
        <v>7360</v>
      </c>
      <c r="AQ235" s="171" t="s">
        <v>4172</v>
      </c>
      <c r="AR235" s="171">
        <v>2050</v>
      </c>
      <c r="AS235" s="171">
        <v>2015</v>
      </c>
      <c r="AT235" s="171"/>
      <c r="AU235" s="171"/>
      <c r="AV235" s="171"/>
      <c r="AW235" s="171" t="s">
        <v>5032</v>
      </c>
      <c r="AX235" s="171" t="s">
        <v>7772</v>
      </c>
      <c r="AY235" s="171"/>
      <c r="AZ235" s="171"/>
      <c r="BA235" s="171"/>
      <c r="BB235" s="171"/>
      <c r="BC235" s="171" t="s">
        <v>7771</v>
      </c>
      <c r="BD235" s="171"/>
      <c r="BE235" s="171"/>
      <c r="BF235" s="225"/>
      <c r="BG235" s="171"/>
      <c r="BH235" s="171"/>
      <c r="BI235" s="171"/>
      <c r="BJ235" s="171"/>
      <c r="BK235" s="171">
        <v>1</v>
      </c>
      <c r="BL235" s="171"/>
      <c r="BM235" s="171">
        <v>1</v>
      </c>
      <c r="BN235" s="171"/>
      <c r="BO235" s="171"/>
      <c r="BP235" s="171">
        <v>1</v>
      </c>
      <c r="BQ235" s="171">
        <v>1</v>
      </c>
      <c r="BR235" s="171"/>
      <c r="BS235" s="171">
        <v>1</v>
      </c>
      <c r="BT235" s="171"/>
      <c r="BU235" s="171">
        <v>1</v>
      </c>
      <c r="BV235" s="171"/>
      <c r="BW235" s="171">
        <v>1</v>
      </c>
      <c r="BX235" s="171"/>
      <c r="BY235" s="171">
        <v>1</v>
      </c>
      <c r="BZ235" s="171">
        <v>1</v>
      </c>
      <c r="CA235" s="171">
        <v>1</v>
      </c>
      <c r="CB235" s="171">
        <v>1</v>
      </c>
      <c r="CC235" s="171"/>
      <c r="CD235" s="171">
        <v>1</v>
      </c>
      <c r="CE235" s="171">
        <v>1</v>
      </c>
      <c r="CF235" s="171"/>
      <c r="CG235" s="171">
        <v>1</v>
      </c>
      <c r="CH235" s="171">
        <v>1</v>
      </c>
      <c r="CI235" s="171"/>
      <c r="CJ235" s="171"/>
      <c r="CK235" s="171">
        <v>1</v>
      </c>
      <c r="CL235" s="171">
        <v>1</v>
      </c>
      <c r="CM235">
        <f t="shared" si="42"/>
        <v>2050</v>
      </c>
    </row>
    <row r="236" spans="1:91">
      <c r="A236" s="171">
        <v>261</v>
      </c>
      <c r="B236" s="171" t="s">
        <v>1394</v>
      </c>
      <c r="C236" s="171">
        <v>211</v>
      </c>
      <c r="D236" s="171" t="str">
        <f t="shared" si="41"/>
        <v xml:space="preserve"> NZ RE100</v>
      </c>
      <c r="E236" s="171" t="s">
        <v>7223</v>
      </c>
      <c r="F236" s="174">
        <v>45476</v>
      </c>
      <c r="G236" s="171" t="s">
        <v>7220</v>
      </c>
      <c r="H236" s="173">
        <v>1689</v>
      </c>
      <c r="I236" s="171"/>
      <c r="J236" s="171" t="s">
        <v>4459</v>
      </c>
      <c r="K236" s="171" t="s">
        <v>4457</v>
      </c>
      <c r="L236" s="171" t="s">
        <v>2029</v>
      </c>
      <c r="M236" s="171" t="s">
        <v>4174</v>
      </c>
      <c r="N236" s="171">
        <v>2020</v>
      </c>
      <c r="O236" s="171">
        <v>2030</v>
      </c>
      <c r="P236" s="171" t="s">
        <v>5032</v>
      </c>
      <c r="Q236" s="171"/>
      <c r="R236" s="171"/>
      <c r="S236" s="171"/>
      <c r="T236" s="171"/>
      <c r="U236" s="171"/>
      <c r="V236" s="175"/>
      <c r="W236" s="171"/>
      <c r="X236" s="171" t="s">
        <v>5032</v>
      </c>
      <c r="Y236" s="171"/>
      <c r="Z236" s="171"/>
      <c r="AA236" s="171" t="s">
        <v>5032</v>
      </c>
      <c r="AB236" s="171"/>
      <c r="AC236" s="171"/>
      <c r="AD236" s="171"/>
      <c r="AE236" s="171"/>
      <c r="AF236" s="171"/>
      <c r="AG236" s="171"/>
      <c r="AH236" s="171"/>
      <c r="AI236" s="171"/>
      <c r="AJ236" s="171"/>
      <c r="AK236" s="171"/>
      <c r="AL236" s="171"/>
      <c r="AM236" s="171"/>
      <c r="AN236" s="171" t="s">
        <v>1957</v>
      </c>
      <c r="AO236" s="171" t="s">
        <v>3793</v>
      </c>
      <c r="AP236" s="171" t="s">
        <v>7375</v>
      </c>
      <c r="AQ236" s="171" t="s">
        <v>1957</v>
      </c>
      <c r="AR236" s="171">
        <v>2040</v>
      </c>
      <c r="AS236" s="171">
        <v>2022</v>
      </c>
      <c r="AT236" s="171"/>
      <c r="AU236" s="171"/>
      <c r="AV236" s="171"/>
      <c r="AW236" s="171" t="s">
        <v>4174</v>
      </c>
      <c r="AX236" s="171" t="s">
        <v>7770</v>
      </c>
      <c r="AY236" s="171"/>
      <c r="AZ236" s="171"/>
      <c r="BA236" s="171"/>
      <c r="BB236" s="171"/>
      <c r="BC236" s="171"/>
      <c r="BD236" s="171" t="s">
        <v>4174</v>
      </c>
      <c r="BE236" s="171" t="s">
        <v>7769</v>
      </c>
      <c r="BF236" s="225" t="s">
        <v>5032</v>
      </c>
      <c r="BG236" s="171"/>
      <c r="BH236" s="171"/>
      <c r="BI236" s="171"/>
      <c r="BJ236" s="171"/>
      <c r="BK236" s="171"/>
      <c r="BL236" s="171"/>
      <c r="BM236" s="171"/>
      <c r="BN236" s="171"/>
      <c r="BO236" s="171"/>
      <c r="BP236" s="171">
        <v>1</v>
      </c>
      <c r="BQ236" s="171">
        <v>1</v>
      </c>
      <c r="BR236" s="171"/>
      <c r="BS236" s="171"/>
      <c r="BT236" s="171"/>
      <c r="BU236" s="171"/>
      <c r="BV236" s="171"/>
      <c r="BW236" s="171">
        <v>1</v>
      </c>
      <c r="BX236" s="171"/>
      <c r="BY236" s="171">
        <v>1</v>
      </c>
      <c r="BZ236" s="171">
        <v>1</v>
      </c>
      <c r="CA236" s="171"/>
      <c r="CB236" s="171">
        <v>1</v>
      </c>
      <c r="CC236" s="171">
        <v>1</v>
      </c>
      <c r="CD236" s="171"/>
      <c r="CE236" s="171">
        <v>1</v>
      </c>
      <c r="CF236" s="171"/>
      <c r="CG236" s="171">
        <v>1</v>
      </c>
      <c r="CH236" s="171">
        <v>1</v>
      </c>
      <c r="CI236" s="171"/>
      <c r="CJ236" s="171"/>
      <c r="CK236" s="171"/>
      <c r="CL236" s="171"/>
      <c r="CM236">
        <f t="shared" si="42"/>
        <v>2040</v>
      </c>
    </row>
    <row r="237" spans="1:91">
      <c r="A237" s="171">
        <v>283</v>
      </c>
      <c r="B237" s="171" t="s">
        <v>773</v>
      </c>
      <c r="C237" s="171">
        <v>383</v>
      </c>
      <c r="D237" s="171" t="str">
        <f t="shared" si="41"/>
        <v>CN NZ SBT</v>
      </c>
      <c r="E237" s="171" t="s">
        <v>7221</v>
      </c>
      <c r="F237" s="174">
        <v>45481</v>
      </c>
      <c r="G237" s="171" t="s">
        <v>7220</v>
      </c>
      <c r="H237" s="173">
        <v>8350.1</v>
      </c>
      <c r="I237" s="171"/>
      <c r="J237" s="171" t="s">
        <v>4465</v>
      </c>
      <c r="K237" s="171" t="s">
        <v>376</v>
      </c>
      <c r="L237" s="171" t="s">
        <v>1951</v>
      </c>
      <c r="M237" s="171" t="s">
        <v>5032</v>
      </c>
      <c r="N237" s="171"/>
      <c r="O237" s="171"/>
      <c r="P237" s="171" t="s">
        <v>5032</v>
      </c>
      <c r="Q237" s="171" t="s">
        <v>165</v>
      </c>
      <c r="R237" s="171"/>
      <c r="S237" s="171">
        <v>2030</v>
      </c>
      <c r="T237" s="171" t="s">
        <v>361</v>
      </c>
      <c r="U237" s="171"/>
      <c r="V237" s="172">
        <v>44621</v>
      </c>
      <c r="W237" s="171">
        <v>2022</v>
      </c>
      <c r="X237" s="171" t="s">
        <v>1957</v>
      </c>
      <c r="Y237" s="171" t="s">
        <v>4475</v>
      </c>
      <c r="Z237" s="171" t="s">
        <v>3283</v>
      </c>
      <c r="AA237" s="171" t="s">
        <v>1957</v>
      </c>
      <c r="AB237" s="171">
        <v>2030</v>
      </c>
      <c r="AC237" s="171">
        <v>2021</v>
      </c>
      <c r="AD237" s="171"/>
      <c r="AE237" s="171"/>
      <c r="AF237" s="171"/>
      <c r="AG237" s="171" t="s">
        <v>2082</v>
      </c>
      <c r="AH237" s="171">
        <v>2024</v>
      </c>
      <c r="AI237" s="171" t="s">
        <v>4174</v>
      </c>
      <c r="AJ237" s="176" t="s">
        <v>7765</v>
      </c>
      <c r="AK237" s="171"/>
      <c r="AL237" s="171" t="s">
        <v>7768</v>
      </c>
      <c r="AM237" s="171" t="s">
        <v>7767</v>
      </c>
      <c r="AN237" s="171" t="s">
        <v>7414</v>
      </c>
      <c r="AO237" s="171" t="s">
        <v>7766</v>
      </c>
      <c r="AP237" s="171" t="s">
        <v>2072</v>
      </c>
      <c r="AQ237" s="171" t="s">
        <v>7414</v>
      </c>
      <c r="AR237" s="171">
        <v>2050</v>
      </c>
      <c r="AS237" s="171">
        <v>2021</v>
      </c>
      <c r="AT237" s="171"/>
      <c r="AU237" s="171"/>
      <c r="AV237" s="171"/>
      <c r="AW237" s="171" t="s">
        <v>2082</v>
      </c>
      <c r="AX237" s="171" t="s">
        <v>7765</v>
      </c>
      <c r="AY237" s="171"/>
      <c r="AZ237" s="171"/>
      <c r="BA237" s="171"/>
      <c r="BB237" s="171"/>
      <c r="BC237" s="171"/>
      <c r="BD237" s="171"/>
      <c r="BE237" s="171"/>
      <c r="BF237" s="225"/>
      <c r="BG237" s="171"/>
      <c r="BH237" s="171"/>
      <c r="BI237" s="171"/>
      <c r="BJ237" s="171"/>
      <c r="BK237" s="171">
        <v>1</v>
      </c>
      <c r="BL237" s="171"/>
      <c r="BM237" s="171">
        <v>1</v>
      </c>
      <c r="BN237" s="171"/>
      <c r="BO237" s="171"/>
      <c r="BP237" s="171">
        <v>1</v>
      </c>
      <c r="BQ237" s="171">
        <v>1</v>
      </c>
      <c r="BR237" s="171"/>
      <c r="BS237" s="171">
        <v>1</v>
      </c>
      <c r="BT237" s="171"/>
      <c r="BU237" s="171">
        <v>1</v>
      </c>
      <c r="BV237" s="171"/>
      <c r="BW237" s="171"/>
      <c r="BX237" s="171"/>
      <c r="BY237" s="171"/>
      <c r="BZ237" s="171">
        <v>1</v>
      </c>
      <c r="CA237" s="171">
        <v>1</v>
      </c>
      <c r="CB237" s="171">
        <v>1</v>
      </c>
      <c r="CC237" s="171"/>
      <c r="CD237" s="171"/>
      <c r="CE237" s="171">
        <v>1</v>
      </c>
      <c r="CF237" s="171"/>
      <c r="CG237" s="171">
        <v>1</v>
      </c>
      <c r="CH237" s="171">
        <v>1</v>
      </c>
      <c r="CI237" s="171"/>
      <c r="CJ237" s="171"/>
      <c r="CK237" s="171">
        <v>1</v>
      </c>
      <c r="CL237" s="171">
        <v>1</v>
      </c>
      <c r="CM237">
        <f t="shared" si="42"/>
        <v>2050</v>
      </c>
    </row>
    <row r="238" spans="1:91">
      <c r="A238" s="171">
        <v>189</v>
      </c>
      <c r="B238" s="171" t="s">
        <v>7764</v>
      </c>
      <c r="C238" s="171">
        <v>207</v>
      </c>
      <c r="D238" s="171" t="str">
        <f t="shared" si="41"/>
        <v xml:space="preserve"> NZ</v>
      </c>
      <c r="E238" s="171" t="s">
        <v>7228</v>
      </c>
      <c r="F238" s="174">
        <v>45477</v>
      </c>
      <c r="G238" s="171" t="s">
        <v>7220</v>
      </c>
      <c r="H238" s="173">
        <v>6630.1</v>
      </c>
      <c r="I238" s="171"/>
      <c r="J238" s="171" t="s">
        <v>4465</v>
      </c>
      <c r="K238" s="171" t="s">
        <v>68</v>
      </c>
      <c r="L238" s="171" t="s">
        <v>8320</v>
      </c>
      <c r="M238" s="171" t="s">
        <v>5032</v>
      </c>
      <c r="N238" s="171"/>
      <c r="O238" s="171"/>
      <c r="P238" s="171" t="s">
        <v>5032</v>
      </c>
      <c r="Q238" s="171"/>
      <c r="R238" s="171"/>
      <c r="S238" s="171"/>
      <c r="T238" s="171"/>
      <c r="U238" s="171"/>
      <c r="V238" s="175"/>
      <c r="W238" s="171"/>
      <c r="X238" s="171" t="s">
        <v>7229</v>
      </c>
      <c r="Y238" s="171"/>
      <c r="Z238" s="171"/>
      <c r="AA238" s="171" t="s">
        <v>7229</v>
      </c>
      <c r="AB238" s="171"/>
      <c r="AC238" s="171"/>
      <c r="AD238" s="171"/>
      <c r="AE238" s="171"/>
      <c r="AF238" s="171"/>
      <c r="AG238" s="171"/>
      <c r="AH238" s="171"/>
      <c r="AI238" s="171"/>
      <c r="AJ238" s="171"/>
      <c r="AK238" s="171"/>
      <c r="AL238" s="171"/>
      <c r="AM238" s="171"/>
      <c r="AN238" s="171" t="s">
        <v>4172</v>
      </c>
      <c r="AO238" s="171" t="s">
        <v>1970</v>
      </c>
      <c r="AP238" s="171" t="s">
        <v>2072</v>
      </c>
      <c r="AQ238" s="171" t="s">
        <v>4172</v>
      </c>
      <c r="AR238" s="171">
        <v>2050</v>
      </c>
      <c r="AS238" s="171">
        <v>2021</v>
      </c>
      <c r="AT238" s="171"/>
      <c r="AU238" s="171"/>
      <c r="AV238" s="171"/>
      <c r="AW238" s="171" t="s">
        <v>4174</v>
      </c>
      <c r="AX238" s="171"/>
      <c r="AY238" s="171"/>
      <c r="AZ238" s="171"/>
      <c r="BA238" s="176" t="s">
        <v>7763</v>
      </c>
      <c r="BB238" s="171"/>
      <c r="BC238" s="171"/>
      <c r="BD238" s="171"/>
      <c r="BE238" s="171"/>
      <c r="BF238" s="225"/>
      <c r="BG238" s="171"/>
      <c r="BH238" s="171"/>
      <c r="BI238" s="171"/>
      <c r="BJ238" s="171"/>
      <c r="BK238" s="171"/>
      <c r="BL238" s="171"/>
      <c r="BM238" s="171"/>
      <c r="BN238" s="171"/>
      <c r="BO238" s="171"/>
      <c r="BP238" s="171">
        <v>1</v>
      </c>
      <c r="BQ238" s="171">
        <v>1</v>
      </c>
      <c r="BR238" s="171"/>
      <c r="BS238" s="171"/>
      <c r="BT238" s="171"/>
      <c r="BU238" s="171"/>
      <c r="BV238" s="171"/>
      <c r="BW238" s="171"/>
      <c r="BX238" s="171"/>
      <c r="BY238" s="171"/>
      <c r="BZ238" s="171">
        <v>1</v>
      </c>
      <c r="CA238" s="171"/>
      <c r="CB238" s="171">
        <v>1</v>
      </c>
      <c r="CC238" s="171">
        <v>1</v>
      </c>
      <c r="CD238" s="171"/>
      <c r="CE238" s="171">
        <v>1</v>
      </c>
      <c r="CF238" s="171"/>
      <c r="CG238" s="171"/>
      <c r="CH238" s="171">
        <v>1</v>
      </c>
      <c r="CI238" s="171"/>
      <c r="CJ238" s="171"/>
      <c r="CK238" s="171">
        <v>1</v>
      </c>
      <c r="CL238" s="171">
        <v>1</v>
      </c>
      <c r="CM238">
        <f t="shared" si="42"/>
        <v>2050</v>
      </c>
    </row>
    <row r="239" spans="1:91">
      <c r="A239" s="171">
        <v>107</v>
      </c>
      <c r="B239" s="171" t="s">
        <v>1672</v>
      </c>
      <c r="C239" s="171">
        <v>96</v>
      </c>
      <c r="D239" s="171" t="str">
        <f t="shared" si="41"/>
        <v xml:space="preserve"> NZ</v>
      </c>
      <c r="E239" s="171" t="s">
        <v>7228</v>
      </c>
      <c r="F239" s="174">
        <v>45475</v>
      </c>
      <c r="G239" s="171" t="s">
        <v>7220</v>
      </c>
      <c r="H239" s="173">
        <v>5547.5</v>
      </c>
      <c r="I239" s="171"/>
      <c r="J239" s="171" t="s">
        <v>4465</v>
      </c>
      <c r="K239" s="171" t="s">
        <v>207</v>
      </c>
      <c r="L239" s="171" t="s">
        <v>1994</v>
      </c>
      <c r="M239" s="171" t="s">
        <v>5032</v>
      </c>
      <c r="N239" s="171"/>
      <c r="O239" s="171"/>
      <c r="P239" s="171" t="s">
        <v>5032</v>
      </c>
      <c r="Q239" s="171"/>
      <c r="R239" s="171"/>
      <c r="S239" s="171"/>
      <c r="T239" s="171"/>
      <c r="U239" s="171"/>
      <c r="V239" s="175"/>
      <c r="W239" s="171"/>
      <c r="X239" s="171" t="s">
        <v>7229</v>
      </c>
      <c r="Y239" s="171"/>
      <c r="Z239" s="171"/>
      <c r="AA239" s="171" t="s">
        <v>7229</v>
      </c>
      <c r="AB239" s="171"/>
      <c r="AC239" s="171"/>
      <c r="AD239" s="171"/>
      <c r="AE239" s="171"/>
      <c r="AF239" s="171"/>
      <c r="AG239" s="171"/>
      <c r="AH239" s="171"/>
      <c r="AI239" s="171"/>
      <c r="AJ239" s="171"/>
      <c r="AK239" s="171"/>
      <c r="AL239" s="171"/>
      <c r="AM239" s="171"/>
      <c r="AN239" s="171" t="s">
        <v>4172</v>
      </c>
      <c r="AO239" s="171" t="s">
        <v>7762</v>
      </c>
      <c r="AP239" s="171" t="s">
        <v>7355</v>
      </c>
      <c r="AQ239" s="171" t="s">
        <v>4172</v>
      </c>
      <c r="AR239" s="171">
        <v>2050</v>
      </c>
      <c r="AS239" s="171">
        <v>2021</v>
      </c>
      <c r="AT239" s="171"/>
      <c r="AU239" s="171"/>
      <c r="AV239" s="171"/>
      <c r="AW239" s="171" t="s">
        <v>4174</v>
      </c>
      <c r="AX239" s="171" t="s">
        <v>7761</v>
      </c>
      <c r="AY239" s="171">
        <v>2022</v>
      </c>
      <c r="AZ239" s="171" t="s">
        <v>4174</v>
      </c>
      <c r="BA239" s="171" t="s">
        <v>7761</v>
      </c>
      <c r="BB239" s="171"/>
      <c r="BC239" s="171"/>
      <c r="BD239" s="171"/>
      <c r="BE239" s="171"/>
      <c r="BF239" s="225"/>
      <c r="BG239" s="171"/>
      <c r="BH239" s="171"/>
      <c r="BI239" s="171" t="s">
        <v>7760</v>
      </c>
      <c r="BJ239" s="171"/>
      <c r="BK239" s="171"/>
      <c r="BL239" s="171"/>
      <c r="BM239" s="171"/>
      <c r="BN239" s="171"/>
      <c r="BO239" s="171"/>
      <c r="BP239" s="171">
        <v>1</v>
      </c>
      <c r="BQ239" s="171">
        <v>1</v>
      </c>
      <c r="BR239" s="171"/>
      <c r="BS239" s="171"/>
      <c r="BT239" s="171"/>
      <c r="BU239" s="171"/>
      <c r="BV239" s="171"/>
      <c r="BW239" s="171"/>
      <c r="BX239" s="171"/>
      <c r="BY239" s="171"/>
      <c r="BZ239" s="171">
        <v>1</v>
      </c>
      <c r="CA239" s="171"/>
      <c r="CB239" s="171">
        <v>1</v>
      </c>
      <c r="CC239" s="171">
        <v>1</v>
      </c>
      <c r="CD239" s="171"/>
      <c r="CE239" s="171">
        <v>1</v>
      </c>
      <c r="CF239" s="171"/>
      <c r="CG239" s="171"/>
      <c r="CH239" s="171">
        <v>1</v>
      </c>
      <c r="CI239" s="171"/>
      <c r="CJ239" s="171"/>
      <c r="CK239" s="171">
        <v>1</v>
      </c>
      <c r="CL239" s="171">
        <v>1</v>
      </c>
      <c r="CM239">
        <f t="shared" si="42"/>
        <v>2050</v>
      </c>
    </row>
    <row r="240" spans="1:91">
      <c r="A240" s="171">
        <v>369</v>
      </c>
      <c r="B240" s="171" t="s">
        <v>753</v>
      </c>
      <c r="C240" s="171">
        <v>390</v>
      </c>
      <c r="D240" s="171" t="str">
        <f t="shared" si="41"/>
        <v xml:space="preserve"> NZ SBT</v>
      </c>
      <c r="E240" s="171" t="s">
        <v>7220</v>
      </c>
      <c r="F240" s="174">
        <v>45482</v>
      </c>
      <c r="G240" s="171" t="s">
        <v>7220</v>
      </c>
      <c r="H240" s="173">
        <v>172.1</v>
      </c>
      <c r="I240" s="171"/>
      <c r="J240" s="171" t="s">
        <v>4467</v>
      </c>
      <c r="K240" s="171" t="s">
        <v>4195</v>
      </c>
      <c r="L240" s="171" t="s">
        <v>1951</v>
      </c>
      <c r="M240" s="171" t="s">
        <v>5032</v>
      </c>
      <c r="N240" s="171"/>
      <c r="O240" s="171"/>
      <c r="P240" s="171" t="s">
        <v>4174</v>
      </c>
      <c r="Q240" s="171" t="s">
        <v>22</v>
      </c>
      <c r="R240" s="171" t="s">
        <v>2499</v>
      </c>
      <c r="S240" s="171">
        <v>2030</v>
      </c>
      <c r="T240" s="171" t="s">
        <v>361</v>
      </c>
      <c r="U240" s="171">
        <v>2050</v>
      </c>
      <c r="V240" s="175"/>
      <c r="W240" s="171">
        <v>2024</v>
      </c>
      <c r="X240" s="171" t="s">
        <v>5032</v>
      </c>
      <c r="Y240" s="171"/>
      <c r="Z240" s="171"/>
      <c r="AA240" s="171" t="s">
        <v>5032</v>
      </c>
      <c r="AB240" s="171"/>
      <c r="AC240" s="171"/>
      <c r="AD240" s="171"/>
      <c r="AE240" s="171"/>
      <c r="AF240" s="171"/>
      <c r="AG240" s="171"/>
      <c r="AH240" s="171"/>
      <c r="AI240" s="171"/>
      <c r="AJ240" s="171"/>
      <c r="AK240" s="171"/>
      <c r="AL240" s="171"/>
      <c r="AM240" s="171"/>
      <c r="AN240" s="171" t="s">
        <v>7227</v>
      </c>
      <c r="AO240" s="171" t="s">
        <v>7358</v>
      </c>
      <c r="AP240" s="171" t="s">
        <v>2072</v>
      </c>
      <c r="AQ240" s="171" t="s">
        <v>1957</v>
      </c>
      <c r="AR240" s="171">
        <v>2035</v>
      </c>
      <c r="AS240" s="171">
        <v>2020</v>
      </c>
      <c r="AT240" s="171" t="s">
        <v>4172</v>
      </c>
      <c r="AU240" s="171">
        <v>2050</v>
      </c>
      <c r="AV240" s="171">
        <v>2021</v>
      </c>
      <c r="AW240" s="171" t="s">
        <v>2082</v>
      </c>
      <c r="AX240" s="171" t="s">
        <v>7759</v>
      </c>
      <c r="AY240" s="171"/>
      <c r="AZ240" s="171"/>
      <c r="BA240" s="171"/>
      <c r="BB240" s="171"/>
      <c r="BC240" s="171"/>
      <c r="BD240" s="171"/>
      <c r="BE240" s="171"/>
      <c r="BF240" s="225"/>
      <c r="BG240" s="171"/>
      <c r="BH240" s="171"/>
      <c r="BI240" s="171"/>
      <c r="BJ240" s="171"/>
      <c r="BK240" s="171"/>
      <c r="BL240" s="171"/>
      <c r="BM240" s="171"/>
      <c r="BN240" s="171"/>
      <c r="BO240" s="171"/>
      <c r="BP240" s="171">
        <v>1</v>
      </c>
      <c r="BQ240" s="171">
        <v>1</v>
      </c>
      <c r="BR240" s="171"/>
      <c r="BS240" s="171">
        <v>1</v>
      </c>
      <c r="BT240" s="171"/>
      <c r="BU240" s="171">
        <v>1</v>
      </c>
      <c r="BV240" s="171"/>
      <c r="BW240" s="171"/>
      <c r="BX240" s="171"/>
      <c r="BY240" s="171"/>
      <c r="BZ240" s="171">
        <v>1</v>
      </c>
      <c r="CA240" s="171"/>
      <c r="CB240" s="171">
        <v>1</v>
      </c>
      <c r="CC240" s="171"/>
      <c r="CD240" s="171"/>
      <c r="CE240" s="171">
        <v>1</v>
      </c>
      <c r="CF240" s="171"/>
      <c r="CG240" s="171">
        <v>1</v>
      </c>
      <c r="CH240" s="171">
        <v>1</v>
      </c>
      <c r="CI240" s="171"/>
      <c r="CJ240" s="171"/>
      <c r="CK240" s="171">
        <v>1</v>
      </c>
      <c r="CL240" s="171">
        <v>1</v>
      </c>
      <c r="CM240">
        <f t="shared" si="42"/>
        <v>2050</v>
      </c>
    </row>
    <row r="241" spans="1:91">
      <c r="A241" s="171">
        <v>448</v>
      </c>
      <c r="B241" s="171" t="s">
        <v>4317</v>
      </c>
      <c r="C241" s="171">
        <v>456</v>
      </c>
      <c r="D241" s="171" t="str">
        <f t="shared" si="41"/>
        <v>CN SBT</v>
      </c>
      <c r="E241" s="171" t="s">
        <v>7223</v>
      </c>
      <c r="F241" s="174">
        <v>45512</v>
      </c>
      <c r="G241" s="171" t="s">
        <v>7223</v>
      </c>
      <c r="H241" s="173">
        <v>818</v>
      </c>
      <c r="I241" s="171"/>
      <c r="J241" s="171" t="s">
        <v>4459</v>
      </c>
      <c r="K241" s="171" t="s">
        <v>4457</v>
      </c>
      <c r="L241" s="171" t="s">
        <v>2029</v>
      </c>
      <c r="M241" s="171" t="s">
        <v>5032</v>
      </c>
      <c r="N241" s="171"/>
      <c r="O241" s="171"/>
      <c r="P241" s="171" t="s">
        <v>5032</v>
      </c>
      <c r="Q241" s="171" t="s">
        <v>165</v>
      </c>
      <c r="R241" s="171"/>
      <c r="S241" s="171">
        <v>2030</v>
      </c>
      <c r="T241" s="171" t="s">
        <v>361</v>
      </c>
      <c r="U241" s="171"/>
      <c r="V241" s="172">
        <v>44835</v>
      </c>
      <c r="W241" s="171">
        <v>2022</v>
      </c>
      <c r="X241" s="171" t="s">
        <v>1957</v>
      </c>
      <c r="Y241" s="171" t="s">
        <v>7348</v>
      </c>
      <c r="Z241" s="171" t="s">
        <v>3283</v>
      </c>
      <c r="AA241" s="171" t="s">
        <v>1957</v>
      </c>
      <c r="AB241" s="171">
        <v>2045</v>
      </c>
      <c r="AC241" s="171">
        <v>2023</v>
      </c>
      <c r="AD241" s="171"/>
      <c r="AE241" s="171"/>
      <c r="AF241" s="171"/>
      <c r="AG241" s="171" t="s">
        <v>2082</v>
      </c>
      <c r="AH241" s="171">
        <v>2023</v>
      </c>
      <c r="AI241" s="171" t="s">
        <v>4174</v>
      </c>
      <c r="AJ241" s="176" t="s">
        <v>7758</v>
      </c>
      <c r="AK241" s="171"/>
      <c r="AL241" s="171"/>
      <c r="AM241" s="171"/>
      <c r="AN241" s="171" t="s">
        <v>5032</v>
      </c>
      <c r="AO241" s="171"/>
      <c r="AP241" s="171"/>
      <c r="AQ241" s="171" t="s">
        <v>5032</v>
      </c>
      <c r="AR241" s="171"/>
      <c r="AS241" s="171"/>
      <c r="AT241" s="171"/>
      <c r="AU241" s="171"/>
      <c r="AV241" s="171"/>
      <c r="AW241" s="171"/>
      <c r="AX241" s="171"/>
      <c r="AY241" s="171"/>
      <c r="AZ241" s="171"/>
      <c r="BA241" s="171"/>
      <c r="BB241" s="171"/>
      <c r="BC241" s="171"/>
      <c r="BD241" s="171"/>
      <c r="BE241" s="171"/>
      <c r="BF241" s="225"/>
      <c r="BG241" s="171"/>
      <c r="BH241" s="171"/>
      <c r="BI241" s="171"/>
      <c r="BJ241" s="171"/>
      <c r="BK241" s="171"/>
      <c r="BL241" s="171">
        <v>1</v>
      </c>
      <c r="BM241" s="171">
        <v>1</v>
      </c>
      <c r="BN241" s="171"/>
      <c r="BO241" s="171"/>
      <c r="BP241" s="171"/>
      <c r="BQ241" s="171"/>
      <c r="BR241" s="171"/>
      <c r="BS241" s="171">
        <v>1</v>
      </c>
      <c r="BT241" s="171"/>
      <c r="BU241" s="171">
        <v>1</v>
      </c>
      <c r="BV241" s="171"/>
      <c r="BW241" s="171"/>
      <c r="BX241" s="171"/>
      <c r="BY241" s="171"/>
      <c r="BZ241" s="171">
        <v>1</v>
      </c>
      <c r="CA241" s="171"/>
      <c r="CB241" s="171">
        <v>1</v>
      </c>
      <c r="CC241" s="171"/>
      <c r="CD241" s="171"/>
      <c r="CE241" s="171">
        <v>1</v>
      </c>
      <c r="CF241" s="171"/>
      <c r="CG241" s="171">
        <v>1</v>
      </c>
      <c r="CH241" s="171">
        <v>1</v>
      </c>
      <c r="CI241" s="171"/>
      <c r="CJ241" s="171"/>
      <c r="CK241" s="171"/>
      <c r="CL241" s="171"/>
    </row>
    <row r="242" spans="1:91">
      <c r="A242" s="171">
        <v>146</v>
      </c>
      <c r="B242" s="171" t="s">
        <v>1712</v>
      </c>
      <c r="C242" s="171">
        <v>148</v>
      </c>
      <c r="D242" s="171" t="str">
        <f t="shared" si="41"/>
        <v>CN</v>
      </c>
      <c r="E242" s="171" t="s">
        <v>7220</v>
      </c>
      <c r="F242" s="174">
        <v>45476</v>
      </c>
      <c r="G242" s="171" t="s">
        <v>7223</v>
      </c>
      <c r="H242" s="173">
        <v>1859.1</v>
      </c>
      <c r="I242" s="171"/>
      <c r="J242" s="171" t="s">
        <v>4465</v>
      </c>
      <c r="K242" s="171" t="s">
        <v>207</v>
      </c>
      <c r="L242" s="171" t="s">
        <v>1994</v>
      </c>
      <c r="M242" s="171" t="s">
        <v>5032</v>
      </c>
      <c r="N242" s="171"/>
      <c r="O242" s="171"/>
      <c r="P242" s="171" t="s">
        <v>5032</v>
      </c>
      <c r="Q242" s="171"/>
      <c r="R242" s="171"/>
      <c r="S242" s="171"/>
      <c r="T242" s="171"/>
      <c r="U242" s="171"/>
      <c r="V242" s="175"/>
      <c r="W242" s="171"/>
      <c r="X242" s="171" t="s">
        <v>1957</v>
      </c>
      <c r="Y242" s="171" t="s">
        <v>7757</v>
      </c>
      <c r="Z242" s="171" t="s">
        <v>7533</v>
      </c>
      <c r="AA242" s="171" t="s">
        <v>1957</v>
      </c>
      <c r="AB242" s="171">
        <v>2050</v>
      </c>
      <c r="AC242" s="171">
        <v>2021</v>
      </c>
      <c r="AD242" s="171"/>
      <c r="AE242" s="171"/>
      <c r="AF242" s="171"/>
      <c r="AG242" s="171" t="s">
        <v>2082</v>
      </c>
      <c r="AH242" s="171"/>
      <c r="AI242" s="171" t="s">
        <v>4174</v>
      </c>
      <c r="AJ242" s="171"/>
      <c r="AK242" s="171"/>
      <c r="AL242" s="171" t="s">
        <v>7756</v>
      </c>
      <c r="AM242" s="171"/>
      <c r="AN242" s="171" t="s">
        <v>5032</v>
      </c>
      <c r="AO242" s="171"/>
      <c r="AP242" s="171"/>
      <c r="AQ242" s="171" t="s">
        <v>5032</v>
      </c>
      <c r="AR242" s="171"/>
      <c r="AS242" s="171"/>
      <c r="AT242" s="171"/>
      <c r="AU242" s="171"/>
      <c r="AV242" s="171"/>
      <c r="AW242" s="171"/>
      <c r="AX242" s="171"/>
      <c r="AY242" s="171"/>
      <c r="AZ242" s="171"/>
      <c r="BA242" s="171"/>
      <c r="BB242" s="171"/>
      <c r="BC242" s="171"/>
      <c r="BD242" s="171"/>
      <c r="BE242" s="171"/>
      <c r="BF242" s="225"/>
      <c r="BG242" s="171"/>
      <c r="BH242" s="171"/>
      <c r="BI242" s="171"/>
      <c r="BJ242" s="171"/>
      <c r="BK242" s="171"/>
      <c r="BL242" s="171">
        <v>1</v>
      </c>
      <c r="BM242" s="171">
        <v>1</v>
      </c>
      <c r="BN242" s="171"/>
      <c r="BO242" s="171"/>
      <c r="BP242" s="171"/>
      <c r="BQ242" s="171"/>
      <c r="BR242" s="171"/>
      <c r="BS242" s="171"/>
      <c r="BT242" s="171"/>
      <c r="BU242" s="171"/>
      <c r="BV242" s="171"/>
      <c r="BW242" s="171"/>
      <c r="BX242" s="171"/>
      <c r="BY242" s="171"/>
      <c r="BZ242" s="171">
        <v>1</v>
      </c>
      <c r="CA242" s="171"/>
      <c r="CB242" s="171">
        <v>1</v>
      </c>
      <c r="CC242" s="171"/>
      <c r="CD242" s="171"/>
      <c r="CE242" s="171">
        <v>1</v>
      </c>
      <c r="CF242" s="171"/>
      <c r="CG242" s="171"/>
      <c r="CH242" s="171">
        <v>1</v>
      </c>
      <c r="CI242" s="171"/>
      <c r="CJ242" s="171"/>
      <c r="CK242" s="171"/>
      <c r="CL242" s="171"/>
    </row>
    <row r="243" spans="1:91">
      <c r="A243" s="171">
        <v>421</v>
      </c>
      <c r="B243" s="171" t="s">
        <v>904</v>
      </c>
      <c r="C243" s="171">
        <v>395</v>
      </c>
      <c r="D243" s="171" t="str">
        <f t="shared" si="41"/>
        <v xml:space="preserve"> NZ</v>
      </c>
      <c r="E243" s="171" t="s">
        <v>7220</v>
      </c>
      <c r="F243" s="174">
        <v>45482</v>
      </c>
      <c r="G243" s="171" t="s">
        <v>7220</v>
      </c>
      <c r="H243" s="173">
        <v>686</v>
      </c>
      <c r="I243" s="171"/>
      <c r="J243" s="171" t="s">
        <v>4476</v>
      </c>
      <c r="K243" s="171" t="s">
        <v>4315</v>
      </c>
      <c r="L243" s="171" t="s">
        <v>8320</v>
      </c>
      <c r="M243" s="171" t="s">
        <v>5032</v>
      </c>
      <c r="N243" s="171"/>
      <c r="O243" s="171"/>
      <c r="P243" s="171" t="s">
        <v>5032</v>
      </c>
      <c r="Q243" s="171"/>
      <c r="R243" s="171"/>
      <c r="S243" s="171"/>
      <c r="T243" s="171"/>
      <c r="U243" s="171"/>
      <c r="V243" s="175"/>
      <c r="W243" s="171"/>
      <c r="X243" s="171" t="s">
        <v>5032</v>
      </c>
      <c r="Y243" s="171"/>
      <c r="Z243" s="171"/>
      <c r="AA243" s="171" t="s">
        <v>5032</v>
      </c>
      <c r="AB243" s="171"/>
      <c r="AC243" s="171"/>
      <c r="AD243" s="171"/>
      <c r="AE243" s="171"/>
      <c r="AF243" s="171"/>
      <c r="AG243" s="171"/>
      <c r="AH243" s="171"/>
      <c r="AI243" s="171"/>
      <c r="AJ243" s="171"/>
      <c r="AK243" s="171"/>
      <c r="AL243" s="171"/>
      <c r="AM243" s="171"/>
      <c r="AN243" s="171" t="s">
        <v>4172</v>
      </c>
      <c r="AO243" s="171" t="s">
        <v>1435</v>
      </c>
      <c r="AP243" s="171" t="s">
        <v>2072</v>
      </c>
      <c r="AQ243" s="171" t="s">
        <v>4172</v>
      </c>
      <c r="AR243" s="171">
        <v>2050</v>
      </c>
      <c r="AS243" s="171">
        <v>2021</v>
      </c>
      <c r="AT243" s="171"/>
      <c r="AU243" s="171"/>
      <c r="AV243" s="171"/>
      <c r="AW243" s="171" t="s">
        <v>2082</v>
      </c>
      <c r="AX243" s="171" t="s">
        <v>7755</v>
      </c>
      <c r="AY243" s="171"/>
      <c r="AZ243" s="171"/>
      <c r="BA243" s="171"/>
      <c r="BB243" s="171"/>
      <c r="BC243" s="171"/>
      <c r="BD243" s="171"/>
      <c r="BE243" s="171"/>
      <c r="BF243" s="225"/>
      <c r="BG243" s="171"/>
      <c r="BH243" s="171"/>
      <c r="BI243" s="171"/>
      <c r="BJ243" s="171"/>
      <c r="BK243" s="171"/>
      <c r="BL243" s="171"/>
      <c r="BM243" s="171"/>
      <c r="BN243" s="171"/>
      <c r="BO243" s="171"/>
      <c r="BP243" s="171">
        <v>1</v>
      </c>
      <c r="BQ243" s="171">
        <v>1</v>
      </c>
      <c r="BR243" s="171"/>
      <c r="BS243" s="171"/>
      <c r="BT243" s="171"/>
      <c r="BU243" s="171"/>
      <c r="BV243" s="171"/>
      <c r="BW243" s="171"/>
      <c r="BX243" s="171"/>
      <c r="BY243" s="171"/>
      <c r="BZ243" s="171">
        <v>1</v>
      </c>
      <c r="CA243" s="171"/>
      <c r="CB243" s="171">
        <v>1</v>
      </c>
      <c r="CC243" s="171"/>
      <c r="CD243" s="171"/>
      <c r="CE243" s="171">
        <v>1</v>
      </c>
      <c r="CF243" s="171"/>
      <c r="CG243" s="171"/>
      <c r="CH243" s="171">
        <v>1</v>
      </c>
      <c r="CI243" s="171"/>
      <c r="CJ243" s="171"/>
      <c r="CK243" s="171">
        <v>1</v>
      </c>
      <c r="CL243" s="171">
        <v>1</v>
      </c>
      <c r="CM243">
        <f t="shared" si="42"/>
        <v>2050</v>
      </c>
    </row>
    <row r="244" spans="1:91">
      <c r="A244" s="171">
        <v>176</v>
      </c>
      <c r="B244" s="171" t="s">
        <v>1104</v>
      </c>
      <c r="C244" s="171">
        <v>177</v>
      </c>
      <c r="D244" s="171" t="str">
        <f t="shared" si="41"/>
        <v xml:space="preserve"> NZ</v>
      </c>
      <c r="E244" s="171" t="s">
        <v>7223</v>
      </c>
      <c r="F244" s="174">
        <v>45476</v>
      </c>
      <c r="G244" s="171" t="s">
        <v>7220</v>
      </c>
      <c r="H244" s="173">
        <v>-212.5</v>
      </c>
      <c r="I244" s="171"/>
      <c r="J244" s="171" t="s">
        <v>4455</v>
      </c>
      <c r="K244" s="171" t="s">
        <v>68</v>
      </c>
      <c r="L244" s="171" t="s">
        <v>8320</v>
      </c>
      <c r="M244" s="171" t="s">
        <v>5032</v>
      </c>
      <c r="N244" s="171"/>
      <c r="O244" s="171"/>
      <c r="P244" s="171" t="s">
        <v>5032</v>
      </c>
      <c r="Q244" s="171" t="s">
        <v>7290</v>
      </c>
      <c r="R244" s="171"/>
      <c r="S244" s="171"/>
      <c r="T244" s="171" t="s">
        <v>1</v>
      </c>
      <c r="U244" s="171"/>
      <c r="V244" s="172">
        <v>44348</v>
      </c>
      <c r="W244" s="171">
        <v>2021</v>
      </c>
      <c r="X244" s="171" t="s">
        <v>5032</v>
      </c>
      <c r="Y244" s="171"/>
      <c r="Z244" s="171"/>
      <c r="AA244" s="171" t="s">
        <v>5032</v>
      </c>
      <c r="AB244" s="171"/>
      <c r="AC244" s="171"/>
      <c r="AD244" s="171"/>
      <c r="AE244" s="171"/>
      <c r="AF244" s="171"/>
      <c r="AG244" s="171"/>
      <c r="AH244" s="171"/>
      <c r="AI244" s="171"/>
      <c r="AJ244" s="171"/>
      <c r="AK244" s="171"/>
      <c r="AL244" s="171"/>
      <c r="AM244" s="171"/>
      <c r="AN244" s="171" t="s">
        <v>4172</v>
      </c>
      <c r="AO244" s="171" t="s">
        <v>4471</v>
      </c>
      <c r="AP244" s="171" t="s">
        <v>7681</v>
      </c>
      <c r="AQ244" s="171" t="s">
        <v>4172</v>
      </c>
      <c r="AR244" s="171">
        <v>2040</v>
      </c>
      <c r="AS244" s="171">
        <v>2021</v>
      </c>
      <c r="AT244" s="171"/>
      <c r="AU244" s="171"/>
      <c r="AV244" s="171"/>
      <c r="AW244" s="171" t="s">
        <v>4174</v>
      </c>
      <c r="AX244" s="171" t="s">
        <v>7753</v>
      </c>
      <c r="AY244" s="171"/>
      <c r="AZ244" s="171"/>
      <c r="BA244" s="171"/>
      <c r="BB244" s="171"/>
      <c r="BC244" s="171" t="s">
        <v>7754</v>
      </c>
      <c r="BD244" s="171" t="s">
        <v>4174</v>
      </c>
      <c r="BE244" s="171" t="s">
        <v>7753</v>
      </c>
      <c r="BF244" s="225" t="s">
        <v>4174</v>
      </c>
      <c r="BG244" s="171" t="s">
        <v>7752</v>
      </c>
      <c r="BH244" s="171"/>
      <c r="BI244" s="171" t="s">
        <v>7751</v>
      </c>
      <c r="BJ244" s="171"/>
      <c r="BK244" s="171"/>
      <c r="BL244" s="171"/>
      <c r="BM244" s="171"/>
      <c r="BN244" s="171"/>
      <c r="BO244" s="171"/>
      <c r="BP244" s="171">
        <v>1</v>
      </c>
      <c r="BQ244" s="171">
        <v>1</v>
      </c>
      <c r="BR244" s="171"/>
      <c r="BS244" s="171"/>
      <c r="BT244" s="171"/>
      <c r="BU244" s="171"/>
      <c r="BV244" s="171"/>
      <c r="BW244" s="171"/>
      <c r="BX244" s="171"/>
      <c r="BY244" s="171"/>
      <c r="BZ244" s="171">
        <v>1</v>
      </c>
      <c r="CA244" s="171"/>
      <c r="CB244" s="171">
        <v>1</v>
      </c>
      <c r="CC244" s="171">
        <v>1</v>
      </c>
      <c r="CD244" s="171"/>
      <c r="CE244" s="171">
        <v>1</v>
      </c>
      <c r="CF244" s="171"/>
      <c r="CG244" s="171"/>
      <c r="CH244" s="171">
        <v>1</v>
      </c>
      <c r="CI244" s="171"/>
      <c r="CJ244" s="171"/>
      <c r="CK244" s="171">
        <v>1</v>
      </c>
      <c r="CL244" s="171">
        <v>1</v>
      </c>
      <c r="CM244">
        <f t="shared" si="42"/>
        <v>2040</v>
      </c>
    </row>
    <row r="245" spans="1:91">
      <c r="A245" s="171">
        <v>47</v>
      </c>
      <c r="B245" s="171" t="s">
        <v>1367</v>
      </c>
      <c r="C245" s="171">
        <v>52</v>
      </c>
      <c r="D245" s="171" t="str">
        <f t="shared" si="41"/>
        <v/>
      </c>
      <c r="E245" s="171" t="s">
        <v>7719</v>
      </c>
      <c r="F245" s="174">
        <v>45475</v>
      </c>
      <c r="G245" s="171" t="s">
        <v>7220</v>
      </c>
      <c r="H245" s="173">
        <v>3413.8</v>
      </c>
      <c r="I245" s="171"/>
      <c r="J245" s="171" t="s">
        <v>4467</v>
      </c>
      <c r="K245" s="171" t="s">
        <v>73</v>
      </c>
      <c r="L245" s="171" t="s">
        <v>1994</v>
      </c>
      <c r="M245" s="171" t="s">
        <v>5032</v>
      </c>
      <c r="N245" s="171"/>
      <c r="O245" s="171"/>
      <c r="P245" s="171" t="s">
        <v>5032</v>
      </c>
      <c r="Q245" s="171"/>
      <c r="R245" s="171"/>
      <c r="S245" s="171"/>
      <c r="T245" s="171"/>
      <c r="U245" s="171"/>
      <c r="V245" s="175"/>
      <c r="W245" s="171"/>
      <c r="X245" s="171" t="s">
        <v>5032</v>
      </c>
      <c r="Y245" s="171"/>
      <c r="Z245" s="171"/>
      <c r="AA245" s="171" t="s">
        <v>5032</v>
      </c>
      <c r="AB245" s="171"/>
      <c r="AC245" s="171"/>
      <c r="AD245" s="171"/>
      <c r="AE245" s="171"/>
      <c r="AF245" s="171"/>
      <c r="AG245" s="171"/>
      <c r="AH245" s="171"/>
      <c r="AI245" s="171"/>
      <c r="AJ245" s="171"/>
      <c r="AK245" s="171"/>
      <c r="AL245" s="171" t="s">
        <v>6946</v>
      </c>
      <c r="AM245" s="171"/>
      <c r="AN245" s="171" t="s">
        <v>5032</v>
      </c>
      <c r="AO245" s="171"/>
      <c r="AP245" s="171"/>
      <c r="AQ245" s="171" t="s">
        <v>5032</v>
      </c>
      <c r="AR245" s="171"/>
      <c r="AS245" s="171"/>
      <c r="AT245" s="171"/>
      <c r="AU245" s="171"/>
      <c r="AV245" s="171"/>
      <c r="AW245" s="171"/>
      <c r="AX245" s="171"/>
      <c r="AY245" s="171"/>
      <c r="AZ245" s="171"/>
      <c r="BA245" s="171"/>
      <c r="BB245" s="171"/>
      <c r="BC245" s="171"/>
      <c r="BD245" s="171" t="s">
        <v>5032</v>
      </c>
      <c r="BE245" s="171"/>
      <c r="BF245" s="225" t="s">
        <v>5032</v>
      </c>
      <c r="BG245" s="171"/>
      <c r="BH245" s="171"/>
      <c r="BI245" s="171"/>
      <c r="BJ245" s="171"/>
      <c r="BK245" s="171"/>
      <c r="BL245" s="171"/>
      <c r="BM245" s="171"/>
      <c r="BN245" s="171"/>
      <c r="BO245" s="171"/>
      <c r="BP245" s="171"/>
      <c r="BQ245" s="171"/>
      <c r="BR245" s="171"/>
      <c r="BS245" s="171"/>
      <c r="BT245" s="171"/>
      <c r="BU245" s="171"/>
      <c r="BV245" s="171"/>
      <c r="BW245" s="171"/>
      <c r="BX245" s="171"/>
      <c r="BY245" s="171"/>
      <c r="BZ245" s="171"/>
      <c r="CA245" s="171"/>
      <c r="CB245" s="171"/>
      <c r="CC245" s="171"/>
      <c r="CD245" s="171"/>
      <c r="CE245" s="171"/>
      <c r="CF245" s="171"/>
      <c r="CG245" s="171"/>
      <c r="CH245" s="171"/>
      <c r="CI245" s="171"/>
      <c r="CJ245" s="171"/>
      <c r="CK245" s="171"/>
      <c r="CL245" s="171"/>
    </row>
    <row r="246" spans="1:91">
      <c r="A246" s="171">
        <v>482</v>
      </c>
      <c r="B246" s="171" t="s">
        <v>7750</v>
      </c>
      <c r="C246" s="171"/>
      <c r="D246" s="171" t="str">
        <f t="shared" si="41"/>
        <v xml:space="preserve"> NZ SBT</v>
      </c>
      <c r="E246" s="171" t="s">
        <v>7223</v>
      </c>
      <c r="F246" s="174">
        <v>45512</v>
      </c>
      <c r="G246" s="184"/>
      <c r="H246" s="173">
        <v>817.3</v>
      </c>
      <c r="I246" s="181" t="s">
        <v>342</v>
      </c>
      <c r="J246" s="171" t="s">
        <v>4455</v>
      </c>
      <c r="K246" s="171" t="s">
        <v>7749</v>
      </c>
      <c r="L246" s="171" t="s">
        <v>1951</v>
      </c>
      <c r="M246" s="171" t="s">
        <v>5032</v>
      </c>
      <c r="N246" s="171"/>
      <c r="O246" s="171"/>
      <c r="P246" s="171" t="s">
        <v>4174</v>
      </c>
      <c r="Q246" s="171" t="s">
        <v>22</v>
      </c>
      <c r="R246" s="171" t="s">
        <v>2499</v>
      </c>
      <c r="S246" s="171">
        <v>2033</v>
      </c>
      <c r="T246" s="171" t="s">
        <v>361</v>
      </c>
      <c r="U246" s="171">
        <v>2050</v>
      </c>
      <c r="V246" s="175" t="s">
        <v>7748</v>
      </c>
      <c r="W246" s="171">
        <v>2024</v>
      </c>
      <c r="X246" s="171" t="s">
        <v>5032</v>
      </c>
      <c r="Y246" s="171"/>
      <c r="Z246" s="171"/>
      <c r="AA246" s="171" t="s">
        <v>5032</v>
      </c>
      <c r="AB246" s="171"/>
      <c r="AC246" s="171"/>
      <c r="AD246" s="171"/>
      <c r="AE246" s="171"/>
      <c r="AF246" s="171"/>
      <c r="AG246" s="171"/>
      <c r="AH246" s="171"/>
      <c r="AI246" s="171"/>
      <c r="AJ246" s="171"/>
      <c r="AK246" s="171"/>
      <c r="AL246" s="171"/>
      <c r="AM246" s="171"/>
      <c r="AN246" s="171" t="s">
        <v>7227</v>
      </c>
      <c r="AO246" s="171" t="s">
        <v>7270</v>
      </c>
      <c r="AP246" s="171" t="s">
        <v>7360</v>
      </c>
      <c r="AQ246" s="171" t="s">
        <v>1957</v>
      </c>
      <c r="AR246" s="171">
        <v>2045</v>
      </c>
      <c r="AS246" s="171">
        <v>2024</v>
      </c>
      <c r="AT246" s="171" t="s">
        <v>4172</v>
      </c>
      <c r="AU246" s="171">
        <v>2050</v>
      </c>
      <c r="AV246" s="171">
        <v>2024</v>
      </c>
      <c r="AW246" s="171" t="s">
        <v>2082</v>
      </c>
      <c r="AX246" s="176" t="s">
        <v>7747</v>
      </c>
      <c r="AY246" s="183">
        <v>2024</v>
      </c>
      <c r="AZ246" s="171" t="s">
        <v>4174</v>
      </c>
      <c r="BA246" s="176" t="s">
        <v>7747</v>
      </c>
      <c r="BB246" s="171"/>
      <c r="BC246" s="171"/>
      <c r="BD246" s="171"/>
      <c r="BE246" s="171"/>
      <c r="BF246" s="225"/>
      <c r="BG246" s="171"/>
      <c r="BH246" s="171"/>
      <c r="BI246" s="171"/>
      <c r="BJ246" s="171"/>
      <c r="BK246" s="171"/>
      <c r="BL246" s="171"/>
      <c r="BM246" s="171"/>
      <c r="BN246" s="171"/>
      <c r="BO246" s="171"/>
      <c r="BP246" s="171">
        <v>1</v>
      </c>
      <c r="BQ246" s="171">
        <v>1</v>
      </c>
      <c r="BR246" s="171"/>
      <c r="BS246" s="171"/>
      <c r="BT246" s="171">
        <v>1</v>
      </c>
      <c r="BU246" s="171">
        <v>1</v>
      </c>
      <c r="BV246" s="171"/>
      <c r="BW246" s="171"/>
      <c r="BX246" s="171"/>
      <c r="BY246" s="171"/>
      <c r="BZ246" s="171">
        <v>1</v>
      </c>
      <c r="CA246" s="171"/>
      <c r="CB246" s="171">
        <v>1</v>
      </c>
      <c r="CC246" s="171"/>
      <c r="CD246" s="171"/>
      <c r="CE246" s="171">
        <v>1</v>
      </c>
      <c r="CF246" s="171"/>
      <c r="CG246" s="171"/>
      <c r="CH246" s="171">
        <v>1</v>
      </c>
      <c r="CI246" s="171"/>
      <c r="CJ246" s="171"/>
      <c r="CK246" s="171">
        <v>1</v>
      </c>
      <c r="CL246" s="171">
        <v>1</v>
      </c>
      <c r="CM246">
        <f t="shared" si="42"/>
        <v>2050</v>
      </c>
    </row>
    <row r="247" spans="1:91">
      <c r="A247" s="171">
        <v>428</v>
      </c>
      <c r="B247" s="171" t="s">
        <v>645</v>
      </c>
      <c r="C247" s="171">
        <v>382</v>
      </c>
      <c r="D247" s="171" t="str">
        <f t="shared" si="41"/>
        <v>CN</v>
      </c>
      <c r="E247" s="171" t="s">
        <v>7220</v>
      </c>
      <c r="F247" s="174">
        <v>45481</v>
      </c>
      <c r="G247" s="171" t="s">
        <v>7220</v>
      </c>
      <c r="H247" s="173">
        <v>1366</v>
      </c>
      <c r="I247" s="171"/>
      <c r="J247" s="171" t="s">
        <v>4494</v>
      </c>
      <c r="K247" s="171" t="s">
        <v>207</v>
      </c>
      <c r="L247" s="171" t="s">
        <v>1994</v>
      </c>
      <c r="M247" s="171" t="s">
        <v>5032</v>
      </c>
      <c r="N247" s="171"/>
      <c r="O247" s="171"/>
      <c r="P247" s="171" t="s">
        <v>5032</v>
      </c>
      <c r="Q247" s="171"/>
      <c r="R247" s="171"/>
      <c r="S247" s="171"/>
      <c r="T247" s="171"/>
      <c r="U247" s="171"/>
      <c r="V247" s="175"/>
      <c r="W247" s="171"/>
      <c r="X247" s="171" t="s">
        <v>1957</v>
      </c>
      <c r="Y247" s="171" t="s">
        <v>5131</v>
      </c>
      <c r="Z247" s="171" t="s">
        <v>3283</v>
      </c>
      <c r="AA247" s="171" t="s">
        <v>1957</v>
      </c>
      <c r="AB247" s="171">
        <v>2050</v>
      </c>
      <c r="AC247" s="171">
        <v>2020</v>
      </c>
      <c r="AD247" s="171"/>
      <c r="AE247" s="171"/>
      <c r="AF247" s="171"/>
      <c r="AG247" s="171" t="s">
        <v>2082</v>
      </c>
      <c r="AH247" s="171"/>
      <c r="AI247" s="171" t="s">
        <v>4174</v>
      </c>
      <c r="AJ247" s="171"/>
      <c r="AK247" s="171"/>
      <c r="AL247" s="171" t="s">
        <v>7746</v>
      </c>
      <c r="AM247" s="171"/>
      <c r="AN247" s="171" t="s">
        <v>5032</v>
      </c>
      <c r="AO247" s="171"/>
      <c r="AP247" s="171"/>
      <c r="AQ247" s="171" t="s">
        <v>5032</v>
      </c>
      <c r="AR247" s="171"/>
      <c r="AS247" s="171"/>
      <c r="AT247" s="171"/>
      <c r="AU247" s="171"/>
      <c r="AV247" s="171"/>
      <c r="AW247" s="171"/>
      <c r="AX247" s="171"/>
      <c r="AY247" s="171"/>
      <c r="AZ247" s="171"/>
      <c r="BA247" s="171"/>
      <c r="BB247" s="171"/>
      <c r="BC247" s="171"/>
      <c r="BD247" s="171"/>
      <c r="BE247" s="171"/>
      <c r="BF247" s="225"/>
      <c r="BG247" s="171"/>
      <c r="BH247" s="171"/>
      <c r="BI247" s="171"/>
      <c r="BJ247" s="171"/>
      <c r="BK247" s="171"/>
      <c r="BL247" s="171">
        <v>1</v>
      </c>
      <c r="BM247" s="171">
        <v>1</v>
      </c>
      <c r="BN247" s="171"/>
      <c r="BO247" s="171"/>
      <c r="BP247" s="171"/>
      <c r="BQ247" s="171"/>
      <c r="BR247" s="171"/>
      <c r="BS247" s="171"/>
      <c r="BT247" s="171"/>
      <c r="BU247" s="171"/>
      <c r="BV247" s="171"/>
      <c r="BW247" s="171"/>
      <c r="BX247" s="171"/>
      <c r="BY247" s="171"/>
      <c r="BZ247" s="171">
        <v>1</v>
      </c>
      <c r="CA247" s="171"/>
      <c r="CB247" s="171">
        <v>1</v>
      </c>
      <c r="CC247" s="171"/>
      <c r="CD247" s="171"/>
      <c r="CE247" s="171">
        <v>1</v>
      </c>
      <c r="CF247" s="171"/>
      <c r="CG247" s="171"/>
      <c r="CH247" s="171">
        <v>1</v>
      </c>
      <c r="CI247" s="171"/>
      <c r="CJ247" s="171"/>
      <c r="CK247" s="171"/>
      <c r="CL247" s="171"/>
    </row>
    <row r="248" spans="1:91">
      <c r="A248" s="171">
        <v>383</v>
      </c>
      <c r="B248" s="171" t="s">
        <v>696</v>
      </c>
      <c r="C248" s="171">
        <v>348</v>
      </c>
      <c r="D248" s="171" t="str">
        <f t="shared" si="41"/>
        <v/>
      </c>
      <c r="E248" s="171" t="s">
        <v>7228</v>
      </c>
      <c r="F248" s="174">
        <v>45482</v>
      </c>
      <c r="G248" s="171" t="s">
        <v>7220</v>
      </c>
      <c r="H248" s="173">
        <v>227.7</v>
      </c>
      <c r="I248" s="171"/>
      <c r="J248" s="171" t="s">
        <v>4494</v>
      </c>
      <c r="K248" s="171" t="s">
        <v>73</v>
      </c>
      <c r="L248" s="171" t="s">
        <v>1994</v>
      </c>
      <c r="M248" s="171" t="s">
        <v>5032</v>
      </c>
      <c r="N248" s="171"/>
      <c r="O248" s="171"/>
      <c r="P248" s="171" t="s">
        <v>5032</v>
      </c>
      <c r="Q248" s="171"/>
      <c r="R248" s="171"/>
      <c r="S248" s="171"/>
      <c r="T248" s="171"/>
      <c r="U248" s="171"/>
      <c r="V248" s="175"/>
      <c r="W248" s="171"/>
      <c r="X248" s="171" t="s">
        <v>5032</v>
      </c>
      <c r="Y248" s="171"/>
      <c r="Z248" s="171"/>
      <c r="AA248" s="171" t="s">
        <v>5032</v>
      </c>
      <c r="AB248" s="171"/>
      <c r="AC248" s="171"/>
      <c r="AD248" s="171"/>
      <c r="AE248" s="171"/>
      <c r="AF248" s="171"/>
      <c r="AG248" s="171"/>
      <c r="AH248" s="171"/>
      <c r="AI248" s="171"/>
      <c r="AJ248" s="171"/>
      <c r="AK248" s="171"/>
      <c r="AL248" s="171"/>
      <c r="AM248" s="171"/>
      <c r="AN248" s="171" t="s">
        <v>5032</v>
      </c>
      <c r="AO248" s="171"/>
      <c r="AP248" s="171"/>
      <c r="AQ248" s="171" t="s">
        <v>5032</v>
      </c>
      <c r="AR248" s="171"/>
      <c r="AS248" s="171"/>
      <c r="AT248" s="171"/>
      <c r="AU248" s="171"/>
      <c r="AV248" s="171"/>
      <c r="AW248" s="171"/>
      <c r="AX248" s="171"/>
      <c r="AY248" s="171"/>
      <c r="AZ248" s="171"/>
      <c r="BA248" s="171"/>
      <c r="BB248" s="171"/>
      <c r="BC248" s="171"/>
      <c r="BD248" s="171"/>
      <c r="BE248" s="171"/>
      <c r="BF248" s="225"/>
      <c r="BG248" s="171"/>
      <c r="BH248" s="171"/>
      <c r="BI248" s="171"/>
      <c r="BJ248" s="171"/>
      <c r="BK248" s="171"/>
      <c r="BL248" s="171"/>
      <c r="BM248" s="171"/>
      <c r="BN248" s="171"/>
      <c r="BO248" s="171"/>
      <c r="BP248" s="171"/>
      <c r="BQ248" s="171"/>
      <c r="BR248" s="171"/>
      <c r="BS248" s="171"/>
      <c r="BT248" s="171"/>
      <c r="BU248" s="171"/>
      <c r="BV248" s="171"/>
      <c r="BW248" s="171"/>
      <c r="BX248" s="171"/>
      <c r="BY248" s="171"/>
      <c r="BZ248" s="171"/>
      <c r="CA248" s="171"/>
      <c r="CB248" s="171"/>
      <c r="CC248" s="171"/>
      <c r="CD248" s="171"/>
      <c r="CE248" s="171"/>
      <c r="CF248" s="171"/>
      <c r="CG248" s="171"/>
      <c r="CH248" s="171"/>
      <c r="CI248" s="171"/>
      <c r="CJ248" s="171"/>
      <c r="CK248" s="171"/>
      <c r="CL248" s="171"/>
    </row>
    <row r="249" spans="1:91">
      <c r="A249" s="171">
        <v>157</v>
      </c>
      <c r="B249" s="171" t="s">
        <v>640</v>
      </c>
      <c r="C249" s="171">
        <v>171</v>
      </c>
      <c r="D249" s="171" t="str">
        <f t="shared" si="41"/>
        <v/>
      </c>
      <c r="E249" s="171" t="s">
        <v>7223</v>
      </c>
      <c r="F249" s="174">
        <v>45476</v>
      </c>
      <c r="G249" s="171" t="s">
        <v>7220</v>
      </c>
      <c r="H249" s="173">
        <v>371.2</v>
      </c>
      <c r="I249" s="171"/>
      <c r="J249" s="171" t="s">
        <v>4494</v>
      </c>
      <c r="K249" s="171" t="s">
        <v>73</v>
      </c>
      <c r="L249" s="171" t="s">
        <v>1994</v>
      </c>
      <c r="M249" s="171" t="s">
        <v>5032</v>
      </c>
      <c r="N249" s="171"/>
      <c r="O249" s="171"/>
      <c r="P249" s="171" t="s">
        <v>5032</v>
      </c>
      <c r="Q249" s="171"/>
      <c r="R249" s="171"/>
      <c r="S249" s="171"/>
      <c r="T249" s="171"/>
      <c r="U249" s="171"/>
      <c r="V249" s="175"/>
      <c r="W249" s="171"/>
      <c r="X249" s="171" t="s">
        <v>4519</v>
      </c>
      <c r="Y249" s="171" t="s">
        <v>5131</v>
      </c>
      <c r="Z249" s="171" t="s">
        <v>3283</v>
      </c>
      <c r="AA249" s="171" t="s">
        <v>4519</v>
      </c>
      <c r="AB249" s="171">
        <v>2060</v>
      </c>
      <c r="AC249" s="171">
        <v>2021</v>
      </c>
      <c r="AD249" s="171"/>
      <c r="AE249" s="171"/>
      <c r="AF249" s="171"/>
      <c r="AG249" s="171"/>
      <c r="AH249" s="171"/>
      <c r="AI249" s="171"/>
      <c r="AJ249" s="171"/>
      <c r="AK249" s="171"/>
      <c r="AL249" s="171" t="s">
        <v>7745</v>
      </c>
      <c r="AM249" s="171"/>
      <c r="AN249" s="171" t="s">
        <v>5032</v>
      </c>
      <c r="AO249" s="171"/>
      <c r="AP249" s="171"/>
      <c r="AQ249" s="171" t="s">
        <v>5032</v>
      </c>
      <c r="AR249" s="171"/>
      <c r="AS249" s="171"/>
      <c r="AT249" s="171"/>
      <c r="AU249" s="171"/>
      <c r="AV249" s="171"/>
      <c r="AW249" s="171"/>
      <c r="AX249" s="171"/>
      <c r="AY249" s="171"/>
      <c r="AZ249" s="171"/>
      <c r="BA249" s="171"/>
      <c r="BB249" s="171"/>
      <c r="BC249" s="171"/>
      <c r="BD249" s="171" t="s">
        <v>5032</v>
      </c>
      <c r="BE249" s="171"/>
      <c r="BF249" s="225" t="s">
        <v>5032</v>
      </c>
      <c r="BG249" s="171"/>
      <c r="BH249" s="171"/>
      <c r="BI249" s="171"/>
      <c r="BJ249" s="171"/>
      <c r="BK249" s="171"/>
      <c r="BL249" s="171"/>
      <c r="BM249" s="171"/>
      <c r="BN249" s="171"/>
      <c r="BO249" s="171"/>
      <c r="BP249" s="171"/>
      <c r="BQ249" s="171"/>
      <c r="BR249" s="171"/>
      <c r="BS249" s="171"/>
      <c r="BT249" s="171"/>
      <c r="BU249" s="171"/>
      <c r="BV249" s="171"/>
      <c r="BW249" s="171"/>
      <c r="BX249" s="171"/>
      <c r="BY249" s="171"/>
      <c r="BZ249" s="171"/>
      <c r="CA249" s="171"/>
      <c r="CB249" s="171"/>
      <c r="CC249" s="171"/>
      <c r="CD249" s="171"/>
      <c r="CE249" s="171"/>
      <c r="CF249" s="171"/>
      <c r="CG249" s="171"/>
      <c r="CH249" s="171"/>
      <c r="CI249" s="171"/>
      <c r="CJ249" s="171"/>
      <c r="CK249" s="171"/>
      <c r="CL249" s="171"/>
    </row>
    <row r="250" spans="1:91">
      <c r="A250" s="171">
        <v>300</v>
      </c>
      <c r="B250" s="171" t="s">
        <v>613</v>
      </c>
      <c r="C250" s="171">
        <v>289</v>
      </c>
      <c r="D250" s="171" t="str">
        <f t="shared" si="41"/>
        <v/>
      </c>
      <c r="E250" s="171" t="s">
        <v>7220</v>
      </c>
      <c r="F250" s="174">
        <v>45478</v>
      </c>
      <c r="G250" s="171" t="s">
        <v>7223</v>
      </c>
      <c r="H250" s="173">
        <v>1359.5</v>
      </c>
      <c r="I250" s="171"/>
      <c r="J250" s="171" t="s">
        <v>4494</v>
      </c>
      <c r="K250" s="171" t="s">
        <v>73</v>
      </c>
      <c r="L250" s="171" t="s">
        <v>1994</v>
      </c>
      <c r="M250" s="171" t="s">
        <v>5032</v>
      </c>
      <c r="N250" s="171"/>
      <c r="O250" s="171"/>
      <c r="P250" s="171" t="s">
        <v>5032</v>
      </c>
      <c r="Q250" s="171"/>
      <c r="R250" s="171"/>
      <c r="S250" s="171"/>
      <c r="T250" s="171"/>
      <c r="U250" s="171"/>
      <c r="V250" s="175"/>
      <c r="W250" s="171"/>
      <c r="X250" s="171" t="s">
        <v>4519</v>
      </c>
      <c r="Y250" s="171" t="s">
        <v>5131</v>
      </c>
      <c r="Z250" s="171" t="s">
        <v>7744</v>
      </c>
      <c r="AA250" s="171" t="s">
        <v>4519</v>
      </c>
      <c r="AB250" s="171">
        <v>2060</v>
      </c>
      <c r="AC250" s="171">
        <v>2023</v>
      </c>
      <c r="AD250" s="171"/>
      <c r="AE250" s="171"/>
      <c r="AF250" s="171"/>
      <c r="AG250" s="171"/>
      <c r="AH250" s="171"/>
      <c r="AI250" s="171"/>
      <c r="AJ250" s="171"/>
      <c r="AK250" s="171"/>
      <c r="AL250" s="171" t="s">
        <v>7743</v>
      </c>
      <c r="AM250" s="171"/>
      <c r="AN250" s="171" t="s">
        <v>5032</v>
      </c>
      <c r="AO250" s="171"/>
      <c r="AP250" s="171"/>
      <c r="AQ250" s="171" t="s">
        <v>5032</v>
      </c>
      <c r="AR250" s="171"/>
      <c r="AS250" s="171"/>
      <c r="AT250" s="171"/>
      <c r="AU250" s="171"/>
      <c r="AV250" s="171"/>
      <c r="AW250" s="171"/>
      <c r="AX250" s="171"/>
      <c r="AY250" s="171"/>
      <c r="AZ250" s="171"/>
      <c r="BA250" s="171"/>
      <c r="BB250" s="171"/>
      <c r="BC250" s="171"/>
      <c r="BD250" s="171"/>
      <c r="BE250" s="171"/>
      <c r="BF250" s="225"/>
      <c r="BG250" s="171"/>
      <c r="BH250" s="171"/>
      <c r="BI250" s="171"/>
      <c r="BJ250" s="171"/>
      <c r="BK250" s="171"/>
      <c r="BL250" s="171"/>
      <c r="BM250" s="171"/>
      <c r="BN250" s="171"/>
      <c r="BO250" s="171"/>
      <c r="BP250" s="171"/>
      <c r="BQ250" s="171"/>
      <c r="BR250" s="171"/>
      <c r="BS250" s="171"/>
      <c r="BT250" s="171"/>
      <c r="BU250" s="171"/>
      <c r="BV250" s="171"/>
      <c r="BW250" s="171"/>
      <c r="BX250" s="171"/>
      <c r="BY250" s="171"/>
      <c r="BZ250" s="171"/>
      <c r="CA250" s="171"/>
      <c r="CB250" s="171"/>
      <c r="CC250" s="171"/>
      <c r="CD250" s="171"/>
      <c r="CE250" s="171"/>
      <c r="CF250" s="171"/>
      <c r="CG250" s="171"/>
      <c r="CH250" s="171"/>
      <c r="CI250" s="171"/>
      <c r="CJ250" s="171"/>
      <c r="CK250" s="171"/>
      <c r="CL250" s="171"/>
    </row>
    <row r="251" spans="1:91">
      <c r="A251" s="171">
        <v>314</v>
      </c>
      <c r="B251" s="171" t="s">
        <v>4312</v>
      </c>
      <c r="C251" s="171">
        <v>320</v>
      </c>
      <c r="D251" s="171" t="str">
        <f t="shared" si="41"/>
        <v/>
      </c>
      <c r="E251" s="171" t="s">
        <v>7228</v>
      </c>
      <c r="F251" s="174">
        <v>45481</v>
      </c>
      <c r="G251" s="171" t="s">
        <v>7223</v>
      </c>
      <c r="H251" s="173">
        <v>248.9</v>
      </c>
      <c r="I251" s="171"/>
      <c r="J251" s="171" t="s">
        <v>4494</v>
      </c>
      <c r="K251" s="171" t="s">
        <v>73</v>
      </c>
      <c r="L251" s="171" t="s">
        <v>1994</v>
      </c>
      <c r="M251" s="171" t="s">
        <v>5032</v>
      </c>
      <c r="N251" s="171"/>
      <c r="O251" s="171"/>
      <c r="P251" s="171" t="s">
        <v>5032</v>
      </c>
      <c r="Q251" s="171"/>
      <c r="R251" s="171"/>
      <c r="S251" s="171"/>
      <c r="T251" s="171"/>
      <c r="U251" s="171"/>
      <c r="V251" s="175"/>
      <c r="W251" s="171"/>
      <c r="X251" s="171" t="s">
        <v>4519</v>
      </c>
      <c r="Y251" s="171" t="s">
        <v>5131</v>
      </c>
      <c r="Z251" s="171" t="s">
        <v>7225</v>
      </c>
      <c r="AA251" s="171" t="s">
        <v>4519</v>
      </c>
      <c r="AB251" s="171">
        <v>2060</v>
      </c>
      <c r="AC251" s="171">
        <v>2021</v>
      </c>
      <c r="AD251" s="171"/>
      <c r="AE251" s="171"/>
      <c r="AF251" s="171"/>
      <c r="AG251" s="171"/>
      <c r="AH251" s="171"/>
      <c r="AI251" s="171"/>
      <c r="AJ251" s="171"/>
      <c r="AK251" s="171"/>
      <c r="AL251" s="171" t="s">
        <v>7742</v>
      </c>
      <c r="AM251" s="171"/>
      <c r="AN251" s="171" t="s">
        <v>5032</v>
      </c>
      <c r="AO251" s="171"/>
      <c r="AP251" s="171"/>
      <c r="AQ251" s="171" t="s">
        <v>5032</v>
      </c>
      <c r="AR251" s="171"/>
      <c r="AS251" s="171"/>
      <c r="AT251" s="171"/>
      <c r="AU251" s="171"/>
      <c r="AV251" s="171"/>
      <c r="AW251" s="171"/>
      <c r="AX251" s="171"/>
      <c r="AY251" s="171"/>
      <c r="AZ251" s="171"/>
      <c r="BA251" s="171"/>
      <c r="BB251" s="171"/>
      <c r="BC251" s="171"/>
      <c r="BD251" s="171"/>
      <c r="BE251" s="171"/>
      <c r="BF251" s="225"/>
      <c r="BG251" s="171"/>
      <c r="BH251" s="171"/>
      <c r="BI251" s="171"/>
      <c r="BJ251" s="171"/>
      <c r="BK251" s="171"/>
      <c r="BL251" s="171"/>
      <c r="BM251" s="171"/>
      <c r="BN251" s="171"/>
      <c r="BO251" s="171"/>
      <c r="BP251" s="171"/>
      <c r="BQ251" s="171"/>
      <c r="BR251" s="171"/>
      <c r="BS251" s="171"/>
      <c r="BT251" s="171"/>
      <c r="BU251" s="171"/>
      <c r="BV251" s="171"/>
      <c r="BW251" s="171"/>
      <c r="BX251" s="171"/>
      <c r="BY251" s="171"/>
      <c r="BZ251" s="171"/>
      <c r="CA251" s="171"/>
      <c r="CB251" s="171"/>
      <c r="CC251" s="171"/>
      <c r="CD251" s="171"/>
      <c r="CE251" s="171"/>
      <c r="CF251" s="171"/>
      <c r="CG251" s="171"/>
      <c r="CH251" s="171"/>
      <c r="CI251" s="171"/>
      <c r="CJ251" s="171"/>
      <c r="CK251" s="171"/>
      <c r="CL251" s="171"/>
    </row>
    <row r="252" spans="1:91">
      <c r="A252" s="171">
        <v>213</v>
      </c>
      <c r="B252" s="171" t="s">
        <v>4311</v>
      </c>
      <c r="C252" s="171">
        <v>163</v>
      </c>
      <c r="D252" s="171" t="str">
        <f t="shared" si="41"/>
        <v/>
      </c>
      <c r="E252" s="171" t="s">
        <v>7220</v>
      </c>
      <c r="F252" s="174">
        <v>45476</v>
      </c>
      <c r="G252" s="171" t="s">
        <v>7223</v>
      </c>
      <c r="H252" s="173">
        <v>993.6</v>
      </c>
      <c r="I252" s="171"/>
      <c r="J252" s="171" t="s">
        <v>4494</v>
      </c>
      <c r="K252" s="171" t="s">
        <v>73</v>
      </c>
      <c r="L252" s="171" t="s">
        <v>1994</v>
      </c>
      <c r="M252" s="171" t="s">
        <v>5032</v>
      </c>
      <c r="N252" s="171"/>
      <c r="O252" s="171"/>
      <c r="P252" s="171" t="s">
        <v>5032</v>
      </c>
      <c r="Q252" s="171"/>
      <c r="R252" s="171"/>
      <c r="S252" s="171"/>
      <c r="T252" s="171"/>
      <c r="U252" s="171"/>
      <c r="V252" s="175"/>
      <c r="W252" s="171"/>
      <c r="X252" s="171" t="s">
        <v>5032</v>
      </c>
      <c r="Y252" s="171"/>
      <c r="Z252" s="171"/>
      <c r="AA252" s="171" t="s">
        <v>5032</v>
      </c>
      <c r="AB252" s="171"/>
      <c r="AC252" s="171"/>
      <c r="AD252" s="171"/>
      <c r="AE252" s="171"/>
      <c r="AF252" s="171"/>
      <c r="AG252" s="171"/>
      <c r="AH252" s="171"/>
      <c r="AI252" s="171"/>
      <c r="AJ252" s="171"/>
      <c r="AK252" s="171"/>
      <c r="AL252" s="171"/>
      <c r="AM252" s="171"/>
      <c r="AN252" s="171" t="s">
        <v>5032</v>
      </c>
      <c r="AO252" s="171"/>
      <c r="AP252" s="171"/>
      <c r="AQ252" s="171" t="s">
        <v>5032</v>
      </c>
      <c r="AR252" s="171"/>
      <c r="AS252" s="171"/>
      <c r="AT252" s="171"/>
      <c r="AU252" s="171"/>
      <c r="AV252" s="171"/>
      <c r="AW252" s="171"/>
      <c r="AX252" s="171"/>
      <c r="AY252" s="171"/>
      <c r="AZ252" s="171"/>
      <c r="BA252" s="171"/>
      <c r="BB252" s="171"/>
      <c r="BC252" s="171"/>
      <c r="BD252" s="171"/>
      <c r="BE252" s="171"/>
      <c r="BF252" s="225"/>
      <c r="BG252" s="171"/>
      <c r="BH252" s="171"/>
      <c r="BI252" s="171"/>
      <c r="BJ252" s="171"/>
      <c r="BK252" s="171"/>
      <c r="BL252" s="171"/>
      <c r="BM252" s="171"/>
      <c r="BN252" s="171"/>
      <c r="BO252" s="171"/>
      <c r="BP252" s="171"/>
      <c r="BQ252" s="171"/>
      <c r="BR252" s="171"/>
      <c r="BS252" s="171"/>
      <c r="BT252" s="171"/>
      <c r="BU252" s="171"/>
      <c r="BV252" s="171"/>
      <c r="BW252" s="171"/>
      <c r="BX252" s="171"/>
      <c r="BY252" s="171"/>
      <c r="BZ252" s="171"/>
      <c r="CA252" s="171"/>
      <c r="CB252" s="171"/>
      <c r="CC252" s="171"/>
      <c r="CD252" s="171"/>
      <c r="CE252" s="171"/>
      <c r="CF252" s="171"/>
      <c r="CG252" s="171"/>
      <c r="CH252" s="171"/>
      <c r="CI252" s="171"/>
      <c r="CJ252" s="171"/>
      <c r="CK252" s="171"/>
      <c r="CL252" s="171"/>
    </row>
    <row r="253" spans="1:91">
      <c r="A253" s="171">
        <v>115</v>
      </c>
      <c r="B253" s="171" t="s">
        <v>1494</v>
      </c>
      <c r="C253" s="171">
        <v>112</v>
      </c>
      <c r="D253" s="171" t="str">
        <f t="shared" si="41"/>
        <v>CN NZ SBT RE100</v>
      </c>
      <c r="E253" s="171" t="s">
        <v>7228</v>
      </c>
      <c r="F253" s="174">
        <v>45475</v>
      </c>
      <c r="G253" s="171" t="s">
        <v>7223</v>
      </c>
      <c r="H253" s="173">
        <v>35153</v>
      </c>
      <c r="I253" s="171"/>
      <c r="J253" s="171" t="s">
        <v>4201</v>
      </c>
      <c r="K253" s="171" t="s">
        <v>4457</v>
      </c>
      <c r="L253" s="171" t="s">
        <v>2029</v>
      </c>
      <c r="M253" s="171" t="s">
        <v>4174</v>
      </c>
      <c r="N253" s="171">
        <v>2015</v>
      </c>
      <c r="O253" s="171">
        <v>2025</v>
      </c>
      <c r="P253" s="171" t="s">
        <v>4174</v>
      </c>
      <c r="Q253" s="171" t="s">
        <v>22</v>
      </c>
      <c r="R253" s="171" t="s">
        <v>7233</v>
      </c>
      <c r="S253" s="171">
        <v>2030</v>
      </c>
      <c r="T253" s="171" t="s">
        <v>1</v>
      </c>
      <c r="U253" s="171"/>
      <c r="V253" s="172">
        <v>45383</v>
      </c>
      <c r="W253" s="171">
        <v>2024</v>
      </c>
      <c r="X253" s="171" t="s">
        <v>1957</v>
      </c>
      <c r="Y253" s="171" t="s">
        <v>1659</v>
      </c>
      <c r="Z253" s="171" t="s">
        <v>7225</v>
      </c>
      <c r="AA253" s="171" t="s">
        <v>1957</v>
      </c>
      <c r="AB253" s="171">
        <v>2030</v>
      </c>
      <c r="AC253" s="171">
        <v>2020</v>
      </c>
      <c r="AD253" s="171"/>
      <c r="AE253" s="171"/>
      <c r="AF253" s="171"/>
      <c r="AG253" s="171" t="s">
        <v>2082</v>
      </c>
      <c r="AH253" s="171">
        <v>2024</v>
      </c>
      <c r="AI253" s="171" t="s">
        <v>4174</v>
      </c>
      <c r="AJ253" s="171"/>
      <c r="AK253" s="171" t="s">
        <v>7741</v>
      </c>
      <c r="AL253" s="176" t="s">
        <v>7741</v>
      </c>
      <c r="AM253" s="171"/>
      <c r="AN253" s="171" t="s">
        <v>4172</v>
      </c>
      <c r="AO253" s="171" t="s">
        <v>6681</v>
      </c>
      <c r="AP253" s="171" t="s">
        <v>7350</v>
      </c>
      <c r="AQ253" s="171" t="s">
        <v>4172</v>
      </c>
      <c r="AR253" s="171">
        <v>2045</v>
      </c>
      <c r="AS253" s="171">
        <v>2021</v>
      </c>
      <c r="AT253" s="171"/>
      <c r="AU253" s="171"/>
      <c r="AV253" s="171"/>
      <c r="AW253" s="171" t="s">
        <v>2082</v>
      </c>
      <c r="AX253" s="171" t="s">
        <v>7740</v>
      </c>
      <c r="AY253" s="171"/>
      <c r="AZ253" s="171"/>
      <c r="BA253" s="171"/>
      <c r="BB253" s="171"/>
      <c r="BC253" s="171" t="s">
        <v>7739</v>
      </c>
      <c r="BD253" s="171"/>
      <c r="BE253" s="171"/>
      <c r="BF253" s="225"/>
      <c r="BG253" s="171"/>
      <c r="BH253" s="171"/>
      <c r="BI253" s="171"/>
      <c r="BJ253" s="171"/>
      <c r="BK253" s="171">
        <v>1</v>
      </c>
      <c r="BL253" s="171"/>
      <c r="BM253" s="171">
        <v>1</v>
      </c>
      <c r="BN253" s="171"/>
      <c r="BO253" s="171"/>
      <c r="BP253" s="171">
        <v>1</v>
      </c>
      <c r="BQ253" s="171">
        <v>1</v>
      </c>
      <c r="BR253" s="171"/>
      <c r="BS253" s="171">
        <v>1</v>
      </c>
      <c r="BT253" s="171"/>
      <c r="BU253" s="171">
        <v>1</v>
      </c>
      <c r="BV253" s="171"/>
      <c r="BW253" s="171">
        <v>1</v>
      </c>
      <c r="BX253" s="171"/>
      <c r="BY253" s="171">
        <v>1</v>
      </c>
      <c r="BZ253" s="171">
        <v>1</v>
      </c>
      <c r="CA253" s="171">
        <v>1</v>
      </c>
      <c r="CB253" s="171">
        <v>1</v>
      </c>
      <c r="CC253" s="171"/>
      <c r="CD253" s="171"/>
      <c r="CE253" s="171">
        <v>1</v>
      </c>
      <c r="CF253" s="171"/>
      <c r="CG253" s="171">
        <v>1</v>
      </c>
      <c r="CH253" s="171">
        <v>1</v>
      </c>
      <c r="CI253" s="171"/>
      <c r="CJ253" s="171"/>
      <c r="CK253" s="171">
        <v>1</v>
      </c>
      <c r="CL253" s="171">
        <v>1</v>
      </c>
      <c r="CM253">
        <f t="shared" si="42"/>
        <v>2045</v>
      </c>
    </row>
    <row r="254" spans="1:91">
      <c r="A254" s="171">
        <v>21</v>
      </c>
      <c r="B254" s="171" t="s">
        <v>3027</v>
      </c>
      <c r="C254" s="171">
        <v>53</v>
      </c>
      <c r="D254" s="171" t="str">
        <f t="shared" si="41"/>
        <v>CN NZ</v>
      </c>
      <c r="E254" s="171" t="s">
        <v>7223</v>
      </c>
      <c r="F254" s="174">
        <v>45475</v>
      </c>
      <c r="G254" s="171" t="s">
        <v>7220</v>
      </c>
      <c r="H254" s="173">
        <v>49552</v>
      </c>
      <c r="I254" s="171"/>
      <c r="J254" s="171" t="s">
        <v>4465</v>
      </c>
      <c r="K254" s="171" t="s">
        <v>4457</v>
      </c>
      <c r="L254" s="171" t="s">
        <v>2029</v>
      </c>
      <c r="M254" s="171" t="s">
        <v>5032</v>
      </c>
      <c r="N254" s="171"/>
      <c r="O254" s="171"/>
      <c r="P254" s="171" t="s">
        <v>5032</v>
      </c>
      <c r="Q254" s="171"/>
      <c r="R254" s="171"/>
      <c r="S254" s="171"/>
      <c r="T254" s="171"/>
      <c r="U254" s="171"/>
      <c r="V254" s="175"/>
      <c r="W254" s="171"/>
      <c r="X254" s="171" t="s">
        <v>1957</v>
      </c>
      <c r="Y254" s="171" t="s">
        <v>1659</v>
      </c>
      <c r="Z254" s="171" t="s">
        <v>7225</v>
      </c>
      <c r="AA254" s="171" t="s">
        <v>1957</v>
      </c>
      <c r="AB254" s="171">
        <v>2020</v>
      </c>
      <c r="AC254" s="171">
        <v>2020</v>
      </c>
      <c r="AD254" s="171"/>
      <c r="AE254" s="171"/>
      <c r="AF254" s="171"/>
      <c r="AG254" s="171" t="s">
        <v>4174</v>
      </c>
      <c r="AH254" s="171">
        <v>2023</v>
      </c>
      <c r="AI254" s="171" t="s">
        <v>5032</v>
      </c>
      <c r="AJ254" s="177" t="s">
        <v>7735</v>
      </c>
      <c r="AK254" s="171"/>
      <c r="AL254" s="171" t="s">
        <v>7738</v>
      </c>
      <c r="AM254" s="171"/>
      <c r="AN254" s="171" t="s">
        <v>1957</v>
      </c>
      <c r="AO254" s="171" t="s">
        <v>7737</v>
      </c>
      <c r="AP254" s="171" t="s">
        <v>2555</v>
      </c>
      <c r="AQ254" s="171" t="s">
        <v>1957</v>
      </c>
      <c r="AR254" s="171">
        <v>2050</v>
      </c>
      <c r="AS254" s="171">
        <v>2022</v>
      </c>
      <c r="AT254" s="171"/>
      <c r="AU254" s="171"/>
      <c r="AV254" s="171"/>
      <c r="AW254" s="171" t="s">
        <v>4174</v>
      </c>
      <c r="AX254" s="171" t="s">
        <v>7735</v>
      </c>
      <c r="AY254" s="171"/>
      <c r="AZ254" s="171"/>
      <c r="BA254" s="171"/>
      <c r="BB254" s="171"/>
      <c r="BC254" s="171" t="s">
        <v>7736</v>
      </c>
      <c r="BD254" s="171" t="s">
        <v>4172</v>
      </c>
      <c r="BE254" s="171" t="s">
        <v>7735</v>
      </c>
      <c r="BF254" s="225" t="s">
        <v>5032</v>
      </c>
      <c r="BG254" s="171"/>
      <c r="BH254" s="171" t="s">
        <v>7734</v>
      </c>
      <c r="BI254" s="171" t="s">
        <v>7733</v>
      </c>
      <c r="BJ254" s="171">
        <v>1</v>
      </c>
      <c r="BK254" s="171"/>
      <c r="BL254" s="171"/>
      <c r="BM254" s="171">
        <v>1</v>
      </c>
      <c r="BN254" s="171"/>
      <c r="BO254" s="171"/>
      <c r="BP254" s="171">
        <v>1</v>
      </c>
      <c r="BQ254" s="171">
        <v>1</v>
      </c>
      <c r="BR254" s="171"/>
      <c r="BS254" s="171"/>
      <c r="BT254" s="171"/>
      <c r="BU254" s="171"/>
      <c r="BV254" s="171"/>
      <c r="BW254" s="171"/>
      <c r="BX254" s="171"/>
      <c r="BY254" s="171"/>
      <c r="BZ254" s="171">
        <v>1</v>
      </c>
      <c r="CA254" s="171">
        <v>1</v>
      </c>
      <c r="CB254" s="171">
        <v>1</v>
      </c>
      <c r="CC254" s="171">
        <v>1</v>
      </c>
      <c r="CD254" s="171"/>
      <c r="CE254" s="171">
        <v>1</v>
      </c>
      <c r="CF254" s="171">
        <v>1</v>
      </c>
      <c r="CG254" s="171">
        <v>1</v>
      </c>
      <c r="CH254" s="171">
        <v>1</v>
      </c>
      <c r="CI254" s="171"/>
      <c r="CJ254" s="171"/>
      <c r="CK254" s="171"/>
      <c r="CL254" s="171"/>
      <c r="CM254">
        <f t="shared" si="42"/>
        <v>2050</v>
      </c>
    </row>
    <row r="255" spans="1:91">
      <c r="A255" s="171">
        <v>296</v>
      </c>
      <c r="B255" s="171" t="s">
        <v>322</v>
      </c>
      <c r="C255" s="171">
        <v>339</v>
      </c>
      <c r="D255" s="171" t="str">
        <f t="shared" si="41"/>
        <v xml:space="preserve"> NZ SBT RE100</v>
      </c>
      <c r="E255" s="171" t="s">
        <v>7228</v>
      </c>
      <c r="F255" s="174">
        <v>45482</v>
      </c>
      <c r="G255" s="171" t="s">
        <v>7220</v>
      </c>
      <c r="H255" s="173">
        <v>3546.5</v>
      </c>
      <c r="I255" s="171"/>
      <c r="J255" s="171" t="s">
        <v>4465</v>
      </c>
      <c r="K255" s="171" t="s">
        <v>114</v>
      </c>
      <c r="L255" s="171" t="s">
        <v>1994</v>
      </c>
      <c r="M255" s="171" t="s">
        <v>4174</v>
      </c>
      <c r="N255" s="171">
        <v>2021</v>
      </c>
      <c r="O255" s="171">
        <v>2040</v>
      </c>
      <c r="P255" s="171" t="s">
        <v>4174</v>
      </c>
      <c r="Q255" s="171" t="s">
        <v>22</v>
      </c>
      <c r="R255" s="171" t="s">
        <v>7233</v>
      </c>
      <c r="S255" s="171">
        <v>2030</v>
      </c>
      <c r="T255" s="171" t="s">
        <v>1</v>
      </c>
      <c r="U255" s="171"/>
      <c r="V255" s="172">
        <v>44470</v>
      </c>
      <c r="W255" s="171">
        <v>2021</v>
      </c>
      <c r="X255" s="171" t="s">
        <v>5032</v>
      </c>
      <c r="Y255" s="171"/>
      <c r="Z255" s="171"/>
      <c r="AA255" s="171" t="s">
        <v>5032</v>
      </c>
      <c r="AB255" s="171"/>
      <c r="AC255" s="171"/>
      <c r="AD255" s="171"/>
      <c r="AE255" s="171"/>
      <c r="AF255" s="171"/>
      <c r="AG255" s="171"/>
      <c r="AH255" s="171"/>
      <c r="AI255" s="171"/>
      <c r="AJ255" s="171"/>
      <c r="AK255" s="171"/>
      <c r="AL255" s="171"/>
      <c r="AM255" s="171"/>
      <c r="AN255" s="171" t="s">
        <v>7218</v>
      </c>
      <c r="AO255" s="171" t="s">
        <v>7732</v>
      </c>
      <c r="AP255" s="171" t="s">
        <v>2072</v>
      </c>
      <c r="AQ255" s="171" t="s">
        <v>1957</v>
      </c>
      <c r="AR255" s="171">
        <v>2040</v>
      </c>
      <c r="AS255" s="171">
        <v>2023</v>
      </c>
      <c r="AT255" s="171" t="s">
        <v>7622</v>
      </c>
      <c r="AU255" s="171">
        <v>2050</v>
      </c>
      <c r="AV255" s="171">
        <v>2023</v>
      </c>
      <c r="AW255" s="171" t="s">
        <v>4174</v>
      </c>
      <c r="AX255" s="176" t="s">
        <v>7731</v>
      </c>
      <c r="AY255" s="171"/>
      <c r="AZ255" s="171"/>
      <c r="BA255" s="171"/>
      <c r="BB255" s="171"/>
      <c r="BC255" s="176" t="s">
        <v>7730</v>
      </c>
      <c r="BD255" s="171"/>
      <c r="BE255" s="171"/>
      <c r="BF255" s="225"/>
      <c r="BG255" s="171"/>
      <c r="BH255" s="171"/>
      <c r="BI255" s="171"/>
      <c r="BJ255" s="171"/>
      <c r="BK255" s="171"/>
      <c r="BL255" s="171"/>
      <c r="BM255" s="171"/>
      <c r="BN255" s="171"/>
      <c r="BO255" s="171"/>
      <c r="BP255" s="171">
        <v>1</v>
      </c>
      <c r="BQ255" s="171">
        <v>1</v>
      </c>
      <c r="BR255" s="171"/>
      <c r="BS255" s="171">
        <v>1</v>
      </c>
      <c r="BT255" s="171"/>
      <c r="BU255" s="171">
        <v>1</v>
      </c>
      <c r="BV255" s="171"/>
      <c r="BW255" s="171"/>
      <c r="BX255" s="171">
        <v>1</v>
      </c>
      <c r="BY255" s="171">
        <v>1</v>
      </c>
      <c r="BZ255" s="171">
        <v>1</v>
      </c>
      <c r="CA255" s="171"/>
      <c r="CB255" s="171">
        <v>1</v>
      </c>
      <c r="CC255" s="171">
        <v>1</v>
      </c>
      <c r="CD255" s="171"/>
      <c r="CE255" s="171">
        <v>1</v>
      </c>
      <c r="CF255" s="171"/>
      <c r="CG255" s="171">
        <v>1</v>
      </c>
      <c r="CH255" s="171">
        <v>1</v>
      </c>
      <c r="CI255" s="171"/>
      <c r="CJ255" s="171"/>
      <c r="CK255" s="171">
        <v>1</v>
      </c>
      <c r="CL255" s="171">
        <v>1</v>
      </c>
      <c r="CM255">
        <f t="shared" si="42"/>
        <v>2040</v>
      </c>
    </row>
    <row r="256" spans="1:91">
      <c r="A256" s="171">
        <v>379</v>
      </c>
      <c r="B256" s="171" t="s">
        <v>1006</v>
      </c>
      <c r="C256" s="171">
        <v>357</v>
      </c>
      <c r="D256" s="171" t="str">
        <f t="shared" si="41"/>
        <v>CN SBT RE100</v>
      </c>
      <c r="E256" s="171" t="s">
        <v>7220</v>
      </c>
      <c r="F256" s="174">
        <v>45481</v>
      </c>
      <c r="G256" s="171" t="s">
        <v>7220</v>
      </c>
      <c r="H256" s="173">
        <v>4413.5</v>
      </c>
      <c r="I256" s="171"/>
      <c r="J256" s="171" t="s">
        <v>4190</v>
      </c>
      <c r="K256" s="171" t="s">
        <v>207</v>
      </c>
      <c r="L256" s="171" t="s">
        <v>1994</v>
      </c>
      <c r="M256" s="171" t="s">
        <v>4174</v>
      </c>
      <c r="N256" s="171">
        <v>2023</v>
      </c>
      <c r="O256" s="171">
        <v>2050</v>
      </c>
      <c r="P256" s="171" t="s">
        <v>4174</v>
      </c>
      <c r="Q256" s="171" t="s">
        <v>22</v>
      </c>
      <c r="R256" s="171" t="s">
        <v>7233</v>
      </c>
      <c r="S256" s="171">
        <v>2030</v>
      </c>
      <c r="T256" s="171" t="s">
        <v>1</v>
      </c>
      <c r="U256" s="171"/>
      <c r="V256" s="172">
        <v>44652</v>
      </c>
      <c r="W256" s="171">
        <v>2022</v>
      </c>
      <c r="X256" s="171" t="s">
        <v>7227</v>
      </c>
      <c r="Y256" s="171" t="s">
        <v>7270</v>
      </c>
      <c r="Z256" s="171" t="s">
        <v>3283</v>
      </c>
      <c r="AA256" s="171" t="s">
        <v>1957</v>
      </c>
      <c r="AB256" s="171">
        <v>2030</v>
      </c>
      <c r="AC256" s="171">
        <v>2020</v>
      </c>
      <c r="AD256" s="171" t="s">
        <v>4172</v>
      </c>
      <c r="AE256" s="171">
        <v>2050</v>
      </c>
      <c r="AF256" s="171">
        <v>2020</v>
      </c>
      <c r="AG256" s="171" t="s">
        <v>4174</v>
      </c>
      <c r="AH256" s="171">
        <v>2023</v>
      </c>
      <c r="AI256" s="171" t="s">
        <v>4174</v>
      </c>
      <c r="AJ256" s="176" t="s">
        <v>7729</v>
      </c>
      <c r="AK256" s="171"/>
      <c r="AL256" s="171" t="s">
        <v>7729</v>
      </c>
      <c r="AM256" s="171" t="s">
        <v>7728</v>
      </c>
      <c r="AN256" s="171" t="s">
        <v>7229</v>
      </c>
      <c r="AO256" s="171"/>
      <c r="AP256" s="171"/>
      <c r="AQ256" s="171" t="s">
        <v>7229</v>
      </c>
      <c r="AR256" s="171"/>
      <c r="AS256" s="171"/>
      <c r="AT256" s="171"/>
      <c r="AU256" s="171"/>
      <c r="AV256" s="171"/>
      <c r="AW256" s="171"/>
      <c r="AX256" s="171"/>
      <c r="AY256" s="171"/>
      <c r="AZ256" s="171"/>
      <c r="BA256" s="171"/>
      <c r="BB256" s="171"/>
      <c r="BC256" s="171"/>
      <c r="BD256" s="171"/>
      <c r="BE256" s="171"/>
      <c r="BF256" s="225"/>
      <c r="BG256" s="171"/>
      <c r="BH256" s="171"/>
      <c r="BI256" s="171"/>
      <c r="BJ256" s="171"/>
      <c r="BK256" s="171">
        <v>1</v>
      </c>
      <c r="BL256" s="171"/>
      <c r="BM256" s="171">
        <v>1</v>
      </c>
      <c r="BN256" s="171"/>
      <c r="BO256" s="171"/>
      <c r="BP256" s="171"/>
      <c r="BQ256" s="171"/>
      <c r="BR256" s="171"/>
      <c r="BS256" s="171">
        <v>1</v>
      </c>
      <c r="BT256" s="171"/>
      <c r="BU256" s="171">
        <v>1</v>
      </c>
      <c r="BV256" s="171"/>
      <c r="BW256" s="171"/>
      <c r="BX256" s="171">
        <v>1</v>
      </c>
      <c r="BY256" s="171">
        <v>1</v>
      </c>
      <c r="BZ256" s="171">
        <v>1</v>
      </c>
      <c r="CA256" s="171">
        <v>1</v>
      </c>
      <c r="CB256" s="171">
        <v>1</v>
      </c>
      <c r="CC256" s="171">
        <v>1</v>
      </c>
      <c r="CD256" s="171"/>
      <c r="CE256" s="171">
        <v>1</v>
      </c>
      <c r="CF256" s="171"/>
      <c r="CG256" s="171">
        <v>1</v>
      </c>
      <c r="CH256" s="171">
        <v>1</v>
      </c>
      <c r="CI256" s="171"/>
      <c r="CJ256" s="171"/>
      <c r="CK256" s="171"/>
      <c r="CL256" s="171"/>
    </row>
    <row r="257" spans="1:91">
      <c r="A257" s="171">
        <v>162</v>
      </c>
      <c r="B257" s="171" t="s">
        <v>4308</v>
      </c>
      <c r="C257" s="171">
        <v>196</v>
      </c>
      <c r="D257" s="171" t="str">
        <f t="shared" si="41"/>
        <v xml:space="preserve"> NZ RE100</v>
      </c>
      <c r="E257" s="171" t="s">
        <v>7228</v>
      </c>
      <c r="F257" s="174">
        <v>45477</v>
      </c>
      <c r="G257" s="171" t="s">
        <v>7220</v>
      </c>
      <c r="H257" s="173">
        <v>6720.2</v>
      </c>
      <c r="I257" s="171"/>
      <c r="J257" s="171" t="s">
        <v>4476</v>
      </c>
      <c r="K257" s="171" t="s">
        <v>114</v>
      </c>
      <c r="L257" s="171" t="s">
        <v>1994</v>
      </c>
      <c r="M257" s="171" t="s">
        <v>4174</v>
      </c>
      <c r="N257" s="171">
        <v>2022</v>
      </c>
      <c r="O257" s="171">
        <v>2040</v>
      </c>
      <c r="P257" s="171" t="s">
        <v>5032</v>
      </c>
      <c r="Q257" s="171"/>
      <c r="R257" s="171"/>
      <c r="S257" s="171"/>
      <c r="T257" s="171"/>
      <c r="U257" s="171"/>
      <c r="V257" s="175"/>
      <c r="W257" s="171"/>
      <c r="X257" s="171" t="s">
        <v>7229</v>
      </c>
      <c r="Y257" s="171"/>
      <c r="Z257" s="171"/>
      <c r="AA257" s="171" t="s">
        <v>7229</v>
      </c>
      <c r="AB257" s="171"/>
      <c r="AC257" s="171"/>
      <c r="AD257" s="171"/>
      <c r="AE257" s="171"/>
      <c r="AF257" s="171"/>
      <c r="AG257" s="171"/>
      <c r="AH257" s="171"/>
      <c r="AI257" s="171"/>
      <c r="AJ257" s="171"/>
      <c r="AK257" s="171"/>
      <c r="AL257" s="171"/>
      <c r="AM257" s="171"/>
      <c r="AN257" s="171" t="s">
        <v>4172</v>
      </c>
      <c r="AO257" s="171" t="s">
        <v>7727</v>
      </c>
      <c r="AP257" s="171" t="s">
        <v>7303</v>
      </c>
      <c r="AQ257" s="171" t="s">
        <v>4172</v>
      </c>
      <c r="AR257" s="171">
        <v>2045</v>
      </c>
      <c r="AS257" s="171">
        <v>2019</v>
      </c>
      <c r="AT257" s="171"/>
      <c r="AU257" s="171"/>
      <c r="AV257" s="171"/>
      <c r="AW257" s="171" t="s">
        <v>4174</v>
      </c>
      <c r="AX257" s="176" t="s">
        <v>7726</v>
      </c>
      <c r="AY257" s="171"/>
      <c r="AZ257" s="171"/>
      <c r="BA257" s="176" t="s">
        <v>4800</v>
      </c>
      <c r="BB257" s="171"/>
      <c r="BC257" s="171" t="s">
        <v>7725</v>
      </c>
      <c r="BD257" s="171"/>
      <c r="BE257" s="171"/>
      <c r="BF257" s="225"/>
      <c r="BG257" s="171"/>
      <c r="BH257" s="171"/>
      <c r="BI257" s="171"/>
      <c r="BJ257" s="171"/>
      <c r="BK257" s="171"/>
      <c r="BL257" s="171"/>
      <c r="BM257" s="171"/>
      <c r="BN257" s="171"/>
      <c r="BO257" s="171"/>
      <c r="BP257" s="171">
        <v>1</v>
      </c>
      <c r="BQ257" s="171">
        <v>1</v>
      </c>
      <c r="BR257" s="171"/>
      <c r="BS257" s="171"/>
      <c r="BT257" s="171"/>
      <c r="BU257" s="171"/>
      <c r="BV257" s="171"/>
      <c r="BW257" s="171"/>
      <c r="BX257" s="171">
        <v>1</v>
      </c>
      <c r="BY257" s="171">
        <v>1</v>
      </c>
      <c r="BZ257" s="171">
        <v>1</v>
      </c>
      <c r="CA257" s="171"/>
      <c r="CB257" s="171">
        <v>1</v>
      </c>
      <c r="CC257" s="171">
        <v>1</v>
      </c>
      <c r="CD257" s="171"/>
      <c r="CE257" s="171">
        <v>1</v>
      </c>
      <c r="CF257" s="171"/>
      <c r="CG257" s="171"/>
      <c r="CH257" s="171">
        <v>1</v>
      </c>
      <c r="CI257" s="171"/>
      <c r="CJ257" s="171"/>
      <c r="CK257" s="171">
        <v>1</v>
      </c>
      <c r="CL257" s="171">
        <v>1</v>
      </c>
      <c r="CM257">
        <f t="shared" si="42"/>
        <v>2045</v>
      </c>
    </row>
    <row r="258" spans="1:91">
      <c r="A258" s="171">
        <v>194</v>
      </c>
      <c r="B258" s="171" t="s">
        <v>381</v>
      </c>
      <c r="C258" s="171">
        <v>259</v>
      </c>
      <c r="D258" s="171" t="str">
        <f t="shared" ref="D258:D321" si="43">CONCATENATE((IF(BM258=1, "CN", "")),(IF(BQ258=1, " NZ", "")),(IF(BU258=1, " SBT", "")),(IF(BY258=1, " RE100", "")))</f>
        <v>CN</v>
      </c>
      <c r="E258" s="171" t="s">
        <v>7223</v>
      </c>
      <c r="F258" s="174">
        <v>45477</v>
      </c>
      <c r="G258" s="171" t="s">
        <v>7223</v>
      </c>
      <c r="H258" s="173">
        <v>3037.6</v>
      </c>
      <c r="I258" s="171"/>
      <c r="J258" s="171" t="s">
        <v>4199</v>
      </c>
      <c r="K258" s="171" t="s">
        <v>382</v>
      </c>
      <c r="L258" s="171" t="s">
        <v>1994</v>
      </c>
      <c r="M258" s="171" t="s">
        <v>5032</v>
      </c>
      <c r="N258" s="171"/>
      <c r="O258" s="171"/>
      <c r="P258" s="171" t="s">
        <v>5032</v>
      </c>
      <c r="Q258" s="171"/>
      <c r="R258" s="171"/>
      <c r="S258" s="171"/>
      <c r="T258" s="171"/>
      <c r="U258" s="171"/>
      <c r="V258" s="175"/>
      <c r="W258" s="171"/>
      <c r="X258" s="171" t="s">
        <v>1957</v>
      </c>
      <c r="Y258" s="171" t="s">
        <v>3793</v>
      </c>
      <c r="Z258" s="171" t="s">
        <v>3283</v>
      </c>
      <c r="AA258" s="171" t="s">
        <v>1957</v>
      </c>
      <c r="AB258" s="171">
        <v>2050</v>
      </c>
      <c r="AC258" s="171">
        <v>2021</v>
      </c>
      <c r="AD258" s="171"/>
      <c r="AE258" s="171"/>
      <c r="AF258" s="171"/>
      <c r="AG258" s="171" t="s">
        <v>2082</v>
      </c>
      <c r="AH258" s="171"/>
      <c r="AI258" s="171" t="s">
        <v>4174</v>
      </c>
      <c r="AJ258" s="171"/>
      <c r="AK258" s="171"/>
      <c r="AL258" s="171" t="s">
        <v>7724</v>
      </c>
      <c r="AM258" s="171"/>
      <c r="AN258" s="171" t="s">
        <v>5032</v>
      </c>
      <c r="AO258" s="171"/>
      <c r="AP258" s="171"/>
      <c r="AQ258" s="171" t="s">
        <v>5032</v>
      </c>
      <c r="AR258" s="171"/>
      <c r="AS258" s="171"/>
      <c r="AT258" s="171"/>
      <c r="AU258" s="171"/>
      <c r="AV258" s="171"/>
      <c r="AW258" s="171"/>
      <c r="AX258" s="171"/>
      <c r="AY258" s="171"/>
      <c r="AZ258" s="171"/>
      <c r="BA258" s="171"/>
      <c r="BB258" s="171"/>
      <c r="BC258" s="171"/>
      <c r="BD258" s="171" t="s">
        <v>4174</v>
      </c>
      <c r="BE258" s="171" t="s">
        <v>7723</v>
      </c>
      <c r="BF258" s="225"/>
      <c r="BG258" s="171"/>
      <c r="BH258" s="171"/>
      <c r="BI258" s="171"/>
      <c r="BJ258" s="171"/>
      <c r="BK258" s="171"/>
      <c r="BL258" s="171">
        <v>1</v>
      </c>
      <c r="BM258" s="171">
        <v>1</v>
      </c>
      <c r="BN258" s="171"/>
      <c r="BO258" s="171"/>
      <c r="BP258" s="171"/>
      <c r="BQ258" s="171"/>
      <c r="BR258" s="171"/>
      <c r="BS258" s="171"/>
      <c r="BT258" s="171"/>
      <c r="BU258" s="171"/>
      <c r="BV258" s="171"/>
      <c r="BW258" s="171"/>
      <c r="BX258" s="171"/>
      <c r="BY258" s="171"/>
      <c r="BZ258" s="171">
        <v>1</v>
      </c>
      <c r="CA258" s="171"/>
      <c r="CB258" s="171">
        <v>1</v>
      </c>
      <c r="CC258" s="171"/>
      <c r="CD258" s="171"/>
      <c r="CE258" s="171">
        <v>1</v>
      </c>
      <c r="CF258" s="171"/>
      <c r="CG258" s="171"/>
      <c r="CH258" s="171">
        <v>1</v>
      </c>
      <c r="CI258" s="171"/>
      <c r="CJ258" s="171"/>
      <c r="CK258" s="171"/>
      <c r="CL258" s="171"/>
    </row>
    <row r="259" spans="1:91">
      <c r="A259" s="171">
        <v>201</v>
      </c>
      <c r="B259" s="171" t="s">
        <v>1186</v>
      </c>
      <c r="C259" s="171">
        <v>258</v>
      </c>
      <c r="D259" s="171" t="str">
        <f t="shared" si="43"/>
        <v/>
      </c>
      <c r="E259" s="171" t="s">
        <v>7223</v>
      </c>
      <c r="F259" s="174">
        <v>45477</v>
      </c>
      <c r="G259" s="171" t="s">
        <v>7223</v>
      </c>
      <c r="H259" s="173">
        <v>-3692.4</v>
      </c>
      <c r="I259" s="171"/>
      <c r="J259" s="171" t="s">
        <v>4199</v>
      </c>
      <c r="K259" s="171" t="s">
        <v>114</v>
      </c>
      <c r="L259" s="171" t="s">
        <v>1994</v>
      </c>
      <c r="M259" s="171" t="s">
        <v>5032</v>
      </c>
      <c r="N259" s="171"/>
      <c r="O259" s="171"/>
      <c r="P259" s="171" t="s">
        <v>5032</v>
      </c>
      <c r="Q259" s="171"/>
      <c r="R259" s="171"/>
      <c r="S259" s="171"/>
      <c r="T259" s="171"/>
      <c r="U259" s="171"/>
      <c r="V259" s="175"/>
      <c r="W259" s="171"/>
      <c r="X259" s="171" t="s">
        <v>4519</v>
      </c>
      <c r="Y259" s="171" t="s">
        <v>5131</v>
      </c>
      <c r="Z259" s="171" t="s">
        <v>3283</v>
      </c>
      <c r="AA259" s="171" t="s">
        <v>4519</v>
      </c>
      <c r="AB259" s="171">
        <v>2050</v>
      </c>
      <c r="AC259" s="171">
        <v>2022</v>
      </c>
      <c r="AD259" s="171"/>
      <c r="AE259" s="171"/>
      <c r="AF259" s="171"/>
      <c r="AG259" s="171" t="s">
        <v>2082</v>
      </c>
      <c r="AH259" s="171"/>
      <c r="AI259" s="171"/>
      <c r="AJ259" s="171"/>
      <c r="AK259" s="171"/>
      <c r="AL259" s="171" t="s">
        <v>7722</v>
      </c>
      <c r="AM259" s="171"/>
      <c r="AN259" s="171" t="s">
        <v>5032</v>
      </c>
      <c r="AO259" s="171"/>
      <c r="AP259" s="171"/>
      <c r="AQ259" s="171" t="s">
        <v>5032</v>
      </c>
      <c r="AR259" s="171"/>
      <c r="AS259" s="171"/>
      <c r="AT259" s="171"/>
      <c r="AU259" s="171"/>
      <c r="AV259" s="171"/>
      <c r="AW259" s="171"/>
      <c r="AX259" s="171"/>
      <c r="AY259" s="171"/>
      <c r="AZ259" s="171"/>
      <c r="BA259" s="171"/>
      <c r="BB259" s="171"/>
      <c r="BC259" s="171"/>
      <c r="BD259" s="171"/>
      <c r="BE259" s="171"/>
      <c r="BF259" s="225"/>
      <c r="BG259" s="171"/>
      <c r="BH259" s="171"/>
      <c r="BI259" s="171"/>
      <c r="BJ259" s="171"/>
      <c r="BK259" s="171"/>
      <c r="BL259" s="171"/>
      <c r="BM259" s="171"/>
      <c r="BN259" s="171"/>
      <c r="BO259" s="171"/>
      <c r="BP259" s="171"/>
      <c r="BQ259" s="171"/>
      <c r="BR259" s="171"/>
      <c r="BS259" s="171"/>
      <c r="BT259" s="171"/>
      <c r="BU259" s="171"/>
      <c r="BV259" s="171"/>
      <c r="BW259" s="171"/>
      <c r="BX259" s="171"/>
      <c r="BY259" s="171"/>
      <c r="BZ259" s="171"/>
      <c r="CA259" s="171"/>
      <c r="CB259" s="171"/>
      <c r="CC259" s="171"/>
      <c r="CD259" s="171"/>
      <c r="CE259" s="171"/>
      <c r="CF259" s="171"/>
      <c r="CG259" s="171"/>
      <c r="CH259" s="171"/>
      <c r="CI259" s="171"/>
      <c r="CJ259" s="171"/>
      <c r="CK259" s="171"/>
      <c r="CL259" s="171"/>
    </row>
    <row r="260" spans="1:91">
      <c r="A260" s="171">
        <v>456</v>
      </c>
      <c r="B260" s="171" t="s">
        <v>5559</v>
      </c>
      <c r="C260" s="171">
        <v>374</v>
      </c>
      <c r="D260" s="171" t="str">
        <f t="shared" si="43"/>
        <v/>
      </c>
      <c r="E260" s="171" t="s">
        <v>7221</v>
      </c>
      <c r="F260" s="174">
        <v>45481</v>
      </c>
      <c r="G260" s="171" t="s">
        <v>7220</v>
      </c>
      <c r="H260" s="173">
        <v>-582.79999999999995</v>
      </c>
      <c r="I260" s="171"/>
      <c r="J260" s="171" t="s">
        <v>3498</v>
      </c>
      <c r="K260" s="171" t="s">
        <v>114</v>
      </c>
      <c r="L260" s="171" t="s">
        <v>1994</v>
      </c>
      <c r="M260" s="171" t="s">
        <v>5032</v>
      </c>
      <c r="N260" s="171"/>
      <c r="O260" s="171"/>
      <c r="P260" s="171" t="s">
        <v>5032</v>
      </c>
      <c r="Q260" s="171"/>
      <c r="R260" s="171"/>
      <c r="S260" s="171"/>
      <c r="T260" s="171"/>
      <c r="U260" s="171"/>
      <c r="V260" s="175"/>
      <c r="W260" s="171"/>
      <c r="X260" s="171" t="s">
        <v>5032</v>
      </c>
      <c r="Y260" s="171"/>
      <c r="Z260" s="171"/>
      <c r="AA260" s="171" t="s">
        <v>5032</v>
      </c>
      <c r="AB260" s="171"/>
      <c r="AC260" s="171"/>
      <c r="AD260" s="171"/>
      <c r="AE260" s="171"/>
      <c r="AF260" s="171"/>
      <c r="AG260" s="171"/>
      <c r="AH260" s="171"/>
      <c r="AI260" s="171"/>
      <c r="AJ260" s="171"/>
      <c r="AK260" s="171"/>
      <c r="AL260" s="171"/>
      <c r="AM260" s="171"/>
      <c r="AN260" s="171" t="s">
        <v>5032</v>
      </c>
      <c r="AO260" s="171"/>
      <c r="AP260" s="171"/>
      <c r="AQ260" s="171" t="s">
        <v>5032</v>
      </c>
      <c r="AR260" s="171"/>
      <c r="AS260" s="171"/>
      <c r="AT260" s="171"/>
      <c r="AU260" s="171"/>
      <c r="AV260" s="171"/>
      <c r="AW260" s="171"/>
      <c r="AX260" s="171" t="s">
        <v>7721</v>
      </c>
      <c r="AY260" s="171"/>
      <c r="AZ260" s="171"/>
      <c r="BA260" s="171"/>
      <c r="BB260" s="171"/>
      <c r="BC260" s="171"/>
      <c r="BD260" s="171" t="s">
        <v>4174</v>
      </c>
      <c r="BE260" s="171" t="s">
        <v>7720</v>
      </c>
      <c r="BF260" s="225"/>
      <c r="BG260" s="171"/>
      <c r="BH260" s="171"/>
      <c r="BI260" s="171"/>
      <c r="BJ260" s="171"/>
      <c r="BK260" s="171"/>
      <c r="BL260" s="171"/>
      <c r="BM260" s="171"/>
      <c r="BN260" s="171"/>
      <c r="BO260" s="171"/>
      <c r="BP260" s="171"/>
      <c r="BQ260" s="171"/>
      <c r="BR260" s="171"/>
      <c r="BS260" s="171"/>
      <c r="BT260" s="171"/>
      <c r="BU260" s="171"/>
      <c r="BV260" s="171"/>
      <c r="BW260" s="171"/>
      <c r="BX260" s="171"/>
      <c r="BY260" s="171"/>
      <c r="BZ260" s="171"/>
      <c r="CA260" s="171"/>
      <c r="CB260" s="171"/>
      <c r="CC260" s="171"/>
      <c r="CD260" s="171"/>
      <c r="CE260" s="171"/>
      <c r="CF260" s="171"/>
      <c r="CG260" s="171"/>
      <c r="CH260" s="171"/>
      <c r="CI260" s="171"/>
      <c r="CJ260" s="171"/>
      <c r="CK260" s="171"/>
      <c r="CL260" s="171"/>
    </row>
    <row r="261" spans="1:91">
      <c r="A261" s="171">
        <v>51</v>
      </c>
      <c r="B261" s="171" t="s">
        <v>1722</v>
      </c>
      <c r="C261" s="171">
        <v>58</v>
      </c>
      <c r="D261" s="171" t="str">
        <f t="shared" si="43"/>
        <v/>
      </c>
      <c r="E261" s="171" t="s">
        <v>7719</v>
      </c>
      <c r="F261" s="174">
        <v>45475</v>
      </c>
      <c r="G261" s="171" t="s">
        <v>7220</v>
      </c>
      <c r="H261" s="173">
        <v>2164</v>
      </c>
      <c r="I261" s="171"/>
      <c r="J261" s="171" t="s">
        <v>4467</v>
      </c>
      <c r="K261" s="171" t="s">
        <v>4457</v>
      </c>
      <c r="L261" s="171" t="s">
        <v>2029</v>
      </c>
      <c r="M261" s="171" t="s">
        <v>5032</v>
      </c>
      <c r="N261" s="171"/>
      <c r="O261" s="171"/>
      <c r="P261" s="171" t="s">
        <v>5032</v>
      </c>
      <c r="Q261" s="171" t="s">
        <v>7290</v>
      </c>
      <c r="R261" s="171"/>
      <c r="S261" s="171"/>
      <c r="T261" s="171" t="s">
        <v>1</v>
      </c>
      <c r="U261" s="171"/>
      <c r="V261" s="172">
        <v>44713</v>
      </c>
      <c r="W261" s="171">
        <v>2022</v>
      </c>
      <c r="X261" s="171" t="s">
        <v>5032</v>
      </c>
      <c r="Y261" s="171"/>
      <c r="Z261" s="171"/>
      <c r="AA261" s="171" t="s">
        <v>5032</v>
      </c>
      <c r="AB261" s="171"/>
      <c r="AC261" s="171"/>
      <c r="AD261" s="171"/>
      <c r="AE261" s="171"/>
      <c r="AF261" s="171"/>
      <c r="AG261" s="171"/>
      <c r="AH261" s="171"/>
      <c r="AI261" s="171"/>
      <c r="AJ261" s="171"/>
      <c r="AK261" s="171"/>
      <c r="AL261" s="171"/>
      <c r="AM261" s="171"/>
      <c r="AN261" s="171" t="s">
        <v>5032</v>
      </c>
      <c r="AO261" s="171"/>
      <c r="AP261" s="171"/>
      <c r="AQ261" s="171" t="s">
        <v>5032</v>
      </c>
      <c r="AR261" s="171"/>
      <c r="AS261" s="171"/>
      <c r="AT261" s="171"/>
      <c r="AU261" s="171"/>
      <c r="AV261" s="171"/>
      <c r="AW261" s="171"/>
      <c r="AX261" s="171"/>
      <c r="AY261" s="171"/>
      <c r="AZ261" s="171"/>
      <c r="BA261" s="171"/>
      <c r="BB261" s="171"/>
      <c r="BC261" s="171"/>
      <c r="BD261" s="171" t="s">
        <v>1957</v>
      </c>
      <c r="BE261" s="171" t="s">
        <v>7718</v>
      </c>
      <c r="BF261" s="225" t="s">
        <v>5032</v>
      </c>
      <c r="BG261" s="171"/>
      <c r="BH261" s="171"/>
      <c r="BI261" s="171"/>
      <c r="BJ261" s="171"/>
      <c r="BK261" s="171"/>
      <c r="BL261" s="171"/>
      <c r="BM261" s="171"/>
      <c r="BN261" s="171"/>
      <c r="BO261" s="171"/>
      <c r="BP261" s="171"/>
      <c r="BQ261" s="171"/>
      <c r="BR261" s="171"/>
      <c r="BS261" s="171"/>
      <c r="BT261" s="171"/>
      <c r="BU261" s="171"/>
      <c r="BV261" s="171"/>
      <c r="BW261" s="171"/>
      <c r="BX261" s="171"/>
      <c r="BY261" s="171"/>
      <c r="BZ261" s="171"/>
      <c r="CA261" s="171"/>
      <c r="CB261" s="171"/>
      <c r="CC261" s="171"/>
      <c r="CD261" s="171"/>
      <c r="CE261" s="171"/>
      <c r="CF261" s="171"/>
      <c r="CG261" s="171"/>
      <c r="CH261" s="171"/>
      <c r="CI261" s="171"/>
      <c r="CJ261" s="171"/>
      <c r="CK261" s="171"/>
      <c r="CL261" s="171"/>
    </row>
    <row r="262" spans="1:91">
      <c r="A262" s="171">
        <v>409</v>
      </c>
      <c r="B262" s="171" t="s">
        <v>353</v>
      </c>
      <c r="C262" s="171">
        <v>403</v>
      </c>
      <c r="D262" s="171" t="str">
        <f t="shared" si="43"/>
        <v xml:space="preserve"> NZ SBT</v>
      </c>
      <c r="E262" s="171" t="s">
        <v>7223</v>
      </c>
      <c r="F262" s="174">
        <v>45511</v>
      </c>
      <c r="G262" s="171" t="s">
        <v>7223</v>
      </c>
      <c r="H262" s="173">
        <v>555.70000000000005</v>
      </c>
      <c r="I262" s="171"/>
      <c r="J262" s="171" t="s">
        <v>4179</v>
      </c>
      <c r="K262" s="171" t="s">
        <v>63</v>
      </c>
      <c r="L262" s="171" t="s">
        <v>1951</v>
      </c>
      <c r="M262" s="171" t="s">
        <v>5032</v>
      </c>
      <c r="N262" s="171"/>
      <c r="O262" s="171"/>
      <c r="P262" s="171" t="s">
        <v>4174</v>
      </c>
      <c r="Q262" s="171" t="s">
        <v>22</v>
      </c>
      <c r="R262" s="171" t="s">
        <v>2499</v>
      </c>
      <c r="S262" s="171">
        <v>2027</v>
      </c>
      <c r="T262" s="171" t="s">
        <v>361</v>
      </c>
      <c r="U262" s="171">
        <v>2040</v>
      </c>
      <c r="V262" s="175" t="s">
        <v>7717</v>
      </c>
      <c r="W262" s="171">
        <v>2024</v>
      </c>
      <c r="X262" s="171" t="s">
        <v>5032</v>
      </c>
      <c r="Y262" s="171"/>
      <c r="Z262" s="171"/>
      <c r="AA262" s="171" t="s">
        <v>5032</v>
      </c>
      <c r="AB262" s="171"/>
      <c r="AC262" s="171"/>
      <c r="AD262" s="171"/>
      <c r="AE262" s="171"/>
      <c r="AF262" s="171"/>
      <c r="AG262" s="171"/>
      <c r="AH262" s="171"/>
      <c r="AI262" s="171"/>
      <c r="AJ262" s="171"/>
      <c r="AK262" s="171"/>
      <c r="AL262" s="171"/>
      <c r="AM262" s="171"/>
      <c r="AN262" s="171" t="s">
        <v>4172</v>
      </c>
      <c r="AO262" s="171" t="s">
        <v>7716</v>
      </c>
      <c r="AP262" s="171" t="s">
        <v>2072</v>
      </c>
      <c r="AQ262" s="171" t="s">
        <v>4172</v>
      </c>
      <c r="AR262" s="171">
        <v>2040</v>
      </c>
      <c r="AS262" s="171">
        <v>2024</v>
      </c>
      <c r="AT262" s="171"/>
      <c r="AU262" s="171"/>
      <c r="AV262" s="171"/>
      <c r="AW262" s="171" t="s">
        <v>2082</v>
      </c>
      <c r="AX262" s="176" t="s">
        <v>5437</v>
      </c>
      <c r="AY262" s="171">
        <v>2023</v>
      </c>
      <c r="AZ262" s="171" t="s">
        <v>4174</v>
      </c>
      <c r="BA262" s="176" t="s">
        <v>7715</v>
      </c>
      <c r="BB262" s="171"/>
      <c r="BC262" s="171"/>
      <c r="BD262" s="171"/>
      <c r="BE262" s="171"/>
      <c r="BF262" s="225"/>
      <c r="BG262" s="171"/>
      <c r="BH262" s="171"/>
      <c r="BI262" s="171"/>
      <c r="BJ262" s="171"/>
      <c r="BK262" s="171"/>
      <c r="BL262" s="171"/>
      <c r="BM262" s="171"/>
      <c r="BN262" s="171"/>
      <c r="BO262" s="171"/>
      <c r="BP262" s="171">
        <v>1</v>
      </c>
      <c r="BQ262" s="171">
        <v>1</v>
      </c>
      <c r="BR262" s="171"/>
      <c r="BS262" s="171">
        <v>1</v>
      </c>
      <c r="BT262" s="171"/>
      <c r="BU262" s="171">
        <v>1</v>
      </c>
      <c r="BV262" s="171"/>
      <c r="BW262" s="171"/>
      <c r="BX262" s="171"/>
      <c r="BY262" s="171"/>
      <c r="BZ262" s="171">
        <v>1</v>
      </c>
      <c r="CA262" s="171"/>
      <c r="CB262" s="171">
        <v>1</v>
      </c>
      <c r="CC262" s="171"/>
      <c r="CD262" s="171"/>
      <c r="CE262" s="171">
        <v>1</v>
      </c>
      <c r="CF262" s="171"/>
      <c r="CG262" s="171">
        <v>1</v>
      </c>
      <c r="CH262" s="171">
        <v>1</v>
      </c>
      <c r="CI262" s="171"/>
      <c r="CJ262" s="171"/>
      <c r="CK262" s="171">
        <v>1</v>
      </c>
      <c r="CL262" s="171">
        <v>1</v>
      </c>
      <c r="CM262">
        <f t="shared" ref="CM259:CM322" si="44">MAX(U262,AR262)</f>
        <v>2040</v>
      </c>
    </row>
    <row r="263" spans="1:91">
      <c r="A263" s="171">
        <v>312</v>
      </c>
      <c r="B263" s="171" t="s">
        <v>7714</v>
      </c>
      <c r="C263" s="171"/>
      <c r="D263" s="171" t="str">
        <f t="shared" si="43"/>
        <v>CN NZ</v>
      </c>
      <c r="E263" s="171" t="s">
        <v>7385</v>
      </c>
      <c r="F263" s="174">
        <v>45512</v>
      </c>
      <c r="G263" s="171"/>
      <c r="H263" s="173">
        <v>1080</v>
      </c>
      <c r="I263" s="181" t="s">
        <v>795</v>
      </c>
      <c r="J263" s="171" t="s">
        <v>4465</v>
      </c>
      <c r="K263" s="171" t="s">
        <v>146</v>
      </c>
      <c r="L263" s="171" t="s">
        <v>1951</v>
      </c>
      <c r="M263" s="171" t="s">
        <v>5032</v>
      </c>
      <c r="N263" s="171"/>
      <c r="O263" s="171"/>
      <c r="P263" s="171" t="s">
        <v>5032</v>
      </c>
      <c r="Q263" s="171"/>
      <c r="R263" s="171"/>
      <c r="S263" s="171"/>
      <c r="T263" s="171"/>
      <c r="U263" s="171"/>
      <c r="V263" s="175"/>
      <c r="W263" s="171"/>
      <c r="X263" s="171" t="s">
        <v>1957</v>
      </c>
      <c r="Y263" s="171" t="s">
        <v>4282</v>
      </c>
      <c r="Z263" s="171" t="s">
        <v>7225</v>
      </c>
      <c r="AA263" s="171" t="s">
        <v>1957</v>
      </c>
      <c r="AB263" s="171">
        <v>2035</v>
      </c>
      <c r="AC263" s="171">
        <v>2020</v>
      </c>
      <c r="AD263" s="171"/>
      <c r="AE263" s="171"/>
      <c r="AF263" s="171"/>
      <c r="AG263" s="171" t="s">
        <v>2082</v>
      </c>
      <c r="AH263" s="171"/>
      <c r="AI263" s="171" t="s">
        <v>4174</v>
      </c>
      <c r="AJ263" s="171"/>
      <c r="AK263" s="171"/>
      <c r="AL263" s="171" t="s">
        <v>7713</v>
      </c>
      <c r="AM263" s="171"/>
      <c r="AN263" s="171" t="s">
        <v>4172</v>
      </c>
      <c r="AO263" s="171" t="s">
        <v>2760</v>
      </c>
      <c r="AP263" s="171" t="s">
        <v>2072</v>
      </c>
      <c r="AQ263" s="171" t="s">
        <v>4172</v>
      </c>
      <c r="AR263" s="171">
        <v>2050</v>
      </c>
      <c r="AS263" s="171">
        <v>2021</v>
      </c>
      <c r="AT263" s="171"/>
      <c r="AU263" s="171"/>
      <c r="AV263" s="171"/>
      <c r="AW263" s="171" t="s">
        <v>2082</v>
      </c>
      <c r="AX263" s="176" t="s">
        <v>7713</v>
      </c>
      <c r="AY263" s="171"/>
      <c r="AZ263" s="171"/>
      <c r="BA263" s="171"/>
      <c r="BB263" s="171"/>
      <c r="BC263" s="171"/>
      <c r="BD263" s="171"/>
      <c r="BE263" s="171"/>
      <c r="BF263" s="225"/>
      <c r="BG263" s="171"/>
      <c r="BH263" s="171"/>
      <c r="BI263" s="171"/>
      <c r="BJ263" s="171"/>
      <c r="BK263" s="171"/>
      <c r="BL263" s="171">
        <v>1</v>
      </c>
      <c r="BM263" s="171">
        <v>1</v>
      </c>
      <c r="BN263" s="171"/>
      <c r="BO263" s="171"/>
      <c r="BP263" s="171">
        <v>1</v>
      </c>
      <c r="BQ263" s="171">
        <v>1</v>
      </c>
      <c r="BR263" s="171"/>
      <c r="BS263" s="171"/>
      <c r="BT263" s="171"/>
      <c r="BU263" s="171"/>
      <c r="BV263" s="171"/>
      <c r="BW263" s="171"/>
      <c r="BX263" s="171"/>
      <c r="BY263" s="171"/>
      <c r="BZ263" s="171">
        <v>1</v>
      </c>
      <c r="CA263" s="171"/>
      <c r="CB263" s="171">
        <v>1</v>
      </c>
      <c r="CC263" s="171"/>
      <c r="CD263" s="171"/>
      <c r="CE263" s="171">
        <v>1</v>
      </c>
      <c r="CF263" s="171"/>
      <c r="CG263" s="171"/>
      <c r="CH263" s="171">
        <v>1</v>
      </c>
      <c r="CI263" s="171"/>
      <c r="CJ263" s="171"/>
      <c r="CK263" s="171">
        <v>1</v>
      </c>
      <c r="CL263" s="171">
        <v>1</v>
      </c>
      <c r="CM263">
        <f t="shared" si="44"/>
        <v>2050</v>
      </c>
    </row>
    <row r="264" spans="1:91">
      <c r="A264" s="171">
        <v>453</v>
      </c>
      <c r="B264" s="171" t="s">
        <v>5245</v>
      </c>
      <c r="C264" s="171">
        <v>450</v>
      </c>
      <c r="D264" s="171" t="str">
        <f t="shared" si="43"/>
        <v/>
      </c>
      <c r="E264" s="171" t="s">
        <v>7223</v>
      </c>
      <c r="F264" s="174">
        <v>45512</v>
      </c>
      <c r="G264" s="171" t="s">
        <v>7223</v>
      </c>
      <c r="H264" s="173">
        <v>3938.5</v>
      </c>
      <c r="I264" s="171"/>
      <c r="J264" s="171" t="s">
        <v>7456</v>
      </c>
      <c r="K264" s="171" t="s">
        <v>4457</v>
      </c>
      <c r="L264" s="171" t="s">
        <v>2029</v>
      </c>
      <c r="M264" s="171" t="s">
        <v>5032</v>
      </c>
      <c r="N264" s="171"/>
      <c r="O264" s="171"/>
      <c r="P264" s="171" t="s">
        <v>5032</v>
      </c>
      <c r="Q264" s="171"/>
      <c r="R264" s="171"/>
      <c r="S264" s="171"/>
      <c r="T264" s="171"/>
      <c r="U264" s="171"/>
      <c r="V264" s="175"/>
      <c r="W264" s="171"/>
      <c r="X264" s="171" t="s">
        <v>5032</v>
      </c>
      <c r="Y264" s="171"/>
      <c r="Z264" s="171"/>
      <c r="AA264" s="171" t="s">
        <v>5032</v>
      </c>
      <c r="AB264" s="171"/>
      <c r="AC264" s="171"/>
      <c r="AD264" s="171"/>
      <c r="AE264" s="171"/>
      <c r="AF264" s="171"/>
      <c r="AG264" s="171"/>
      <c r="AH264" s="171"/>
      <c r="AI264" s="171"/>
      <c r="AJ264" s="171"/>
      <c r="AK264" s="171"/>
      <c r="AL264" s="171"/>
      <c r="AM264" s="171"/>
      <c r="AN264" s="171" t="s">
        <v>5032</v>
      </c>
      <c r="AO264" s="171"/>
      <c r="AP264" s="171"/>
      <c r="AQ264" s="171" t="s">
        <v>5032</v>
      </c>
      <c r="AR264" s="171"/>
      <c r="AS264" s="171"/>
      <c r="AT264" s="171"/>
      <c r="AU264" s="171"/>
      <c r="AV264" s="171"/>
      <c r="AW264" s="171"/>
      <c r="AX264" s="171"/>
      <c r="AY264" s="171"/>
      <c r="AZ264" s="171"/>
      <c r="BA264" s="171"/>
      <c r="BB264" s="171"/>
      <c r="BC264" s="171"/>
      <c r="BD264" s="171"/>
      <c r="BE264" s="171"/>
      <c r="BF264" s="225"/>
      <c r="BG264" s="171"/>
      <c r="BH264" s="171"/>
      <c r="BI264" s="171"/>
      <c r="BJ264" s="171"/>
      <c r="BK264" s="171"/>
      <c r="BL264" s="171"/>
      <c r="BM264" s="171"/>
      <c r="BN264" s="171"/>
      <c r="BO264" s="171"/>
      <c r="BP264" s="171"/>
      <c r="BQ264" s="171"/>
      <c r="BR264" s="171"/>
      <c r="BS264" s="171"/>
      <c r="BT264" s="171"/>
      <c r="BU264" s="171"/>
      <c r="BV264" s="171"/>
      <c r="BW264" s="171"/>
      <c r="BX264" s="171"/>
      <c r="BY264" s="171"/>
      <c r="BZ264" s="171"/>
      <c r="CA264" s="171"/>
      <c r="CB264" s="171"/>
      <c r="CC264" s="171"/>
      <c r="CD264" s="171"/>
      <c r="CE264" s="171"/>
      <c r="CF264" s="171"/>
      <c r="CG264" s="171"/>
      <c r="CH264" s="171"/>
      <c r="CI264" s="171"/>
      <c r="CJ264" s="171"/>
      <c r="CK264" s="171"/>
      <c r="CL264" s="171"/>
    </row>
    <row r="265" spans="1:91">
      <c r="A265" s="171">
        <v>248</v>
      </c>
      <c r="B265" s="171" t="s">
        <v>1123</v>
      </c>
      <c r="C265" s="171">
        <v>217</v>
      </c>
      <c r="D265" s="171" t="str">
        <f t="shared" si="43"/>
        <v xml:space="preserve"> NZ SBT</v>
      </c>
      <c r="E265" s="171" t="s">
        <v>7221</v>
      </c>
      <c r="F265" s="174">
        <v>45477</v>
      </c>
      <c r="G265" s="171" t="s">
        <v>7220</v>
      </c>
      <c r="H265" s="173">
        <v>1010.5</v>
      </c>
      <c r="I265" s="171"/>
      <c r="J265" s="171" t="s">
        <v>186</v>
      </c>
      <c r="K265" s="171" t="s">
        <v>73</v>
      </c>
      <c r="L265" s="171" t="s">
        <v>1994</v>
      </c>
      <c r="M265" s="171" t="s">
        <v>5032</v>
      </c>
      <c r="N265" s="171"/>
      <c r="O265" s="171"/>
      <c r="P265" s="171" t="s">
        <v>4174</v>
      </c>
      <c r="Q265" s="171" t="s">
        <v>22</v>
      </c>
      <c r="R265" s="171" t="s">
        <v>7233</v>
      </c>
      <c r="S265" s="171">
        <v>2030</v>
      </c>
      <c r="T265" s="171" t="s">
        <v>361</v>
      </c>
      <c r="U265" s="171">
        <v>2050</v>
      </c>
      <c r="V265" s="172">
        <v>44927</v>
      </c>
      <c r="W265" s="171">
        <v>2023</v>
      </c>
      <c r="X265" s="171" t="s">
        <v>5032</v>
      </c>
      <c r="Y265" s="171"/>
      <c r="Z265" s="171"/>
      <c r="AA265" s="171" t="s">
        <v>5032</v>
      </c>
      <c r="AB265" s="171"/>
      <c r="AC265" s="171"/>
      <c r="AD265" s="171"/>
      <c r="AE265" s="171"/>
      <c r="AF265" s="171"/>
      <c r="AG265" s="171"/>
      <c r="AH265" s="171"/>
      <c r="AI265" s="171"/>
      <c r="AJ265" s="171"/>
      <c r="AK265" s="171"/>
      <c r="AL265" s="171"/>
      <c r="AM265" s="171"/>
      <c r="AN265" s="171" t="s">
        <v>4172</v>
      </c>
      <c r="AO265" s="171" t="s">
        <v>1435</v>
      </c>
      <c r="AP265" s="171" t="s">
        <v>2072</v>
      </c>
      <c r="AQ265" s="171" t="s">
        <v>4172</v>
      </c>
      <c r="AR265" s="171">
        <v>2050</v>
      </c>
      <c r="AS265" s="171">
        <v>2023</v>
      </c>
      <c r="AT265" s="171"/>
      <c r="AU265" s="171"/>
      <c r="AV265" s="171"/>
      <c r="AW265" s="171" t="s">
        <v>4174</v>
      </c>
      <c r="AX265" s="171" t="s">
        <v>7712</v>
      </c>
      <c r="AY265" s="171"/>
      <c r="AZ265" s="171"/>
      <c r="BA265" s="171"/>
      <c r="BB265" s="171"/>
      <c r="BC265" s="171"/>
      <c r="BD265" s="171"/>
      <c r="BE265" s="171"/>
      <c r="BF265" s="225"/>
      <c r="BG265" s="171"/>
      <c r="BH265" s="171"/>
      <c r="BI265" s="171"/>
      <c r="BJ265" s="171"/>
      <c r="BK265" s="171"/>
      <c r="BL265" s="171"/>
      <c r="BM265" s="171"/>
      <c r="BN265" s="171"/>
      <c r="BO265" s="171"/>
      <c r="BP265" s="171">
        <v>1</v>
      </c>
      <c r="BQ265" s="171">
        <v>1</v>
      </c>
      <c r="BR265" s="171"/>
      <c r="BS265" s="171">
        <v>1</v>
      </c>
      <c r="BT265" s="171"/>
      <c r="BU265" s="171">
        <v>1</v>
      </c>
      <c r="BV265" s="171"/>
      <c r="BW265" s="171"/>
      <c r="BX265" s="171"/>
      <c r="BY265" s="171"/>
      <c r="BZ265" s="171">
        <v>1</v>
      </c>
      <c r="CA265" s="171"/>
      <c r="CB265" s="171">
        <v>1</v>
      </c>
      <c r="CC265" s="171">
        <v>1</v>
      </c>
      <c r="CD265" s="171"/>
      <c r="CE265" s="171">
        <v>1</v>
      </c>
      <c r="CF265" s="171"/>
      <c r="CG265" s="171">
        <v>1</v>
      </c>
      <c r="CH265" s="171">
        <v>1</v>
      </c>
      <c r="CI265" s="171"/>
      <c r="CJ265" s="171"/>
      <c r="CK265" s="171">
        <v>1</v>
      </c>
      <c r="CL265" s="171">
        <v>1</v>
      </c>
      <c r="CM265">
        <f t="shared" si="44"/>
        <v>2050</v>
      </c>
    </row>
    <row r="266" spans="1:91">
      <c r="A266" s="171">
        <v>355</v>
      </c>
      <c r="B266" s="171" t="s">
        <v>113</v>
      </c>
      <c r="C266" s="171">
        <v>371</v>
      </c>
      <c r="D266" s="171" t="str">
        <f t="shared" si="43"/>
        <v>CN NZ</v>
      </c>
      <c r="E266" s="171" t="s">
        <v>7220</v>
      </c>
      <c r="F266" s="174">
        <v>45481</v>
      </c>
      <c r="G266" s="171" t="s">
        <v>7220</v>
      </c>
      <c r="H266" s="173">
        <v>1024.3</v>
      </c>
      <c r="I266" s="171"/>
      <c r="J266" s="171" t="s">
        <v>66</v>
      </c>
      <c r="K266" s="171" t="s">
        <v>114</v>
      </c>
      <c r="L266" s="171" t="s">
        <v>1994</v>
      </c>
      <c r="M266" s="171" t="s">
        <v>5032</v>
      </c>
      <c r="N266" s="171"/>
      <c r="O266" s="171"/>
      <c r="P266" s="171" t="s">
        <v>5032</v>
      </c>
      <c r="Q266" s="171" t="s">
        <v>7290</v>
      </c>
      <c r="R266" s="171"/>
      <c r="S266" s="171"/>
      <c r="T266" s="171" t="s">
        <v>1</v>
      </c>
      <c r="U266" s="171"/>
      <c r="V266" s="172">
        <v>44713</v>
      </c>
      <c r="W266" s="171">
        <v>2022</v>
      </c>
      <c r="X266" s="171" t="s">
        <v>1957</v>
      </c>
      <c r="Y266" s="171" t="s">
        <v>5131</v>
      </c>
      <c r="Z266" s="171" t="s">
        <v>7711</v>
      </c>
      <c r="AA266" s="171" t="s">
        <v>1957</v>
      </c>
      <c r="AB266" s="171">
        <v>2030</v>
      </c>
      <c r="AC266" s="171">
        <v>2020</v>
      </c>
      <c r="AD266" s="171"/>
      <c r="AE266" s="171"/>
      <c r="AF266" s="171"/>
      <c r="AG266" s="171" t="s">
        <v>2082</v>
      </c>
      <c r="AH266" s="171">
        <v>2023</v>
      </c>
      <c r="AI266" s="171" t="s">
        <v>4174</v>
      </c>
      <c r="AJ266" s="176" t="s">
        <v>7710</v>
      </c>
      <c r="AK266" s="171"/>
      <c r="AL266" s="171" t="s">
        <v>5572</v>
      </c>
      <c r="AM266" s="171"/>
      <c r="AN266" s="171" t="s">
        <v>1957</v>
      </c>
      <c r="AO266" s="171" t="s">
        <v>109</v>
      </c>
      <c r="AP266" s="171" t="s">
        <v>2072</v>
      </c>
      <c r="AQ266" s="171" t="s">
        <v>1957</v>
      </c>
      <c r="AR266" s="171">
        <v>2050</v>
      </c>
      <c r="AS266" s="171">
        <v>2022</v>
      </c>
      <c r="AT266" s="171"/>
      <c r="AU266" s="171"/>
      <c r="AV266" s="171"/>
      <c r="AW266" s="171" t="s">
        <v>4174</v>
      </c>
      <c r="AX266" s="171" t="s">
        <v>5572</v>
      </c>
      <c r="AY266" s="171"/>
      <c r="AZ266" s="171"/>
      <c r="BA266" s="171"/>
      <c r="BB266" s="171"/>
      <c r="BC266" s="171"/>
      <c r="BD266" s="171"/>
      <c r="BE266" s="171"/>
      <c r="BF266" s="225"/>
      <c r="BG266" s="171"/>
      <c r="BH266" s="171"/>
      <c r="BI266" s="171"/>
      <c r="BJ266" s="171"/>
      <c r="BK266" s="171">
        <v>1</v>
      </c>
      <c r="BL266" s="171"/>
      <c r="BM266" s="171">
        <v>1</v>
      </c>
      <c r="BN266" s="171"/>
      <c r="BO266" s="171"/>
      <c r="BP266" s="171">
        <v>1</v>
      </c>
      <c r="BQ266" s="171">
        <v>1</v>
      </c>
      <c r="BR266" s="171"/>
      <c r="BS266" s="171"/>
      <c r="BT266" s="171"/>
      <c r="BU266" s="171"/>
      <c r="BV266" s="171"/>
      <c r="BW266" s="171"/>
      <c r="BX266" s="171"/>
      <c r="BY266" s="171"/>
      <c r="BZ266" s="171">
        <v>1</v>
      </c>
      <c r="CA266" s="171">
        <v>1</v>
      </c>
      <c r="CB266" s="171">
        <v>1</v>
      </c>
      <c r="CC266" s="171">
        <v>1</v>
      </c>
      <c r="CD266" s="171"/>
      <c r="CE266" s="171">
        <v>1</v>
      </c>
      <c r="CF266" s="171"/>
      <c r="CG266" s="171">
        <v>1</v>
      </c>
      <c r="CH266" s="171">
        <v>1</v>
      </c>
      <c r="CI266" s="171"/>
      <c r="CJ266" s="171"/>
      <c r="CK266" s="171"/>
      <c r="CL266" s="171"/>
      <c r="CM266">
        <f t="shared" si="44"/>
        <v>2050</v>
      </c>
    </row>
    <row r="267" spans="1:91">
      <c r="A267" s="171">
        <v>209</v>
      </c>
      <c r="B267" s="171" t="s">
        <v>1208</v>
      </c>
      <c r="C267" s="171">
        <v>204</v>
      </c>
      <c r="D267" s="171" t="str">
        <f t="shared" si="43"/>
        <v>CN SBT RE100</v>
      </c>
      <c r="E267" s="171" t="s">
        <v>7288</v>
      </c>
      <c r="F267" s="174">
        <v>45477</v>
      </c>
      <c r="G267" s="171" t="s">
        <v>7220</v>
      </c>
      <c r="H267" s="173">
        <v>545.79999999999995</v>
      </c>
      <c r="I267" s="171"/>
      <c r="J267" s="171" t="s">
        <v>4459</v>
      </c>
      <c r="K267" s="171" t="s">
        <v>114</v>
      </c>
      <c r="L267" s="171" t="s">
        <v>1994</v>
      </c>
      <c r="M267" s="171" t="s">
        <v>4174</v>
      </c>
      <c r="N267" s="171">
        <v>2023</v>
      </c>
      <c r="O267" s="171">
        <v>2050</v>
      </c>
      <c r="P267" s="171" t="s">
        <v>4174</v>
      </c>
      <c r="Q267" s="171" t="s">
        <v>22</v>
      </c>
      <c r="R267" s="171" t="s">
        <v>7233</v>
      </c>
      <c r="S267" s="171">
        <v>2030</v>
      </c>
      <c r="T267" s="171" t="s">
        <v>1</v>
      </c>
      <c r="U267" s="171"/>
      <c r="V267" s="172">
        <v>45078</v>
      </c>
      <c r="W267" s="171">
        <v>2023</v>
      </c>
      <c r="X267" s="171" t="s">
        <v>1957</v>
      </c>
      <c r="Y267" s="171" t="s">
        <v>3793</v>
      </c>
      <c r="Z267" s="171" t="s">
        <v>3283</v>
      </c>
      <c r="AA267" s="171" t="s">
        <v>1957</v>
      </c>
      <c r="AB267" s="171">
        <v>2030</v>
      </c>
      <c r="AC267" s="171">
        <v>2019</v>
      </c>
      <c r="AD267" s="171"/>
      <c r="AE267" s="171"/>
      <c r="AF267" s="171"/>
      <c r="AG267" s="171" t="s">
        <v>4174</v>
      </c>
      <c r="AH267" s="171">
        <v>2023</v>
      </c>
      <c r="AI267" s="171" t="s">
        <v>4174</v>
      </c>
      <c r="AJ267" s="171" t="s">
        <v>7709</v>
      </c>
      <c r="AK267" s="171"/>
      <c r="AL267" s="171" t="s">
        <v>7708</v>
      </c>
      <c r="AM267" s="171"/>
      <c r="AN267" s="171" t="s">
        <v>5032</v>
      </c>
      <c r="AO267" s="171"/>
      <c r="AP267" s="171"/>
      <c r="AQ267" s="171" t="s">
        <v>5032</v>
      </c>
      <c r="AR267" s="171"/>
      <c r="AS267" s="171"/>
      <c r="AT267" s="171"/>
      <c r="AU267" s="171"/>
      <c r="AV267" s="171"/>
      <c r="AW267" s="171"/>
      <c r="AX267" s="171"/>
      <c r="AY267" s="171"/>
      <c r="AZ267" s="171"/>
      <c r="BA267" s="171"/>
      <c r="BB267" s="171"/>
      <c r="BC267" s="171"/>
      <c r="BD267" s="171"/>
      <c r="BE267" s="171"/>
      <c r="BF267" s="225"/>
      <c r="BG267" s="171"/>
      <c r="BH267" s="171"/>
      <c r="BI267" s="171"/>
      <c r="BJ267" s="171"/>
      <c r="BK267" s="171">
        <v>1</v>
      </c>
      <c r="BL267" s="171"/>
      <c r="BM267" s="171">
        <v>1</v>
      </c>
      <c r="BN267" s="171"/>
      <c r="BO267" s="171"/>
      <c r="BP267" s="171"/>
      <c r="BQ267" s="171"/>
      <c r="BR267" s="171"/>
      <c r="BS267" s="171">
        <v>1</v>
      </c>
      <c r="BT267" s="171"/>
      <c r="BU267" s="171">
        <v>1</v>
      </c>
      <c r="BV267" s="171"/>
      <c r="BW267" s="171"/>
      <c r="BX267" s="171">
        <v>1</v>
      </c>
      <c r="BY267" s="171">
        <v>1</v>
      </c>
      <c r="BZ267" s="171">
        <v>1</v>
      </c>
      <c r="CA267" s="171">
        <v>1</v>
      </c>
      <c r="CB267" s="171">
        <v>1</v>
      </c>
      <c r="CC267" s="171">
        <v>1</v>
      </c>
      <c r="CD267" s="171"/>
      <c r="CE267" s="171">
        <v>1</v>
      </c>
      <c r="CF267" s="171"/>
      <c r="CG267" s="171">
        <v>1</v>
      </c>
      <c r="CH267" s="171">
        <v>1</v>
      </c>
      <c r="CI267" s="171"/>
      <c r="CJ267" s="171"/>
      <c r="CK267" s="171"/>
      <c r="CL267" s="171"/>
    </row>
    <row r="268" spans="1:91">
      <c r="A268" s="171">
        <v>280</v>
      </c>
      <c r="B268" s="171" t="s">
        <v>908</v>
      </c>
      <c r="C268" s="171">
        <v>284</v>
      </c>
      <c r="D268" s="171" t="str">
        <f t="shared" si="43"/>
        <v/>
      </c>
      <c r="E268" s="171" t="s">
        <v>7223</v>
      </c>
      <c r="F268" s="174">
        <v>45478</v>
      </c>
      <c r="G268" s="171" t="s">
        <v>7223</v>
      </c>
      <c r="H268" s="173">
        <v>213</v>
      </c>
      <c r="I268" s="171"/>
      <c r="J268" s="171" t="s">
        <v>4465</v>
      </c>
      <c r="K268" s="171" t="s">
        <v>4457</v>
      </c>
      <c r="L268" s="171" t="s">
        <v>2029</v>
      </c>
      <c r="M268" s="171" t="s">
        <v>5032</v>
      </c>
      <c r="N268" s="171"/>
      <c r="O268" s="171"/>
      <c r="P268" s="171" t="s">
        <v>5032</v>
      </c>
      <c r="Q268" s="171"/>
      <c r="R268" s="171"/>
      <c r="S268" s="171"/>
      <c r="T268" s="171"/>
      <c r="U268" s="171"/>
      <c r="V268" s="175"/>
      <c r="W268" s="171"/>
      <c r="X268" s="171" t="s">
        <v>5032</v>
      </c>
      <c r="Y268" s="171"/>
      <c r="Z268" s="171"/>
      <c r="AA268" s="171" t="s">
        <v>5032</v>
      </c>
      <c r="AB268" s="171"/>
      <c r="AC268" s="171"/>
      <c r="AD268" s="171"/>
      <c r="AE268" s="171"/>
      <c r="AF268" s="171"/>
      <c r="AG268" s="171"/>
      <c r="AH268" s="171"/>
      <c r="AI268" s="171"/>
      <c r="AJ268" s="171"/>
      <c r="AK268" s="171"/>
      <c r="AL268" s="171"/>
      <c r="AM268" s="171"/>
      <c r="AN268" s="171" t="s">
        <v>5032</v>
      </c>
      <c r="AO268" s="171"/>
      <c r="AP268" s="171"/>
      <c r="AQ268" s="171" t="s">
        <v>5032</v>
      </c>
      <c r="AR268" s="171"/>
      <c r="AS268" s="171"/>
      <c r="AT268" s="171"/>
      <c r="AU268" s="171"/>
      <c r="AV268" s="171"/>
      <c r="AW268" s="171"/>
      <c r="AX268" s="171"/>
      <c r="AY268" s="171"/>
      <c r="AZ268" s="171"/>
      <c r="BA268" s="171"/>
      <c r="BB268" s="171"/>
      <c r="BC268" s="171"/>
      <c r="BD268" s="171" t="s">
        <v>4174</v>
      </c>
      <c r="BE268" s="171" t="s">
        <v>7707</v>
      </c>
      <c r="BF268" s="225"/>
      <c r="BG268" s="171"/>
      <c r="BH268" s="171"/>
      <c r="BI268" s="171"/>
      <c r="BJ268" s="171"/>
      <c r="BK268" s="171"/>
      <c r="BL268" s="171"/>
      <c r="BM268" s="171"/>
      <c r="BN268" s="171"/>
      <c r="BO268" s="171"/>
      <c r="BP268" s="171"/>
      <c r="BQ268" s="171"/>
      <c r="BR268" s="171"/>
      <c r="BS268" s="171"/>
      <c r="BT268" s="171"/>
      <c r="BU268" s="171"/>
      <c r="BV268" s="171"/>
      <c r="BW268" s="171"/>
      <c r="BX268" s="171"/>
      <c r="BY268" s="171"/>
      <c r="BZ268" s="171"/>
      <c r="CA268" s="171"/>
      <c r="CB268" s="171"/>
      <c r="CC268" s="171"/>
      <c r="CD268" s="171"/>
      <c r="CE268" s="171"/>
      <c r="CF268" s="171"/>
      <c r="CG268" s="171"/>
      <c r="CH268" s="171"/>
      <c r="CI268" s="171"/>
      <c r="CJ268" s="171"/>
      <c r="CK268" s="171"/>
      <c r="CL268" s="171"/>
    </row>
    <row r="269" spans="1:91">
      <c r="A269" s="171">
        <v>95</v>
      </c>
      <c r="B269" s="171" t="s">
        <v>4929</v>
      </c>
      <c r="C269" s="171">
        <v>107</v>
      </c>
      <c r="D269" s="171" t="str">
        <f t="shared" si="43"/>
        <v/>
      </c>
      <c r="E269" s="171" t="s">
        <v>7228</v>
      </c>
      <c r="F269" s="174">
        <v>45475</v>
      </c>
      <c r="G269" s="171" t="s">
        <v>7223</v>
      </c>
      <c r="H269" s="173">
        <v>4944</v>
      </c>
      <c r="I269" s="171"/>
      <c r="J269" s="171" t="s">
        <v>4465</v>
      </c>
      <c r="K269" s="171" t="s">
        <v>87</v>
      </c>
      <c r="L269" s="171" t="s">
        <v>1994</v>
      </c>
      <c r="M269" s="171" t="s">
        <v>5032</v>
      </c>
      <c r="N269" s="171"/>
      <c r="O269" s="171"/>
      <c r="P269" s="171" t="s">
        <v>5032</v>
      </c>
      <c r="Q269" s="171"/>
      <c r="R269" s="171"/>
      <c r="S269" s="171"/>
      <c r="T269" s="171"/>
      <c r="U269" s="171"/>
      <c r="V269" s="175"/>
      <c r="W269" s="171"/>
      <c r="X269" s="171" t="s">
        <v>5032</v>
      </c>
      <c r="Y269" s="171"/>
      <c r="Z269" s="171"/>
      <c r="AA269" s="171" t="s">
        <v>5032</v>
      </c>
      <c r="AB269" s="171"/>
      <c r="AC269" s="171"/>
      <c r="AD269" s="171"/>
      <c r="AE269" s="171"/>
      <c r="AF269" s="171"/>
      <c r="AG269" s="171"/>
      <c r="AH269" s="171"/>
      <c r="AI269" s="171"/>
      <c r="AJ269" s="171"/>
      <c r="AK269" s="171"/>
      <c r="AL269" s="171"/>
      <c r="AM269" s="171"/>
      <c r="AN269" s="171" t="s">
        <v>5032</v>
      </c>
      <c r="AO269" s="171"/>
      <c r="AP269" s="171"/>
      <c r="AQ269" s="171" t="s">
        <v>5032</v>
      </c>
      <c r="AR269" s="171"/>
      <c r="AS269" s="171"/>
      <c r="AT269" s="171"/>
      <c r="AU269" s="171"/>
      <c r="AV269" s="171"/>
      <c r="AW269" s="171"/>
      <c r="AX269" s="171"/>
      <c r="AY269" s="171"/>
      <c r="AZ269" s="171"/>
      <c r="BA269" s="171"/>
      <c r="BB269" s="171"/>
      <c r="BC269" s="171"/>
      <c r="BD269" s="171"/>
      <c r="BE269" s="171"/>
      <c r="BF269" s="225"/>
      <c r="BG269" s="171"/>
      <c r="BH269" s="171" t="s">
        <v>7706</v>
      </c>
      <c r="BI269" s="171"/>
      <c r="BJ269" s="171"/>
      <c r="BK269" s="171"/>
      <c r="BL269" s="171"/>
      <c r="BM269" s="171"/>
      <c r="BN269" s="171"/>
      <c r="BO269" s="171"/>
      <c r="BP269" s="171"/>
      <c r="BQ269" s="171"/>
      <c r="BR269" s="171"/>
      <c r="BS269" s="171"/>
      <c r="BT269" s="171"/>
      <c r="BU269" s="171"/>
      <c r="BV269" s="171"/>
      <c r="BW269" s="171"/>
      <c r="BX269" s="171"/>
      <c r="BY269" s="171"/>
      <c r="BZ269" s="171"/>
      <c r="CA269" s="171"/>
      <c r="CB269" s="171"/>
      <c r="CC269" s="171"/>
      <c r="CD269" s="171"/>
      <c r="CE269" s="171"/>
      <c r="CF269" s="171"/>
      <c r="CG269" s="171"/>
      <c r="CH269" s="171"/>
      <c r="CI269" s="171"/>
      <c r="CJ269" s="171"/>
      <c r="CK269" s="171"/>
      <c r="CL269" s="171"/>
    </row>
    <row r="270" spans="1:91">
      <c r="A270" s="171">
        <v>486</v>
      </c>
      <c r="B270" s="171" t="s">
        <v>2963</v>
      </c>
      <c r="C270" s="171">
        <v>460</v>
      </c>
      <c r="D270" s="171" t="str">
        <f t="shared" si="43"/>
        <v>CN SBT</v>
      </c>
      <c r="E270" s="171" t="s">
        <v>7259</v>
      </c>
      <c r="F270" s="174">
        <v>45511</v>
      </c>
      <c r="G270" s="171" t="s">
        <v>7220</v>
      </c>
      <c r="H270" s="173">
        <v>6199</v>
      </c>
      <c r="I270" s="171"/>
      <c r="J270" s="171" t="s">
        <v>66</v>
      </c>
      <c r="K270" s="171" t="s">
        <v>4195</v>
      </c>
      <c r="L270" s="171" t="s">
        <v>1951</v>
      </c>
      <c r="M270" s="171" t="s">
        <v>5032</v>
      </c>
      <c r="N270" s="171"/>
      <c r="O270" s="171"/>
      <c r="P270" s="171" t="s">
        <v>4174</v>
      </c>
      <c r="Q270" s="171" t="s">
        <v>22</v>
      </c>
      <c r="R270" s="171" t="s">
        <v>7277</v>
      </c>
      <c r="S270" s="171">
        <v>2035</v>
      </c>
      <c r="T270" s="171" t="s">
        <v>1</v>
      </c>
      <c r="U270" s="171"/>
      <c r="V270" s="172">
        <v>44835</v>
      </c>
      <c r="W270" s="171">
        <v>2022</v>
      </c>
      <c r="X270" s="171" t="s">
        <v>1957</v>
      </c>
      <c r="Y270" s="171" t="s">
        <v>5131</v>
      </c>
      <c r="Z270" s="182" t="s">
        <v>3283</v>
      </c>
      <c r="AA270" s="182" t="s">
        <v>1957</v>
      </c>
      <c r="AB270" s="171">
        <v>2050</v>
      </c>
      <c r="AC270" s="171">
        <v>2022</v>
      </c>
      <c r="AD270" s="171"/>
      <c r="AE270" s="171"/>
      <c r="AF270" s="171"/>
      <c r="AG270" s="171" t="s">
        <v>2082</v>
      </c>
      <c r="AH270" s="171"/>
      <c r="AI270" s="171" t="s">
        <v>4174</v>
      </c>
      <c r="AJ270" s="171"/>
      <c r="AK270" s="171"/>
      <c r="AL270" s="171" t="s">
        <v>7705</v>
      </c>
      <c r="AM270" s="171"/>
      <c r="AN270" s="171" t="s">
        <v>5032</v>
      </c>
      <c r="AO270" s="171"/>
      <c r="AP270" s="171"/>
      <c r="AQ270" s="171" t="s">
        <v>5032</v>
      </c>
      <c r="AR270" s="171"/>
      <c r="AS270" s="171"/>
      <c r="AT270" s="171"/>
      <c r="AU270" s="171"/>
      <c r="AV270" s="171"/>
      <c r="AW270" s="171"/>
      <c r="AX270" s="171"/>
      <c r="AY270" s="171"/>
      <c r="AZ270" s="171"/>
      <c r="BA270" s="171"/>
      <c r="BB270" s="171"/>
      <c r="BC270" s="171"/>
      <c r="BD270" s="171"/>
      <c r="BE270" s="171"/>
      <c r="BF270" s="225"/>
      <c r="BG270" s="171"/>
      <c r="BH270" s="171"/>
      <c r="BI270" s="171"/>
      <c r="BJ270" s="171"/>
      <c r="BK270" s="171"/>
      <c r="BL270" s="171">
        <v>1</v>
      </c>
      <c r="BM270" s="171">
        <v>1</v>
      </c>
      <c r="BN270" s="171"/>
      <c r="BO270" s="171"/>
      <c r="BP270" s="171"/>
      <c r="BQ270" s="171"/>
      <c r="BR270" s="171"/>
      <c r="BS270" s="171"/>
      <c r="BT270" s="171">
        <v>1</v>
      </c>
      <c r="BU270" s="171">
        <v>1</v>
      </c>
      <c r="BV270" s="171"/>
      <c r="BW270" s="171"/>
      <c r="BX270" s="171"/>
      <c r="BY270" s="171"/>
      <c r="BZ270" s="171">
        <v>1</v>
      </c>
      <c r="CA270" s="171"/>
      <c r="CB270" s="171">
        <v>1</v>
      </c>
      <c r="CC270" s="171"/>
      <c r="CD270" s="171"/>
      <c r="CE270" s="171">
        <v>1</v>
      </c>
      <c r="CF270" s="171"/>
      <c r="CG270" s="171"/>
      <c r="CH270" s="171">
        <v>1</v>
      </c>
      <c r="CI270" s="171"/>
      <c r="CJ270" s="171"/>
      <c r="CK270" s="171"/>
      <c r="CL270" s="171"/>
    </row>
    <row r="271" spans="1:91">
      <c r="A271" s="171">
        <v>204</v>
      </c>
      <c r="B271" s="171" t="s">
        <v>651</v>
      </c>
      <c r="C271" s="171"/>
      <c r="D271" s="171" t="str">
        <f t="shared" si="43"/>
        <v xml:space="preserve"> NZ RE100</v>
      </c>
      <c r="E271" s="171" t="s">
        <v>7385</v>
      </c>
      <c r="F271" s="174">
        <v>45512</v>
      </c>
      <c r="G271" s="171"/>
      <c r="H271" s="173">
        <v>6785.7</v>
      </c>
      <c r="I271" s="181" t="s">
        <v>795</v>
      </c>
      <c r="J271" s="171" t="s">
        <v>4465</v>
      </c>
      <c r="K271" s="171" t="s">
        <v>4195</v>
      </c>
      <c r="L271" s="171" t="s">
        <v>1951</v>
      </c>
      <c r="M271" s="171" t="s">
        <v>4174</v>
      </c>
      <c r="N271" s="171">
        <v>2019</v>
      </c>
      <c r="O271" s="171">
        <v>2020</v>
      </c>
      <c r="P271" s="171" t="s">
        <v>5032</v>
      </c>
      <c r="Q271" s="171"/>
      <c r="R271" s="171"/>
      <c r="S271" s="171"/>
      <c r="T271" s="171"/>
      <c r="U271" s="171"/>
      <c r="V271" s="175"/>
      <c r="W271" s="171"/>
      <c r="X271" s="171" t="s">
        <v>5032</v>
      </c>
      <c r="Y271" s="171"/>
      <c r="Z271" s="171"/>
      <c r="AA271" s="171" t="s">
        <v>5032</v>
      </c>
      <c r="AB271" s="171"/>
      <c r="AC271" s="171"/>
      <c r="AD271" s="171"/>
      <c r="AE271" s="171"/>
      <c r="AF271" s="171"/>
      <c r="AG271" s="171"/>
      <c r="AH271" s="171"/>
      <c r="AI271" s="171"/>
      <c r="AJ271" s="171"/>
      <c r="AK271" s="171"/>
      <c r="AL271" s="171"/>
      <c r="AM271" s="171"/>
      <c r="AN271" s="171" t="s">
        <v>7218</v>
      </c>
      <c r="AO271" s="171" t="s">
        <v>1659</v>
      </c>
      <c r="AP271" s="171" t="s">
        <v>2072</v>
      </c>
      <c r="AQ271" s="171" t="s">
        <v>1957</v>
      </c>
      <c r="AR271" s="171">
        <v>2030</v>
      </c>
      <c r="AS271" s="171">
        <v>2021</v>
      </c>
      <c r="AT271" s="171" t="s">
        <v>5050</v>
      </c>
      <c r="AU271" s="171">
        <v>2050</v>
      </c>
      <c r="AV271" s="171">
        <v>2021</v>
      </c>
      <c r="AW271" s="171" t="s">
        <v>4174</v>
      </c>
      <c r="AX271" s="171" t="s">
        <v>7704</v>
      </c>
      <c r="AY271" s="171"/>
      <c r="AZ271" s="171"/>
      <c r="BA271" s="171"/>
      <c r="BB271" s="171"/>
      <c r="BC271" s="171"/>
      <c r="BD271" s="171"/>
      <c r="BE271" s="171"/>
      <c r="BF271" s="225"/>
      <c r="BG271" s="171"/>
      <c r="BH271" s="171"/>
      <c r="BI271" s="171"/>
      <c r="BJ271" s="171"/>
      <c r="BK271" s="171"/>
      <c r="BL271" s="171"/>
      <c r="BM271" s="171"/>
      <c r="BN271" s="171"/>
      <c r="BO271" s="171">
        <v>1</v>
      </c>
      <c r="BP271" s="171"/>
      <c r="BQ271" s="171">
        <v>1</v>
      </c>
      <c r="BR271" s="171"/>
      <c r="BS271" s="171"/>
      <c r="BT271" s="171"/>
      <c r="BU271" s="171"/>
      <c r="BV271" s="171">
        <v>1</v>
      </c>
      <c r="BW271" s="171"/>
      <c r="BX271" s="171"/>
      <c r="BY271" s="171">
        <v>1</v>
      </c>
      <c r="BZ271" s="171">
        <v>1</v>
      </c>
      <c r="CA271" s="171">
        <v>1</v>
      </c>
      <c r="CB271" s="171">
        <v>1</v>
      </c>
      <c r="CC271" s="171">
        <v>1</v>
      </c>
      <c r="CD271" s="171"/>
      <c r="CE271" s="171">
        <v>1</v>
      </c>
      <c r="CF271" s="171">
        <v>1</v>
      </c>
      <c r="CG271" s="171">
        <v>1</v>
      </c>
      <c r="CH271" s="171">
        <v>1</v>
      </c>
      <c r="CI271" s="171"/>
      <c r="CJ271" s="171"/>
      <c r="CK271" s="171">
        <v>1</v>
      </c>
      <c r="CL271" s="171">
        <v>1</v>
      </c>
      <c r="CM271">
        <f t="shared" si="44"/>
        <v>2030</v>
      </c>
    </row>
    <row r="272" spans="1:91">
      <c r="A272" s="171">
        <v>193</v>
      </c>
      <c r="B272" s="171" t="s">
        <v>1176</v>
      </c>
      <c r="C272" s="171">
        <v>199</v>
      </c>
      <c r="D272" s="171" t="str">
        <f t="shared" si="43"/>
        <v/>
      </c>
      <c r="E272" s="171" t="s">
        <v>7228</v>
      </c>
      <c r="F272" s="174">
        <v>45477</v>
      </c>
      <c r="G272" s="171" t="s">
        <v>7220</v>
      </c>
      <c r="H272" s="173">
        <v>6920</v>
      </c>
      <c r="I272" s="171"/>
      <c r="J272" s="171" t="s">
        <v>4260</v>
      </c>
      <c r="K272" s="171" t="s">
        <v>4457</v>
      </c>
      <c r="L272" s="171" t="s">
        <v>2029</v>
      </c>
      <c r="M272" s="171" t="s">
        <v>5032</v>
      </c>
      <c r="N272" s="171"/>
      <c r="O272" s="171"/>
      <c r="P272" s="171" t="s">
        <v>5032</v>
      </c>
      <c r="Q272" s="171"/>
      <c r="R272" s="171"/>
      <c r="S272" s="171"/>
      <c r="T272" s="171"/>
      <c r="U272" s="171"/>
      <c r="V272" s="175"/>
      <c r="W272" s="171"/>
      <c r="X272" s="171" t="s">
        <v>5032</v>
      </c>
      <c r="Y272" s="171"/>
      <c r="Z272" s="171"/>
      <c r="AA272" s="171" t="s">
        <v>5032</v>
      </c>
      <c r="AB272" s="171"/>
      <c r="AC272" s="171"/>
      <c r="AD272" s="171"/>
      <c r="AE272" s="171"/>
      <c r="AF272" s="171"/>
      <c r="AG272" s="171"/>
      <c r="AH272" s="171"/>
      <c r="AI272" s="171"/>
      <c r="AJ272" s="171"/>
      <c r="AK272" s="171"/>
      <c r="AL272" s="171"/>
      <c r="AM272" s="171"/>
      <c r="AN272" s="171" t="s">
        <v>5032</v>
      </c>
      <c r="AO272" s="171"/>
      <c r="AP272" s="171"/>
      <c r="AQ272" s="171" t="s">
        <v>5032</v>
      </c>
      <c r="AR272" s="171"/>
      <c r="AS272" s="171"/>
      <c r="AT272" s="171"/>
      <c r="AU272" s="171"/>
      <c r="AV272" s="171"/>
      <c r="AW272" s="171"/>
      <c r="AX272" s="171"/>
      <c r="AY272" s="171"/>
      <c r="AZ272" s="171"/>
      <c r="BA272" s="171"/>
      <c r="BB272" s="171"/>
      <c r="BC272" s="171"/>
      <c r="BD272" s="171" t="s">
        <v>1957</v>
      </c>
      <c r="BE272" s="171" t="s">
        <v>7703</v>
      </c>
      <c r="BF272" s="225"/>
      <c r="BG272" s="171"/>
      <c r="BH272" s="171"/>
      <c r="BI272" s="171"/>
      <c r="BJ272" s="171"/>
      <c r="BK272" s="171"/>
      <c r="BL272" s="171"/>
      <c r="BM272" s="171"/>
      <c r="BN272" s="171"/>
      <c r="BO272" s="171"/>
      <c r="BP272" s="171"/>
      <c r="BQ272" s="171"/>
      <c r="BR272" s="171"/>
      <c r="BS272" s="171"/>
      <c r="BT272" s="171"/>
      <c r="BU272" s="171"/>
      <c r="BV272" s="171"/>
      <c r="BW272" s="171"/>
      <c r="BX272" s="171"/>
      <c r="BY272" s="171"/>
      <c r="BZ272" s="171"/>
      <c r="CA272" s="171"/>
      <c r="CB272" s="171"/>
      <c r="CC272" s="171"/>
      <c r="CD272" s="171"/>
      <c r="CE272" s="171"/>
      <c r="CF272" s="171"/>
      <c r="CG272" s="171"/>
      <c r="CH272" s="171"/>
      <c r="CI272" s="171"/>
      <c r="CJ272" s="171"/>
      <c r="CK272" s="171"/>
      <c r="CL272" s="171"/>
    </row>
    <row r="273" spans="1:91">
      <c r="A273" s="171">
        <v>348</v>
      </c>
      <c r="B273" s="171" t="s">
        <v>7702</v>
      </c>
      <c r="C273" s="171">
        <v>370</v>
      </c>
      <c r="D273" s="171" t="str">
        <f t="shared" si="43"/>
        <v>CN NZ SBT</v>
      </c>
      <c r="E273" s="171" t="s">
        <v>7220</v>
      </c>
      <c r="F273" s="174">
        <v>45481</v>
      </c>
      <c r="G273" s="171" t="s">
        <v>7220</v>
      </c>
      <c r="H273" s="173">
        <v>6685.3</v>
      </c>
      <c r="I273" s="171"/>
      <c r="J273" s="171" t="s">
        <v>4643</v>
      </c>
      <c r="K273" s="171" t="s">
        <v>63</v>
      </c>
      <c r="L273" s="171" t="s">
        <v>1951</v>
      </c>
      <c r="M273" s="171" t="s">
        <v>5032</v>
      </c>
      <c r="N273" s="171"/>
      <c r="O273" s="171"/>
      <c r="P273" s="171" t="s">
        <v>4174</v>
      </c>
      <c r="Q273" s="171" t="s">
        <v>22</v>
      </c>
      <c r="R273" s="171" t="s">
        <v>7233</v>
      </c>
      <c r="S273" s="171">
        <v>2030</v>
      </c>
      <c r="T273" s="171" t="s">
        <v>361</v>
      </c>
      <c r="U273" s="171">
        <v>2050</v>
      </c>
      <c r="V273" s="172">
        <v>45413</v>
      </c>
      <c r="W273" s="171">
        <v>2024</v>
      </c>
      <c r="X273" s="171" t="s">
        <v>1957</v>
      </c>
      <c r="Y273" s="171" t="s">
        <v>109</v>
      </c>
      <c r="Z273" s="171" t="s">
        <v>3283</v>
      </c>
      <c r="AA273" s="171" t="s">
        <v>1957</v>
      </c>
      <c r="AB273" s="171">
        <v>2025</v>
      </c>
      <c r="AC273" s="171">
        <v>2018</v>
      </c>
      <c r="AD273" s="171"/>
      <c r="AE273" s="171"/>
      <c r="AF273" s="171"/>
      <c r="AG273" s="171" t="s">
        <v>5032</v>
      </c>
      <c r="AH273" s="171">
        <v>2023</v>
      </c>
      <c r="AI273" s="171" t="s">
        <v>5032</v>
      </c>
      <c r="AJ273" s="171"/>
      <c r="AK273" s="176" t="s">
        <v>7701</v>
      </c>
      <c r="AL273" s="171" t="s">
        <v>7700</v>
      </c>
      <c r="AM273" s="171" t="s">
        <v>7699</v>
      </c>
      <c r="AN273" s="171" t="s">
        <v>4172</v>
      </c>
      <c r="AO273" s="171" t="s">
        <v>1435</v>
      </c>
      <c r="AP273" s="171" t="s">
        <v>2072</v>
      </c>
      <c r="AQ273" s="171" t="s">
        <v>4172</v>
      </c>
      <c r="AR273" s="171">
        <v>2050</v>
      </c>
      <c r="AS273" s="171">
        <v>2020</v>
      </c>
      <c r="AT273" s="171"/>
      <c r="AU273" s="171"/>
      <c r="AV273" s="171"/>
      <c r="AW273" s="171" t="s">
        <v>2082</v>
      </c>
      <c r="AX273" s="171" t="s">
        <v>7698</v>
      </c>
      <c r="AY273" s="171"/>
      <c r="AZ273" s="171"/>
      <c r="BA273" s="171"/>
      <c r="BB273" s="171"/>
      <c r="BC273" s="171"/>
      <c r="BD273" s="171"/>
      <c r="BE273" s="171"/>
      <c r="BF273" s="225"/>
      <c r="BG273" s="171"/>
      <c r="BH273" s="171"/>
      <c r="BI273" s="171"/>
      <c r="BJ273" s="171"/>
      <c r="BK273" s="171">
        <v>1</v>
      </c>
      <c r="BL273" s="171"/>
      <c r="BM273" s="171">
        <v>1</v>
      </c>
      <c r="BN273" s="171"/>
      <c r="BO273" s="171"/>
      <c r="BP273" s="171">
        <v>1</v>
      </c>
      <c r="BQ273" s="171">
        <v>1</v>
      </c>
      <c r="BR273" s="171"/>
      <c r="BS273" s="171">
        <v>1</v>
      </c>
      <c r="BT273" s="171"/>
      <c r="BU273" s="171">
        <v>1</v>
      </c>
      <c r="BV273" s="171"/>
      <c r="BW273" s="171"/>
      <c r="BX273" s="171"/>
      <c r="BY273" s="171"/>
      <c r="BZ273" s="171">
        <v>1</v>
      </c>
      <c r="CA273" s="171">
        <v>1</v>
      </c>
      <c r="CB273" s="171">
        <v>1</v>
      </c>
      <c r="CC273" s="171"/>
      <c r="CD273" s="171">
        <v>1</v>
      </c>
      <c r="CE273" s="171">
        <v>1</v>
      </c>
      <c r="CF273" s="171"/>
      <c r="CG273" s="171">
        <v>1</v>
      </c>
      <c r="CH273" s="171">
        <v>1</v>
      </c>
      <c r="CI273" s="171"/>
      <c r="CJ273" s="171"/>
      <c r="CK273" s="171">
        <v>1</v>
      </c>
      <c r="CL273" s="171">
        <v>1</v>
      </c>
      <c r="CM273">
        <f t="shared" si="44"/>
        <v>2050</v>
      </c>
    </row>
    <row r="274" spans="1:91">
      <c r="A274" s="171">
        <v>293</v>
      </c>
      <c r="B274" s="171" t="s">
        <v>823</v>
      </c>
      <c r="C274" s="171">
        <v>228</v>
      </c>
      <c r="D274" s="171" t="str">
        <f t="shared" si="43"/>
        <v/>
      </c>
      <c r="E274" s="171" t="s">
        <v>7220</v>
      </c>
      <c r="F274" s="174">
        <v>45477</v>
      </c>
      <c r="G274" s="171" t="s">
        <v>7220</v>
      </c>
      <c r="H274" s="173">
        <v>1013</v>
      </c>
      <c r="I274" s="171"/>
      <c r="J274" s="171" t="s">
        <v>4455</v>
      </c>
      <c r="K274" s="171" t="s">
        <v>96</v>
      </c>
      <c r="L274" s="171" t="s">
        <v>1951</v>
      </c>
      <c r="M274" s="171" t="s">
        <v>5032</v>
      </c>
      <c r="N274" s="171"/>
      <c r="O274" s="171"/>
      <c r="P274" s="171" t="s">
        <v>5032</v>
      </c>
      <c r="Q274" s="171"/>
      <c r="R274" s="171"/>
      <c r="S274" s="171"/>
      <c r="T274" s="171"/>
      <c r="U274" s="171"/>
      <c r="V274" s="175"/>
      <c r="W274" s="171"/>
      <c r="X274" s="171" t="s">
        <v>5032</v>
      </c>
      <c r="Y274" s="171"/>
      <c r="Z274" s="171"/>
      <c r="AA274" s="171" t="s">
        <v>5032</v>
      </c>
      <c r="AB274" s="171"/>
      <c r="AC274" s="171"/>
      <c r="AD274" s="171"/>
      <c r="AE274" s="171"/>
      <c r="AF274" s="171"/>
      <c r="AG274" s="171"/>
      <c r="AH274" s="171"/>
      <c r="AI274" s="171"/>
      <c r="AJ274" s="171"/>
      <c r="AK274" s="171"/>
      <c r="AL274" s="171"/>
      <c r="AM274" s="171"/>
      <c r="AN274" s="171" t="s">
        <v>5032</v>
      </c>
      <c r="AO274" s="171"/>
      <c r="AP274" s="171"/>
      <c r="AQ274" s="171" t="s">
        <v>5032</v>
      </c>
      <c r="AR274" s="171"/>
      <c r="AS274" s="171"/>
      <c r="AT274" s="171"/>
      <c r="AU274" s="171"/>
      <c r="AV274" s="171"/>
      <c r="AW274" s="171"/>
      <c r="AX274" s="171"/>
      <c r="AY274" s="171"/>
      <c r="AZ274" s="171"/>
      <c r="BA274" s="171"/>
      <c r="BB274" s="171"/>
      <c r="BC274" s="171"/>
      <c r="BD274" s="171" t="s">
        <v>4172</v>
      </c>
      <c r="BE274" s="171" t="s">
        <v>7697</v>
      </c>
      <c r="BF274" s="225"/>
      <c r="BG274" s="171"/>
      <c r="BH274" s="171"/>
      <c r="BI274" s="171"/>
      <c r="BJ274" s="171"/>
      <c r="BK274" s="171"/>
      <c r="BL274" s="171"/>
      <c r="BM274" s="171"/>
      <c r="BN274" s="171"/>
      <c r="BO274" s="171"/>
      <c r="BP274" s="171"/>
      <c r="BQ274" s="171"/>
      <c r="BR274" s="171"/>
      <c r="BS274" s="171"/>
      <c r="BT274" s="171"/>
      <c r="BU274" s="171"/>
      <c r="BV274" s="171"/>
      <c r="BW274" s="171"/>
      <c r="BX274" s="171"/>
      <c r="BY274" s="171"/>
      <c r="BZ274" s="171"/>
      <c r="CA274" s="171"/>
      <c r="CB274" s="171"/>
      <c r="CC274" s="171"/>
      <c r="CD274" s="171"/>
      <c r="CE274" s="171"/>
      <c r="CF274" s="171"/>
      <c r="CG274" s="171"/>
      <c r="CH274" s="171"/>
      <c r="CI274" s="171"/>
      <c r="CJ274" s="171"/>
      <c r="CK274" s="171"/>
      <c r="CL274" s="171"/>
    </row>
    <row r="275" spans="1:91">
      <c r="A275" s="171">
        <v>139</v>
      </c>
      <c r="B275" s="171" t="s">
        <v>1389</v>
      </c>
      <c r="C275" s="171">
        <v>108</v>
      </c>
      <c r="D275" s="171" t="str">
        <f t="shared" si="43"/>
        <v xml:space="preserve"> NZ SBT</v>
      </c>
      <c r="E275" s="171" t="s">
        <v>7228</v>
      </c>
      <c r="F275" s="174">
        <v>45475</v>
      </c>
      <c r="G275" s="171" t="s">
        <v>7223</v>
      </c>
      <c r="H275" s="173">
        <v>7726</v>
      </c>
      <c r="I275" s="171"/>
      <c r="J275" s="171" t="s">
        <v>4467</v>
      </c>
      <c r="K275" s="171" t="s">
        <v>4457</v>
      </c>
      <c r="L275" s="171" t="s">
        <v>2029</v>
      </c>
      <c r="M275" s="171" t="s">
        <v>5032</v>
      </c>
      <c r="N275" s="171"/>
      <c r="O275" s="171"/>
      <c r="P275" s="171" t="s">
        <v>5032</v>
      </c>
      <c r="Q275" s="171" t="s">
        <v>165</v>
      </c>
      <c r="R275" s="171"/>
      <c r="S275" s="171">
        <v>2030</v>
      </c>
      <c r="T275" s="171" t="s">
        <v>361</v>
      </c>
      <c r="U275" s="171"/>
      <c r="V275" s="172">
        <v>44652</v>
      </c>
      <c r="W275" s="171">
        <v>2022</v>
      </c>
      <c r="X275" s="171" t="s">
        <v>5032</v>
      </c>
      <c r="Y275" s="171"/>
      <c r="Z275" s="171"/>
      <c r="AA275" s="171" t="s">
        <v>5032</v>
      </c>
      <c r="AB275" s="171"/>
      <c r="AC275" s="171"/>
      <c r="AD275" s="171"/>
      <c r="AE275" s="171"/>
      <c r="AF275" s="171"/>
      <c r="AG275" s="171"/>
      <c r="AH275" s="171"/>
      <c r="AI275" s="171"/>
      <c r="AJ275" s="171"/>
      <c r="AK275" s="171"/>
      <c r="AL275" s="171"/>
      <c r="AM275" s="171"/>
      <c r="AN275" s="171" t="s">
        <v>4172</v>
      </c>
      <c r="AO275" s="171" t="s">
        <v>7696</v>
      </c>
      <c r="AP275" s="171" t="s">
        <v>7350</v>
      </c>
      <c r="AQ275" s="171" t="s">
        <v>4172</v>
      </c>
      <c r="AR275" s="171">
        <v>2050</v>
      </c>
      <c r="AS275" s="171">
        <v>2022</v>
      </c>
      <c r="AT275" s="171"/>
      <c r="AU275" s="171"/>
      <c r="AV275" s="171"/>
      <c r="AW275" s="171" t="s">
        <v>2082</v>
      </c>
      <c r="AX275" s="171" t="s">
        <v>6697</v>
      </c>
      <c r="AY275" s="171"/>
      <c r="AZ275" s="171"/>
      <c r="BA275" s="171"/>
      <c r="BB275" s="171"/>
      <c r="BC275" s="171"/>
      <c r="BD275" s="171"/>
      <c r="BE275" s="171"/>
      <c r="BF275" s="225"/>
      <c r="BG275" s="171"/>
      <c r="BH275" s="171" t="s">
        <v>7695</v>
      </c>
      <c r="BI275" s="171"/>
      <c r="BJ275" s="171"/>
      <c r="BK275" s="171"/>
      <c r="BL275" s="171"/>
      <c r="BM275" s="171"/>
      <c r="BN275" s="171"/>
      <c r="BO275" s="171"/>
      <c r="BP275" s="171">
        <v>1</v>
      </c>
      <c r="BQ275" s="171">
        <v>1</v>
      </c>
      <c r="BR275" s="171"/>
      <c r="BS275" s="171">
        <v>1</v>
      </c>
      <c r="BT275" s="171"/>
      <c r="BU275" s="171">
        <v>1</v>
      </c>
      <c r="BV275" s="171"/>
      <c r="BW275" s="171"/>
      <c r="BX275" s="171"/>
      <c r="BY275" s="171"/>
      <c r="BZ275" s="171">
        <v>1</v>
      </c>
      <c r="CA275" s="171"/>
      <c r="CB275" s="171">
        <v>1</v>
      </c>
      <c r="CC275" s="171"/>
      <c r="CD275" s="171"/>
      <c r="CE275" s="171">
        <v>1</v>
      </c>
      <c r="CF275" s="171"/>
      <c r="CG275" s="171">
        <v>1</v>
      </c>
      <c r="CH275" s="171">
        <v>1</v>
      </c>
      <c r="CI275" s="171"/>
      <c r="CJ275" s="171"/>
      <c r="CK275" s="171">
        <v>1</v>
      </c>
      <c r="CL275" s="171">
        <v>1</v>
      </c>
      <c r="CM275">
        <f t="shared" si="44"/>
        <v>2050</v>
      </c>
    </row>
    <row r="276" spans="1:91">
      <c r="A276" s="171">
        <v>374</v>
      </c>
      <c r="B276" s="171" t="s">
        <v>892</v>
      </c>
      <c r="C276" s="171">
        <v>439</v>
      </c>
      <c r="D276" s="171" t="str">
        <f t="shared" si="43"/>
        <v>CN SBT</v>
      </c>
      <c r="E276" s="171" t="s">
        <v>7223</v>
      </c>
      <c r="F276" s="174">
        <v>45511</v>
      </c>
      <c r="G276" s="171" t="s">
        <v>7223</v>
      </c>
      <c r="H276" s="173">
        <v>1808.6</v>
      </c>
      <c r="I276" s="171"/>
      <c r="J276" s="171" t="s">
        <v>4179</v>
      </c>
      <c r="K276" s="171" t="s">
        <v>146</v>
      </c>
      <c r="L276" s="171" t="s">
        <v>1951</v>
      </c>
      <c r="M276" s="171" t="s">
        <v>5032</v>
      </c>
      <c r="N276" s="171"/>
      <c r="O276" s="171"/>
      <c r="P276" s="171" t="s">
        <v>4174</v>
      </c>
      <c r="Q276" s="171" t="s">
        <v>22</v>
      </c>
      <c r="R276" s="171" t="s">
        <v>7277</v>
      </c>
      <c r="S276" s="171">
        <v>2030</v>
      </c>
      <c r="T276" s="171" t="s">
        <v>1</v>
      </c>
      <c r="U276" s="171"/>
      <c r="V276" s="172">
        <v>44774</v>
      </c>
      <c r="W276" s="171">
        <v>2022</v>
      </c>
      <c r="X276" s="171" t="s">
        <v>1957</v>
      </c>
      <c r="Y276" s="171" t="s">
        <v>7694</v>
      </c>
      <c r="Z276" s="171" t="s">
        <v>7693</v>
      </c>
      <c r="AA276" s="171" t="s">
        <v>1957</v>
      </c>
      <c r="AB276" s="171">
        <v>2050</v>
      </c>
      <c r="AC276" s="171">
        <v>2023</v>
      </c>
      <c r="AD276" s="171"/>
      <c r="AE276" s="171"/>
      <c r="AF276" s="171"/>
      <c r="AG276" s="171" t="s">
        <v>4174</v>
      </c>
      <c r="AH276" s="171">
        <v>2023</v>
      </c>
      <c r="AI276" s="171" t="s">
        <v>4174</v>
      </c>
      <c r="AJ276" s="176" t="s">
        <v>7692</v>
      </c>
      <c r="AK276" s="171"/>
      <c r="AL276" s="176" t="s">
        <v>7692</v>
      </c>
      <c r="AM276" s="171"/>
      <c r="AN276" s="171" t="s">
        <v>5032</v>
      </c>
      <c r="AO276" s="171"/>
      <c r="AP276" s="171"/>
      <c r="AQ276" s="171" t="s">
        <v>5032</v>
      </c>
      <c r="AR276" s="171"/>
      <c r="AS276" s="171"/>
      <c r="AT276" s="171"/>
      <c r="AU276" s="171"/>
      <c r="AV276" s="171"/>
      <c r="AW276" s="171"/>
      <c r="AX276" s="171"/>
      <c r="AY276" s="171"/>
      <c r="AZ276" s="171"/>
      <c r="BA276" s="171"/>
      <c r="BB276" s="171"/>
      <c r="BC276" s="171"/>
      <c r="BD276" s="171"/>
      <c r="BE276" s="171"/>
      <c r="BF276" s="225"/>
      <c r="BG276" s="171"/>
      <c r="BH276" s="171"/>
      <c r="BI276" s="171"/>
      <c r="BJ276" s="171"/>
      <c r="BK276" s="171"/>
      <c r="BL276" s="171">
        <v>1</v>
      </c>
      <c r="BM276" s="171">
        <v>1</v>
      </c>
      <c r="BN276" s="171"/>
      <c r="BO276" s="171"/>
      <c r="BP276" s="171"/>
      <c r="BQ276" s="171"/>
      <c r="BR276" s="171"/>
      <c r="BS276" s="171">
        <v>1</v>
      </c>
      <c r="BT276" s="171"/>
      <c r="BU276" s="171">
        <v>1</v>
      </c>
      <c r="BV276" s="171"/>
      <c r="BW276" s="171"/>
      <c r="BX276" s="171"/>
      <c r="BY276" s="171"/>
      <c r="BZ276" s="171">
        <v>1</v>
      </c>
      <c r="CA276" s="171"/>
      <c r="CB276" s="171">
        <v>1</v>
      </c>
      <c r="CC276" s="171">
        <v>1</v>
      </c>
      <c r="CD276" s="171"/>
      <c r="CE276" s="171">
        <v>1</v>
      </c>
      <c r="CF276" s="171"/>
      <c r="CG276" s="171">
        <v>1</v>
      </c>
      <c r="CH276" s="171">
        <v>1</v>
      </c>
      <c r="CI276" s="171"/>
      <c r="CJ276" s="171"/>
      <c r="CK276" s="171"/>
      <c r="CL276" s="171"/>
    </row>
    <row r="277" spans="1:91">
      <c r="A277" s="171">
        <v>169</v>
      </c>
      <c r="B277" s="171" t="s">
        <v>1716</v>
      </c>
      <c r="C277" s="171"/>
      <c r="D277" s="171" t="str">
        <f t="shared" si="43"/>
        <v xml:space="preserve"> NZ</v>
      </c>
      <c r="E277" s="171" t="s">
        <v>7385</v>
      </c>
      <c r="F277" s="174">
        <v>45512</v>
      </c>
      <c r="G277" s="171"/>
      <c r="H277" s="173">
        <v>13551.9</v>
      </c>
      <c r="I277" s="181" t="s">
        <v>105</v>
      </c>
      <c r="J277" s="171" t="s">
        <v>3498</v>
      </c>
      <c r="K277" s="171" t="s">
        <v>972</v>
      </c>
      <c r="L277" s="171" t="s">
        <v>1994</v>
      </c>
      <c r="M277" s="171" t="s">
        <v>5032</v>
      </c>
      <c r="N277" s="171"/>
      <c r="O277" s="171"/>
      <c r="P277" s="171" t="s">
        <v>5032</v>
      </c>
      <c r="Q277" s="171"/>
      <c r="R277" s="171"/>
      <c r="S277" s="171"/>
      <c r="T277" s="171"/>
      <c r="U277" s="171"/>
      <c r="V277" s="175"/>
      <c r="W277" s="171"/>
      <c r="X277" s="171" t="s">
        <v>5032</v>
      </c>
      <c r="Y277" s="171"/>
      <c r="Z277" s="171"/>
      <c r="AA277" s="171" t="s">
        <v>5032</v>
      </c>
      <c r="AB277" s="171"/>
      <c r="AC277" s="171"/>
      <c r="AD277" s="171"/>
      <c r="AE277" s="171"/>
      <c r="AF277" s="171"/>
      <c r="AG277" s="171"/>
      <c r="AH277" s="171"/>
      <c r="AI277" s="171"/>
      <c r="AJ277" s="171"/>
      <c r="AK277" s="171"/>
      <c r="AL277" s="171"/>
      <c r="AM277" s="171"/>
      <c r="AN277" s="171" t="s">
        <v>1957</v>
      </c>
      <c r="AO277" s="171" t="s">
        <v>109</v>
      </c>
      <c r="AP277" s="171" t="s">
        <v>7375</v>
      </c>
      <c r="AQ277" s="171" t="s">
        <v>1957</v>
      </c>
      <c r="AR277" s="171">
        <v>2050</v>
      </c>
      <c r="AS277" s="171">
        <v>2023</v>
      </c>
      <c r="AT277" s="171"/>
      <c r="AU277" s="171"/>
      <c r="AV277" s="171"/>
      <c r="AW277" s="171" t="s">
        <v>2082</v>
      </c>
      <c r="AX277" s="171" t="s">
        <v>7691</v>
      </c>
      <c r="AY277" s="171"/>
      <c r="AZ277" s="171"/>
      <c r="BA277" s="171"/>
      <c r="BB277" s="171"/>
      <c r="BC277" s="171"/>
      <c r="BD277" s="171"/>
      <c r="BE277" s="171"/>
      <c r="BF277" s="225"/>
      <c r="BG277" s="171"/>
      <c r="BH277" s="171"/>
      <c r="BI277" s="171"/>
      <c r="BJ277" s="171"/>
      <c r="BK277" s="171"/>
      <c r="BL277" s="171"/>
      <c r="BM277" s="171"/>
      <c r="BN277" s="171"/>
      <c r="BO277" s="171"/>
      <c r="BP277" s="171">
        <v>1</v>
      </c>
      <c r="BQ277" s="171">
        <v>1</v>
      </c>
      <c r="BR277" s="171"/>
      <c r="BS277" s="171"/>
      <c r="BT277" s="171"/>
      <c r="BU277" s="171"/>
      <c r="BV277" s="171"/>
      <c r="BW277" s="171"/>
      <c r="BX277" s="171"/>
      <c r="BY277" s="171"/>
      <c r="BZ277" s="171">
        <v>1</v>
      </c>
      <c r="CA277" s="171"/>
      <c r="CB277" s="171">
        <v>1</v>
      </c>
      <c r="CC277" s="171"/>
      <c r="CD277" s="171"/>
      <c r="CE277" s="171">
        <v>1</v>
      </c>
      <c r="CF277" s="171"/>
      <c r="CG277" s="171"/>
      <c r="CH277" s="171">
        <v>1</v>
      </c>
      <c r="CI277" s="171"/>
      <c r="CJ277" s="171"/>
      <c r="CK277" s="171"/>
      <c r="CL277" s="171"/>
      <c r="CM277">
        <f t="shared" si="44"/>
        <v>2050</v>
      </c>
    </row>
    <row r="278" spans="1:91">
      <c r="A278" s="171">
        <v>488</v>
      </c>
      <c r="B278" s="171" t="s">
        <v>5129</v>
      </c>
      <c r="C278" s="171">
        <v>479</v>
      </c>
      <c r="D278" s="171" t="str">
        <f t="shared" si="43"/>
        <v>CN SBT</v>
      </c>
      <c r="E278" s="171" t="s">
        <v>7259</v>
      </c>
      <c r="F278" s="174">
        <v>45511</v>
      </c>
      <c r="G278" s="171" t="s">
        <v>7220</v>
      </c>
      <c r="H278" s="173">
        <v>1547.2</v>
      </c>
      <c r="I278" s="171"/>
      <c r="J278" s="171" t="s">
        <v>186</v>
      </c>
      <c r="K278" s="171" t="s">
        <v>73</v>
      </c>
      <c r="L278" s="171" t="s">
        <v>1994</v>
      </c>
      <c r="M278" s="171" t="s">
        <v>5032</v>
      </c>
      <c r="N278" s="171"/>
      <c r="O278" s="171"/>
      <c r="P278" s="171" t="s">
        <v>4174</v>
      </c>
      <c r="Q278" s="171" t="s">
        <v>22</v>
      </c>
      <c r="R278" s="171" t="s">
        <v>7233</v>
      </c>
      <c r="S278" s="171">
        <v>2032</v>
      </c>
      <c r="T278" s="171" t="s">
        <v>1</v>
      </c>
      <c r="U278" s="171"/>
      <c r="V278" s="172">
        <v>45323</v>
      </c>
      <c r="W278" s="171">
        <v>2024</v>
      </c>
      <c r="X278" s="171" t="s">
        <v>1957</v>
      </c>
      <c r="Y278" s="171" t="s">
        <v>109</v>
      </c>
      <c r="Z278" s="171" t="s">
        <v>7225</v>
      </c>
      <c r="AA278" s="171" t="s">
        <v>1957</v>
      </c>
      <c r="AB278" s="171">
        <v>2050</v>
      </c>
      <c r="AC278" s="171">
        <v>2021</v>
      </c>
      <c r="AD278" s="171"/>
      <c r="AE278" s="171"/>
      <c r="AF278" s="171"/>
      <c r="AG278" s="171" t="s">
        <v>2082</v>
      </c>
      <c r="AH278" s="171"/>
      <c r="AI278" s="171" t="s">
        <v>4174</v>
      </c>
      <c r="AJ278" s="171"/>
      <c r="AK278" s="171"/>
      <c r="AL278" s="171" t="s">
        <v>7690</v>
      </c>
      <c r="AM278" s="171"/>
      <c r="AN278" s="171" t="s">
        <v>5032</v>
      </c>
      <c r="AO278" s="171"/>
      <c r="AP278" s="171"/>
      <c r="AQ278" s="171" t="s">
        <v>5032</v>
      </c>
      <c r="AR278" s="171"/>
      <c r="AS278" s="171"/>
      <c r="AT278" s="171"/>
      <c r="AU278" s="171"/>
      <c r="AV278" s="171"/>
      <c r="AW278" s="171"/>
      <c r="AX278" s="171"/>
      <c r="AY278" s="171"/>
      <c r="AZ278" s="171"/>
      <c r="BA278" s="171"/>
      <c r="BB278" s="171"/>
      <c r="BC278" s="171"/>
      <c r="BD278" s="171"/>
      <c r="BE278" s="171"/>
      <c r="BF278" s="225"/>
      <c r="BG278" s="171"/>
      <c r="BH278" s="171"/>
      <c r="BI278" s="171"/>
      <c r="BJ278" s="171"/>
      <c r="BK278" s="171"/>
      <c r="BL278" s="171">
        <v>1</v>
      </c>
      <c r="BM278" s="171">
        <v>1</v>
      </c>
      <c r="BN278" s="171"/>
      <c r="BO278" s="171"/>
      <c r="BP278" s="171"/>
      <c r="BQ278" s="171"/>
      <c r="BR278" s="171"/>
      <c r="BS278" s="171"/>
      <c r="BT278" s="171">
        <v>1</v>
      </c>
      <c r="BU278" s="171">
        <v>1</v>
      </c>
      <c r="BV278" s="171"/>
      <c r="BW278" s="171"/>
      <c r="BX278" s="171"/>
      <c r="BY278" s="171"/>
      <c r="BZ278" s="171">
        <v>1</v>
      </c>
      <c r="CA278" s="171"/>
      <c r="CB278" s="171">
        <v>1</v>
      </c>
      <c r="CC278" s="171"/>
      <c r="CD278" s="171"/>
      <c r="CE278" s="171">
        <v>1</v>
      </c>
      <c r="CF278" s="171"/>
      <c r="CG278" s="171"/>
      <c r="CH278" s="171">
        <v>1</v>
      </c>
      <c r="CI278" s="171"/>
      <c r="CJ278" s="171"/>
      <c r="CK278" s="171"/>
      <c r="CL278" s="171"/>
    </row>
    <row r="279" spans="1:91">
      <c r="A279" s="171">
        <v>368</v>
      </c>
      <c r="B279" s="171" t="s">
        <v>771</v>
      </c>
      <c r="C279" s="171">
        <v>281</v>
      </c>
      <c r="D279" s="171" t="str">
        <f t="shared" si="43"/>
        <v xml:space="preserve"> NZ SBT</v>
      </c>
      <c r="E279" s="171" t="s">
        <v>7223</v>
      </c>
      <c r="F279" s="174">
        <v>45478</v>
      </c>
      <c r="G279" s="171" t="s">
        <v>7223</v>
      </c>
      <c r="H279" s="173">
        <v>2114</v>
      </c>
      <c r="I279" s="171"/>
      <c r="J279" s="171" t="s">
        <v>66</v>
      </c>
      <c r="K279" s="171" t="s">
        <v>96</v>
      </c>
      <c r="L279" s="171" t="s">
        <v>1951</v>
      </c>
      <c r="M279" s="171" t="s">
        <v>5032</v>
      </c>
      <c r="N279" s="171"/>
      <c r="O279" s="171"/>
      <c r="P279" s="171" t="s">
        <v>5032</v>
      </c>
      <c r="Q279" s="171" t="s">
        <v>165</v>
      </c>
      <c r="R279" s="171"/>
      <c r="S279" s="171">
        <v>2030</v>
      </c>
      <c r="T279" s="171" t="s">
        <v>1</v>
      </c>
      <c r="U279" s="171"/>
      <c r="V279" s="172">
        <v>44958</v>
      </c>
      <c r="W279" s="171">
        <v>2023</v>
      </c>
      <c r="X279" s="171" t="s">
        <v>5032</v>
      </c>
      <c r="Y279" s="171"/>
      <c r="Z279" s="171"/>
      <c r="AA279" s="171" t="s">
        <v>5032</v>
      </c>
      <c r="AB279" s="171"/>
      <c r="AC279" s="171"/>
      <c r="AD279" s="171"/>
      <c r="AE279" s="171"/>
      <c r="AF279" s="171"/>
      <c r="AG279" s="171"/>
      <c r="AH279" s="171"/>
      <c r="AI279" s="171"/>
      <c r="AJ279" s="171"/>
      <c r="AK279" s="171"/>
      <c r="AL279" s="171"/>
      <c r="AM279" s="171"/>
      <c r="AN279" s="171" t="s">
        <v>1957</v>
      </c>
      <c r="AO279" s="171" t="s">
        <v>3793</v>
      </c>
      <c r="AP279" s="171" t="s">
        <v>7303</v>
      </c>
      <c r="AQ279" s="171" t="s">
        <v>1957</v>
      </c>
      <c r="AR279" s="171">
        <v>2050</v>
      </c>
      <c r="AS279" s="171">
        <v>2021</v>
      </c>
      <c r="AT279" s="171"/>
      <c r="AU279" s="171"/>
      <c r="AV279" s="171"/>
      <c r="AW279" s="171" t="s">
        <v>4174</v>
      </c>
      <c r="AX279" s="171" t="s">
        <v>7689</v>
      </c>
      <c r="AY279" s="171"/>
      <c r="AZ279" s="171"/>
      <c r="BA279" s="171"/>
      <c r="BB279" s="171"/>
      <c r="BC279" s="171"/>
      <c r="BD279" s="171" t="s">
        <v>4174</v>
      </c>
      <c r="BE279" s="171" t="s">
        <v>4706</v>
      </c>
      <c r="BF279" s="225"/>
      <c r="BG279" s="171"/>
      <c r="BH279" s="171"/>
      <c r="BI279" s="171"/>
      <c r="BJ279" s="171"/>
      <c r="BK279" s="171"/>
      <c r="BL279" s="171"/>
      <c r="BM279" s="171"/>
      <c r="BN279" s="171"/>
      <c r="BO279" s="171"/>
      <c r="BP279" s="171">
        <v>1</v>
      </c>
      <c r="BQ279" s="171">
        <v>1</v>
      </c>
      <c r="BR279" s="171"/>
      <c r="BS279" s="171">
        <v>1</v>
      </c>
      <c r="BT279" s="171"/>
      <c r="BU279" s="171">
        <v>1</v>
      </c>
      <c r="BV279" s="171"/>
      <c r="BW279" s="171"/>
      <c r="BX279" s="171"/>
      <c r="BY279" s="171"/>
      <c r="BZ279" s="171">
        <v>1</v>
      </c>
      <c r="CA279" s="171"/>
      <c r="CB279" s="171">
        <v>1</v>
      </c>
      <c r="CC279" s="171">
        <v>1</v>
      </c>
      <c r="CD279" s="171"/>
      <c r="CE279" s="171">
        <v>1</v>
      </c>
      <c r="CF279" s="171"/>
      <c r="CG279" s="171">
        <v>1</v>
      </c>
      <c r="CH279" s="171">
        <v>1</v>
      </c>
      <c r="CI279" s="171"/>
      <c r="CJ279" s="171"/>
      <c r="CK279" s="171"/>
      <c r="CL279" s="171"/>
      <c r="CM279">
        <f t="shared" si="44"/>
        <v>2050</v>
      </c>
    </row>
    <row r="280" spans="1:91">
      <c r="A280" s="171">
        <v>289</v>
      </c>
      <c r="B280" s="171" t="s">
        <v>854</v>
      </c>
      <c r="C280" s="171">
        <v>151</v>
      </c>
      <c r="D280" s="171" t="str">
        <f t="shared" si="43"/>
        <v xml:space="preserve"> NZ SBT</v>
      </c>
      <c r="E280" s="171" t="s">
        <v>7220</v>
      </c>
      <c r="F280" s="174">
        <v>45476</v>
      </c>
      <c r="G280" s="171" t="s">
        <v>7223</v>
      </c>
      <c r="H280" s="173">
        <v>3822</v>
      </c>
      <c r="I280" s="171"/>
      <c r="J280" s="171" t="s">
        <v>4179</v>
      </c>
      <c r="K280" s="171" t="s">
        <v>858</v>
      </c>
      <c r="L280" s="171" t="s">
        <v>1951</v>
      </c>
      <c r="M280" s="171" t="s">
        <v>5032</v>
      </c>
      <c r="N280" s="171"/>
      <c r="O280" s="171"/>
      <c r="P280" s="171" t="s">
        <v>4174</v>
      </c>
      <c r="Q280" s="171" t="s">
        <v>22</v>
      </c>
      <c r="R280" s="171" t="s">
        <v>7233</v>
      </c>
      <c r="S280" s="171">
        <v>2030</v>
      </c>
      <c r="T280" s="171" t="s">
        <v>361</v>
      </c>
      <c r="U280" s="171">
        <v>2040</v>
      </c>
      <c r="V280" s="172">
        <v>45323</v>
      </c>
      <c r="W280" s="171">
        <v>2024</v>
      </c>
      <c r="X280" s="171" t="s">
        <v>5032</v>
      </c>
      <c r="Y280" s="171"/>
      <c r="Z280" s="171"/>
      <c r="AA280" s="171" t="s">
        <v>5032</v>
      </c>
      <c r="AB280" s="171"/>
      <c r="AC280" s="171"/>
      <c r="AD280" s="171"/>
      <c r="AE280" s="171"/>
      <c r="AF280" s="171"/>
      <c r="AG280" s="171"/>
      <c r="AH280" s="171"/>
      <c r="AI280" s="171"/>
      <c r="AJ280" s="171"/>
      <c r="AK280" s="171"/>
      <c r="AL280" s="171"/>
      <c r="AM280" s="171"/>
      <c r="AN280" s="171" t="s">
        <v>4172</v>
      </c>
      <c r="AO280" s="171" t="s">
        <v>1435</v>
      </c>
      <c r="AP280" s="171" t="s">
        <v>2072</v>
      </c>
      <c r="AQ280" s="171" t="s">
        <v>4172</v>
      </c>
      <c r="AR280" s="171">
        <v>2040</v>
      </c>
      <c r="AS280" s="171">
        <v>2022</v>
      </c>
      <c r="AT280" s="171"/>
      <c r="AU280" s="171"/>
      <c r="AV280" s="171"/>
      <c r="AW280" s="171" t="s">
        <v>4174</v>
      </c>
      <c r="AX280" s="176" t="s">
        <v>7688</v>
      </c>
      <c r="AY280" s="171"/>
      <c r="AZ280" s="171"/>
      <c r="BA280" s="171"/>
      <c r="BB280" s="171"/>
      <c r="BC280" s="171"/>
      <c r="BD280" s="171"/>
      <c r="BE280" s="171"/>
      <c r="BF280" s="225"/>
      <c r="BG280" s="171"/>
      <c r="BH280" s="171"/>
      <c r="BI280" s="171"/>
      <c r="BJ280" s="171"/>
      <c r="BK280" s="171"/>
      <c r="BL280" s="171"/>
      <c r="BM280" s="171"/>
      <c r="BN280" s="171"/>
      <c r="BO280" s="171"/>
      <c r="BP280" s="171">
        <v>1</v>
      </c>
      <c r="BQ280" s="171">
        <v>1</v>
      </c>
      <c r="BR280" s="171"/>
      <c r="BS280" s="171">
        <v>1</v>
      </c>
      <c r="BT280" s="171"/>
      <c r="BU280" s="171">
        <v>1</v>
      </c>
      <c r="BV280" s="171"/>
      <c r="BW280" s="171"/>
      <c r="BX280" s="171"/>
      <c r="BY280" s="171"/>
      <c r="BZ280" s="171">
        <v>1</v>
      </c>
      <c r="CA280" s="171"/>
      <c r="CB280" s="171">
        <v>1</v>
      </c>
      <c r="CC280" s="171">
        <v>1</v>
      </c>
      <c r="CD280" s="171"/>
      <c r="CE280" s="171">
        <v>1</v>
      </c>
      <c r="CF280" s="171"/>
      <c r="CG280" s="171">
        <v>1</v>
      </c>
      <c r="CH280" s="171">
        <v>1</v>
      </c>
      <c r="CI280" s="171"/>
      <c r="CJ280" s="171"/>
      <c r="CK280" s="171">
        <v>1</v>
      </c>
      <c r="CL280" s="171">
        <v>1</v>
      </c>
      <c r="CM280">
        <f t="shared" si="44"/>
        <v>2040</v>
      </c>
    </row>
    <row r="281" spans="1:91">
      <c r="A281" s="171">
        <v>357</v>
      </c>
      <c r="B281" s="171" t="s">
        <v>828</v>
      </c>
      <c r="C281" s="171">
        <v>394</v>
      </c>
      <c r="D281" s="171" t="str">
        <f t="shared" si="43"/>
        <v xml:space="preserve"> NZ SBT</v>
      </c>
      <c r="E281" s="171" t="s">
        <v>7220</v>
      </c>
      <c r="F281" s="174">
        <v>45482</v>
      </c>
      <c r="G281" s="171" t="s">
        <v>7220</v>
      </c>
      <c r="H281" s="173">
        <v>1213</v>
      </c>
      <c r="I281" s="171"/>
      <c r="J281" s="171" t="s">
        <v>4476</v>
      </c>
      <c r="K281" s="171" t="s">
        <v>78</v>
      </c>
      <c r="L281" s="171" t="s">
        <v>2029</v>
      </c>
      <c r="M281" s="171" t="s">
        <v>5032</v>
      </c>
      <c r="N281" s="171"/>
      <c r="O281" s="171"/>
      <c r="P281" s="171" t="s">
        <v>4174</v>
      </c>
      <c r="Q281" s="171" t="s">
        <v>22</v>
      </c>
      <c r="R281" s="171" t="s">
        <v>7233</v>
      </c>
      <c r="S281" s="171">
        <v>2030</v>
      </c>
      <c r="T281" s="171" t="s">
        <v>361</v>
      </c>
      <c r="U281" s="171">
        <v>2050</v>
      </c>
      <c r="V281" s="172">
        <v>45383</v>
      </c>
      <c r="W281" s="171">
        <v>2024</v>
      </c>
      <c r="X281" s="171" t="s">
        <v>5032</v>
      </c>
      <c r="Y281" s="171"/>
      <c r="Z281" s="171"/>
      <c r="AA281" s="171" t="s">
        <v>5032</v>
      </c>
      <c r="AB281" s="171"/>
      <c r="AC281" s="171"/>
      <c r="AD281" s="171"/>
      <c r="AE281" s="171"/>
      <c r="AF281" s="171"/>
      <c r="AG281" s="171"/>
      <c r="AH281" s="171"/>
      <c r="AI281" s="171"/>
      <c r="AJ281" s="171"/>
      <c r="AK281" s="171"/>
      <c r="AL281" s="171"/>
      <c r="AM281" s="171"/>
      <c r="AN281" s="171" t="s">
        <v>4172</v>
      </c>
      <c r="AO281" s="171" t="s">
        <v>1435</v>
      </c>
      <c r="AP281" s="171" t="s">
        <v>2072</v>
      </c>
      <c r="AQ281" s="171" t="s">
        <v>4172</v>
      </c>
      <c r="AR281" s="171">
        <v>2050</v>
      </c>
      <c r="AS281" s="171">
        <v>2023</v>
      </c>
      <c r="AT281" s="171"/>
      <c r="AU281" s="171"/>
      <c r="AV281" s="171"/>
      <c r="AW281" s="171" t="s">
        <v>2082</v>
      </c>
      <c r="AX281" s="171" t="s">
        <v>7687</v>
      </c>
      <c r="AY281" s="171"/>
      <c r="AZ281" s="171"/>
      <c r="BA281" s="171"/>
      <c r="BB281" s="171"/>
      <c r="BC281" s="171" t="s">
        <v>7686</v>
      </c>
      <c r="BD281" s="171"/>
      <c r="BE281" s="171"/>
      <c r="BF281" s="225"/>
      <c r="BG281" s="171"/>
      <c r="BH281" s="171"/>
      <c r="BI281" s="171"/>
      <c r="BJ281" s="171"/>
      <c r="BK281" s="171"/>
      <c r="BL281" s="171"/>
      <c r="BM281" s="171"/>
      <c r="BN281" s="171"/>
      <c r="BO281" s="171"/>
      <c r="BP281" s="171">
        <v>1</v>
      </c>
      <c r="BQ281" s="171">
        <v>1</v>
      </c>
      <c r="BR281" s="171"/>
      <c r="BS281" s="171">
        <v>1</v>
      </c>
      <c r="BT281" s="171"/>
      <c r="BU281" s="171">
        <v>1</v>
      </c>
      <c r="BV281" s="171"/>
      <c r="BW281" s="171"/>
      <c r="BX281" s="171"/>
      <c r="BY281" s="171"/>
      <c r="BZ281" s="171">
        <v>1</v>
      </c>
      <c r="CA281" s="171"/>
      <c r="CB281" s="171">
        <v>1</v>
      </c>
      <c r="CC281" s="171"/>
      <c r="CD281" s="171"/>
      <c r="CE281" s="171">
        <v>1</v>
      </c>
      <c r="CF281" s="171"/>
      <c r="CG281" s="171">
        <v>1</v>
      </c>
      <c r="CH281" s="171">
        <v>1</v>
      </c>
      <c r="CI281" s="171"/>
      <c r="CJ281" s="171"/>
      <c r="CK281" s="171">
        <v>1</v>
      </c>
      <c r="CL281" s="171">
        <v>1</v>
      </c>
      <c r="CM281">
        <f t="shared" si="44"/>
        <v>2050</v>
      </c>
    </row>
    <row r="282" spans="1:91">
      <c r="A282" s="171">
        <v>419</v>
      </c>
      <c r="B282" s="171" t="s">
        <v>266</v>
      </c>
      <c r="C282" s="171"/>
      <c r="D282" s="171" t="str">
        <f t="shared" si="43"/>
        <v>CN</v>
      </c>
      <c r="E282" s="171" t="s">
        <v>7385</v>
      </c>
      <c r="F282" s="174">
        <v>45512</v>
      </c>
      <c r="G282" s="171"/>
      <c r="H282" s="173">
        <v>732.1</v>
      </c>
      <c r="I282" s="171"/>
      <c r="J282" s="171" t="s">
        <v>4465</v>
      </c>
      <c r="K282" s="171" t="s">
        <v>267</v>
      </c>
      <c r="L282" s="171" t="s">
        <v>1951</v>
      </c>
      <c r="M282" s="171" t="s">
        <v>5032</v>
      </c>
      <c r="N282" s="171"/>
      <c r="O282" s="171"/>
      <c r="P282" s="171" t="s">
        <v>5032</v>
      </c>
      <c r="Q282" s="171"/>
      <c r="R282" s="171"/>
      <c r="S282" s="171"/>
      <c r="T282" s="171"/>
      <c r="U282" s="171"/>
      <c r="V282" s="175"/>
      <c r="W282" s="171"/>
      <c r="X282" s="171" t="s">
        <v>5050</v>
      </c>
      <c r="Y282" s="171" t="s">
        <v>6290</v>
      </c>
      <c r="Z282" s="171" t="s">
        <v>3283</v>
      </c>
      <c r="AA282" s="171" t="s">
        <v>5050</v>
      </c>
      <c r="AB282" s="171">
        <v>2050</v>
      </c>
      <c r="AC282" s="171">
        <v>2022</v>
      </c>
      <c r="AD282" s="171"/>
      <c r="AE282" s="171"/>
      <c r="AF282" s="171"/>
      <c r="AG282" s="171" t="s">
        <v>2082</v>
      </c>
      <c r="AH282" s="171"/>
      <c r="AI282" s="171" t="s">
        <v>4174</v>
      </c>
      <c r="AJ282" s="171"/>
      <c r="AK282" s="171"/>
      <c r="AL282" s="171" t="s">
        <v>7685</v>
      </c>
      <c r="AM282" s="171"/>
      <c r="AN282" s="171" t="s">
        <v>5032</v>
      </c>
      <c r="AO282" s="171"/>
      <c r="AP282" s="171"/>
      <c r="AQ282" s="171" t="s">
        <v>5032</v>
      </c>
      <c r="AR282" s="171"/>
      <c r="AS282" s="171"/>
      <c r="AT282" s="171"/>
      <c r="AU282" s="171"/>
      <c r="AV282" s="171"/>
      <c r="AW282" s="171"/>
      <c r="AX282" s="171"/>
      <c r="AY282" s="171"/>
      <c r="AZ282" s="171"/>
      <c r="BA282" s="171"/>
      <c r="BB282" s="171"/>
      <c r="BC282" s="171"/>
      <c r="BD282" s="171"/>
      <c r="BE282" s="171"/>
      <c r="BF282" s="225"/>
      <c r="BG282" s="171"/>
      <c r="BH282" s="171"/>
      <c r="BI282" s="171"/>
      <c r="BJ282" s="171"/>
      <c r="BK282" s="171"/>
      <c r="BL282" s="171">
        <v>1</v>
      </c>
      <c r="BM282" s="171">
        <v>1</v>
      </c>
      <c r="BN282" s="171"/>
      <c r="BO282" s="171"/>
      <c r="BP282" s="171"/>
      <c r="BQ282" s="171"/>
      <c r="BR282" s="171"/>
      <c r="BS282" s="171"/>
      <c r="BT282" s="171"/>
      <c r="BU282" s="171"/>
      <c r="BV282" s="171"/>
      <c r="BW282" s="171"/>
      <c r="BX282" s="171"/>
      <c r="BY282" s="171"/>
      <c r="BZ282" s="171">
        <v>1</v>
      </c>
      <c r="CA282" s="171"/>
      <c r="CB282" s="171">
        <v>1</v>
      </c>
      <c r="CC282" s="171"/>
      <c r="CD282" s="171"/>
      <c r="CE282" s="171">
        <v>1</v>
      </c>
      <c r="CF282" s="171"/>
      <c r="CG282" s="171"/>
      <c r="CH282" s="171">
        <v>1</v>
      </c>
      <c r="CI282" s="171"/>
      <c r="CJ282" s="171"/>
      <c r="CK282" s="171"/>
      <c r="CL282" s="171"/>
    </row>
    <row r="283" spans="1:91">
      <c r="A283" s="171">
        <v>50</v>
      </c>
      <c r="B283" s="171" t="s">
        <v>1649</v>
      </c>
      <c r="C283" s="171">
        <v>36</v>
      </c>
      <c r="D283" s="171" t="str">
        <f t="shared" si="43"/>
        <v/>
      </c>
      <c r="E283" s="171" t="s">
        <v>7228</v>
      </c>
      <c r="F283" s="174">
        <v>45474</v>
      </c>
      <c r="G283" s="171" t="s">
        <v>7220</v>
      </c>
      <c r="H283" s="173">
        <v>9681</v>
      </c>
      <c r="I283" s="171"/>
      <c r="J283" s="171" t="s">
        <v>3498</v>
      </c>
      <c r="K283" s="171" t="s">
        <v>4457</v>
      </c>
      <c r="L283" s="171" t="s">
        <v>2029</v>
      </c>
      <c r="M283" s="171" t="s">
        <v>5032</v>
      </c>
      <c r="N283" s="171"/>
      <c r="O283" s="171"/>
      <c r="P283" s="171" t="s">
        <v>5032</v>
      </c>
      <c r="Q283" s="171"/>
      <c r="R283" s="171"/>
      <c r="S283" s="171"/>
      <c r="T283" s="171"/>
      <c r="U283" s="171"/>
      <c r="V283" s="175"/>
      <c r="W283" s="171"/>
      <c r="X283" s="171" t="s">
        <v>5032</v>
      </c>
      <c r="Y283" s="171"/>
      <c r="Z283" s="171"/>
      <c r="AA283" s="171" t="s">
        <v>5032</v>
      </c>
      <c r="AB283" s="171"/>
      <c r="AC283" s="171"/>
      <c r="AD283" s="171"/>
      <c r="AE283" s="171"/>
      <c r="AF283" s="171"/>
      <c r="AG283" s="171"/>
      <c r="AH283" s="171"/>
      <c r="AI283" s="171"/>
      <c r="AJ283" s="171"/>
      <c r="AK283" s="171"/>
      <c r="AL283" s="171" t="s">
        <v>7684</v>
      </c>
      <c r="AM283" s="171"/>
      <c r="AN283" s="171" t="s">
        <v>5032</v>
      </c>
      <c r="AO283" s="171"/>
      <c r="AP283" s="171"/>
      <c r="AQ283" s="171" t="s">
        <v>5032</v>
      </c>
      <c r="AR283" s="171"/>
      <c r="AS283" s="171"/>
      <c r="AT283" s="171"/>
      <c r="AU283" s="171"/>
      <c r="AV283" s="171"/>
      <c r="AW283" s="171"/>
      <c r="AX283" s="171"/>
      <c r="AY283" s="171"/>
      <c r="AZ283" s="171"/>
      <c r="BA283" s="171"/>
      <c r="BB283" s="171"/>
      <c r="BC283" s="171"/>
      <c r="BD283" s="171" t="s">
        <v>4174</v>
      </c>
      <c r="BE283" s="171"/>
      <c r="BF283" s="225"/>
      <c r="BG283" s="171"/>
      <c r="BH283" s="171"/>
      <c r="BI283" s="171" t="s">
        <v>7683</v>
      </c>
      <c r="BJ283" s="171"/>
      <c r="BK283" s="171"/>
      <c r="BL283" s="171"/>
      <c r="BM283" s="171"/>
      <c r="BN283" s="171"/>
      <c r="BO283" s="171"/>
      <c r="BP283" s="171"/>
      <c r="BQ283" s="171"/>
      <c r="BR283" s="171"/>
      <c r="BS283" s="171"/>
      <c r="BT283" s="171"/>
      <c r="BU283" s="171"/>
      <c r="BV283" s="171"/>
      <c r="BW283" s="171"/>
      <c r="BX283" s="171"/>
      <c r="BY283" s="171"/>
      <c r="BZ283" s="171"/>
      <c r="CA283" s="171"/>
      <c r="CB283" s="171"/>
      <c r="CC283" s="171"/>
      <c r="CD283" s="171"/>
      <c r="CE283" s="171"/>
      <c r="CF283" s="171"/>
      <c r="CG283" s="171"/>
      <c r="CH283" s="171"/>
      <c r="CI283" s="171"/>
      <c r="CJ283" s="171"/>
      <c r="CK283" s="171"/>
      <c r="CL283" s="171"/>
    </row>
    <row r="284" spans="1:91">
      <c r="A284" s="171">
        <v>298</v>
      </c>
      <c r="B284" s="171" t="s">
        <v>1335</v>
      </c>
      <c r="C284" s="171">
        <v>190</v>
      </c>
      <c r="D284" s="171" t="str">
        <f t="shared" si="43"/>
        <v xml:space="preserve"> NZ</v>
      </c>
      <c r="E284" s="171" t="s">
        <v>7228</v>
      </c>
      <c r="F284" s="174">
        <v>45477</v>
      </c>
      <c r="G284" s="171" t="s">
        <v>7220</v>
      </c>
      <c r="H284" s="173">
        <v>3261.7</v>
      </c>
      <c r="I284" s="171"/>
      <c r="J284" s="171" t="s">
        <v>4465</v>
      </c>
      <c r="K284" s="171" t="s">
        <v>207</v>
      </c>
      <c r="L284" s="171" t="s">
        <v>1994</v>
      </c>
      <c r="M284" s="171" t="s">
        <v>5032</v>
      </c>
      <c r="N284" s="171"/>
      <c r="O284" s="171"/>
      <c r="P284" s="171" t="s">
        <v>5032</v>
      </c>
      <c r="Q284" s="171"/>
      <c r="R284" s="171"/>
      <c r="S284" s="171"/>
      <c r="T284" s="171"/>
      <c r="U284" s="171"/>
      <c r="V284" s="175"/>
      <c r="W284" s="171"/>
      <c r="X284" s="171" t="s">
        <v>5032</v>
      </c>
      <c r="Y284" s="171"/>
      <c r="Z284" s="171"/>
      <c r="AA284" s="171" t="s">
        <v>5032</v>
      </c>
      <c r="AB284" s="171"/>
      <c r="AC284" s="171"/>
      <c r="AD284" s="171"/>
      <c r="AE284" s="171"/>
      <c r="AF284" s="171"/>
      <c r="AG284" s="171"/>
      <c r="AH284" s="171"/>
      <c r="AI284" s="171"/>
      <c r="AJ284" s="171"/>
      <c r="AK284" s="171"/>
      <c r="AL284" s="171"/>
      <c r="AM284" s="171"/>
      <c r="AN284" s="171" t="s">
        <v>4172</v>
      </c>
      <c r="AO284" s="171" t="s">
        <v>7682</v>
      </c>
      <c r="AP284" s="171" t="s">
        <v>7681</v>
      </c>
      <c r="AQ284" s="171" t="s">
        <v>4172</v>
      </c>
      <c r="AR284" s="171">
        <v>2050</v>
      </c>
      <c r="AS284" s="171">
        <v>2021</v>
      </c>
      <c r="AT284" s="171"/>
      <c r="AU284" s="171"/>
      <c r="AV284" s="171"/>
      <c r="AW284" s="171" t="s">
        <v>4174</v>
      </c>
      <c r="AX284" s="171" t="s">
        <v>7680</v>
      </c>
      <c r="AY284" s="171">
        <v>2024</v>
      </c>
      <c r="AZ284" s="171" t="s">
        <v>4174</v>
      </c>
      <c r="BA284" s="171" t="s">
        <v>7680</v>
      </c>
      <c r="BB284" s="171"/>
      <c r="BC284" s="171" t="s">
        <v>4857</v>
      </c>
      <c r="BD284" s="171"/>
      <c r="BE284" s="171"/>
      <c r="BF284" s="225"/>
      <c r="BG284" s="171"/>
      <c r="BH284" s="171"/>
      <c r="BI284" s="171"/>
      <c r="BJ284" s="171"/>
      <c r="BK284" s="171"/>
      <c r="BL284" s="171"/>
      <c r="BM284" s="171"/>
      <c r="BN284" s="171"/>
      <c r="BO284" s="171"/>
      <c r="BP284" s="171">
        <v>1</v>
      </c>
      <c r="BQ284" s="171">
        <v>1</v>
      </c>
      <c r="BR284" s="171"/>
      <c r="BS284" s="171"/>
      <c r="BT284" s="171"/>
      <c r="BU284" s="171"/>
      <c r="BV284" s="171"/>
      <c r="BW284" s="171"/>
      <c r="BX284" s="171"/>
      <c r="BY284" s="171"/>
      <c r="BZ284" s="171">
        <v>1</v>
      </c>
      <c r="CA284" s="171"/>
      <c r="CB284" s="171">
        <v>1</v>
      </c>
      <c r="CC284" s="171">
        <v>1</v>
      </c>
      <c r="CD284" s="171"/>
      <c r="CE284" s="171">
        <v>1</v>
      </c>
      <c r="CF284" s="171"/>
      <c r="CG284" s="171"/>
      <c r="CH284" s="171">
        <v>1</v>
      </c>
      <c r="CI284" s="171"/>
      <c r="CJ284" s="171"/>
      <c r="CK284" s="171">
        <v>1</v>
      </c>
      <c r="CL284" s="171">
        <v>1</v>
      </c>
      <c r="CM284">
        <f t="shared" si="44"/>
        <v>2050</v>
      </c>
    </row>
    <row r="285" spans="1:91">
      <c r="A285" s="171">
        <v>359</v>
      </c>
      <c r="B285" s="171" t="s">
        <v>775</v>
      </c>
      <c r="C285" s="171">
        <v>369</v>
      </c>
      <c r="D285" s="171" t="str">
        <f t="shared" si="43"/>
        <v xml:space="preserve"> NZ</v>
      </c>
      <c r="E285" s="171" t="s">
        <v>7221</v>
      </c>
      <c r="F285" s="174">
        <v>45481</v>
      </c>
      <c r="G285" s="171" t="s">
        <v>7220</v>
      </c>
      <c r="H285" s="173">
        <v>-771.6</v>
      </c>
      <c r="I285" s="171"/>
      <c r="J285" s="171" t="s">
        <v>4465</v>
      </c>
      <c r="K285" s="171" t="s">
        <v>4457</v>
      </c>
      <c r="L285" s="171" t="s">
        <v>2029</v>
      </c>
      <c r="M285" s="171" t="s">
        <v>5032</v>
      </c>
      <c r="N285" s="171"/>
      <c r="O285" s="171"/>
      <c r="P285" s="171" t="s">
        <v>5032</v>
      </c>
      <c r="Q285" s="171"/>
      <c r="R285" s="171"/>
      <c r="S285" s="171"/>
      <c r="T285" s="171"/>
      <c r="U285" s="171"/>
      <c r="V285" s="175"/>
      <c r="W285" s="171"/>
      <c r="X285" s="171" t="s">
        <v>5032</v>
      </c>
      <c r="Y285" s="171"/>
      <c r="Z285" s="171"/>
      <c r="AA285" s="171" t="s">
        <v>5032</v>
      </c>
      <c r="AB285" s="171"/>
      <c r="AC285" s="171"/>
      <c r="AD285" s="171"/>
      <c r="AE285" s="171"/>
      <c r="AF285" s="171"/>
      <c r="AG285" s="171"/>
      <c r="AH285" s="171"/>
      <c r="AI285" s="171"/>
      <c r="AJ285" s="171"/>
      <c r="AK285" s="171"/>
      <c r="AL285" s="171"/>
      <c r="AM285" s="171"/>
      <c r="AN285" s="171" t="s">
        <v>7218</v>
      </c>
      <c r="AO285" s="171" t="s">
        <v>7679</v>
      </c>
      <c r="AP285" s="171" t="s">
        <v>2072</v>
      </c>
      <c r="AQ285" s="171" t="s">
        <v>1957</v>
      </c>
      <c r="AR285" s="171">
        <v>2030</v>
      </c>
      <c r="AS285" s="171">
        <v>2021</v>
      </c>
      <c r="AT285" s="171" t="s">
        <v>5050</v>
      </c>
      <c r="AU285" s="171">
        <v>2050</v>
      </c>
      <c r="AV285" s="171">
        <v>2021</v>
      </c>
      <c r="AW285" s="171" t="s">
        <v>2082</v>
      </c>
      <c r="AX285" s="171" t="s">
        <v>7678</v>
      </c>
      <c r="AY285" s="171"/>
      <c r="AZ285" s="171"/>
      <c r="BA285" s="171"/>
      <c r="BB285" s="171"/>
      <c r="BC285" s="171" t="s">
        <v>7677</v>
      </c>
      <c r="BD285" s="171"/>
      <c r="BE285" s="171"/>
      <c r="BF285" s="225"/>
      <c r="BG285" s="171"/>
      <c r="BH285" s="171"/>
      <c r="BI285" s="171"/>
      <c r="BJ285" s="171"/>
      <c r="BK285" s="171"/>
      <c r="BL285" s="171"/>
      <c r="BM285" s="171"/>
      <c r="BN285" s="171"/>
      <c r="BO285" s="171">
        <v>1</v>
      </c>
      <c r="BP285" s="171"/>
      <c r="BQ285" s="171">
        <v>1</v>
      </c>
      <c r="BR285" s="171"/>
      <c r="BS285" s="171"/>
      <c r="BT285" s="171"/>
      <c r="BU285" s="171"/>
      <c r="BV285" s="171"/>
      <c r="BW285" s="171"/>
      <c r="BX285" s="171"/>
      <c r="BY285" s="171"/>
      <c r="BZ285" s="171">
        <v>1</v>
      </c>
      <c r="CA285" s="171">
        <v>1</v>
      </c>
      <c r="CB285" s="171">
        <v>1</v>
      </c>
      <c r="CC285" s="171"/>
      <c r="CD285" s="171"/>
      <c r="CE285" s="171">
        <v>1</v>
      </c>
      <c r="CF285" s="171"/>
      <c r="CG285" s="171">
        <v>1</v>
      </c>
      <c r="CH285" s="171">
        <v>1</v>
      </c>
      <c r="CI285" s="171"/>
      <c r="CJ285" s="171"/>
      <c r="CK285" s="171">
        <v>1</v>
      </c>
      <c r="CL285" s="171">
        <v>1</v>
      </c>
      <c r="CM285">
        <f t="shared" si="44"/>
        <v>2030</v>
      </c>
    </row>
    <row r="286" spans="1:91">
      <c r="A286" s="171">
        <v>474</v>
      </c>
      <c r="B286" s="171" t="s">
        <v>537</v>
      </c>
      <c r="C286" s="171"/>
      <c r="D286" s="171" t="str">
        <f t="shared" si="43"/>
        <v>CN</v>
      </c>
      <c r="E286" s="171" t="s">
        <v>7223</v>
      </c>
      <c r="F286" s="174">
        <v>45512</v>
      </c>
      <c r="G286" s="176"/>
      <c r="H286" s="173">
        <v>1437.1</v>
      </c>
      <c r="I286" s="181" t="s">
        <v>171</v>
      </c>
      <c r="J286" s="171" t="s">
        <v>4476</v>
      </c>
      <c r="K286" s="171" t="s">
        <v>207</v>
      </c>
      <c r="L286" s="171" t="s">
        <v>1994</v>
      </c>
      <c r="M286" s="171" t="s">
        <v>5032</v>
      </c>
      <c r="N286" s="171"/>
      <c r="O286" s="171"/>
      <c r="P286" s="171" t="s">
        <v>5032</v>
      </c>
      <c r="Q286" s="171"/>
      <c r="R286" s="171"/>
      <c r="S286" s="171"/>
      <c r="T286" s="171"/>
      <c r="U286" s="171"/>
      <c r="V286" s="175"/>
      <c r="W286" s="171"/>
      <c r="X286" s="171" t="s">
        <v>1957</v>
      </c>
      <c r="Y286" s="171" t="s">
        <v>7676</v>
      </c>
      <c r="Z286" s="171" t="s">
        <v>3283</v>
      </c>
      <c r="AA286" s="171" t="s">
        <v>1957</v>
      </c>
      <c r="AB286" s="171">
        <v>2050</v>
      </c>
      <c r="AC286" s="171">
        <v>2022</v>
      </c>
      <c r="AD286" s="171"/>
      <c r="AE286" s="171"/>
      <c r="AF286" s="171"/>
      <c r="AG286" s="171" t="s">
        <v>2082</v>
      </c>
      <c r="AH286" s="171">
        <v>2023</v>
      </c>
      <c r="AI286" s="171" t="s">
        <v>4174</v>
      </c>
      <c r="AJ286" s="176" t="s">
        <v>7675</v>
      </c>
      <c r="AK286" s="171"/>
      <c r="AL286" s="171"/>
      <c r="AM286" s="171"/>
      <c r="AN286" s="171" t="s">
        <v>5032</v>
      </c>
      <c r="AO286" s="171"/>
      <c r="AP286" s="171"/>
      <c r="AQ286" s="171" t="s">
        <v>5032</v>
      </c>
      <c r="AR286" s="171"/>
      <c r="AS286" s="171"/>
      <c r="AT286" s="171"/>
      <c r="AU286" s="171"/>
      <c r="AV286" s="171"/>
      <c r="AW286" s="171"/>
      <c r="AX286" s="171"/>
      <c r="AY286" s="171"/>
      <c r="AZ286" s="171"/>
      <c r="BA286" s="171"/>
      <c r="BB286" s="171"/>
      <c r="BC286" s="171"/>
      <c r="BD286" s="171"/>
      <c r="BE286" s="171"/>
      <c r="BF286" s="225"/>
      <c r="BG286" s="171"/>
      <c r="BH286" s="171"/>
      <c r="BI286" s="171"/>
      <c r="BJ286" s="171"/>
      <c r="BK286" s="171"/>
      <c r="BL286" s="171">
        <v>1</v>
      </c>
      <c r="BM286" s="171">
        <v>1</v>
      </c>
      <c r="BN286" s="171"/>
      <c r="BO286" s="171"/>
      <c r="BP286" s="171"/>
      <c r="BQ286" s="171"/>
      <c r="BR286" s="171"/>
      <c r="BS286" s="171"/>
      <c r="BT286" s="171"/>
      <c r="BU286" s="171"/>
      <c r="BV286" s="171"/>
      <c r="BW286" s="171"/>
      <c r="BX286" s="171"/>
      <c r="BY286" s="171"/>
      <c r="BZ286" s="171">
        <v>1</v>
      </c>
      <c r="CA286" s="171"/>
      <c r="CB286" s="171">
        <v>1</v>
      </c>
      <c r="CC286" s="171"/>
      <c r="CD286" s="171"/>
      <c r="CE286" s="171">
        <v>1</v>
      </c>
      <c r="CF286" s="171"/>
      <c r="CG286" s="171"/>
      <c r="CH286" s="171">
        <v>1</v>
      </c>
      <c r="CI286" s="171"/>
      <c r="CJ286" s="171"/>
      <c r="CK286" s="171"/>
      <c r="CL286" s="171"/>
    </row>
    <row r="287" spans="1:91">
      <c r="A287" s="171">
        <v>16</v>
      </c>
      <c r="B287" s="171" t="s">
        <v>1826</v>
      </c>
      <c r="C287" s="171">
        <v>18</v>
      </c>
      <c r="D287" s="171" t="str">
        <f t="shared" si="43"/>
        <v xml:space="preserve"> SBT</v>
      </c>
      <c r="E287" s="171" t="s">
        <v>7220</v>
      </c>
      <c r="F287" s="174">
        <v>45475</v>
      </c>
      <c r="G287" s="171" t="s">
        <v>7223</v>
      </c>
      <c r="H287" s="173">
        <v>3002</v>
      </c>
      <c r="I287" s="171"/>
      <c r="J287" s="171" t="s">
        <v>4467</v>
      </c>
      <c r="K287" s="171" t="s">
        <v>4457</v>
      </c>
      <c r="L287" s="171" t="s">
        <v>2029</v>
      </c>
      <c r="M287" s="171" t="s">
        <v>5032</v>
      </c>
      <c r="N287" s="171"/>
      <c r="O287" s="171"/>
      <c r="P287" s="171" t="s">
        <v>4174</v>
      </c>
      <c r="Q287" s="171" t="s">
        <v>22</v>
      </c>
      <c r="R287" s="171" t="s">
        <v>7233</v>
      </c>
      <c r="S287" s="171">
        <v>2032</v>
      </c>
      <c r="T287" s="171" t="s">
        <v>1</v>
      </c>
      <c r="U287" s="171"/>
      <c r="V287" s="172">
        <v>44927</v>
      </c>
      <c r="W287" s="171">
        <v>2023</v>
      </c>
      <c r="X287" s="171" t="s">
        <v>5032</v>
      </c>
      <c r="Y287" s="171"/>
      <c r="Z287" s="171"/>
      <c r="AA287" s="171" t="s">
        <v>5032</v>
      </c>
      <c r="AB287" s="171"/>
      <c r="AC287" s="171"/>
      <c r="AD287" s="171"/>
      <c r="AE287" s="171"/>
      <c r="AF287" s="171"/>
      <c r="AG287" s="171"/>
      <c r="AH287" s="171"/>
      <c r="AI287" s="171"/>
      <c r="AJ287" s="171"/>
      <c r="AK287" s="171"/>
      <c r="AL287" s="171"/>
      <c r="AM287" s="171"/>
      <c r="AN287" s="171" t="s">
        <v>5032</v>
      </c>
      <c r="AO287" s="171"/>
      <c r="AP287" s="171"/>
      <c r="AQ287" s="171" t="s">
        <v>5032</v>
      </c>
      <c r="AR287" s="171"/>
      <c r="AS287" s="171"/>
      <c r="AT287" s="171"/>
      <c r="AU287" s="171"/>
      <c r="AV287" s="171"/>
      <c r="AW287" s="171"/>
      <c r="AX287" s="171"/>
      <c r="AY287" s="171"/>
      <c r="AZ287" s="171"/>
      <c r="BA287" s="171"/>
      <c r="BB287" s="171"/>
      <c r="BC287" s="171"/>
      <c r="BD287" s="171"/>
      <c r="BE287" s="171"/>
      <c r="BF287" s="225"/>
      <c r="BG287" s="171"/>
      <c r="BH287" s="171"/>
      <c r="BI287" s="171"/>
      <c r="BJ287" s="171"/>
      <c r="BK287" s="171"/>
      <c r="BL287" s="171"/>
      <c r="BM287" s="171"/>
      <c r="BN287" s="171"/>
      <c r="BO287" s="171"/>
      <c r="BP287" s="171"/>
      <c r="BQ287" s="171"/>
      <c r="BR287" s="171"/>
      <c r="BS287" s="171"/>
      <c r="BT287" s="171">
        <v>1</v>
      </c>
      <c r="BU287" s="171">
        <v>1</v>
      </c>
      <c r="BV287" s="171"/>
      <c r="BW287" s="171"/>
      <c r="BX287" s="171"/>
      <c r="BY287" s="171"/>
      <c r="BZ287" s="171"/>
      <c r="CA287" s="171"/>
      <c r="CB287" s="171"/>
      <c r="CC287" s="171"/>
      <c r="CD287" s="171"/>
      <c r="CE287" s="171">
        <v>1</v>
      </c>
      <c r="CF287" s="171"/>
      <c r="CG287" s="171"/>
      <c r="CH287" s="171">
        <v>1</v>
      </c>
      <c r="CI287" s="171"/>
      <c r="CJ287" s="171"/>
      <c r="CK287" s="171"/>
      <c r="CL287" s="171"/>
    </row>
    <row r="288" spans="1:91">
      <c r="A288" s="171">
        <v>399</v>
      </c>
      <c r="B288" s="171" t="s">
        <v>747</v>
      </c>
      <c r="C288" s="171">
        <v>375</v>
      </c>
      <c r="D288" s="171" t="str">
        <f t="shared" si="43"/>
        <v xml:space="preserve"> NZ</v>
      </c>
      <c r="E288" s="171" t="s">
        <v>7220</v>
      </c>
      <c r="F288" s="174">
        <v>45481</v>
      </c>
      <c r="G288" s="171" t="s">
        <v>7220</v>
      </c>
      <c r="H288" s="173">
        <v>1062.3</v>
      </c>
      <c r="I288" s="171"/>
      <c r="J288" s="171" t="s">
        <v>4465</v>
      </c>
      <c r="K288" s="171" t="s">
        <v>207</v>
      </c>
      <c r="L288" s="171" t="s">
        <v>1994</v>
      </c>
      <c r="M288" s="171" t="s">
        <v>5032</v>
      </c>
      <c r="N288" s="171"/>
      <c r="O288" s="171"/>
      <c r="P288" s="171" t="s">
        <v>5032</v>
      </c>
      <c r="Q288" s="171"/>
      <c r="R288" s="171"/>
      <c r="S288" s="171"/>
      <c r="T288" s="171"/>
      <c r="U288" s="171"/>
      <c r="V288" s="175"/>
      <c r="W288" s="171"/>
      <c r="X288" s="171" t="s">
        <v>5032</v>
      </c>
      <c r="Y288" s="171"/>
      <c r="Z288" s="171"/>
      <c r="AA288" s="171" t="s">
        <v>5032</v>
      </c>
      <c r="AB288" s="171"/>
      <c r="AC288" s="171"/>
      <c r="AD288" s="171"/>
      <c r="AE288" s="171"/>
      <c r="AF288" s="171"/>
      <c r="AG288" s="171"/>
      <c r="AH288" s="171"/>
      <c r="AI288" s="171"/>
      <c r="AJ288" s="171"/>
      <c r="AK288" s="171"/>
      <c r="AL288" s="171"/>
      <c r="AM288" s="171"/>
      <c r="AN288" s="171" t="s">
        <v>4172</v>
      </c>
      <c r="AO288" s="171" t="s">
        <v>1435</v>
      </c>
      <c r="AP288" s="171" t="s">
        <v>2072</v>
      </c>
      <c r="AQ288" s="171" t="s">
        <v>4172</v>
      </c>
      <c r="AR288" s="171">
        <v>2050</v>
      </c>
      <c r="AS288" s="171">
        <v>2022</v>
      </c>
      <c r="AT288" s="171"/>
      <c r="AU288" s="171"/>
      <c r="AV288" s="171"/>
      <c r="AW288" s="171" t="s">
        <v>4174</v>
      </c>
      <c r="AX288" s="171" t="s">
        <v>7674</v>
      </c>
      <c r="AY288" s="171"/>
      <c r="AZ288" s="171"/>
      <c r="BA288" s="171"/>
      <c r="BB288" s="171"/>
      <c r="BC288" s="171"/>
      <c r="BD288" s="171"/>
      <c r="BE288" s="171"/>
      <c r="BF288" s="225"/>
      <c r="BG288" s="171"/>
      <c r="BH288" s="171"/>
      <c r="BI288" s="171"/>
      <c r="BJ288" s="171"/>
      <c r="BK288" s="171"/>
      <c r="BL288" s="171"/>
      <c r="BM288" s="171"/>
      <c r="BN288" s="171"/>
      <c r="BO288" s="171"/>
      <c r="BP288" s="171">
        <v>1</v>
      </c>
      <c r="BQ288" s="171">
        <v>1</v>
      </c>
      <c r="BR288" s="171"/>
      <c r="BS288" s="171"/>
      <c r="BT288" s="171"/>
      <c r="BU288" s="171"/>
      <c r="BV288" s="171"/>
      <c r="BW288" s="171"/>
      <c r="BX288" s="171"/>
      <c r="BY288" s="171"/>
      <c r="BZ288" s="171">
        <v>1</v>
      </c>
      <c r="CA288" s="171"/>
      <c r="CB288" s="171">
        <v>1</v>
      </c>
      <c r="CC288" s="171">
        <v>1</v>
      </c>
      <c r="CD288" s="171"/>
      <c r="CE288" s="171">
        <v>1</v>
      </c>
      <c r="CF288" s="171"/>
      <c r="CG288" s="171"/>
      <c r="CH288" s="171">
        <v>1</v>
      </c>
      <c r="CI288" s="171"/>
      <c r="CJ288" s="171"/>
      <c r="CK288" s="171">
        <v>1</v>
      </c>
      <c r="CL288" s="171">
        <v>1</v>
      </c>
      <c r="CM288">
        <f t="shared" si="44"/>
        <v>2050</v>
      </c>
    </row>
    <row r="289" spans="1:91">
      <c r="A289" s="171">
        <v>384</v>
      </c>
      <c r="B289" s="171" t="s">
        <v>5181</v>
      </c>
      <c r="C289" s="171">
        <v>467</v>
      </c>
      <c r="D289" s="171" t="str">
        <f t="shared" si="43"/>
        <v/>
      </c>
      <c r="E289" s="171" t="s">
        <v>7223</v>
      </c>
      <c r="F289" s="174">
        <v>45511</v>
      </c>
      <c r="G289" s="171" t="s">
        <v>7223</v>
      </c>
      <c r="H289" s="173">
        <v>1957.3</v>
      </c>
      <c r="I289" s="171"/>
      <c r="J289" s="171" t="s">
        <v>4467</v>
      </c>
      <c r="K289" s="171" t="s">
        <v>73</v>
      </c>
      <c r="L289" s="171" t="s">
        <v>1994</v>
      </c>
      <c r="M289" s="171" t="s">
        <v>5032</v>
      </c>
      <c r="N289" s="171"/>
      <c r="O289" s="171"/>
      <c r="P289" s="171" t="s">
        <v>5032</v>
      </c>
      <c r="Q289" s="171"/>
      <c r="R289" s="171"/>
      <c r="S289" s="171"/>
      <c r="T289" s="171"/>
      <c r="U289" s="171"/>
      <c r="V289" s="175"/>
      <c r="W289" s="171"/>
      <c r="X289" s="171" t="s">
        <v>4519</v>
      </c>
      <c r="Y289" s="171" t="s">
        <v>5131</v>
      </c>
      <c r="Z289" s="171" t="s">
        <v>3283</v>
      </c>
      <c r="AA289" s="171" t="s">
        <v>4519</v>
      </c>
      <c r="AB289" s="171">
        <v>2060</v>
      </c>
      <c r="AC289" s="171">
        <v>2021</v>
      </c>
      <c r="AD289" s="171"/>
      <c r="AE289" s="171"/>
      <c r="AF289" s="171"/>
      <c r="AG289" s="171"/>
      <c r="AH289" s="171"/>
      <c r="AI289" s="171"/>
      <c r="AJ289" s="171"/>
      <c r="AK289" s="171"/>
      <c r="AL289" s="176" t="s">
        <v>7673</v>
      </c>
      <c r="AM289" s="171"/>
      <c r="AN289" s="171" t="s">
        <v>5032</v>
      </c>
      <c r="AO289" s="171"/>
      <c r="AP289" s="171"/>
      <c r="AQ289" s="171" t="s">
        <v>5032</v>
      </c>
      <c r="AR289" s="171"/>
      <c r="AS289" s="171"/>
      <c r="AT289" s="171"/>
      <c r="AU289" s="171"/>
      <c r="AV289" s="171"/>
      <c r="AW289" s="171"/>
      <c r="AX289" s="171"/>
      <c r="AY289" s="171"/>
      <c r="AZ289" s="171"/>
      <c r="BA289" s="171"/>
      <c r="BB289" s="171"/>
      <c r="BC289" s="171"/>
      <c r="BD289" s="171"/>
      <c r="BE289" s="171"/>
      <c r="BF289" s="225"/>
      <c r="BG289" s="171"/>
      <c r="BH289" s="171"/>
      <c r="BI289" s="171"/>
      <c r="BJ289" s="171"/>
      <c r="BK289" s="171"/>
      <c r="BL289" s="171"/>
      <c r="BM289" s="171"/>
      <c r="BN289" s="171"/>
      <c r="BO289" s="171"/>
      <c r="BP289" s="171"/>
      <c r="BQ289" s="171"/>
      <c r="BR289" s="171"/>
      <c r="BS289" s="171"/>
      <c r="BT289" s="171"/>
      <c r="BU289" s="171"/>
      <c r="BV289" s="171"/>
      <c r="BW289" s="171"/>
      <c r="BX289" s="171"/>
      <c r="BY289" s="171"/>
      <c r="BZ289" s="171"/>
      <c r="CA289" s="171"/>
      <c r="CB289" s="171"/>
      <c r="CC289" s="171"/>
      <c r="CD289" s="171"/>
      <c r="CE289" s="171"/>
      <c r="CF289" s="171"/>
      <c r="CG289" s="171"/>
      <c r="CH289" s="171"/>
      <c r="CI289" s="171"/>
      <c r="CJ289" s="171"/>
      <c r="CK289" s="171"/>
      <c r="CL289" s="171"/>
    </row>
    <row r="290" spans="1:91">
      <c r="A290" s="171">
        <v>433</v>
      </c>
      <c r="B290" s="171" t="s">
        <v>4493</v>
      </c>
      <c r="C290" s="171"/>
      <c r="D290" s="171" t="str">
        <f t="shared" si="43"/>
        <v xml:space="preserve"> SBT</v>
      </c>
      <c r="E290" s="171" t="s">
        <v>7259</v>
      </c>
      <c r="F290" s="174">
        <v>45511</v>
      </c>
      <c r="G290" s="171"/>
      <c r="H290" s="173">
        <v>1090.7</v>
      </c>
      <c r="I290" s="171"/>
      <c r="J290" s="171" t="s">
        <v>4455</v>
      </c>
      <c r="K290" s="171" t="s">
        <v>267</v>
      </c>
      <c r="L290" s="171" t="s">
        <v>1951</v>
      </c>
      <c r="M290" s="171" t="s">
        <v>5032</v>
      </c>
      <c r="N290" s="171"/>
      <c r="O290" s="171"/>
      <c r="P290" s="171" t="s">
        <v>5032</v>
      </c>
      <c r="Q290" s="171" t="s">
        <v>165</v>
      </c>
      <c r="R290" s="171"/>
      <c r="S290" s="171">
        <v>2030</v>
      </c>
      <c r="T290" s="171" t="s">
        <v>361</v>
      </c>
      <c r="U290" s="171"/>
      <c r="V290" s="175" t="s">
        <v>7672</v>
      </c>
      <c r="W290" s="171">
        <v>2023</v>
      </c>
      <c r="X290" s="171" t="s">
        <v>5032</v>
      </c>
      <c r="Y290" s="171"/>
      <c r="Z290" s="171"/>
      <c r="AA290" s="171" t="s">
        <v>5032</v>
      </c>
      <c r="AB290" s="171"/>
      <c r="AC290" s="171"/>
      <c r="AD290" s="171"/>
      <c r="AE290" s="171"/>
      <c r="AF290" s="171"/>
      <c r="AG290" s="171"/>
      <c r="AH290" s="171"/>
      <c r="AI290" s="171"/>
      <c r="AJ290" s="171"/>
      <c r="AK290" s="171"/>
      <c r="AL290" s="171"/>
      <c r="AM290" s="171"/>
      <c r="AN290" s="171" t="s">
        <v>5032</v>
      </c>
      <c r="AO290" s="171"/>
      <c r="AP290" s="171"/>
      <c r="AQ290" s="171" t="s">
        <v>5032</v>
      </c>
      <c r="AR290" s="171"/>
      <c r="AS290" s="171"/>
      <c r="AT290" s="171"/>
      <c r="AU290" s="171"/>
      <c r="AV290" s="171"/>
      <c r="AW290" s="171"/>
      <c r="AX290" s="171"/>
      <c r="AY290" s="171"/>
      <c r="AZ290" s="171"/>
      <c r="BA290" s="171"/>
      <c r="BB290" s="171"/>
      <c r="BC290" s="171"/>
      <c r="BD290" s="171"/>
      <c r="BE290" s="171"/>
      <c r="BF290" s="225"/>
      <c r="BG290" s="171"/>
      <c r="BH290" s="171"/>
      <c r="BI290" s="171"/>
      <c r="BJ290" s="171"/>
      <c r="BK290" s="171"/>
      <c r="BL290" s="171"/>
      <c r="BM290" s="171"/>
      <c r="BN290" s="171"/>
      <c r="BO290" s="171"/>
      <c r="BP290" s="171"/>
      <c r="BQ290" s="171"/>
      <c r="BR290" s="171"/>
      <c r="BS290" s="171">
        <v>1</v>
      </c>
      <c r="BT290" s="171"/>
      <c r="BU290" s="171">
        <v>1</v>
      </c>
      <c r="BV290" s="171"/>
      <c r="BW290" s="171"/>
      <c r="BX290" s="171"/>
      <c r="BY290" s="171"/>
      <c r="BZ290" s="171"/>
      <c r="CA290" s="171"/>
      <c r="CB290" s="171"/>
      <c r="CC290" s="171"/>
      <c r="CD290" s="171"/>
      <c r="CE290" s="171">
        <v>1</v>
      </c>
      <c r="CF290" s="171"/>
      <c r="CG290" s="171">
        <v>1</v>
      </c>
      <c r="CH290" s="171">
        <v>1</v>
      </c>
      <c r="CI290" s="171"/>
      <c r="CJ290" s="171"/>
      <c r="CK290" s="171"/>
      <c r="CL290" s="171"/>
    </row>
    <row r="291" spans="1:91">
      <c r="A291" s="171">
        <v>42</v>
      </c>
      <c r="B291" s="171" t="s">
        <v>4982</v>
      </c>
      <c r="C291" s="171">
        <v>47</v>
      </c>
      <c r="D291" s="171" t="str">
        <f t="shared" si="43"/>
        <v>CN SBT</v>
      </c>
      <c r="E291" s="171" t="s">
        <v>7223</v>
      </c>
      <c r="F291" s="174">
        <v>45475</v>
      </c>
      <c r="G291" s="171" t="s">
        <v>7220</v>
      </c>
      <c r="H291" s="173">
        <v>15417</v>
      </c>
      <c r="I291" s="171"/>
      <c r="J291" s="171" t="s">
        <v>4476</v>
      </c>
      <c r="K291" s="171" t="s">
        <v>146</v>
      </c>
      <c r="L291" s="171" t="s">
        <v>1951</v>
      </c>
      <c r="M291" s="171" t="s">
        <v>5032</v>
      </c>
      <c r="N291" s="171"/>
      <c r="O291" s="171"/>
      <c r="P291" s="171" t="s">
        <v>4174</v>
      </c>
      <c r="Q291" s="171" t="s">
        <v>22</v>
      </c>
      <c r="R291" s="171" t="s">
        <v>7262</v>
      </c>
      <c r="S291" s="171">
        <v>2030</v>
      </c>
      <c r="T291" s="171" t="s">
        <v>361</v>
      </c>
      <c r="U291" s="171"/>
      <c r="V291" s="172">
        <v>43770</v>
      </c>
      <c r="W291" s="171">
        <v>2019</v>
      </c>
      <c r="X291" s="171" t="s">
        <v>7227</v>
      </c>
      <c r="Y291" s="171" t="s">
        <v>7671</v>
      </c>
      <c r="Z291" s="171" t="s">
        <v>7670</v>
      </c>
      <c r="AA291" s="171" t="s">
        <v>1957</v>
      </c>
      <c r="AB291" s="171">
        <v>2022</v>
      </c>
      <c r="AC291" s="171">
        <v>2019</v>
      </c>
      <c r="AD291" s="171" t="s">
        <v>4172</v>
      </c>
      <c r="AE291" s="171">
        <v>2039</v>
      </c>
      <c r="AF291" s="171">
        <v>2019</v>
      </c>
      <c r="AG291" s="171" t="s">
        <v>4174</v>
      </c>
      <c r="AH291" s="171">
        <v>2023</v>
      </c>
      <c r="AI291" s="171" t="s">
        <v>4174</v>
      </c>
      <c r="AJ291" s="171" t="s">
        <v>7669</v>
      </c>
      <c r="AK291" s="171"/>
      <c r="AL291" s="171" t="s">
        <v>7668</v>
      </c>
      <c r="AM291" s="171" t="s">
        <v>7667</v>
      </c>
      <c r="AN291" s="171" t="s">
        <v>5032</v>
      </c>
      <c r="AO291" s="171"/>
      <c r="AP291" s="171"/>
      <c r="AQ291" s="171" t="s">
        <v>5032</v>
      </c>
      <c r="AR291" s="171"/>
      <c r="AS291" s="171"/>
      <c r="AT291" s="171"/>
      <c r="AU291" s="171"/>
      <c r="AV291" s="171"/>
      <c r="AW291" s="171"/>
      <c r="AX291" s="171"/>
      <c r="AY291" s="171"/>
      <c r="AZ291" s="171"/>
      <c r="BA291" s="171"/>
      <c r="BB291" s="171"/>
      <c r="BC291" s="171"/>
      <c r="BD291" s="171" t="s">
        <v>4172</v>
      </c>
      <c r="BE291" s="171" t="s">
        <v>7666</v>
      </c>
      <c r="BF291" s="225" t="s">
        <v>5032</v>
      </c>
      <c r="BG291" s="171"/>
      <c r="BH291" s="171"/>
      <c r="BI291" s="171"/>
      <c r="BJ291" s="171">
        <v>1</v>
      </c>
      <c r="BK291" s="171"/>
      <c r="BL291" s="171"/>
      <c r="BM291" s="171">
        <v>1</v>
      </c>
      <c r="BN291" s="171"/>
      <c r="BO291" s="171"/>
      <c r="BP291" s="171"/>
      <c r="BQ291" s="171"/>
      <c r="BR291" s="171"/>
      <c r="BS291" s="171">
        <v>1</v>
      </c>
      <c r="BT291" s="171"/>
      <c r="BU291" s="171">
        <v>1</v>
      </c>
      <c r="BV291" s="171"/>
      <c r="BW291" s="171"/>
      <c r="BX291" s="171"/>
      <c r="BY291" s="171"/>
      <c r="BZ291" s="171">
        <v>1</v>
      </c>
      <c r="CA291" s="171">
        <v>1</v>
      </c>
      <c r="CB291" s="171">
        <v>1</v>
      </c>
      <c r="CC291" s="171">
        <v>1</v>
      </c>
      <c r="CD291" s="171"/>
      <c r="CE291" s="171">
        <v>1</v>
      </c>
      <c r="CF291" s="171">
        <v>1</v>
      </c>
      <c r="CG291" s="171">
        <v>1</v>
      </c>
      <c r="CH291" s="171">
        <v>1</v>
      </c>
      <c r="CI291" s="171"/>
      <c r="CJ291" s="171"/>
      <c r="CK291" s="171"/>
      <c r="CL291" s="171"/>
    </row>
    <row r="292" spans="1:91">
      <c r="A292" s="171">
        <v>229</v>
      </c>
      <c r="B292" s="171" t="s">
        <v>887</v>
      </c>
      <c r="C292" s="171">
        <v>231</v>
      </c>
      <c r="D292" s="171" t="str">
        <f t="shared" si="43"/>
        <v>CN SBT</v>
      </c>
      <c r="E292" s="171" t="s">
        <v>7221</v>
      </c>
      <c r="F292" s="174">
        <v>45477</v>
      </c>
      <c r="G292" s="171" t="s">
        <v>7220</v>
      </c>
      <c r="H292" s="173">
        <v>365</v>
      </c>
      <c r="I292" s="171"/>
      <c r="J292" s="171" t="s">
        <v>4201</v>
      </c>
      <c r="K292" s="171" t="s">
        <v>4457</v>
      </c>
      <c r="L292" s="171" t="s">
        <v>2029</v>
      </c>
      <c r="M292" s="171" t="s">
        <v>5032</v>
      </c>
      <c r="N292" s="171"/>
      <c r="O292" s="171"/>
      <c r="P292" s="171" t="s">
        <v>4174</v>
      </c>
      <c r="Q292" s="171" t="s">
        <v>22</v>
      </c>
      <c r="R292" s="171" t="s">
        <v>7233</v>
      </c>
      <c r="S292" s="171">
        <v>2030</v>
      </c>
      <c r="T292" s="171" t="s">
        <v>361</v>
      </c>
      <c r="U292" s="171"/>
      <c r="V292" s="172">
        <v>44440</v>
      </c>
      <c r="W292" s="171">
        <v>2021</v>
      </c>
      <c r="X292" s="171" t="s">
        <v>7227</v>
      </c>
      <c r="Y292" s="171" t="s">
        <v>7270</v>
      </c>
      <c r="Z292" s="171" t="s">
        <v>7665</v>
      </c>
      <c r="AA292" s="171" t="s">
        <v>1957</v>
      </c>
      <c r="AB292" s="171">
        <v>2025</v>
      </c>
      <c r="AC292" s="171">
        <v>2021</v>
      </c>
      <c r="AD292" s="171" t="s">
        <v>4172</v>
      </c>
      <c r="AE292" s="171">
        <v>2040</v>
      </c>
      <c r="AF292" s="171">
        <v>2021</v>
      </c>
      <c r="AG292" s="171" t="s">
        <v>4174</v>
      </c>
      <c r="AH292" s="171">
        <v>2023</v>
      </c>
      <c r="AI292" s="171" t="s">
        <v>4174</v>
      </c>
      <c r="AJ292" s="171" t="s">
        <v>7664</v>
      </c>
      <c r="AK292" s="171"/>
      <c r="AL292" s="171" t="s">
        <v>7663</v>
      </c>
      <c r="AM292" s="171"/>
      <c r="AN292" s="171" t="s">
        <v>5032</v>
      </c>
      <c r="AO292" s="171"/>
      <c r="AP292" s="171"/>
      <c r="AQ292" s="171" t="s">
        <v>5032</v>
      </c>
      <c r="AR292" s="171"/>
      <c r="AS292" s="171"/>
      <c r="AT292" s="171"/>
      <c r="AU292" s="171"/>
      <c r="AV292" s="171"/>
      <c r="AW292" s="171"/>
      <c r="AX292" s="171"/>
      <c r="AY292" s="171"/>
      <c r="AZ292" s="171"/>
      <c r="BA292" s="171"/>
      <c r="BB292" s="171"/>
      <c r="BC292" s="171"/>
      <c r="BD292" s="171"/>
      <c r="BE292" s="171"/>
      <c r="BF292" s="225"/>
      <c r="BG292" s="171"/>
      <c r="BH292" s="171"/>
      <c r="BI292" s="171"/>
      <c r="BJ292" s="171"/>
      <c r="BK292" s="171">
        <v>1</v>
      </c>
      <c r="BL292" s="171"/>
      <c r="BM292" s="171">
        <v>1</v>
      </c>
      <c r="BN292" s="171"/>
      <c r="BO292" s="171"/>
      <c r="BP292" s="171"/>
      <c r="BQ292" s="171"/>
      <c r="BR292" s="171"/>
      <c r="BS292" s="171">
        <v>1</v>
      </c>
      <c r="BT292" s="171"/>
      <c r="BU292" s="171">
        <v>1</v>
      </c>
      <c r="BV292" s="171"/>
      <c r="BW292" s="171"/>
      <c r="BX292" s="171"/>
      <c r="BY292" s="171"/>
      <c r="BZ292" s="171">
        <v>1</v>
      </c>
      <c r="CA292" s="171">
        <v>1</v>
      </c>
      <c r="CB292" s="171">
        <v>1</v>
      </c>
      <c r="CC292" s="171">
        <v>1</v>
      </c>
      <c r="CD292" s="171"/>
      <c r="CE292" s="171">
        <v>1</v>
      </c>
      <c r="CF292" s="171"/>
      <c r="CG292" s="171">
        <v>1</v>
      </c>
      <c r="CH292" s="171">
        <v>1</v>
      </c>
      <c r="CI292" s="171"/>
      <c r="CJ292" s="171"/>
      <c r="CK292" s="171"/>
      <c r="CL292" s="171"/>
    </row>
    <row r="293" spans="1:91">
      <c r="A293" s="171">
        <v>66</v>
      </c>
      <c r="B293" s="171" t="s">
        <v>4954</v>
      </c>
      <c r="C293" s="171">
        <v>81</v>
      </c>
      <c r="D293" s="171" t="str">
        <f t="shared" si="43"/>
        <v xml:space="preserve"> NZ SBT RE100</v>
      </c>
      <c r="E293" s="171" t="s">
        <v>7221</v>
      </c>
      <c r="F293" s="174">
        <v>45475</v>
      </c>
      <c r="G293" s="171" t="s">
        <v>7220</v>
      </c>
      <c r="H293" s="173">
        <v>39098</v>
      </c>
      <c r="I293" s="171"/>
      <c r="J293" s="171" t="s">
        <v>186</v>
      </c>
      <c r="K293" s="171" t="s">
        <v>4457</v>
      </c>
      <c r="L293" s="171" t="s">
        <v>2029</v>
      </c>
      <c r="M293" s="171" t="s">
        <v>4174</v>
      </c>
      <c r="N293" s="171">
        <v>2016</v>
      </c>
      <c r="O293" s="171">
        <v>2020</v>
      </c>
      <c r="P293" s="171" t="s">
        <v>4174</v>
      </c>
      <c r="Q293" s="171" t="s">
        <v>22</v>
      </c>
      <c r="R293" s="171" t="s">
        <v>7233</v>
      </c>
      <c r="S293" s="171">
        <v>2031</v>
      </c>
      <c r="T293" s="171" t="s">
        <v>361</v>
      </c>
      <c r="U293" s="171"/>
      <c r="V293" s="172">
        <v>45323</v>
      </c>
      <c r="W293" s="171">
        <v>2024</v>
      </c>
      <c r="X293" s="171" t="s">
        <v>5032</v>
      </c>
      <c r="Y293" s="171"/>
      <c r="Z293" s="171"/>
      <c r="AA293" s="171" t="s">
        <v>5032</v>
      </c>
      <c r="AB293" s="171"/>
      <c r="AC293" s="171"/>
      <c r="AD293" s="171"/>
      <c r="AE293" s="171"/>
      <c r="AF293" s="171"/>
      <c r="AG293" s="171"/>
      <c r="AH293" s="171"/>
      <c r="AI293" s="171"/>
      <c r="AJ293" s="171"/>
      <c r="AK293" s="171"/>
      <c r="AL293" s="171"/>
      <c r="AM293" s="171"/>
      <c r="AN293" s="171" t="s">
        <v>7227</v>
      </c>
      <c r="AO293" s="171" t="s">
        <v>7270</v>
      </c>
      <c r="AP293" s="171" t="s">
        <v>2072</v>
      </c>
      <c r="AQ293" s="171" t="s">
        <v>1957</v>
      </c>
      <c r="AR293" s="171">
        <v>2020</v>
      </c>
      <c r="AS293" s="171">
        <v>2020</v>
      </c>
      <c r="AT293" s="171" t="s">
        <v>4172</v>
      </c>
      <c r="AU293" s="171">
        <v>2030</v>
      </c>
      <c r="AV293" s="171">
        <v>2021</v>
      </c>
      <c r="AW293" s="171" t="s">
        <v>4174</v>
      </c>
      <c r="AX293" s="171" t="s">
        <v>7662</v>
      </c>
      <c r="AY293" s="171"/>
      <c r="AZ293" s="171"/>
      <c r="BA293" s="171"/>
      <c r="BB293" s="171"/>
      <c r="BC293" s="171" t="s">
        <v>7661</v>
      </c>
      <c r="BD293" s="171"/>
      <c r="BE293" s="171"/>
      <c r="BF293" s="225"/>
      <c r="BG293" s="171"/>
      <c r="BH293" s="171"/>
      <c r="BI293" s="171"/>
      <c r="BJ293" s="171"/>
      <c r="BK293" s="171"/>
      <c r="BL293" s="171"/>
      <c r="BM293" s="171"/>
      <c r="BN293" s="171">
        <v>1</v>
      </c>
      <c r="BO293" s="171"/>
      <c r="BP293" s="171"/>
      <c r="BQ293" s="171">
        <v>1</v>
      </c>
      <c r="BR293" s="171"/>
      <c r="BS293" s="171"/>
      <c r="BT293" s="171">
        <v>1</v>
      </c>
      <c r="BU293" s="171">
        <v>1</v>
      </c>
      <c r="BV293" s="171">
        <v>1</v>
      </c>
      <c r="BW293" s="171"/>
      <c r="BX293" s="171"/>
      <c r="BY293" s="171">
        <v>1</v>
      </c>
      <c r="BZ293" s="171">
        <v>1</v>
      </c>
      <c r="CA293" s="171">
        <v>1</v>
      </c>
      <c r="CB293" s="171">
        <v>1</v>
      </c>
      <c r="CC293" s="171">
        <v>1</v>
      </c>
      <c r="CD293" s="171"/>
      <c r="CE293" s="171">
        <v>1</v>
      </c>
      <c r="CF293" s="171">
        <v>1</v>
      </c>
      <c r="CG293" s="171">
        <v>1</v>
      </c>
      <c r="CH293" s="171">
        <v>1</v>
      </c>
      <c r="CI293" s="171"/>
      <c r="CJ293" s="171">
        <v>1</v>
      </c>
      <c r="CK293" s="171"/>
      <c r="CL293" s="171">
        <v>1</v>
      </c>
      <c r="CM293">
        <f t="shared" si="44"/>
        <v>2020</v>
      </c>
    </row>
    <row r="294" spans="1:91">
      <c r="A294" s="171">
        <v>202</v>
      </c>
      <c r="B294" s="171" t="s">
        <v>1358</v>
      </c>
      <c r="C294" s="171">
        <v>183</v>
      </c>
      <c r="D294" s="171" t="str">
        <f t="shared" si="43"/>
        <v>CN NZ SBT</v>
      </c>
      <c r="E294" s="171" t="s">
        <v>7228</v>
      </c>
      <c r="F294" s="174">
        <v>45476</v>
      </c>
      <c r="G294" s="171" t="s">
        <v>7220</v>
      </c>
      <c r="H294" s="173">
        <v>1578</v>
      </c>
      <c r="I294" s="171"/>
      <c r="J294" s="171" t="s">
        <v>4465</v>
      </c>
      <c r="K294" s="171" t="s">
        <v>4457</v>
      </c>
      <c r="L294" s="171" t="s">
        <v>2029</v>
      </c>
      <c r="M294" s="171" t="s">
        <v>5032</v>
      </c>
      <c r="N294" s="171"/>
      <c r="O294" s="171"/>
      <c r="P294" s="171" t="s">
        <v>5032</v>
      </c>
      <c r="Q294" s="171" t="s">
        <v>165</v>
      </c>
      <c r="R294" s="171"/>
      <c r="S294" s="171">
        <v>2030</v>
      </c>
      <c r="T294" s="171" t="s">
        <v>1</v>
      </c>
      <c r="U294" s="171"/>
      <c r="V294" s="172">
        <v>42461</v>
      </c>
      <c r="W294" s="171">
        <v>2016</v>
      </c>
      <c r="X294" s="171" t="s">
        <v>1957</v>
      </c>
      <c r="Y294" s="171" t="s">
        <v>7660</v>
      </c>
      <c r="Z294" s="171" t="s">
        <v>3283</v>
      </c>
      <c r="AA294" s="171" t="s">
        <v>1957</v>
      </c>
      <c r="AB294" s="171">
        <v>2016</v>
      </c>
      <c r="AC294" s="171">
        <v>2016</v>
      </c>
      <c r="AD294" s="171"/>
      <c r="AE294" s="171"/>
      <c r="AF294" s="171"/>
      <c r="AG294" s="171" t="s">
        <v>4174</v>
      </c>
      <c r="AH294" s="171">
        <v>2023</v>
      </c>
      <c r="AI294" s="171" t="s">
        <v>4174</v>
      </c>
      <c r="AJ294" s="171" t="s">
        <v>7658</v>
      </c>
      <c r="AK294" s="171"/>
      <c r="AL294" s="171" t="s">
        <v>7658</v>
      </c>
      <c r="AM294" s="171" t="s">
        <v>7659</v>
      </c>
      <c r="AN294" s="171" t="s">
        <v>7414</v>
      </c>
      <c r="AO294" s="171" t="s">
        <v>6396</v>
      </c>
      <c r="AP294" s="171" t="s">
        <v>2072</v>
      </c>
      <c r="AQ294" s="171" t="s">
        <v>7414</v>
      </c>
      <c r="AR294" s="171">
        <v>2050</v>
      </c>
      <c r="AS294" s="171">
        <v>2022</v>
      </c>
      <c r="AT294" s="171"/>
      <c r="AU294" s="171"/>
      <c r="AV294" s="171"/>
      <c r="AW294" s="171" t="s">
        <v>4174</v>
      </c>
      <c r="AX294" s="171" t="s">
        <v>7658</v>
      </c>
      <c r="AY294" s="171">
        <v>2023</v>
      </c>
      <c r="AZ294" s="171" t="s">
        <v>4174</v>
      </c>
      <c r="BA294" s="171" t="s">
        <v>7658</v>
      </c>
      <c r="BB294" s="171"/>
      <c r="BC294" s="171" t="s">
        <v>7657</v>
      </c>
      <c r="BD294" s="171"/>
      <c r="BE294" s="171"/>
      <c r="BF294" s="225"/>
      <c r="BG294" s="171"/>
      <c r="BH294" s="171"/>
      <c r="BI294" s="171" t="s">
        <v>7656</v>
      </c>
      <c r="BJ294" s="171">
        <v>1</v>
      </c>
      <c r="BK294" s="171"/>
      <c r="BL294" s="171"/>
      <c r="BM294" s="171">
        <v>1</v>
      </c>
      <c r="BN294" s="171"/>
      <c r="BO294" s="171"/>
      <c r="BP294" s="171">
        <v>1</v>
      </c>
      <c r="BQ294" s="171">
        <v>1</v>
      </c>
      <c r="BR294" s="171"/>
      <c r="BS294" s="171">
        <v>1</v>
      </c>
      <c r="BT294" s="171"/>
      <c r="BU294" s="171">
        <v>1</v>
      </c>
      <c r="BV294" s="171"/>
      <c r="BW294" s="171"/>
      <c r="BX294" s="171"/>
      <c r="BY294" s="171"/>
      <c r="BZ294" s="171">
        <v>1</v>
      </c>
      <c r="CA294" s="171">
        <v>1</v>
      </c>
      <c r="CB294" s="171">
        <v>1</v>
      </c>
      <c r="CC294" s="171">
        <v>1</v>
      </c>
      <c r="CD294" s="171"/>
      <c r="CE294" s="171">
        <v>1</v>
      </c>
      <c r="CF294" s="171">
        <v>1</v>
      </c>
      <c r="CG294" s="171">
        <v>1</v>
      </c>
      <c r="CH294" s="171">
        <v>1</v>
      </c>
      <c r="CI294" s="171"/>
      <c r="CJ294" s="171"/>
      <c r="CK294" s="171">
        <v>1</v>
      </c>
      <c r="CL294" s="171">
        <v>1</v>
      </c>
      <c r="CM294">
        <f t="shared" si="44"/>
        <v>2050</v>
      </c>
    </row>
    <row r="295" spans="1:91">
      <c r="A295" s="171">
        <v>494</v>
      </c>
      <c r="B295" s="171" t="s">
        <v>940</v>
      </c>
      <c r="C295" s="171">
        <v>474</v>
      </c>
      <c r="D295" s="171" t="str">
        <f t="shared" si="43"/>
        <v>CN SBT</v>
      </c>
      <c r="E295" s="171" t="s">
        <v>7259</v>
      </c>
      <c r="F295" s="174">
        <v>45511</v>
      </c>
      <c r="G295" s="171" t="s">
        <v>7220</v>
      </c>
      <c r="H295" s="173">
        <v>468.1</v>
      </c>
      <c r="I295" s="171"/>
      <c r="J295" s="171" t="s">
        <v>4467</v>
      </c>
      <c r="K295" s="171" t="s">
        <v>146</v>
      </c>
      <c r="L295" s="171" t="s">
        <v>1951</v>
      </c>
      <c r="M295" s="171" t="s">
        <v>5032</v>
      </c>
      <c r="N295" s="171"/>
      <c r="O295" s="171"/>
      <c r="P295" s="171" t="s">
        <v>4174</v>
      </c>
      <c r="Q295" s="171" t="s">
        <v>22</v>
      </c>
      <c r="R295" s="171" t="s">
        <v>7277</v>
      </c>
      <c r="S295" s="171">
        <v>2030</v>
      </c>
      <c r="T295" s="171" t="s">
        <v>1</v>
      </c>
      <c r="U295" s="171"/>
      <c r="V295" s="172">
        <v>43678</v>
      </c>
      <c r="W295" s="171">
        <v>2019</v>
      </c>
      <c r="X295" s="171" t="s">
        <v>1957</v>
      </c>
      <c r="Y295" s="171" t="s">
        <v>1659</v>
      </c>
      <c r="Z295" s="171" t="s">
        <v>3283</v>
      </c>
      <c r="AA295" s="171" t="s">
        <v>1957</v>
      </c>
      <c r="AB295" s="171">
        <v>2040</v>
      </c>
      <c r="AC295" s="171">
        <v>2021</v>
      </c>
      <c r="AD295" s="171"/>
      <c r="AE295" s="171"/>
      <c r="AF295" s="171"/>
      <c r="AG295" s="171" t="s">
        <v>2082</v>
      </c>
      <c r="AH295" s="171"/>
      <c r="AI295" s="171" t="s">
        <v>4174</v>
      </c>
      <c r="AJ295" s="171"/>
      <c r="AK295" s="171"/>
      <c r="AL295" s="180" t="s">
        <v>5149</v>
      </c>
      <c r="AM295" s="171"/>
      <c r="AN295" s="171" t="s">
        <v>5032</v>
      </c>
      <c r="AO295" s="171"/>
      <c r="AP295" s="171"/>
      <c r="AQ295" s="171" t="s">
        <v>5032</v>
      </c>
      <c r="AR295" s="171"/>
      <c r="AS295" s="171"/>
      <c r="AT295" s="171"/>
      <c r="AU295" s="171"/>
      <c r="AV295" s="171"/>
      <c r="AW295" s="171"/>
      <c r="AX295" s="171"/>
      <c r="AY295" s="171"/>
      <c r="AZ295" s="171"/>
      <c r="BA295" s="171"/>
      <c r="BB295" s="171"/>
      <c r="BC295" s="171"/>
      <c r="BD295" s="171"/>
      <c r="BE295" s="171"/>
      <c r="BF295" s="225"/>
      <c r="BG295" s="171"/>
      <c r="BH295" s="171"/>
      <c r="BI295" s="171"/>
      <c r="BJ295" s="171"/>
      <c r="BK295" s="171"/>
      <c r="BL295" s="171">
        <v>1</v>
      </c>
      <c r="BM295" s="171">
        <v>1</v>
      </c>
      <c r="BN295" s="171"/>
      <c r="BO295" s="171"/>
      <c r="BP295" s="171"/>
      <c r="BQ295" s="171"/>
      <c r="BR295" s="171"/>
      <c r="BS295" s="171">
        <v>1</v>
      </c>
      <c r="BT295" s="171"/>
      <c r="BU295" s="171">
        <v>1</v>
      </c>
      <c r="BV295" s="171"/>
      <c r="BW295" s="171"/>
      <c r="BX295" s="171"/>
      <c r="BY295" s="171"/>
      <c r="BZ295" s="171">
        <v>1</v>
      </c>
      <c r="CA295" s="171"/>
      <c r="CB295" s="171">
        <v>1</v>
      </c>
      <c r="CC295" s="171"/>
      <c r="CD295" s="171"/>
      <c r="CE295" s="171">
        <v>1</v>
      </c>
      <c r="CF295" s="171"/>
      <c r="CG295" s="171">
        <v>1</v>
      </c>
      <c r="CH295" s="171">
        <v>1</v>
      </c>
      <c r="CI295" s="171"/>
      <c r="CJ295" s="171"/>
      <c r="CK295" s="171"/>
      <c r="CL295" s="171"/>
    </row>
    <row r="296" spans="1:91">
      <c r="A296" s="171">
        <v>26</v>
      </c>
      <c r="B296" s="171" t="s">
        <v>1686</v>
      </c>
      <c r="C296" s="171">
        <v>30</v>
      </c>
      <c r="D296" s="171" t="str">
        <f t="shared" si="43"/>
        <v>CN SBT RE100</v>
      </c>
      <c r="E296" s="171" t="s">
        <v>7288</v>
      </c>
      <c r="F296" s="174">
        <v>45474</v>
      </c>
      <c r="G296" s="171" t="s">
        <v>7223</v>
      </c>
      <c r="H296" s="173">
        <v>72361</v>
      </c>
      <c r="I296" s="171"/>
      <c r="J296" s="171" t="s">
        <v>186</v>
      </c>
      <c r="K296" s="171" t="s">
        <v>4457</v>
      </c>
      <c r="L296" s="171" t="s">
        <v>2029</v>
      </c>
      <c r="M296" s="171" t="s">
        <v>4174</v>
      </c>
      <c r="N296" s="171">
        <v>2015</v>
      </c>
      <c r="O296" s="171">
        <v>2014</v>
      </c>
      <c r="P296" s="171" t="s">
        <v>4174</v>
      </c>
      <c r="Q296" s="171" t="s">
        <v>22</v>
      </c>
      <c r="R296" s="171" t="s">
        <v>7233</v>
      </c>
      <c r="S296" s="171">
        <v>2030</v>
      </c>
      <c r="T296" s="171" t="s">
        <v>1</v>
      </c>
      <c r="U296" s="171"/>
      <c r="V296" s="172">
        <v>43709</v>
      </c>
      <c r="W296" s="171">
        <v>2019</v>
      </c>
      <c r="X296" s="171" t="s">
        <v>1957</v>
      </c>
      <c r="Y296" s="171" t="s">
        <v>7655</v>
      </c>
      <c r="Z296" s="171" t="s">
        <v>7654</v>
      </c>
      <c r="AA296" s="171" t="s">
        <v>1957</v>
      </c>
      <c r="AB296" s="171">
        <v>2012</v>
      </c>
      <c r="AC296" s="171">
        <v>2012</v>
      </c>
      <c r="AD296" s="171" t="s">
        <v>1957</v>
      </c>
      <c r="AE296" s="171">
        <v>2030</v>
      </c>
      <c r="AF296" s="171">
        <v>2020</v>
      </c>
      <c r="AG296" s="171" t="s">
        <v>4174</v>
      </c>
      <c r="AH296" s="171">
        <v>2024</v>
      </c>
      <c r="AI296" s="171" t="s">
        <v>4174</v>
      </c>
      <c r="AJ296" s="171" t="s">
        <v>7652</v>
      </c>
      <c r="AK296" s="171"/>
      <c r="AL296" s="171" t="s">
        <v>7653</v>
      </c>
      <c r="AM296" s="171"/>
      <c r="AN296" s="171" t="s">
        <v>5032</v>
      </c>
      <c r="AO296" s="171"/>
      <c r="AP296" s="171"/>
      <c r="AQ296" s="171" t="s">
        <v>5032</v>
      </c>
      <c r="AR296" s="171"/>
      <c r="AS296" s="171"/>
      <c r="AT296" s="171"/>
      <c r="AU296" s="171"/>
      <c r="AV296" s="171"/>
      <c r="AW296" s="171"/>
      <c r="AX296" s="171"/>
      <c r="AY296" s="171"/>
      <c r="AZ296" s="171"/>
      <c r="BA296" s="171"/>
      <c r="BB296" s="171"/>
      <c r="BC296" s="171"/>
      <c r="BD296" s="171" t="s">
        <v>4174</v>
      </c>
      <c r="BE296" s="171" t="s">
        <v>7652</v>
      </c>
      <c r="BF296" s="225" t="s">
        <v>5032</v>
      </c>
      <c r="BG296" s="171"/>
      <c r="BH296" s="171" t="s">
        <v>7651</v>
      </c>
      <c r="BI296" s="171"/>
      <c r="BJ296" s="171">
        <v>1</v>
      </c>
      <c r="BK296" s="171"/>
      <c r="BL296" s="171"/>
      <c r="BM296" s="171">
        <v>1</v>
      </c>
      <c r="BN296" s="171"/>
      <c r="BO296" s="171"/>
      <c r="BP296" s="171"/>
      <c r="BQ296" s="171"/>
      <c r="BR296" s="171"/>
      <c r="BS296" s="171">
        <v>1</v>
      </c>
      <c r="BT296" s="171"/>
      <c r="BU296" s="171">
        <v>1</v>
      </c>
      <c r="BV296" s="171">
        <v>1</v>
      </c>
      <c r="BW296" s="171"/>
      <c r="BX296" s="171"/>
      <c r="BY296" s="171">
        <v>1</v>
      </c>
      <c r="BZ296" s="171">
        <v>1</v>
      </c>
      <c r="CA296" s="171">
        <v>1</v>
      </c>
      <c r="CB296" s="171">
        <v>1</v>
      </c>
      <c r="CC296" s="171">
        <v>1</v>
      </c>
      <c r="CD296" s="171"/>
      <c r="CE296" s="171">
        <v>1</v>
      </c>
      <c r="CF296" s="171">
        <v>1</v>
      </c>
      <c r="CG296" s="171">
        <v>1</v>
      </c>
      <c r="CH296" s="171">
        <v>1</v>
      </c>
      <c r="CI296" s="171"/>
      <c r="CJ296" s="171"/>
      <c r="CK296" s="171"/>
      <c r="CL296" s="171"/>
    </row>
    <row r="297" spans="1:91">
      <c r="A297" s="171">
        <v>277</v>
      </c>
      <c r="B297" s="171" t="s">
        <v>780</v>
      </c>
      <c r="C297" s="171">
        <v>278</v>
      </c>
      <c r="D297" s="171" t="str">
        <f t="shared" si="43"/>
        <v/>
      </c>
      <c r="E297" s="171" t="s">
        <v>7223</v>
      </c>
      <c r="F297" s="174">
        <v>45478</v>
      </c>
      <c r="G297" s="171" t="s">
        <v>7223</v>
      </c>
      <c r="H297" s="173">
        <v>4763.2</v>
      </c>
      <c r="I297" s="171"/>
      <c r="J297" s="171" t="s">
        <v>4459</v>
      </c>
      <c r="K297" s="171" t="s">
        <v>73</v>
      </c>
      <c r="L297" s="171" t="s">
        <v>1994</v>
      </c>
      <c r="M297" s="171" t="s">
        <v>5032</v>
      </c>
      <c r="N297" s="171"/>
      <c r="O297" s="171"/>
      <c r="P297" s="171" t="s">
        <v>5032</v>
      </c>
      <c r="Q297" s="171"/>
      <c r="R297" s="171"/>
      <c r="S297" s="171"/>
      <c r="T297" s="171"/>
      <c r="U297" s="171"/>
      <c r="V297" s="175"/>
      <c r="W297" s="171"/>
      <c r="X297" s="171" t="s">
        <v>4519</v>
      </c>
      <c r="Y297" s="171" t="s">
        <v>4313</v>
      </c>
      <c r="Z297" s="171" t="s">
        <v>7225</v>
      </c>
      <c r="AA297" s="171" t="s">
        <v>4519</v>
      </c>
      <c r="AB297" s="171">
        <v>2060</v>
      </c>
      <c r="AC297" s="171">
        <v>2021</v>
      </c>
      <c r="AD297" s="171"/>
      <c r="AE297" s="171"/>
      <c r="AF297" s="171"/>
      <c r="AG297" s="171"/>
      <c r="AH297" s="171"/>
      <c r="AI297" s="171"/>
      <c r="AJ297" s="171"/>
      <c r="AK297" s="171"/>
      <c r="AL297" s="171" t="s">
        <v>4773</v>
      </c>
      <c r="AM297" s="171"/>
      <c r="AN297" s="171" t="s">
        <v>5032</v>
      </c>
      <c r="AO297" s="171"/>
      <c r="AP297" s="171"/>
      <c r="AQ297" s="171" t="s">
        <v>5032</v>
      </c>
      <c r="AR297" s="171"/>
      <c r="AS297" s="171"/>
      <c r="AT297" s="171"/>
      <c r="AU297" s="171"/>
      <c r="AV297" s="171"/>
      <c r="AW297" s="171"/>
      <c r="AX297" s="171"/>
      <c r="AY297" s="171"/>
      <c r="AZ297" s="171"/>
      <c r="BA297" s="171"/>
      <c r="BB297" s="171"/>
      <c r="BC297" s="171"/>
      <c r="BD297" s="171"/>
      <c r="BE297" s="171"/>
      <c r="BF297" s="225"/>
      <c r="BG297" s="171"/>
      <c r="BH297" s="171"/>
      <c r="BI297" s="171"/>
      <c r="BJ297" s="171"/>
      <c r="BK297" s="171"/>
      <c r="BL297" s="171"/>
      <c r="BM297" s="171"/>
      <c r="BN297" s="171"/>
      <c r="BO297" s="171"/>
      <c r="BP297" s="171"/>
      <c r="BQ297" s="171"/>
      <c r="BR297" s="171"/>
      <c r="BS297" s="171"/>
      <c r="BT297" s="171"/>
      <c r="BU297" s="171"/>
      <c r="BV297" s="171"/>
      <c r="BW297" s="171"/>
      <c r="BX297" s="171"/>
      <c r="BY297" s="171"/>
      <c r="BZ297" s="171"/>
      <c r="CA297" s="171"/>
      <c r="CB297" s="171"/>
      <c r="CC297" s="171"/>
      <c r="CD297" s="171"/>
      <c r="CE297" s="171"/>
      <c r="CF297" s="171"/>
      <c r="CG297" s="171"/>
      <c r="CH297" s="171"/>
      <c r="CI297" s="171"/>
      <c r="CJ297" s="171"/>
      <c r="CK297" s="171"/>
      <c r="CL297" s="171"/>
    </row>
    <row r="298" spans="1:91">
      <c r="A298" s="171">
        <v>432</v>
      </c>
      <c r="B298" s="171" t="s">
        <v>340</v>
      </c>
      <c r="C298" s="171">
        <v>485</v>
      </c>
      <c r="D298" s="171" t="str">
        <f t="shared" si="43"/>
        <v>CN NZ SBT</v>
      </c>
      <c r="E298" s="171" t="s">
        <v>7223</v>
      </c>
      <c r="F298" s="174">
        <v>45512</v>
      </c>
      <c r="G298" s="171" t="s">
        <v>7223</v>
      </c>
      <c r="H298" s="173">
        <v>205.9</v>
      </c>
      <c r="I298" s="171"/>
      <c r="J298" s="171" t="s">
        <v>4467</v>
      </c>
      <c r="K298" s="171" t="s">
        <v>287</v>
      </c>
      <c r="L298" s="171" t="s">
        <v>1951</v>
      </c>
      <c r="M298" s="171" t="s">
        <v>5032</v>
      </c>
      <c r="N298" s="171"/>
      <c r="O298" s="171"/>
      <c r="P298" s="171" t="s">
        <v>4174</v>
      </c>
      <c r="Q298" s="171" t="s">
        <v>22</v>
      </c>
      <c r="R298" s="171" t="s">
        <v>7233</v>
      </c>
      <c r="S298" s="171">
        <v>2030</v>
      </c>
      <c r="T298" s="171" t="s">
        <v>361</v>
      </c>
      <c r="U298" s="171"/>
      <c r="V298" s="172">
        <v>44562</v>
      </c>
      <c r="W298" s="171">
        <v>2022</v>
      </c>
      <c r="X298" s="179" t="s">
        <v>1957</v>
      </c>
      <c r="Y298" s="179" t="s">
        <v>1659</v>
      </c>
      <c r="Z298" s="179" t="s">
        <v>2145</v>
      </c>
      <c r="AA298" s="179" t="s">
        <v>1957</v>
      </c>
      <c r="AB298" s="179">
        <v>2022</v>
      </c>
      <c r="AC298" s="179">
        <v>2022</v>
      </c>
      <c r="AD298" s="179"/>
      <c r="AE298" s="171"/>
      <c r="AF298" s="171"/>
      <c r="AG298" s="179" t="s">
        <v>4174</v>
      </c>
      <c r="AH298" s="171">
        <v>2023</v>
      </c>
      <c r="AI298" s="171" t="s">
        <v>5032</v>
      </c>
      <c r="AJ298" s="171"/>
      <c r="AK298" s="176" t="s">
        <v>7650</v>
      </c>
      <c r="AL298" s="176" t="s">
        <v>7649</v>
      </c>
      <c r="AM298" s="171" t="s">
        <v>7648</v>
      </c>
      <c r="AN298" s="171" t="s">
        <v>1957</v>
      </c>
      <c r="AO298" s="171" t="s">
        <v>7647</v>
      </c>
      <c r="AP298" s="171" t="s">
        <v>2072</v>
      </c>
      <c r="AQ298" s="171" t="s">
        <v>1957</v>
      </c>
      <c r="AR298" s="171">
        <v>2050</v>
      </c>
      <c r="AS298" s="171">
        <v>2021</v>
      </c>
      <c r="AT298" s="171"/>
      <c r="AU298" s="171"/>
      <c r="AV298" s="171"/>
      <c r="AW298" s="171" t="s">
        <v>7247</v>
      </c>
      <c r="AX298" s="176" t="s">
        <v>7646</v>
      </c>
      <c r="AY298" s="171">
        <v>2023</v>
      </c>
      <c r="AZ298" s="171" t="s">
        <v>4174</v>
      </c>
      <c r="BA298" s="176" t="s">
        <v>7645</v>
      </c>
      <c r="BB298" s="171"/>
      <c r="BC298" s="171" t="s">
        <v>7644</v>
      </c>
      <c r="BD298" s="171"/>
      <c r="BE298" s="171"/>
      <c r="BF298" s="225"/>
      <c r="BG298" s="171"/>
      <c r="BH298" s="171"/>
      <c r="BI298" s="171"/>
      <c r="BJ298" s="171">
        <v>1</v>
      </c>
      <c r="BK298" s="171"/>
      <c r="BL298" s="171"/>
      <c r="BM298" s="171">
        <v>1</v>
      </c>
      <c r="BN298" s="171"/>
      <c r="BO298" s="171"/>
      <c r="BP298" s="171">
        <v>1</v>
      </c>
      <c r="BQ298" s="171">
        <v>1</v>
      </c>
      <c r="BR298" s="171"/>
      <c r="BS298" s="171">
        <v>1</v>
      </c>
      <c r="BT298" s="171"/>
      <c r="BU298" s="171">
        <v>1</v>
      </c>
      <c r="BV298" s="171"/>
      <c r="BW298" s="171"/>
      <c r="BX298" s="171"/>
      <c r="BY298" s="171"/>
      <c r="BZ298" s="171">
        <v>1</v>
      </c>
      <c r="CA298" s="171">
        <v>1</v>
      </c>
      <c r="CB298" s="171">
        <v>1</v>
      </c>
      <c r="CC298" s="171">
        <v>1</v>
      </c>
      <c r="CD298" s="171"/>
      <c r="CE298" s="171">
        <v>1</v>
      </c>
      <c r="CF298" s="171">
        <v>1</v>
      </c>
      <c r="CG298" s="171">
        <v>1</v>
      </c>
      <c r="CH298" s="171">
        <v>1</v>
      </c>
      <c r="CI298" s="171"/>
      <c r="CJ298" s="171"/>
      <c r="CK298" s="171"/>
      <c r="CL298" s="171"/>
      <c r="CM298">
        <f t="shared" si="44"/>
        <v>2050</v>
      </c>
    </row>
    <row r="299" spans="1:91">
      <c r="A299" s="171">
        <v>65</v>
      </c>
      <c r="B299" s="171" t="s">
        <v>1779</v>
      </c>
      <c r="C299" s="171">
        <v>45</v>
      </c>
      <c r="D299" s="171" t="str">
        <f t="shared" si="43"/>
        <v xml:space="preserve"> NZ</v>
      </c>
      <c r="E299" s="171" t="s">
        <v>7288</v>
      </c>
      <c r="F299" s="174">
        <v>45474</v>
      </c>
      <c r="G299" s="171" t="s">
        <v>7220</v>
      </c>
      <c r="H299" s="173">
        <v>6670.2</v>
      </c>
      <c r="I299" s="171"/>
      <c r="J299" s="171" t="s">
        <v>4459</v>
      </c>
      <c r="K299" s="171" t="s">
        <v>207</v>
      </c>
      <c r="L299" s="171" t="s">
        <v>1994</v>
      </c>
      <c r="M299" s="171" t="s">
        <v>5032</v>
      </c>
      <c r="N299" s="171"/>
      <c r="O299" s="171"/>
      <c r="P299" s="171" t="s">
        <v>5032</v>
      </c>
      <c r="Q299" s="171"/>
      <c r="R299" s="171"/>
      <c r="S299" s="171"/>
      <c r="T299" s="171"/>
      <c r="U299" s="171"/>
      <c r="V299" s="175"/>
      <c r="W299" s="171"/>
      <c r="X299" s="171" t="s">
        <v>5032</v>
      </c>
      <c r="Y299" s="171"/>
      <c r="Z299" s="171"/>
      <c r="AA299" s="171" t="s">
        <v>5032</v>
      </c>
      <c r="AB299" s="171"/>
      <c r="AC299" s="171"/>
      <c r="AD299" s="171"/>
      <c r="AE299" s="171"/>
      <c r="AF299" s="171"/>
      <c r="AG299" s="171"/>
      <c r="AH299" s="171"/>
      <c r="AI299" s="171"/>
      <c r="AJ299" s="171"/>
      <c r="AK299" s="171"/>
      <c r="AL299" s="171"/>
      <c r="AM299" s="171"/>
      <c r="AN299" s="171" t="s">
        <v>1957</v>
      </c>
      <c r="AO299" s="171" t="s">
        <v>7643</v>
      </c>
      <c r="AP299" s="171" t="s">
        <v>2072</v>
      </c>
      <c r="AQ299" s="171" t="s">
        <v>1957</v>
      </c>
      <c r="AR299" s="171">
        <v>2050</v>
      </c>
      <c r="AS299" s="171">
        <v>2021</v>
      </c>
      <c r="AT299" s="171"/>
      <c r="AU299" s="171"/>
      <c r="AV299" s="171"/>
      <c r="AW299" s="171" t="s">
        <v>4174</v>
      </c>
      <c r="AX299" s="171" t="s">
        <v>6980</v>
      </c>
      <c r="AY299" s="171"/>
      <c r="AZ299" s="171"/>
      <c r="BA299" s="171"/>
      <c r="BB299" s="171"/>
      <c r="BC299" s="171" t="s">
        <v>7642</v>
      </c>
      <c r="BD299" s="171" t="s">
        <v>4174</v>
      </c>
      <c r="BE299" s="171" t="s">
        <v>7641</v>
      </c>
      <c r="BF299" s="225" t="s">
        <v>5032</v>
      </c>
      <c r="BG299" s="171"/>
      <c r="BH299" s="171"/>
      <c r="BI299" s="171"/>
      <c r="BJ299" s="171"/>
      <c r="BK299" s="171"/>
      <c r="BL299" s="171"/>
      <c r="BM299" s="171"/>
      <c r="BN299" s="171"/>
      <c r="BO299" s="171"/>
      <c r="BP299" s="171">
        <v>1</v>
      </c>
      <c r="BQ299" s="171">
        <v>1</v>
      </c>
      <c r="BR299" s="171"/>
      <c r="BS299" s="171"/>
      <c r="BT299" s="171"/>
      <c r="BU299" s="171"/>
      <c r="BV299" s="171"/>
      <c r="BW299" s="171"/>
      <c r="BX299" s="171"/>
      <c r="BY299" s="171"/>
      <c r="BZ299" s="171">
        <v>1</v>
      </c>
      <c r="CA299" s="171"/>
      <c r="CB299" s="171">
        <v>1</v>
      </c>
      <c r="CC299" s="171">
        <v>1</v>
      </c>
      <c r="CD299" s="171"/>
      <c r="CE299" s="171">
        <v>1</v>
      </c>
      <c r="CF299" s="171"/>
      <c r="CG299" s="171"/>
      <c r="CH299" s="171">
        <v>1</v>
      </c>
      <c r="CI299" s="171"/>
      <c r="CJ299" s="171"/>
      <c r="CK299" s="171"/>
      <c r="CL299" s="171"/>
      <c r="CM299">
        <f t="shared" si="44"/>
        <v>2050</v>
      </c>
    </row>
    <row r="300" spans="1:91">
      <c r="A300" s="171">
        <v>416</v>
      </c>
      <c r="B300" s="171" t="s">
        <v>826</v>
      </c>
      <c r="C300" s="171">
        <v>407</v>
      </c>
      <c r="D300" s="171" t="str">
        <f t="shared" si="43"/>
        <v xml:space="preserve"> NZ SBT</v>
      </c>
      <c r="E300" s="171" t="s">
        <v>7385</v>
      </c>
      <c r="F300" s="174">
        <v>45512</v>
      </c>
      <c r="G300" s="171" t="s">
        <v>7220</v>
      </c>
      <c r="H300" s="173">
        <v>1971.6</v>
      </c>
      <c r="I300" s="171"/>
      <c r="J300" s="171" t="s">
        <v>4459</v>
      </c>
      <c r="K300" s="171" t="s">
        <v>207</v>
      </c>
      <c r="L300" s="171" t="s">
        <v>1994</v>
      </c>
      <c r="M300" s="171" t="s">
        <v>5032</v>
      </c>
      <c r="N300" s="171"/>
      <c r="O300" s="171"/>
      <c r="P300" s="171" t="s">
        <v>4174</v>
      </c>
      <c r="Q300" s="171" t="s">
        <v>22</v>
      </c>
      <c r="R300" s="171" t="s">
        <v>7233</v>
      </c>
      <c r="S300" s="171">
        <v>2031</v>
      </c>
      <c r="T300" s="171" t="s">
        <v>1</v>
      </c>
      <c r="U300" s="171"/>
      <c r="V300" s="172">
        <v>45323</v>
      </c>
      <c r="W300" s="171">
        <v>2024</v>
      </c>
      <c r="X300" s="171" t="s">
        <v>5032</v>
      </c>
      <c r="Y300" s="171"/>
      <c r="Z300" s="171"/>
      <c r="AA300" s="171" t="s">
        <v>5032</v>
      </c>
      <c r="AB300" s="171"/>
      <c r="AC300" s="171"/>
      <c r="AD300" s="171"/>
      <c r="AE300" s="171"/>
      <c r="AF300" s="171"/>
      <c r="AG300" s="171"/>
      <c r="AH300" s="171"/>
      <c r="AI300" s="171"/>
      <c r="AJ300" s="171"/>
      <c r="AK300" s="171"/>
      <c r="AL300" s="171"/>
      <c r="AM300" s="171"/>
      <c r="AN300" s="171" t="s">
        <v>7227</v>
      </c>
      <c r="AO300" s="171" t="s">
        <v>7640</v>
      </c>
      <c r="AP300" s="171" t="s">
        <v>2072</v>
      </c>
      <c r="AQ300" s="171" t="s">
        <v>1957</v>
      </c>
      <c r="AR300" s="171">
        <v>2031</v>
      </c>
      <c r="AS300" s="171">
        <v>2021</v>
      </c>
      <c r="AT300" s="171" t="s">
        <v>4172</v>
      </c>
      <c r="AU300" s="171">
        <v>2050</v>
      </c>
      <c r="AV300" s="171">
        <v>2021</v>
      </c>
      <c r="AW300" s="171" t="s">
        <v>2082</v>
      </c>
      <c r="AX300" s="171" t="s">
        <v>7639</v>
      </c>
      <c r="AY300" s="171"/>
      <c r="AZ300" s="171"/>
      <c r="BA300" s="171"/>
      <c r="BB300" s="171"/>
      <c r="BC300" s="171"/>
      <c r="BD300" s="171"/>
      <c r="BE300" s="171"/>
      <c r="BF300" s="225"/>
      <c r="BG300" s="171"/>
      <c r="BH300" s="171"/>
      <c r="BI300" s="171"/>
      <c r="BJ300" s="171"/>
      <c r="BK300" s="171"/>
      <c r="BL300" s="171"/>
      <c r="BM300" s="171"/>
      <c r="BN300" s="171"/>
      <c r="BO300" s="171"/>
      <c r="BP300" s="171">
        <v>1</v>
      </c>
      <c r="BQ300" s="171">
        <v>1</v>
      </c>
      <c r="BR300" s="171"/>
      <c r="BS300" s="171"/>
      <c r="BT300" s="171">
        <v>1</v>
      </c>
      <c r="BU300" s="171">
        <v>1</v>
      </c>
      <c r="BV300" s="171"/>
      <c r="BW300" s="171"/>
      <c r="BX300" s="171"/>
      <c r="BY300" s="171"/>
      <c r="BZ300" s="171">
        <v>1</v>
      </c>
      <c r="CA300" s="171"/>
      <c r="CB300" s="171">
        <v>1</v>
      </c>
      <c r="CC300" s="171"/>
      <c r="CD300" s="171"/>
      <c r="CE300" s="171">
        <v>1</v>
      </c>
      <c r="CF300" s="171"/>
      <c r="CG300" s="171"/>
      <c r="CH300" s="171">
        <v>1</v>
      </c>
      <c r="CI300" s="171"/>
      <c r="CJ300" s="171"/>
      <c r="CK300" s="171">
        <v>1</v>
      </c>
      <c r="CL300" s="171">
        <v>1</v>
      </c>
      <c r="CM300">
        <f t="shared" si="44"/>
        <v>2031</v>
      </c>
    </row>
    <row r="301" spans="1:91">
      <c r="A301" s="171">
        <v>499</v>
      </c>
      <c r="B301" s="171" t="s">
        <v>711</v>
      </c>
      <c r="C301" s="171">
        <v>499</v>
      </c>
      <c r="D301" s="171" t="str">
        <f t="shared" si="43"/>
        <v xml:space="preserve"> NZ</v>
      </c>
      <c r="E301" s="171" t="s">
        <v>7259</v>
      </c>
      <c r="F301" s="174">
        <v>45511</v>
      </c>
      <c r="G301" s="171" t="s">
        <v>7220</v>
      </c>
      <c r="H301" s="173">
        <v>1536.2</v>
      </c>
      <c r="I301" s="171"/>
      <c r="J301" s="171" t="s">
        <v>4459</v>
      </c>
      <c r="K301" s="171" t="s">
        <v>207</v>
      </c>
      <c r="L301" s="171" t="s">
        <v>1994</v>
      </c>
      <c r="M301" s="171" t="s">
        <v>5032</v>
      </c>
      <c r="N301" s="171"/>
      <c r="O301" s="171"/>
      <c r="P301" s="171" t="s">
        <v>5032</v>
      </c>
      <c r="Q301" s="171"/>
      <c r="R301" s="171"/>
      <c r="S301" s="171"/>
      <c r="T301" s="171"/>
      <c r="U301" s="171"/>
      <c r="V301" s="175"/>
      <c r="W301" s="171"/>
      <c r="X301" s="171" t="s">
        <v>5032</v>
      </c>
      <c r="Y301" s="171"/>
      <c r="Z301" s="171"/>
      <c r="AA301" s="171" t="s">
        <v>5032</v>
      </c>
      <c r="AB301" s="171"/>
      <c r="AC301" s="171"/>
      <c r="AD301" s="171"/>
      <c r="AE301" s="171"/>
      <c r="AF301" s="171"/>
      <c r="AG301" s="171"/>
      <c r="AH301" s="171"/>
      <c r="AI301" s="171"/>
      <c r="AJ301" s="171"/>
      <c r="AK301" s="171"/>
      <c r="AL301" s="171"/>
      <c r="AM301" s="171"/>
      <c r="AN301" s="171" t="s">
        <v>7227</v>
      </c>
      <c r="AO301" s="171" t="s">
        <v>7270</v>
      </c>
      <c r="AP301" s="171" t="s">
        <v>2072</v>
      </c>
      <c r="AQ301" s="171" t="s">
        <v>1957</v>
      </c>
      <c r="AR301" s="171">
        <v>2040</v>
      </c>
      <c r="AS301" s="171">
        <v>2021</v>
      </c>
      <c r="AT301" s="171" t="s">
        <v>4172</v>
      </c>
      <c r="AU301" s="171">
        <v>2040</v>
      </c>
      <c r="AV301" s="171">
        <v>2021</v>
      </c>
      <c r="AW301" s="171" t="s">
        <v>2082</v>
      </c>
      <c r="AX301" s="171" t="s">
        <v>7638</v>
      </c>
      <c r="AY301" s="171"/>
      <c r="AZ301" s="171"/>
      <c r="BA301" s="171"/>
      <c r="BB301" s="171"/>
      <c r="BC301" s="171"/>
      <c r="BD301" s="171"/>
      <c r="BE301" s="171"/>
      <c r="BF301" s="225"/>
      <c r="BG301" s="171"/>
      <c r="BH301" s="171"/>
      <c r="BI301" s="171"/>
      <c r="BJ301" s="171"/>
      <c r="BK301" s="171"/>
      <c r="BL301" s="171"/>
      <c r="BM301" s="171"/>
      <c r="BN301" s="171"/>
      <c r="BO301" s="171"/>
      <c r="BP301" s="171">
        <v>1</v>
      </c>
      <c r="BQ301" s="171">
        <v>1</v>
      </c>
      <c r="BR301" s="171"/>
      <c r="BS301" s="171"/>
      <c r="BT301" s="171"/>
      <c r="BU301" s="171"/>
      <c r="BV301" s="171"/>
      <c r="BW301" s="171"/>
      <c r="BX301" s="171"/>
      <c r="BY301" s="171"/>
      <c r="BZ301" s="171">
        <v>1</v>
      </c>
      <c r="CA301" s="171"/>
      <c r="CB301" s="171">
        <v>1</v>
      </c>
      <c r="CC301" s="171"/>
      <c r="CD301" s="171"/>
      <c r="CE301" s="171">
        <v>1</v>
      </c>
      <c r="CF301" s="171"/>
      <c r="CG301" s="171"/>
      <c r="CH301" s="171">
        <v>1</v>
      </c>
      <c r="CI301" s="171"/>
      <c r="CJ301" s="171"/>
      <c r="CK301" s="171">
        <v>1</v>
      </c>
      <c r="CL301" s="171">
        <v>1</v>
      </c>
      <c r="CM301">
        <f t="shared" si="44"/>
        <v>2040</v>
      </c>
    </row>
    <row r="302" spans="1:91">
      <c r="A302" s="171">
        <v>148</v>
      </c>
      <c r="B302" s="171" t="s">
        <v>1279</v>
      </c>
      <c r="C302" s="171">
        <v>187</v>
      </c>
      <c r="D302" s="171" t="str">
        <f t="shared" si="43"/>
        <v xml:space="preserve"> NZ</v>
      </c>
      <c r="E302" s="171" t="s">
        <v>7288</v>
      </c>
      <c r="F302" s="174">
        <v>45476</v>
      </c>
      <c r="G302" s="171" t="s">
        <v>7220</v>
      </c>
      <c r="H302" s="173">
        <v>10314.799999999999</v>
      </c>
      <c r="I302" s="171"/>
      <c r="J302" s="171" t="s">
        <v>4465</v>
      </c>
      <c r="K302" s="171" t="s">
        <v>207</v>
      </c>
      <c r="L302" s="171" t="s">
        <v>1994</v>
      </c>
      <c r="M302" s="171" t="s">
        <v>5032</v>
      </c>
      <c r="N302" s="171"/>
      <c r="O302" s="171"/>
      <c r="P302" s="171" t="s">
        <v>5032</v>
      </c>
      <c r="Q302" s="171"/>
      <c r="R302" s="171"/>
      <c r="S302" s="171"/>
      <c r="T302" s="171"/>
      <c r="U302" s="171"/>
      <c r="V302" s="175"/>
      <c r="W302" s="171"/>
      <c r="X302" s="171" t="s">
        <v>7229</v>
      </c>
      <c r="Y302" s="171"/>
      <c r="Z302" s="171"/>
      <c r="AA302" s="171" t="s">
        <v>7229</v>
      </c>
      <c r="AB302" s="171"/>
      <c r="AC302" s="171"/>
      <c r="AD302" s="171"/>
      <c r="AE302" s="171"/>
      <c r="AF302" s="171"/>
      <c r="AG302" s="171"/>
      <c r="AH302" s="171"/>
      <c r="AI302" s="171"/>
      <c r="AJ302" s="171"/>
      <c r="AK302" s="171"/>
      <c r="AL302" s="171"/>
      <c r="AM302" s="171"/>
      <c r="AN302" s="171" t="s">
        <v>7218</v>
      </c>
      <c r="AO302" s="171" t="s">
        <v>7637</v>
      </c>
      <c r="AP302" s="171" t="s">
        <v>7636</v>
      </c>
      <c r="AQ302" s="171" t="s">
        <v>1957</v>
      </c>
      <c r="AR302" s="171">
        <v>2030</v>
      </c>
      <c r="AS302" s="171">
        <v>2021</v>
      </c>
      <c r="AT302" s="171" t="s">
        <v>5050</v>
      </c>
      <c r="AU302" s="171">
        <v>2050</v>
      </c>
      <c r="AV302" s="171">
        <v>2021</v>
      </c>
      <c r="AW302" s="171" t="s">
        <v>4174</v>
      </c>
      <c r="AX302" s="171" t="s">
        <v>7635</v>
      </c>
      <c r="AY302" s="171">
        <v>2023</v>
      </c>
      <c r="AZ302" s="171" t="s">
        <v>4174</v>
      </c>
      <c r="BA302" s="171" t="s">
        <v>7635</v>
      </c>
      <c r="BB302" s="171"/>
      <c r="BC302" s="171" t="s">
        <v>7634</v>
      </c>
      <c r="BD302" s="171"/>
      <c r="BE302" s="171"/>
      <c r="BF302" s="225"/>
      <c r="BG302" s="171"/>
      <c r="BH302" s="171"/>
      <c r="BI302" s="171"/>
      <c r="BJ302" s="171"/>
      <c r="BK302" s="171"/>
      <c r="BL302" s="171"/>
      <c r="BM302" s="171"/>
      <c r="BN302" s="171"/>
      <c r="BO302" s="171">
        <v>1</v>
      </c>
      <c r="BP302" s="171"/>
      <c r="BQ302" s="171">
        <v>1</v>
      </c>
      <c r="BR302" s="171"/>
      <c r="BS302" s="171"/>
      <c r="BT302" s="171"/>
      <c r="BU302" s="171"/>
      <c r="BV302" s="171"/>
      <c r="BW302" s="171"/>
      <c r="BX302" s="171"/>
      <c r="BY302" s="171"/>
      <c r="BZ302" s="171">
        <v>1</v>
      </c>
      <c r="CA302" s="171">
        <v>1</v>
      </c>
      <c r="CB302" s="171">
        <v>1</v>
      </c>
      <c r="CC302" s="171">
        <v>1</v>
      </c>
      <c r="CD302" s="171"/>
      <c r="CE302" s="171">
        <v>1</v>
      </c>
      <c r="CF302" s="171"/>
      <c r="CG302" s="171">
        <v>1</v>
      </c>
      <c r="CH302" s="171">
        <v>1</v>
      </c>
      <c r="CI302" s="171"/>
      <c r="CJ302" s="171"/>
      <c r="CK302" s="171">
        <v>1</v>
      </c>
      <c r="CL302" s="171">
        <v>1</v>
      </c>
      <c r="CM302">
        <f t="shared" si="44"/>
        <v>2030</v>
      </c>
    </row>
    <row r="303" spans="1:91">
      <c r="A303" s="171">
        <v>121</v>
      </c>
      <c r="B303" s="171" t="s">
        <v>1303</v>
      </c>
      <c r="C303" s="171">
        <v>93</v>
      </c>
      <c r="D303" s="171" t="str">
        <f t="shared" si="43"/>
        <v/>
      </c>
      <c r="E303" s="171" t="s">
        <v>7228</v>
      </c>
      <c r="F303" s="174">
        <v>45475</v>
      </c>
      <c r="G303" s="171" t="s">
        <v>7220</v>
      </c>
      <c r="H303" s="173">
        <v>7359.7</v>
      </c>
      <c r="I303" s="171"/>
      <c r="J303" s="171" t="s">
        <v>4465</v>
      </c>
      <c r="K303" s="171" t="s">
        <v>207</v>
      </c>
      <c r="L303" s="171" t="s">
        <v>1994</v>
      </c>
      <c r="M303" s="171" t="s">
        <v>5032</v>
      </c>
      <c r="N303" s="171"/>
      <c r="O303" s="171"/>
      <c r="P303" s="171" t="s">
        <v>5032</v>
      </c>
      <c r="Q303" s="171"/>
      <c r="R303" s="171"/>
      <c r="S303" s="171"/>
      <c r="T303" s="171"/>
      <c r="U303" s="171"/>
      <c r="V303" s="175"/>
      <c r="W303" s="171"/>
      <c r="X303" s="171" t="s">
        <v>5032</v>
      </c>
      <c r="Y303" s="171"/>
      <c r="Z303" s="171"/>
      <c r="AA303" s="171" t="s">
        <v>5032</v>
      </c>
      <c r="AB303" s="171"/>
      <c r="AC303" s="171"/>
      <c r="AD303" s="171"/>
      <c r="AE303" s="171"/>
      <c r="AF303" s="171"/>
      <c r="AG303" s="171"/>
      <c r="AH303" s="171"/>
      <c r="AI303" s="171"/>
      <c r="AJ303" s="171"/>
      <c r="AK303" s="171"/>
      <c r="AL303" s="171" t="s">
        <v>7633</v>
      </c>
      <c r="AM303" s="171"/>
      <c r="AN303" s="171" t="s">
        <v>5032</v>
      </c>
      <c r="AO303" s="171"/>
      <c r="AP303" s="171"/>
      <c r="AQ303" s="171" t="s">
        <v>5032</v>
      </c>
      <c r="AR303" s="171"/>
      <c r="AS303" s="171"/>
      <c r="AT303" s="171"/>
      <c r="AU303" s="171"/>
      <c r="AV303" s="171"/>
      <c r="AW303" s="171"/>
      <c r="AX303" s="171"/>
      <c r="AY303" s="171"/>
      <c r="AZ303" s="171"/>
      <c r="BA303" s="171"/>
      <c r="BB303" s="171"/>
      <c r="BC303" s="171"/>
      <c r="BD303" s="171"/>
      <c r="BE303" s="171"/>
      <c r="BF303" s="225" t="s">
        <v>4174</v>
      </c>
      <c r="BG303" s="171" t="s">
        <v>7633</v>
      </c>
      <c r="BH303" s="171"/>
      <c r="BI303" s="171"/>
      <c r="BJ303" s="171"/>
      <c r="BK303" s="171"/>
      <c r="BL303" s="171"/>
      <c r="BM303" s="171"/>
      <c r="BN303" s="171"/>
      <c r="BO303" s="171"/>
      <c r="BP303" s="171"/>
      <c r="BQ303" s="171"/>
      <c r="BR303" s="171"/>
      <c r="BS303" s="171"/>
      <c r="BT303" s="171"/>
      <c r="BU303" s="171"/>
      <c r="BV303" s="171"/>
      <c r="BW303" s="171"/>
      <c r="BX303" s="171"/>
      <c r="BY303" s="171"/>
      <c r="BZ303" s="171"/>
      <c r="CA303" s="171"/>
      <c r="CB303" s="171"/>
      <c r="CC303" s="171"/>
      <c r="CD303" s="171"/>
      <c r="CE303" s="171"/>
      <c r="CF303" s="171"/>
      <c r="CG303" s="171"/>
      <c r="CH303" s="171"/>
      <c r="CI303" s="171"/>
      <c r="CJ303" s="171"/>
      <c r="CK303" s="171"/>
      <c r="CL303" s="171"/>
    </row>
    <row r="304" spans="1:91">
      <c r="A304" s="171">
        <v>226</v>
      </c>
      <c r="B304" s="171" t="s">
        <v>660</v>
      </c>
      <c r="C304" s="171">
        <v>350</v>
      </c>
      <c r="D304" s="171" t="str">
        <f t="shared" si="43"/>
        <v>CN NZ</v>
      </c>
      <c r="E304" s="171" t="s">
        <v>7228</v>
      </c>
      <c r="F304" s="174">
        <v>45482</v>
      </c>
      <c r="G304" s="171" t="s">
        <v>7220</v>
      </c>
      <c r="H304" s="173">
        <v>4698</v>
      </c>
      <c r="I304" s="171"/>
      <c r="J304" s="171" t="s">
        <v>4465</v>
      </c>
      <c r="K304" s="171" t="s">
        <v>207</v>
      </c>
      <c r="L304" s="171" t="s">
        <v>1994</v>
      </c>
      <c r="M304" s="171" t="s">
        <v>5032</v>
      </c>
      <c r="N304" s="171"/>
      <c r="O304" s="171"/>
      <c r="P304" s="171" t="s">
        <v>5032</v>
      </c>
      <c r="Q304" s="171"/>
      <c r="R304" s="171"/>
      <c r="S304" s="171"/>
      <c r="T304" s="171"/>
      <c r="U304" s="171"/>
      <c r="V304" s="175"/>
      <c r="W304" s="171"/>
      <c r="X304" s="171" t="s">
        <v>1957</v>
      </c>
      <c r="Y304" s="171" t="s">
        <v>7632</v>
      </c>
      <c r="Z304" s="171" t="s">
        <v>2220</v>
      </c>
      <c r="AA304" s="171" t="s">
        <v>1957</v>
      </c>
      <c r="AB304" s="171">
        <v>2030</v>
      </c>
      <c r="AC304" s="171">
        <v>2022</v>
      </c>
      <c r="AD304" s="171"/>
      <c r="AE304" s="171"/>
      <c r="AF304" s="171"/>
      <c r="AG304" s="171" t="s">
        <v>5032</v>
      </c>
      <c r="AH304" s="171">
        <v>2023</v>
      </c>
      <c r="AI304" s="171" t="s">
        <v>4174</v>
      </c>
      <c r="AJ304" s="171"/>
      <c r="AK304" s="171" t="s">
        <v>7629</v>
      </c>
      <c r="AL304" s="171" t="s">
        <v>7631</v>
      </c>
      <c r="AM304" s="171" t="s">
        <v>7630</v>
      </c>
      <c r="AN304" s="171" t="s">
        <v>5050</v>
      </c>
      <c r="AO304" s="171" t="s">
        <v>4284</v>
      </c>
      <c r="AP304" s="171" t="s">
        <v>2072</v>
      </c>
      <c r="AQ304" s="171" t="s">
        <v>5050</v>
      </c>
      <c r="AR304" s="171">
        <v>2050</v>
      </c>
      <c r="AS304" s="171">
        <v>2022</v>
      </c>
      <c r="AT304" s="171"/>
      <c r="AU304" s="171"/>
      <c r="AV304" s="171"/>
      <c r="AW304" s="171" t="s">
        <v>5032</v>
      </c>
      <c r="AX304" s="176" t="s">
        <v>7629</v>
      </c>
      <c r="AY304" s="171"/>
      <c r="AZ304" s="171"/>
      <c r="BA304" s="171"/>
      <c r="BB304" s="171"/>
      <c r="BC304" s="171"/>
      <c r="BD304" s="171"/>
      <c r="BE304" s="171"/>
      <c r="BF304" s="225" t="s">
        <v>4174</v>
      </c>
      <c r="BG304" s="171" t="s">
        <v>7628</v>
      </c>
      <c r="BH304" s="171"/>
      <c r="BI304" s="171"/>
      <c r="BJ304" s="171"/>
      <c r="BK304" s="171">
        <v>1</v>
      </c>
      <c r="BL304" s="171"/>
      <c r="BM304" s="171">
        <v>1</v>
      </c>
      <c r="BN304" s="171"/>
      <c r="BO304" s="171"/>
      <c r="BP304" s="171">
        <v>1</v>
      </c>
      <c r="BQ304" s="171">
        <v>1</v>
      </c>
      <c r="BR304" s="171"/>
      <c r="BS304" s="171"/>
      <c r="BT304" s="171"/>
      <c r="BU304" s="171"/>
      <c r="BV304" s="171"/>
      <c r="BW304" s="171"/>
      <c r="BX304" s="171"/>
      <c r="BY304" s="171"/>
      <c r="BZ304" s="171">
        <v>1</v>
      </c>
      <c r="CA304" s="171">
        <v>1</v>
      </c>
      <c r="CB304" s="171">
        <v>1</v>
      </c>
      <c r="CC304" s="171"/>
      <c r="CD304" s="171">
        <v>1</v>
      </c>
      <c r="CE304" s="171">
        <v>1</v>
      </c>
      <c r="CF304" s="171"/>
      <c r="CG304" s="171">
        <v>1</v>
      </c>
      <c r="CH304" s="171">
        <v>1</v>
      </c>
      <c r="CI304" s="171"/>
      <c r="CJ304" s="171"/>
      <c r="CK304" s="171">
        <v>1</v>
      </c>
      <c r="CL304" s="171">
        <v>1</v>
      </c>
      <c r="CM304">
        <f t="shared" si="44"/>
        <v>2050</v>
      </c>
    </row>
    <row r="305" spans="1:91">
      <c r="A305" s="171">
        <v>457</v>
      </c>
      <c r="B305" s="171" t="s">
        <v>5147</v>
      </c>
      <c r="C305" s="171">
        <v>475</v>
      </c>
      <c r="D305" s="171" t="str">
        <f t="shared" si="43"/>
        <v/>
      </c>
      <c r="E305" s="171" t="s">
        <v>7223</v>
      </c>
      <c r="F305" s="174">
        <v>45512</v>
      </c>
      <c r="G305" s="171" t="s">
        <v>7223</v>
      </c>
      <c r="H305" s="173">
        <v>1091</v>
      </c>
      <c r="I305" s="171"/>
      <c r="J305" s="171" t="s">
        <v>4201</v>
      </c>
      <c r="K305" s="171" t="s">
        <v>4457</v>
      </c>
      <c r="L305" s="171" t="s">
        <v>2029</v>
      </c>
      <c r="M305" s="171" t="s">
        <v>5032</v>
      </c>
      <c r="N305" s="171"/>
      <c r="O305" s="171"/>
      <c r="P305" s="171" t="s">
        <v>5032</v>
      </c>
      <c r="Q305" s="171"/>
      <c r="R305" s="171"/>
      <c r="S305" s="171"/>
      <c r="T305" s="171"/>
      <c r="U305" s="171"/>
      <c r="V305" s="175"/>
      <c r="W305" s="171"/>
      <c r="X305" s="171" t="s">
        <v>5032</v>
      </c>
      <c r="Y305" s="171"/>
      <c r="Z305" s="171"/>
      <c r="AA305" s="171" t="s">
        <v>5032</v>
      </c>
      <c r="AB305" s="171"/>
      <c r="AC305" s="171"/>
      <c r="AD305" s="171"/>
      <c r="AE305" s="171"/>
      <c r="AF305" s="171"/>
      <c r="AG305" s="171"/>
      <c r="AH305" s="171"/>
      <c r="AI305" s="171"/>
      <c r="AJ305" s="171"/>
      <c r="AK305" s="171"/>
      <c r="AL305" s="171"/>
      <c r="AM305" s="171"/>
      <c r="AN305" s="171" t="s">
        <v>5032</v>
      </c>
      <c r="AO305" s="171"/>
      <c r="AP305" s="171"/>
      <c r="AQ305" s="171" t="s">
        <v>5032</v>
      </c>
      <c r="AR305" s="171"/>
      <c r="AS305" s="171"/>
      <c r="AT305" s="171"/>
      <c r="AU305" s="171"/>
      <c r="AV305" s="171"/>
      <c r="AW305" s="171"/>
      <c r="AX305" s="171"/>
      <c r="AY305" s="171"/>
      <c r="AZ305" s="171"/>
      <c r="BA305" s="171"/>
      <c r="BB305" s="171"/>
      <c r="BC305" s="171"/>
      <c r="BD305" s="171"/>
      <c r="BE305" s="171"/>
      <c r="BF305" s="225"/>
      <c r="BG305" s="171"/>
      <c r="BH305" s="171"/>
      <c r="BI305" s="171"/>
      <c r="BJ305" s="171"/>
      <c r="BK305" s="171"/>
      <c r="BL305" s="171"/>
      <c r="BM305" s="171"/>
      <c r="BN305" s="171"/>
      <c r="BO305" s="171"/>
      <c r="BP305" s="171"/>
      <c r="BQ305" s="171"/>
      <c r="BR305" s="171"/>
      <c r="BS305" s="171"/>
      <c r="BT305" s="171"/>
      <c r="BU305" s="171"/>
      <c r="BV305" s="171"/>
      <c r="BW305" s="171"/>
      <c r="BX305" s="171"/>
      <c r="BY305" s="171"/>
      <c r="BZ305" s="171"/>
      <c r="CA305" s="171"/>
      <c r="CB305" s="171"/>
      <c r="CC305" s="171"/>
      <c r="CD305" s="171"/>
      <c r="CE305" s="171"/>
      <c r="CF305" s="171"/>
      <c r="CG305" s="171"/>
      <c r="CH305" s="171"/>
      <c r="CI305" s="171"/>
      <c r="CJ305" s="171"/>
      <c r="CK305" s="171"/>
      <c r="CL305" s="171"/>
    </row>
    <row r="306" spans="1:91">
      <c r="A306" s="171">
        <v>422</v>
      </c>
      <c r="B306" s="171" t="s">
        <v>150</v>
      </c>
      <c r="C306" s="171">
        <v>487</v>
      </c>
      <c r="D306" s="171" t="str">
        <f t="shared" si="43"/>
        <v xml:space="preserve"> NZ SBT</v>
      </c>
      <c r="E306" s="171" t="s">
        <v>7385</v>
      </c>
      <c r="F306" s="174">
        <v>45512</v>
      </c>
      <c r="G306" s="171" t="s">
        <v>7220</v>
      </c>
      <c r="H306" s="173">
        <v>4959</v>
      </c>
      <c r="I306" s="171"/>
      <c r="J306" s="171" t="s">
        <v>4455</v>
      </c>
      <c r="K306" s="171" t="s">
        <v>4457</v>
      </c>
      <c r="L306" s="171" t="s">
        <v>2029</v>
      </c>
      <c r="M306" s="171" t="s">
        <v>5032</v>
      </c>
      <c r="N306" s="171"/>
      <c r="O306" s="171"/>
      <c r="P306" s="171" t="s">
        <v>4174</v>
      </c>
      <c r="Q306" s="171" t="s">
        <v>22</v>
      </c>
      <c r="R306" s="171" t="s">
        <v>7233</v>
      </c>
      <c r="S306" s="171">
        <v>2030</v>
      </c>
      <c r="T306" s="171" t="s">
        <v>361</v>
      </c>
      <c r="U306" s="171">
        <v>2050</v>
      </c>
      <c r="V306" s="172">
        <v>45383</v>
      </c>
      <c r="W306" s="171">
        <v>2024</v>
      </c>
      <c r="X306" s="171" t="s">
        <v>5032</v>
      </c>
      <c r="Y306" s="171"/>
      <c r="Z306" s="171"/>
      <c r="AA306" s="171" t="s">
        <v>5032</v>
      </c>
      <c r="AB306" s="171"/>
      <c r="AC306" s="171"/>
      <c r="AD306" s="171"/>
      <c r="AE306" s="171"/>
      <c r="AF306" s="171"/>
      <c r="AG306" s="171"/>
      <c r="AH306" s="171"/>
      <c r="AI306" s="171"/>
      <c r="AJ306" s="171"/>
      <c r="AK306" s="171"/>
      <c r="AL306" s="171"/>
      <c r="AM306" s="171"/>
      <c r="AN306" s="171" t="s">
        <v>4172</v>
      </c>
      <c r="AO306" s="171" t="s">
        <v>4332</v>
      </c>
      <c r="AP306" s="171" t="s">
        <v>2072</v>
      </c>
      <c r="AQ306" s="171" t="s">
        <v>4172</v>
      </c>
      <c r="AR306" s="171">
        <v>2050</v>
      </c>
      <c r="AS306" s="171">
        <v>2021</v>
      </c>
      <c r="AT306" s="171"/>
      <c r="AU306" s="171"/>
      <c r="AV306" s="171"/>
      <c r="AW306" s="171" t="s">
        <v>2082</v>
      </c>
      <c r="AX306" s="171" t="s">
        <v>7627</v>
      </c>
      <c r="AY306" s="171"/>
      <c r="AZ306" s="171"/>
      <c r="BA306" s="171"/>
      <c r="BB306" s="171"/>
      <c r="BC306" s="171"/>
      <c r="BD306" s="171"/>
      <c r="BE306" s="171"/>
      <c r="BF306" s="225"/>
      <c r="BG306" s="171"/>
      <c r="BH306" s="171"/>
      <c r="BI306" s="171"/>
      <c r="BJ306" s="171"/>
      <c r="BK306" s="171"/>
      <c r="BL306" s="171"/>
      <c r="BM306" s="171"/>
      <c r="BN306" s="171"/>
      <c r="BO306" s="171"/>
      <c r="BP306" s="171">
        <v>1</v>
      </c>
      <c r="BQ306" s="171">
        <v>1</v>
      </c>
      <c r="BR306" s="171"/>
      <c r="BS306" s="171">
        <v>1</v>
      </c>
      <c r="BT306" s="171"/>
      <c r="BU306" s="171">
        <v>1</v>
      </c>
      <c r="BV306" s="171"/>
      <c r="BW306" s="171"/>
      <c r="BX306" s="171"/>
      <c r="BY306" s="171"/>
      <c r="BZ306" s="171">
        <v>1</v>
      </c>
      <c r="CA306" s="171"/>
      <c r="CB306" s="171">
        <v>1</v>
      </c>
      <c r="CC306" s="171"/>
      <c r="CD306" s="171"/>
      <c r="CE306" s="171">
        <v>1</v>
      </c>
      <c r="CF306" s="171"/>
      <c r="CG306" s="171">
        <v>1</v>
      </c>
      <c r="CH306" s="171">
        <v>1</v>
      </c>
      <c r="CI306" s="171"/>
      <c r="CJ306" s="171"/>
      <c r="CK306" s="171">
        <v>1</v>
      </c>
      <c r="CL306" s="171">
        <v>1</v>
      </c>
      <c r="CM306">
        <f t="shared" si="44"/>
        <v>2050</v>
      </c>
    </row>
    <row r="307" spans="1:91">
      <c r="A307" s="171">
        <v>111</v>
      </c>
      <c r="B307" s="171" t="s">
        <v>1106</v>
      </c>
      <c r="C307" s="171">
        <v>200</v>
      </c>
      <c r="D307" s="171" t="str">
        <f t="shared" si="43"/>
        <v>CN NZ RE100</v>
      </c>
      <c r="E307" s="171" t="s">
        <v>7228</v>
      </c>
      <c r="F307" s="174">
        <v>45477</v>
      </c>
      <c r="G307" s="171" t="s">
        <v>7220</v>
      </c>
      <c r="H307" s="173">
        <v>9087</v>
      </c>
      <c r="I307" s="171"/>
      <c r="J307" s="171" t="s">
        <v>4465</v>
      </c>
      <c r="K307" s="171" t="s">
        <v>4457</v>
      </c>
      <c r="L307" s="171" t="s">
        <v>2029</v>
      </c>
      <c r="M307" s="171" t="s">
        <v>4174</v>
      </c>
      <c r="N307" s="171">
        <v>2017</v>
      </c>
      <c r="O307" s="171">
        <v>2022</v>
      </c>
      <c r="P307" s="171" t="s">
        <v>5032</v>
      </c>
      <c r="Q307" s="171"/>
      <c r="R307" s="171"/>
      <c r="S307" s="171"/>
      <c r="T307" s="171"/>
      <c r="U307" s="171"/>
      <c r="V307" s="175"/>
      <c r="W307" s="171"/>
      <c r="X307" s="171" t="s">
        <v>1957</v>
      </c>
      <c r="Y307" s="171" t="s">
        <v>160</v>
      </c>
      <c r="Z307" s="171" t="s">
        <v>7225</v>
      </c>
      <c r="AA307" s="171" t="s">
        <v>1957</v>
      </c>
      <c r="AB307" s="171">
        <v>2022</v>
      </c>
      <c r="AC307" s="171">
        <v>2017</v>
      </c>
      <c r="AD307" s="171"/>
      <c r="AE307" s="171"/>
      <c r="AF307" s="171"/>
      <c r="AG307" s="171" t="s">
        <v>2082</v>
      </c>
      <c r="AH307" s="171">
        <v>2022</v>
      </c>
      <c r="AI307" s="171" t="s">
        <v>4174</v>
      </c>
      <c r="AJ307" s="176" t="s">
        <v>7625</v>
      </c>
      <c r="AK307" s="171"/>
      <c r="AL307" s="176" t="s">
        <v>7625</v>
      </c>
      <c r="AM307" s="171" t="s">
        <v>7626</v>
      </c>
      <c r="AN307" s="171" t="s">
        <v>5050</v>
      </c>
      <c r="AO307" s="171" t="s">
        <v>4284</v>
      </c>
      <c r="AP307" s="171" t="s">
        <v>7360</v>
      </c>
      <c r="AQ307" s="171" t="s">
        <v>5050</v>
      </c>
      <c r="AR307" s="171">
        <v>2050</v>
      </c>
      <c r="AS307" s="171">
        <v>2020</v>
      </c>
      <c r="AT307" s="171"/>
      <c r="AU307" s="171"/>
      <c r="AV307" s="171"/>
      <c r="AW307" s="171" t="s">
        <v>4174</v>
      </c>
      <c r="AX307" s="171" t="s">
        <v>7625</v>
      </c>
      <c r="AY307" s="171">
        <v>2022</v>
      </c>
      <c r="AZ307" s="171" t="s">
        <v>4174</v>
      </c>
      <c r="BA307" s="171" t="s">
        <v>7625</v>
      </c>
      <c r="BB307" s="171"/>
      <c r="BC307" s="171"/>
      <c r="BD307" s="171"/>
      <c r="BE307" s="171"/>
      <c r="BF307" s="225"/>
      <c r="BG307" s="171"/>
      <c r="BH307" s="171"/>
      <c r="BI307" s="171"/>
      <c r="BJ307" s="171">
        <v>1</v>
      </c>
      <c r="BK307" s="171"/>
      <c r="BL307" s="171"/>
      <c r="BM307" s="171">
        <v>1</v>
      </c>
      <c r="BN307" s="171"/>
      <c r="BO307" s="171"/>
      <c r="BP307" s="171">
        <v>1</v>
      </c>
      <c r="BQ307" s="171">
        <v>1</v>
      </c>
      <c r="BR307" s="171"/>
      <c r="BS307" s="171"/>
      <c r="BT307" s="171"/>
      <c r="BU307" s="171"/>
      <c r="BV307" s="171">
        <v>1</v>
      </c>
      <c r="BW307" s="171"/>
      <c r="BX307" s="171"/>
      <c r="BY307" s="171">
        <v>1</v>
      </c>
      <c r="BZ307" s="171">
        <v>1</v>
      </c>
      <c r="CA307" s="171">
        <v>1</v>
      </c>
      <c r="CB307" s="171">
        <v>1</v>
      </c>
      <c r="CC307" s="171">
        <v>1</v>
      </c>
      <c r="CD307" s="171"/>
      <c r="CE307" s="171">
        <v>1</v>
      </c>
      <c r="CF307" s="171">
        <v>1</v>
      </c>
      <c r="CG307" s="171">
        <v>1</v>
      </c>
      <c r="CH307" s="171">
        <v>1</v>
      </c>
      <c r="CI307" s="171"/>
      <c r="CJ307" s="171"/>
      <c r="CK307" s="171">
        <v>1</v>
      </c>
      <c r="CL307" s="171">
        <v>1</v>
      </c>
      <c r="CM307">
        <f t="shared" si="44"/>
        <v>2050</v>
      </c>
    </row>
    <row r="308" spans="1:91">
      <c r="A308" s="171">
        <v>338</v>
      </c>
      <c r="B308" s="171" t="s">
        <v>1098</v>
      </c>
      <c r="C308" s="171">
        <v>384</v>
      </c>
      <c r="D308" s="171" t="str">
        <f t="shared" si="43"/>
        <v xml:space="preserve"> NZ</v>
      </c>
      <c r="E308" s="171" t="s">
        <v>7220</v>
      </c>
      <c r="F308" s="174">
        <v>45481</v>
      </c>
      <c r="G308" s="171" t="s">
        <v>7220</v>
      </c>
      <c r="H308" s="173">
        <v>2555</v>
      </c>
      <c r="I308" s="171"/>
      <c r="J308" s="171" t="s">
        <v>4465</v>
      </c>
      <c r="K308" s="171" t="s">
        <v>207</v>
      </c>
      <c r="L308" s="171" t="s">
        <v>1994</v>
      </c>
      <c r="M308" s="171" t="s">
        <v>5032</v>
      </c>
      <c r="N308" s="171"/>
      <c r="O308" s="171"/>
      <c r="P308" s="171" t="s">
        <v>5032</v>
      </c>
      <c r="Q308" s="171" t="s">
        <v>7290</v>
      </c>
      <c r="R308" s="171"/>
      <c r="S308" s="171"/>
      <c r="T308" s="171" t="s">
        <v>1</v>
      </c>
      <c r="U308" s="171"/>
      <c r="V308" s="172">
        <v>42461</v>
      </c>
      <c r="W308" s="171">
        <v>2016</v>
      </c>
      <c r="X308" s="171" t="s">
        <v>5032</v>
      </c>
      <c r="Y308" s="171"/>
      <c r="Z308" s="171"/>
      <c r="AA308" s="171" t="s">
        <v>5032</v>
      </c>
      <c r="AB308" s="171"/>
      <c r="AC308" s="171"/>
      <c r="AD308" s="171"/>
      <c r="AE308" s="171"/>
      <c r="AF308" s="171"/>
      <c r="AG308" s="171"/>
      <c r="AH308" s="171"/>
      <c r="AI308" s="171"/>
      <c r="AJ308" s="171"/>
      <c r="AK308" s="171"/>
      <c r="AL308" s="171"/>
      <c r="AM308" s="171"/>
      <c r="AN308" s="171" t="s">
        <v>4172</v>
      </c>
      <c r="AO308" s="171" t="s">
        <v>1435</v>
      </c>
      <c r="AP308" s="171" t="s">
        <v>2072</v>
      </c>
      <c r="AQ308" s="171" t="s">
        <v>4172</v>
      </c>
      <c r="AR308" s="171">
        <v>2050</v>
      </c>
      <c r="AS308" s="171">
        <v>2021</v>
      </c>
      <c r="AT308" s="171"/>
      <c r="AU308" s="171"/>
      <c r="AV308" s="171"/>
      <c r="AW308" s="171" t="s">
        <v>2082</v>
      </c>
      <c r="AX308" s="171" t="s">
        <v>7624</v>
      </c>
      <c r="AY308" s="171"/>
      <c r="AZ308" s="171"/>
      <c r="BA308" s="171"/>
      <c r="BB308" s="171"/>
      <c r="BC308" s="171"/>
      <c r="BD308" s="171"/>
      <c r="BE308" s="171"/>
      <c r="BF308" s="225"/>
      <c r="BG308" s="171"/>
      <c r="BH308" s="171"/>
      <c r="BI308" s="171"/>
      <c r="BJ308" s="171"/>
      <c r="BK308" s="171"/>
      <c r="BL308" s="171"/>
      <c r="BM308" s="171"/>
      <c r="BN308" s="171"/>
      <c r="BO308" s="171"/>
      <c r="BP308" s="171">
        <v>1</v>
      </c>
      <c r="BQ308" s="171">
        <v>1</v>
      </c>
      <c r="BR308" s="171"/>
      <c r="BS308" s="171"/>
      <c r="BT308" s="171"/>
      <c r="BU308" s="171"/>
      <c r="BV308" s="171"/>
      <c r="BW308" s="171"/>
      <c r="BX308" s="171"/>
      <c r="BY308" s="171"/>
      <c r="BZ308" s="171">
        <v>1</v>
      </c>
      <c r="CA308" s="171"/>
      <c r="CB308" s="171">
        <v>1</v>
      </c>
      <c r="CC308" s="171"/>
      <c r="CD308" s="171"/>
      <c r="CE308" s="171">
        <v>1</v>
      </c>
      <c r="CF308" s="171"/>
      <c r="CG308" s="171"/>
      <c r="CH308" s="171">
        <v>1</v>
      </c>
      <c r="CI308" s="171"/>
      <c r="CJ308" s="171"/>
      <c r="CK308" s="171">
        <v>1</v>
      </c>
      <c r="CL308" s="171">
        <v>1</v>
      </c>
      <c r="CM308">
        <f t="shared" si="44"/>
        <v>2050</v>
      </c>
    </row>
    <row r="309" spans="1:91">
      <c r="A309" s="171">
        <v>215</v>
      </c>
      <c r="B309" s="171" t="s">
        <v>1351</v>
      </c>
      <c r="C309" s="171">
        <v>170</v>
      </c>
      <c r="D309" s="171" t="str">
        <f t="shared" si="43"/>
        <v>CN NZ</v>
      </c>
      <c r="E309" s="171" t="s">
        <v>7223</v>
      </c>
      <c r="F309" s="174">
        <v>45476</v>
      </c>
      <c r="G309" s="171" t="s">
        <v>7220</v>
      </c>
      <c r="H309" s="173">
        <v>4979.3999999999996</v>
      </c>
      <c r="I309" s="171"/>
      <c r="J309" s="171" t="s">
        <v>4465</v>
      </c>
      <c r="K309" s="171" t="s">
        <v>146</v>
      </c>
      <c r="L309" s="171" t="s">
        <v>1951</v>
      </c>
      <c r="M309" s="171" t="s">
        <v>5032</v>
      </c>
      <c r="N309" s="171"/>
      <c r="O309" s="171"/>
      <c r="P309" s="171" t="s">
        <v>5032</v>
      </c>
      <c r="Q309" s="171"/>
      <c r="R309" s="171"/>
      <c r="S309" s="171"/>
      <c r="T309" s="171"/>
      <c r="U309" s="171"/>
      <c r="V309" s="175"/>
      <c r="W309" s="171"/>
      <c r="X309" s="171" t="s">
        <v>1957</v>
      </c>
      <c r="Y309" s="171" t="s">
        <v>1659</v>
      </c>
      <c r="Z309" s="171" t="s">
        <v>3283</v>
      </c>
      <c r="AA309" s="171" t="s">
        <v>1957</v>
      </c>
      <c r="AB309" s="171">
        <v>2015</v>
      </c>
      <c r="AC309" s="171">
        <v>2015</v>
      </c>
      <c r="AD309" s="171"/>
      <c r="AE309" s="171"/>
      <c r="AF309" s="171"/>
      <c r="AG309" s="171" t="s">
        <v>4174</v>
      </c>
      <c r="AH309" s="171">
        <v>2024</v>
      </c>
      <c r="AI309" s="171" t="s">
        <v>4174</v>
      </c>
      <c r="AJ309" s="171" t="s">
        <v>7621</v>
      </c>
      <c r="AK309" s="171"/>
      <c r="AL309" s="176" t="s">
        <v>7623</v>
      </c>
      <c r="AM309" s="171"/>
      <c r="AN309" s="171" t="s">
        <v>7218</v>
      </c>
      <c r="AO309" s="171" t="s">
        <v>4284</v>
      </c>
      <c r="AP309" s="171" t="s">
        <v>7350</v>
      </c>
      <c r="AQ309" s="171" t="s">
        <v>1957</v>
      </c>
      <c r="AR309" s="171">
        <v>2030</v>
      </c>
      <c r="AS309" s="171">
        <v>2020</v>
      </c>
      <c r="AT309" s="171" t="s">
        <v>7622</v>
      </c>
      <c r="AU309" s="171">
        <v>2050</v>
      </c>
      <c r="AV309" s="171">
        <v>2020</v>
      </c>
      <c r="AW309" s="171" t="s">
        <v>4174</v>
      </c>
      <c r="AX309" s="171" t="s">
        <v>7620</v>
      </c>
      <c r="AY309" s="171"/>
      <c r="AZ309" s="171"/>
      <c r="BA309" s="171"/>
      <c r="BB309" s="171"/>
      <c r="BC309" s="171" t="s">
        <v>7621</v>
      </c>
      <c r="BD309" s="171" t="s">
        <v>4174</v>
      </c>
      <c r="BE309" s="171" t="s">
        <v>7620</v>
      </c>
      <c r="BF309" s="225" t="s">
        <v>5032</v>
      </c>
      <c r="BG309" s="171"/>
      <c r="BH309" s="171"/>
      <c r="BI309" s="171"/>
      <c r="BJ309" s="171">
        <v>1</v>
      </c>
      <c r="BK309" s="171"/>
      <c r="BL309" s="171"/>
      <c r="BM309" s="171">
        <v>1</v>
      </c>
      <c r="BN309" s="171"/>
      <c r="BO309" s="171">
        <v>1</v>
      </c>
      <c r="BP309" s="171"/>
      <c r="BQ309" s="171">
        <v>1</v>
      </c>
      <c r="BR309" s="171"/>
      <c r="BS309" s="171"/>
      <c r="BT309" s="171"/>
      <c r="BU309" s="171"/>
      <c r="BV309" s="171"/>
      <c r="BW309" s="171"/>
      <c r="BX309" s="171"/>
      <c r="BY309" s="171"/>
      <c r="BZ309" s="171">
        <v>1</v>
      </c>
      <c r="CA309" s="171">
        <v>1</v>
      </c>
      <c r="CB309" s="171">
        <v>1</v>
      </c>
      <c r="CC309" s="171">
        <v>1</v>
      </c>
      <c r="CD309" s="171"/>
      <c r="CE309" s="171">
        <v>1</v>
      </c>
      <c r="CF309" s="171">
        <v>1</v>
      </c>
      <c r="CG309" s="171">
        <v>1</v>
      </c>
      <c r="CH309" s="171">
        <v>1</v>
      </c>
      <c r="CI309" s="171"/>
      <c r="CJ309" s="171"/>
      <c r="CK309" s="171">
        <v>1</v>
      </c>
      <c r="CL309" s="171">
        <v>1</v>
      </c>
      <c r="CM309">
        <f t="shared" si="44"/>
        <v>2030</v>
      </c>
    </row>
    <row r="310" spans="1:91">
      <c r="A310" s="171">
        <v>449</v>
      </c>
      <c r="B310" s="171" t="s">
        <v>156</v>
      </c>
      <c r="C310" s="171"/>
      <c r="D310" s="171" t="str">
        <f t="shared" si="43"/>
        <v>CN NZ RE100</v>
      </c>
      <c r="E310" s="171" t="s">
        <v>7259</v>
      </c>
      <c r="F310" s="174">
        <v>45511</v>
      </c>
      <c r="G310" s="171"/>
      <c r="H310" s="173">
        <v>4934.3</v>
      </c>
      <c r="I310" s="171"/>
      <c r="J310" s="171" t="s">
        <v>4465</v>
      </c>
      <c r="K310" s="171" t="s">
        <v>161</v>
      </c>
      <c r="L310" s="171" t="s">
        <v>8320</v>
      </c>
      <c r="M310" s="171" t="s">
        <v>4174</v>
      </c>
      <c r="N310" s="171">
        <v>2018</v>
      </c>
      <c r="O310" s="171">
        <v>2025</v>
      </c>
      <c r="P310" s="171" t="s">
        <v>5032</v>
      </c>
      <c r="Q310" s="171"/>
      <c r="R310" s="171"/>
      <c r="S310" s="171"/>
      <c r="T310" s="171"/>
      <c r="U310" s="171"/>
      <c r="V310" s="175"/>
      <c r="W310" s="171"/>
      <c r="X310" s="171" t="s">
        <v>1957</v>
      </c>
      <c r="Y310" s="171" t="s">
        <v>7348</v>
      </c>
      <c r="Z310" s="171" t="s">
        <v>7225</v>
      </c>
      <c r="AA310" s="171" t="s">
        <v>1957</v>
      </c>
      <c r="AB310" s="171">
        <v>2010</v>
      </c>
      <c r="AC310" s="171">
        <v>2007</v>
      </c>
      <c r="AD310" s="171"/>
      <c r="AE310" s="171"/>
      <c r="AF310" s="171"/>
      <c r="AG310" s="171" t="s">
        <v>4174</v>
      </c>
      <c r="AH310" s="171">
        <v>2023</v>
      </c>
      <c r="AI310" s="171" t="s">
        <v>4174</v>
      </c>
      <c r="AJ310" s="176" t="s">
        <v>7618</v>
      </c>
      <c r="AK310" s="171"/>
      <c r="AL310" s="176" t="s">
        <v>7618</v>
      </c>
      <c r="AM310" s="171"/>
      <c r="AN310" s="171" t="s">
        <v>7414</v>
      </c>
      <c r="AO310" s="171" t="s">
        <v>7619</v>
      </c>
      <c r="AP310" s="171" t="s">
        <v>2072</v>
      </c>
      <c r="AQ310" s="171" t="s">
        <v>7414</v>
      </c>
      <c r="AR310" s="171">
        <v>2050</v>
      </c>
      <c r="AS310" s="171">
        <v>2022</v>
      </c>
      <c r="AT310" s="171"/>
      <c r="AU310" s="171"/>
      <c r="AV310" s="171"/>
      <c r="AW310" s="171" t="s">
        <v>4174</v>
      </c>
      <c r="AX310" s="171" t="s">
        <v>7618</v>
      </c>
      <c r="AY310" s="171"/>
      <c r="AZ310" s="171"/>
      <c r="BA310" s="171"/>
      <c r="BB310" s="171"/>
      <c r="BC310" s="171"/>
      <c r="BD310" s="171"/>
      <c r="BE310" s="171"/>
      <c r="BF310" s="225"/>
      <c r="BG310" s="171"/>
      <c r="BH310" s="171"/>
      <c r="BI310" s="171"/>
      <c r="BJ310" s="171">
        <v>1</v>
      </c>
      <c r="BK310" s="171"/>
      <c r="BL310" s="171"/>
      <c r="BM310" s="171">
        <v>1</v>
      </c>
      <c r="BN310" s="171"/>
      <c r="BO310" s="171"/>
      <c r="BP310" s="171">
        <v>1</v>
      </c>
      <c r="BQ310" s="171">
        <v>1</v>
      </c>
      <c r="BR310" s="171"/>
      <c r="BS310" s="171"/>
      <c r="BT310" s="171"/>
      <c r="BU310" s="171"/>
      <c r="BV310" s="171"/>
      <c r="BW310" s="171">
        <v>1</v>
      </c>
      <c r="BX310" s="171"/>
      <c r="BY310" s="171">
        <v>1</v>
      </c>
      <c r="BZ310" s="171">
        <v>1</v>
      </c>
      <c r="CA310" s="171">
        <v>1</v>
      </c>
      <c r="CB310" s="171">
        <v>1</v>
      </c>
      <c r="CC310" s="171">
        <v>1</v>
      </c>
      <c r="CD310" s="171"/>
      <c r="CE310" s="171">
        <v>1</v>
      </c>
      <c r="CF310" s="171">
        <v>1</v>
      </c>
      <c r="CG310" s="171">
        <v>1</v>
      </c>
      <c r="CH310" s="171">
        <v>1</v>
      </c>
      <c r="CI310" s="171"/>
      <c r="CJ310" s="171"/>
      <c r="CK310" s="171">
        <v>1</v>
      </c>
      <c r="CL310" s="171">
        <v>1</v>
      </c>
      <c r="CM310">
        <f t="shared" si="44"/>
        <v>2050</v>
      </c>
    </row>
    <row r="311" spans="1:91">
      <c r="A311" s="171">
        <v>254</v>
      </c>
      <c r="B311" s="171" t="s">
        <v>929</v>
      </c>
      <c r="C311" s="171">
        <v>275</v>
      </c>
      <c r="D311" s="171" t="str">
        <f t="shared" si="43"/>
        <v>CN NZ</v>
      </c>
      <c r="E311" s="171" t="s">
        <v>7228</v>
      </c>
      <c r="F311" s="174">
        <v>45477</v>
      </c>
      <c r="G311" s="171" t="s">
        <v>7223</v>
      </c>
      <c r="H311" s="173">
        <v>-45.2</v>
      </c>
      <c r="I311" s="171"/>
      <c r="J311" s="171" t="s">
        <v>4465</v>
      </c>
      <c r="K311" s="171" t="s">
        <v>4457</v>
      </c>
      <c r="L311" s="171" t="s">
        <v>2029</v>
      </c>
      <c r="M311" s="171" t="s">
        <v>5032</v>
      </c>
      <c r="N311" s="171"/>
      <c r="O311" s="171"/>
      <c r="P311" s="171" t="s">
        <v>5032</v>
      </c>
      <c r="Q311" s="171"/>
      <c r="R311" s="171"/>
      <c r="S311" s="171"/>
      <c r="T311" s="171"/>
      <c r="U311" s="171"/>
      <c r="V311" s="175"/>
      <c r="W311" s="171"/>
      <c r="X311" s="171" t="s">
        <v>1957</v>
      </c>
      <c r="Y311" s="171" t="s">
        <v>4511</v>
      </c>
      <c r="Z311" s="171" t="s">
        <v>3283</v>
      </c>
      <c r="AA311" s="171" t="s">
        <v>1957</v>
      </c>
      <c r="AB311" s="171">
        <v>2020</v>
      </c>
      <c r="AC311" s="171">
        <v>2022</v>
      </c>
      <c r="AD311" s="171"/>
      <c r="AE311" s="171"/>
      <c r="AF311" s="171"/>
      <c r="AG311" s="171" t="s">
        <v>4174</v>
      </c>
      <c r="AH311" s="171">
        <v>2023</v>
      </c>
      <c r="AI311" s="171" t="s">
        <v>5032</v>
      </c>
      <c r="AJ311" s="176" t="s">
        <v>7616</v>
      </c>
      <c r="AK311" s="171"/>
      <c r="AL311" s="171" t="s">
        <v>5998</v>
      </c>
      <c r="AM311" s="171" t="s">
        <v>7617</v>
      </c>
      <c r="AN311" s="171" t="s">
        <v>4172</v>
      </c>
      <c r="AO311" s="171" t="s">
        <v>4259</v>
      </c>
      <c r="AP311" s="171" t="s">
        <v>2072</v>
      </c>
      <c r="AQ311" s="171" t="s">
        <v>4172</v>
      </c>
      <c r="AR311" s="171">
        <v>2050</v>
      </c>
      <c r="AS311" s="171">
        <v>2021</v>
      </c>
      <c r="AT311" s="171"/>
      <c r="AU311" s="171"/>
      <c r="AV311" s="171"/>
      <c r="AW311" s="171" t="s">
        <v>4174</v>
      </c>
      <c r="AX311" s="171" t="s">
        <v>7616</v>
      </c>
      <c r="AY311" s="171">
        <v>2023</v>
      </c>
      <c r="AZ311" s="171" t="s">
        <v>4174</v>
      </c>
      <c r="BA311" s="171" t="s">
        <v>7616</v>
      </c>
      <c r="BB311" s="171"/>
      <c r="BC311" s="171" t="s">
        <v>7615</v>
      </c>
      <c r="BD311" s="171"/>
      <c r="BE311" s="171"/>
      <c r="BF311" s="225"/>
      <c r="BG311" s="171"/>
      <c r="BH311" s="171"/>
      <c r="BI311" s="171"/>
      <c r="BJ311" s="171">
        <v>1</v>
      </c>
      <c r="BK311" s="171"/>
      <c r="BL311" s="171"/>
      <c r="BM311" s="171">
        <v>1</v>
      </c>
      <c r="BN311" s="171"/>
      <c r="BO311" s="171"/>
      <c r="BP311" s="171">
        <v>1</v>
      </c>
      <c r="BQ311" s="171">
        <v>1</v>
      </c>
      <c r="BR311" s="171"/>
      <c r="BS311" s="171"/>
      <c r="BT311" s="171"/>
      <c r="BU311" s="171"/>
      <c r="BV311" s="171"/>
      <c r="BW311" s="171"/>
      <c r="BX311" s="171"/>
      <c r="BY311" s="171"/>
      <c r="BZ311" s="171">
        <v>1</v>
      </c>
      <c r="CA311" s="171">
        <v>1</v>
      </c>
      <c r="CB311" s="171">
        <v>1</v>
      </c>
      <c r="CC311" s="171">
        <v>1</v>
      </c>
      <c r="CD311" s="171"/>
      <c r="CE311" s="171">
        <v>1</v>
      </c>
      <c r="CF311" s="171">
        <v>1</v>
      </c>
      <c r="CG311" s="171">
        <v>1</v>
      </c>
      <c r="CH311" s="171">
        <v>1</v>
      </c>
      <c r="CI311" s="171"/>
      <c r="CJ311" s="171"/>
      <c r="CK311" s="171">
        <v>1</v>
      </c>
      <c r="CL311" s="171">
        <v>1</v>
      </c>
      <c r="CM311">
        <f t="shared" si="44"/>
        <v>2050</v>
      </c>
    </row>
    <row r="312" spans="1:91">
      <c r="A312" s="171">
        <v>96</v>
      </c>
      <c r="B312" s="171" t="s">
        <v>2753</v>
      </c>
      <c r="C312" s="171">
        <v>106</v>
      </c>
      <c r="D312" s="171" t="str">
        <f t="shared" si="43"/>
        <v xml:space="preserve"> NZ SBT RE100</v>
      </c>
      <c r="E312" s="171" t="s">
        <v>7228</v>
      </c>
      <c r="F312" s="174">
        <v>45475</v>
      </c>
      <c r="G312" s="171" t="s">
        <v>7220</v>
      </c>
      <c r="H312" s="173">
        <v>12475.4</v>
      </c>
      <c r="I312" s="171"/>
      <c r="J312" s="171" t="s">
        <v>4455</v>
      </c>
      <c r="K312" s="171" t="s">
        <v>287</v>
      </c>
      <c r="L312" s="171" t="s">
        <v>1951</v>
      </c>
      <c r="M312" s="171" t="s">
        <v>4174</v>
      </c>
      <c r="N312" s="171">
        <v>2014</v>
      </c>
      <c r="O312" s="171">
        <v>2025</v>
      </c>
      <c r="P312" s="171" t="s">
        <v>4174</v>
      </c>
      <c r="Q312" s="171" t="s">
        <v>22</v>
      </c>
      <c r="R312" s="171" t="s">
        <v>7233</v>
      </c>
      <c r="S312" s="171">
        <v>2030</v>
      </c>
      <c r="T312" s="171" t="s">
        <v>361</v>
      </c>
      <c r="U312" s="171">
        <v>2050</v>
      </c>
      <c r="V312" s="172">
        <v>45261</v>
      </c>
      <c r="W312" s="171">
        <v>2023</v>
      </c>
      <c r="X312" s="171" t="s">
        <v>5032</v>
      </c>
      <c r="Y312" s="171"/>
      <c r="Z312" s="171"/>
      <c r="AA312" s="171" t="s">
        <v>5032</v>
      </c>
      <c r="AB312" s="171"/>
      <c r="AC312" s="171"/>
      <c r="AD312" s="171"/>
      <c r="AE312" s="171"/>
      <c r="AF312" s="171"/>
      <c r="AG312" s="171"/>
      <c r="AH312" s="171"/>
      <c r="AI312" s="171"/>
      <c r="AJ312" s="171"/>
      <c r="AK312" s="171"/>
      <c r="AL312" s="171"/>
      <c r="AM312" s="171"/>
      <c r="AN312" s="171" t="s">
        <v>4172</v>
      </c>
      <c r="AO312" s="171" t="s">
        <v>7614</v>
      </c>
      <c r="AP312" s="171" t="s">
        <v>2072</v>
      </c>
      <c r="AQ312" s="171" t="s">
        <v>4172</v>
      </c>
      <c r="AR312" s="171">
        <v>2050</v>
      </c>
      <c r="AS312" s="171">
        <v>2020</v>
      </c>
      <c r="AT312" s="171"/>
      <c r="AU312" s="171"/>
      <c r="AV312" s="171"/>
      <c r="AW312" s="171" t="s">
        <v>4174</v>
      </c>
      <c r="AX312" s="171" t="s">
        <v>7613</v>
      </c>
      <c r="AY312" s="171">
        <v>2023</v>
      </c>
      <c r="AZ312" s="171" t="s">
        <v>4174</v>
      </c>
      <c r="BA312" s="171" t="s">
        <v>7613</v>
      </c>
      <c r="BB312" s="171"/>
      <c r="BC312" s="171" t="s">
        <v>7612</v>
      </c>
      <c r="BD312" s="171"/>
      <c r="BE312" s="171"/>
      <c r="BF312" s="225"/>
      <c r="BG312" s="171"/>
      <c r="BH312" s="171" t="s">
        <v>7611</v>
      </c>
      <c r="BI312" s="171" t="s">
        <v>7610</v>
      </c>
      <c r="BJ312" s="171"/>
      <c r="BK312" s="171"/>
      <c r="BL312" s="171"/>
      <c r="BM312" s="171"/>
      <c r="BN312" s="171"/>
      <c r="BO312" s="171"/>
      <c r="BP312" s="171">
        <v>1</v>
      </c>
      <c r="BQ312" s="171">
        <v>1</v>
      </c>
      <c r="BR312" s="171"/>
      <c r="BS312" s="171">
        <v>1</v>
      </c>
      <c r="BT312" s="171"/>
      <c r="BU312" s="171">
        <v>1</v>
      </c>
      <c r="BV312" s="171"/>
      <c r="BW312" s="171">
        <v>1</v>
      </c>
      <c r="BX312" s="171"/>
      <c r="BY312" s="171">
        <v>1</v>
      </c>
      <c r="BZ312" s="171">
        <v>1</v>
      </c>
      <c r="CA312" s="171"/>
      <c r="CB312" s="171">
        <v>1</v>
      </c>
      <c r="CC312" s="171">
        <v>1</v>
      </c>
      <c r="CD312" s="171"/>
      <c r="CE312" s="171">
        <v>1</v>
      </c>
      <c r="CF312" s="171"/>
      <c r="CG312" s="171">
        <v>1</v>
      </c>
      <c r="CH312" s="171">
        <v>1</v>
      </c>
      <c r="CI312" s="171"/>
      <c r="CJ312" s="171"/>
      <c r="CK312" s="171">
        <v>1</v>
      </c>
      <c r="CL312" s="171">
        <v>1</v>
      </c>
      <c r="CM312">
        <f t="shared" si="44"/>
        <v>2050</v>
      </c>
    </row>
    <row r="313" spans="1:91">
      <c r="A313" s="171">
        <v>468</v>
      </c>
      <c r="B313" s="171" t="s">
        <v>4278</v>
      </c>
      <c r="C313" s="171">
        <v>484</v>
      </c>
      <c r="D313" s="171" t="str">
        <f t="shared" si="43"/>
        <v xml:space="preserve"> NZ SBT</v>
      </c>
      <c r="E313" s="171" t="s">
        <v>7259</v>
      </c>
      <c r="F313" s="174">
        <v>45511</v>
      </c>
      <c r="G313" s="171" t="s">
        <v>7220</v>
      </c>
      <c r="H313" s="173">
        <v>5408</v>
      </c>
      <c r="I313" s="171"/>
      <c r="J313" s="171" t="s">
        <v>4190</v>
      </c>
      <c r="K313" s="171" t="s">
        <v>4457</v>
      </c>
      <c r="L313" s="171" t="s">
        <v>2029</v>
      </c>
      <c r="M313" s="171" t="s">
        <v>5032</v>
      </c>
      <c r="N313" s="171"/>
      <c r="O313" s="171"/>
      <c r="P313" s="171" t="s">
        <v>4174</v>
      </c>
      <c r="Q313" s="171" t="s">
        <v>22</v>
      </c>
      <c r="R313" s="171" t="s">
        <v>7233</v>
      </c>
      <c r="S313" s="171">
        <v>2030</v>
      </c>
      <c r="T313" s="171" t="s">
        <v>1</v>
      </c>
      <c r="U313" s="171"/>
      <c r="V313" s="172">
        <v>44986</v>
      </c>
      <c r="W313" s="171">
        <v>2023</v>
      </c>
      <c r="X313" s="171" t="s">
        <v>5032</v>
      </c>
      <c r="Y313" s="171"/>
      <c r="Z313" s="171"/>
      <c r="AA313" s="171" t="s">
        <v>5032</v>
      </c>
      <c r="AB313" s="171"/>
      <c r="AC313" s="171"/>
      <c r="AD313" s="171"/>
      <c r="AE313" s="171"/>
      <c r="AF313" s="171"/>
      <c r="AG313" s="171"/>
      <c r="AH313" s="171"/>
      <c r="AI313" s="171"/>
      <c r="AJ313" s="171"/>
      <c r="AK313" s="171"/>
      <c r="AL313" s="171"/>
      <c r="AM313" s="171"/>
      <c r="AN313" s="171" t="s">
        <v>4172</v>
      </c>
      <c r="AO313" s="171" t="s">
        <v>2760</v>
      </c>
      <c r="AP313" s="171" t="s">
        <v>2072</v>
      </c>
      <c r="AQ313" s="171" t="s">
        <v>4172</v>
      </c>
      <c r="AR313" s="171">
        <v>2022</v>
      </c>
      <c r="AS313" s="171">
        <v>2021</v>
      </c>
      <c r="AT313" s="171"/>
      <c r="AU313" s="171"/>
      <c r="AV313" s="171"/>
      <c r="AW313" s="171" t="s">
        <v>7247</v>
      </c>
      <c r="AX313" s="171" t="s">
        <v>7609</v>
      </c>
      <c r="AY313" s="171"/>
      <c r="AZ313" s="171"/>
      <c r="BA313" s="171"/>
      <c r="BB313" s="171"/>
      <c r="BC313" s="171"/>
      <c r="BD313" s="171"/>
      <c r="BE313" s="171"/>
      <c r="BF313" s="225"/>
      <c r="BG313" s="171"/>
      <c r="BH313" s="171"/>
      <c r="BI313" s="171"/>
      <c r="BJ313" s="171"/>
      <c r="BK313" s="171"/>
      <c r="BL313" s="171"/>
      <c r="BM313" s="171"/>
      <c r="BN313" s="171">
        <v>1</v>
      </c>
      <c r="BO313" s="171"/>
      <c r="BP313" s="171"/>
      <c r="BQ313" s="171">
        <v>1</v>
      </c>
      <c r="BR313" s="171"/>
      <c r="BS313" s="171">
        <v>1</v>
      </c>
      <c r="BT313" s="171"/>
      <c r="BU313" s="171">
        <v>1</v>
      </c>
      <c r="BV313" s="171"/>
      <c r="BW313" s="171"/>
      <c r="BX313" s="171"/>
      <c r="BY313" s="171"/>
      <c r="BZ313" s="171">
        <v>1</v>
      </c>
      <c r="CA313" s="171">
        <v>1</v>
      </c>
      <c r="CB313" s="171">
        <v>1</v>
      </c>
      <c r="CC313" s="171">
        <v>1</v>
      </c>
      <c r="CD313" s="171"/>
      <c r="CE313" s="171">
        <v>1</v>
      </c>
      <c r="CF313" s="171">
        <v>1</v>
      </c>
      <c r="CG313" s="171">
        <v>1</v>
      </c>
      <c r="CH313" s="171">
        <v>1</v>
      </c>
      <c r="CI313" s="171">
        <v>1</v>
      </c>
      <c r="CJ313" s="171"/>
      <c r="CK313" s="171"/>
      <c r="CL313" s="171">
        <v>1</v>
      </c>
      <c r="CM313">
        <f t="shared" si="44"/>
        <v>2022</v>
      </c>
    </row>
    <row r="314" spans="1:91">
      <c r="A314" s="171">
        <v>378</v>
      </c>
      <c r="B314" s="171" t="s">
        <v>4275</v>
      </c>
      <c r="C314" s="171">
        <v>363</v>
      </c>
      <c r="D314" s="171" t="str">
        <f t="shared" si="43"/>
        <v/>
      </c>
      <c r="E314" s="171" t="s">
        <v>7220</v>
      </c>
      <c r="F314" s="174">
        <v>45481</v>
      </c>
      <c r="G314" s="171" t="s">
        <v>7220</v>
      </c>
      <c r="H314" s="173">
        <v>-93</v>
      </c>
      <c r="I314" s="171"/>
      <c r="J314" s="171" t="s">
        <v>4455</v>
      </c>
      <c r="K314" s="171" t="s">
        <v>73</v>
      </c>
      <c r="L314" s="171" t="s">
        <v>1994</v>
      </c>
      <c r="M314" s="171" t="s">
        <v>5032</v>
      </c>
      <c r="N314" s="171"/>
      <c r="O314" s="171"/>
      <c r="P314" s="171" t="s">
        <v>5032</v>
      </c>
      <c r="Q314" s="171"/>
      <c r="R314" s="171"/>
      <c r="S314" s="171"/>
      <c r="T314" s="171"/>
      <c r="U314" s="171"/>
      <c r="V314" s="175"/>
      <c r="W314" s="171"/>
      <c r="X314" s="171" t="s">
        <v>5032</v>
      </c>
      <c r="Y314" s="171"/>
      <c r="Z314" s="171"/>
      <c r="AA314" s="171" t="s">
        <v>5032</v>
      </c>
      <c r="AB314" s="171"/>
      <c r="AC314" s="171"/>
      <c r="AD314" s="171"/>
      <c r="AE314" s="171"/>
      <c r="AF314" s="171"/>
      <c r="AG314" s="171"/>
      <c r="AH314" s="171"/>
      <c r="AI314" s="171"/>
      <c r="AJ314" s="171"/>
      <c r="AK314" s="171"/>
      <c r="AL314" s="171"/>
      <c r="AM314" s="171"/>
      <c r="AN314" s="171" t="s">
        <v>5032</v>
      </c>
      <c r="AO314" s="171"/>
      <c r="AP314" s="171"/>
      <c r="AQ314" s="171" t="s">
        <v>5032</v>
      </c>
      <c r="AR314" s="171"/>
      <c r="AS314" s="171"/>
      <c r="AT314" s="171"/>
      <c r="AU314" s="171"/>
      <c r="AV314" s="171"/>
      <c r="AW314" s="171"/>
      <c r="AX314" s="171"/>
      <c r="AY314" s="171"/>
      <c r="AZ314" s="171"/>
      <c r="BA314" s="171"/>
      <c r="BB314" s="171"/>
      <c r="BC314" s="171"/>
      <c r="BD314" s="171"/>
      <c r="BE314" s="171"/>
      <c r="BF314" s="225"/>
      <c r="BG314" s="171"/>
      <c r="BH314" s="171"/>
      <c r="BI314" s="171"/>
      <c r="BJ314" s="171"/>
      <c r="BK314" s="171"/>
      <c r="BL314" s="171"/>
      <c r="BM314" s="171"/>
      <c r="BN314" s="171"/>
      <c r="BO314" s="171"/>
      <c r="BP314" s="171"/>
      <c r="BQ314" s="171"/>
      <c r="BR314" s="171"/>
      <c r="BS314" s="171"/>
      <c r="BT314" s="171"/>
      <c r="BU314" s="171"/>
      <c r="BV314" s="171"/>
      <c r="BW314" s="171"/>
      <c r="BX314" s="171"/>
      <c r="BY314" s="171"/>
      <c r="BZ314" s="171"/>
      <c r="CA314" s="171"/>
      <c r="CB314" s="171"/>
      <c r="CC314" s="171"/>
      <c r="CD314" s="171"/>
      <c r="CE314" s="171"/>
      <c r="CF314" s="171"/>
      <c r="CG314" s="171"/>
      <c r="CH314" s="171"/>
      <c r="CI314" s="171"/>
      <c r="CJ314" s="171"/>
      <c r="CK314" s="171"/>
      <c r="CL314" s="171"/>
    </row>
    <row r="315" spans="1:91">
      <c r="A315" s="171">
        <v>260</v>
      </c>
      <c r="B315" s="171" t="s">
        <v>938</v>
      </c>
      <c r="C315" s="171">
        <v>238</v>
      </c>
      <c r="D315" s="171" t="str">
        <f t="shared" si="43"/>
        <v xml:space="preserve"> NZ</v>
      </c>
      <c r="E315" s="171" t="s">
        <v>7221</v>
      </c>
      <c r="F315" s="174">
        <v>45477</v>
      </c>
      <c r="G315" s="171" t="s">
        <v>7220</v>
      </c>
      <c r="H315" s="173">
        <v>804.6</v>
      </c>
      <c r="I315" s="171"/>
      <c r="J315" s="171" t="s">
        <v>4465</v>
      </c>
      <c r="K315" s="171" t="s">
        <v>4457</v>
      </c>
      <c r="L315" s="171" t="s">
        <v>2029</v>
      </c>
      <c r="M315" s="171" t="s">
        <v>5032</v>
      </c>
      <c r="N315" s="171"/>
      <c r="O315" s="171"/>
      <c r="P315" s="171" t="s">
        <v>5032</v>
      </c>
      <c r="Q315" s="171"/>
      <c r="R315" s="171"/>
      <c r="S315" s="171"/>
      <c r="T315" s="171"/>
      <c r="U315" s="171"/>
      <c r="V315" s="175"/>
      <c r="W315" s="171"/>
      <c r="X315" s="171" t="s">
        <v>5032</v>
      </c>
      <c r="Y315" s="171"/>
      <c r="Z315" s="171"/>
      <c r="AA315" s="171" t="s">
        <v>5032</v>
      </c>
      <c r="AB315" s="171"/>
      <c r="AC315" s="171"/>
      <c r="AD315" s="171"/>
      <c r="AE315" s="171"/>
      <c r="AF315" s="171"/>
      <c r="AG315" s="171"/>
      <c r="AH315" s="171"/>
      <c r="AI315" s="171"/>
      <c r="AJ315" s="171"/>
      <c r="AK315" s="171"/>
      <c r="AL315" s="171"/>
      <c r="AM315" s="171"/>
      <c r="AN315" s="171" t="s">
        <v>7414</v>
      </c>
      <c r="AO315" s="171" t="s">
        <v>7608</v>
      </c>
      <c r="AP315" s="171" t="s">
        <v>7594</v>
      </c>
      <c r="AQ315" s="171" t="s">
        <v>7414</v>
      </c>
      <c r="AR315" s="171">
        <v>2050</v>
      </c>
      <c r="AS315" s="171">
        <v>2021</v>
      </c>
      <c r="AT315" s="171"/>
      <c r="AU315" s="171"/>
      <c r="AV315" s="171"/>
      <c r="AW315" s="171" t="s">
        <v>4174</v>
      </c>
      <c r="AX315" s="171" t="s">
        <v>6156</v>
      </c>
      <c r="AY315" s="171"/>
      <c r="AZ315" s="171"/>
      <c r="BA315" s="171"/>
      <c r="BB315" s="171"/>
      <c r="BC315" s="171"/>
      <c r="BD315" s="171"/>
      <c r="BE315" s="171"/>
      <c r="BF315" s="225"/>
      <c r="BG315" s="171"/>
      <c r="BH315" s="171"/>
      <c r="BI315" s="171"/>
      <c r="BJ315" s="171"/>
      <c r="BK315" s="171"/>
      <c r="BL315" s="171"/>
      <c r="BM315" s="171"/>
      <c r="BN315" s="171"/>
      <c r="BO315" s="171"/>
      <c r="BP315" s="171">
        <v>1</v>
      </c>
      <c r="BQ315" s="171">
        <v>1</v>
      </c>
      <c r="BR315" s="171"/>
      <c r="BS315" s="171"/>
      <c r="BT315" s="171"/>
      <c r="BU315" s="171"/>
      <c r="BV315" s="171"/>
      <c r="BW315" s="171"/>
      <c r="BX315" s="171"/>
      <c r="BY315" s="171"/>
      <c r="BZ315" s="171">
        <v>1</v>
      </c>
      <c r="CA315" s="171"/>
      <c r="CB315" s="171">
        <v>1</v>
      </c>
      <c r="CC315" s="171">
        <v>1</v>
      </c>
      <c r="CD315" s="171"/>
      <c r="CE315" s="171">
        <v>1</v>
      </c>
      <c r="CF315" s="171"/>
      <c r="CG315" s="171"/>
      <c r="CH315" s="171">
        <v>1</v>
      </c>
      <c r="CI315" s="171"/>
      <c r="CJ315" s="171"/>
      <c r="CK315" s="171">
        <v>1</v>
      </c>
      <c r="CL315" s="171">
        <v>1</v>
      </c>
      <c r="CM315">
        <f t="shared" si="44"/>
        <v>2050</v>
      </c>
    </row>
    <row r="316" spans="1:91">
      <c r="A316" s="171">
        <v>288</v>
      </c>
      <c r="B316" s="171" t="s">
        <v>693</v>
      </c>
      <c r="C316" s="171">
        <v>308</v>
      </c>
      <c r="D316" s="171" t="str">
        <f t="shared" si="43"/>
        <v xml:space="preserve"> NZ SBT RE100</v>
      </c>
      <c r="E316" s="171" t="s">
        <v>7228</v>
      </c>
      <c r="F316" s="174">
        <v>45481</v>
      </c>
      <c r="G316" s="171" t="s">
        <v>7223</v>
      </c>
      <c r="H316" s="173">
        <v>5070</v>
      </c>
      <c r="I316" s="171"/>
      <c r="J316" s="171" t="s">
        <v>4643</v>
      </c>
      <c r="K316" s="171" t="s">
        <v>4457</v>
      </c>
      <c r="L316" s="171" t="s">
        <v>2029</v>
      </c>
      <c r="M316" s="171" t="s">
        <v>4174</v>
      </c>
      <c r="N316" s="171">
        <v>2015</v>
      </c>
      <c r="O316" s="171">
        <v>2025</v>
      </c>
      <c r="P316" s="171" t="s">
        <v>4174</v>
      </c>
      <c r="Q316" s="171" t="s">
        <v>22</v>
      </c>
      <c r="R316" s="171" t="s">
        <v>7233</v>
      </c>
      <c r="S316" s="171">
        <v>2030</v>
      </c>
      <c r="T316" s="171" t="s">
        <v>1</v>
      </c>
      <c r="U316" s="171"/>
      <c r="V316" s="172">
        <v>43709</v>
      </c>
      <c r="W316" s="171">
        <v>2019</v>
      </c>
      <c r="X316" s="171" t="s">
        <v>5032</v>
      </c>
      <c r="Y316" s="171"/>
      <c r="Z316" s="171"/>
      <c r="AA316" s="171" t="s">
        <v>5032</v>
      </c>
      <c r="AB316" s="171"/>
      <c r="AC316" s="171"/>
      <c r="AD316" s="171"/>
      <c r="AE316" s="171"/>
      <c r="AF316" s="171"/>
      <c r="AG316" s="171"/>
      <c r="AH316" s="171"/>
      <c r="AI316" s="171"/>
      <c r="AJ316" s="171"/>
      <c r="AK316" s="171"/>
      <c r="AL316" s="171"/>
      <c r="AM316" s="171"/>
      <c r="AN316" s="171" t="s">
        <v>4172</v>
      </c>
      <c r="AO316" s="171" t="s">
        <v>7607</v>
      </c>
      <c r="AP316" s="171" t="s">
        <v>2072</v>
      </c>
      <c r="AQ316" s="171" t="s">
        <v>4172</v>
      </c>
      <c r="AR316" s="171">
        <v>2050</v>
      </c>
      <c r="AS316" s="171">
        <v>2019</v>
      </c>
      <c r="AT316" s="171"/>
      <c r="AU316" s="171"/>
      <c r="AV316" s="171"/>
      <c r="AW316" s="171" t="s">
        <v>4174</v>
      </c>
      <c r="AX316" s="171" t="s">
        <v>5850</v>
      </c>
      <c r="AY316" s="171"/>
      <c r="AZ316" s="171"/>
      <c r="BA316" s="171"/>
      <c r="BB316" s="171"/>
      <c r="BC316" s="171"/>
      <c r="BD316" s="171" t="s">
        <v>4172</v>
      </c>
      <c r="BE316" s="171" t="s">
        <v>7606</v>
      </c>
      <c r="BF316" s="225" t="s">
        <v>4174</v>
      </c>
      <c r="BG316" s="171" t="s">
        <v>7606</v>
      </c>
      <c r="BH316" s="171"/>
      <c r="BI316" s="171"/>
      <c r="BJ316" s="171"/>
      <c r="BK316" s="171"/>
      <c r="BL316" s="171"/>
      <c r="BM316" s="171"/>
      <c r="BN316" s="171"/>
      <c r="BO316" s="171"/>
      <c r="BP316" s="171">
        <v>1</v>
      </c>
      <c r="BQ316" s="171">
        <v>1</v>
      </c>
      <c r="BR316" s="171"/>
      <c r="BS316" s="171">
        <v>1</v>
      </c>
      <c r="BT316" s="171"/>
      <c r="BU316" s="171">
        <v>1</v>
      </c>
      <c r="BV316" s="171"/>
      <c r="BW316" s="171">
        <v>1</v>
      </c>
      <c r="BX316" s="171"/>
      <c r="BY316" s="171">
        <v>1</v>
      </c>
      <c r="BZ316" s="171">
        <v>1</v>
      </c>
      <c r="CA316" s="171"/>
      <c r="CB316" s="171">
        <v>1</v>
      </c>
      <c r="CC316" s="171">
        <v>1</v>
      </c>
      <c r="CD316" s="171"/>
      <c r="CE316" s="171">
        <v>1</v>
      </c>
      <c r="CF316" s="171"/>
      <c r="CG316" s="171">
        <v>1</v>
      </c>
      <c r="CH316" s="171">
        <v>1</v>
      </c>
      <c r="CI316" s="171"/>
      <c r="CJ316" s="171"/>
      <c r="CK316" s="171">
        <v>1</v>
      </c>
      <c r="CL316" s="171">
        <v>1</v>
      </c>
      <c r="CM316">
        <f t="shared" si="44"/>
        <v>2050</v>
      </c>
    </row>
    <row r="317" spans="1:91">
      <c r="A317" s="171">
        <v>144</v>
      </c>
      <c r="B317" s="171" t="s">
        <v>1421</v>
      </c>
      <c r="C317" s="171">
        <v>181</v>
      </c>
      <c r="D317" s="171" t="str">
        <f t="shared" si="43"/>
        <v xml:space="preserve"> NZ RE100</v>
      </c>
      <c r="E317" s="171" t="s">
        <v>7223</v>
      </c>
      <c r="F317" s="174">
        <v>45476</v>
      </c>
      <c r="G317" s="171" t="s">
        <v>7220</v>
      </c>
      <c r="H317" s="173">
        <v>2854</v>
      </c>
      <c r="I317" s="171"/>
      <c r="J317" s="171" t="s">
        <v>4465</v>
      </c>
      <c r="K317" s="171" t="s">
        <v>207</v>
      </c>
      <c r="L317" s="171" t="s">
        <v>1994</v>
      </c>
      <c r="M317" s="171" t="s">
        <v>4174</v>
      </c>
      <c r="N317" s="171">
        <v>2024</v>
      </c>
      <c r="O317" s="171">
        <v>2040</v>
      </c>
      <c r="P317" s="171" t="s">
        <v>5032</v>
      </c>
      <c r="Q317" s="171"/>
      <c r="R317" s="171"/>
      <c r="S317" s="171"/>
      <c r="T317" s="171"/>
      <c r="U317" s="171"/>
      <c r="V317" s="175"/>
      <c r="W317" s="171"/>
      <c r="X317" s="171" t="s">
        <v>5032</v>
      </c>
      <c r="Y317" s="171"/>
      <c r="Z317" s="171"/>
      <c r="AA317" s="171" t="s">
        <v>5032</v>
      </c>
      <c r="AB317" s="171"/>
      <c r="AC317" s="171"/>
      <c r="AD317" s="171"/>
      <c r="AE317" s="171"/>
      <c r="AF317" s="171"/>
      <c r="AG317" s="171"/>
      <c r="AH317" s="171"/>
      <c r="AI317" s="171"/>
      <c r="AJ317" s="171"/>
      <c r="AK317" s="171"/>
      <c r="AL317" s="171"/>
      <c r="AM317" s="171"/>
      <c r="AN317" s="171" t="s">
        <v>1957</v>
      </c>
      <c r="AO317" s="171" t="s">
        <v>7605</v>
      </c>
      <c r="AP317" s="171" t="s">
        <v>7303</v>
      </c>
      <c r="AQ317" s="171" t="s">
        <v>1957</v>
      </c>
      <c r="AR317" s="171">
        <v>2050</v>
      </c>
      <c r="AS317" s="171">
        <v>2020</v>
      </c>
      <c r="AT317" s="171"/>
      <c r="AU317" s="171"/>
      <c r="AV317" s="171"/>
      <c r="AW317" s="171" t="s">
        <v>2082</v>
      </c>
      <c r="AX317" s="171" t="s">
        <v>7604</v>
      </c>
      <c r="AY317" s="171"/>
      <c r="AZ317" s="171"/>
      <c r="BA317" s="171"/>
      <c r="BB317" s="171"/>
      <c r="BC317" s="171"/>
      <c r="BD317" s="171" t="s">
        <v>4174</v>
      </c>
      <c r="BE317" s="171" t="s">
        <v>7604</v>
      </c>
      <c r="BF317" s="225" t="s">
        <v>4174</v>
      </c>
      <c r="BG317" s="171" t="s">
        <v>7603</v>
      </c>
      <c r="BH317" s="171"/>
      <c r="BI317" s="171"/>
      <c r="BJ317" s="171"/>
      <c r="BK317" s="171"/>
      <c r="BL317" s="171"/>
      <c r="BM317" s="171"/>
      <c r="BN317" s="171"/>
      <c r="BO317" s="171"/>
      <c r="BP317" s="171">
        <v>1</v>
      </c>
      <c r="BQ317" s="171">
        <v>1</v>
      </c>
      <c r="BR317" s="171"/>
      <c r="BS317" s="171"/>
      <c r="BT317" s="171"/>
      <c r="BU317" s="171"/>
      <c r="BV317" s="171"/>
      <c r="BW317" s="171"/>
      <c r="BX317" s="171">
        <v>1</v>
      </c>
      <c r="BY317" s="171">
        <v>1</v>
      </c>
      <c r="BZ317" s="171">
        <v>1</v>
      </c>
      <c r="CA317" s="171"/>
      <c r="CB317" s="171">
        <v>1</v>
      </c>
      <c r="CC317" s="171"/>
      <c r="CD317" s="171"/>
      <c r="CE317" s="171">
        <v>1</v>
      </c>
      <c r="CF317" s="171"/>
      <c r="CG317" s="171"/>
      <c r="CH317" s="171">
        <v>1</v>
      </c>
      <c r="CI317" s="171"/>
      <c r="CJ317" s="171"/>
      <c r="CK317" s="171"/>
      <c r="CL317" s="171"/>
      <c r="CM317">
        <f t="shared" si="44"/>
        <v>2050</v>
      </c>
    </row>
    <row r="318" spans="1:91">
      <c r="A318" s="171">
        <v>220</v>
      </c>
      <c r="B318" s="171" t="s">
        <v>1207</v>
      </c>
      <c r="C318" s="171">
        <v>236</v>
      </c>
      <c r="D318" s="171" t="str">
        <f t="shared" si="43"/>
        <v>CN</v>
      </c>
      <c r="E318" s="171" t="s">
        <v>7220</v>
      </c>
      <c r="F318" s="174">
        <v>45477</v>
      </c>
      <c r="G318" s="171" t="s">
        <v>7220</v>
      </c>
      <c r="H318" s="173">
        <v>3801.2</v>
      </c>
      <c r="I318" s="171"/>
      <c r="J318" s="171" t="s">
        <v>4494</v>
      </c>
      <c r="K318" s="171" t="s">
        <v>207</v>
      </c>
      <c r="L318" s="171" t="s">
        <v>1994</v>
      </c>
      <c r="M318" s="171" t="s">
        <v>5032</v>
      </c>
      <c r="N318" s="171"/>
      <c r="O318" s="171"/>
      <c r="P318" s="171" t="s">
        <v>5032</v>
      </c>
      <c r="Q318" s="171"/>
      <c r="R318" s="171"/>
      <c r="S318" s="171"/>
      <c r="T318" s="171"/>
      <c r="U318" s="171"/>
      <c r="V318" s="175"/>
      <c r="W318" s="171"/>
      <c r="X318" s="171" t="s">
        <v>1957</v>
      </c>
      <c r="Y318" s="171" t="s">
        <v>5131</v>
      </c>
      <c r="Z318" s="171" t="s">
        <v>32</v>
      </c>
      <c r="AA318" s="171" t="s">
        <v>1957</v>
      </c>
      <c r="AB318" s="171">
        <v>2050</v>
      </c>
      <c r="AC318" s="171">
        <v>2021</v>
      </c>
      <c r="AD318" s="171" t="s">
        <v>1878</v>
      </c>
      <c r="AE318" s="171"/>
      <c r="AF318" s="171"/>
      <c r="AG318" s="171" t="s">
        <v>4174</v>
      </c>
      <c r="AH318" s="171"/>
      <c r="AI318" s="171" t="s">
        <v>4174</v>
      </c>
      <c r="AJ318" s="171"/>
      <c r="AK318" s="171"/>
      <c r="AL318" s="171" t="s">
        <v>7602</v>
      </c>
      <c r="AM318" s="171"/>
      <c r="AN318" s="171" t="s">
        <v>5032</v>
      </c>
      <c r="AO318" s="171"/>
      <c r="AP318" s="171"/>
      <c r="AQ318" s="171" t="s">
        <v>5032</v>
      </c>
      <c r="AR318" s="171"/>
      <c r="AS318" s="171"/>
      <c r="AT318" s="171"/>
      <c r="AU318" s="171"/>
      <c r="AV318" s="171"/>
      <c r="AW318" s="171"/>
      <c r="AX318" s="171"/>
      <c r="AY318" s="171"/>
      <c r="AZ318" s="171"/>
      <c r="BA318" s="171"/>
      <c r="BB318" s="171"/>
      <c r="BC318" s="171"/>
      <c r="BD318" s="171"/>
      <c r="BE318" s="171"/>
      <c r="BF318" s="225"/>
      <c r="BG318" s="171"/>
      <c r="BH318" s="171"/>
      <c r="BI318" s="171"/>
      <c r="BJ318" s="171"/>
      <c r="BK318" s="171"/>
      <c r="BL318" s="171">
        <v>1</v>
      </c>
      <c r="BM318" s="171">
        <v>1</v>
      </c>
      <c r="BN318" s="171"/>
      <c r="BO318" s="171"/>
      <c r="BP318" s="171"/>
      <c r="BQ318" s="171"/>
      <c r="BR318" s="171"/>
      <c r="BS318" s="171"/>
      <c r="BT318" s="171"/>
      <c r="BU318" s="171"/>
      <c r="BV318" s="171"/>
      <c r="BW318" s="171"/>
      <c r="BX318" s="171"/>
      <c r="BY318" s="171"/>
      <c r="BZ318" s="171">
        <v>1</v>
      </c>
      <c r="CA318" s="171"/>
      <c r="CB318" s="171">
        <v>1</v>
      </c>
      <c r="CC318" s="171">
        <v>1</v>
      </c>
      <c r="CD318" s="171"/>
      <c r="CE318" s="171">
        <v>1</v>
      </c>
      <c r="CF318" s="171"/>
      <c r="CG318" s="171"/>
      <c r="CH318" s="171">
        <v>1</v>
      </c>
      <c r="CI318" s="171"/>
      <c r="CJ318" s="171"/>
      <c r="CK318" s="171"/>
      <c r="CL318" s="171"/>
    </row>
    <row r="319" spans="1:91">
      <c r="A319" s="171">
        <v>120</v>
      </c>
      <c r="B319" s="171" t="s">
        <v>2737</v>
      </c>
      <c r="C319" s="171">
        <v>109</v>
      </c>
      <c r="D319" s="171" t="str">
        <f t="shared" si="43"/>
        <v>CN</v>
      </c>
      <c r="E319" s="171" t="s">
        <v>7228</v>
      </c>
      <c r="F319" s="174">
        <v>45475</v>
      </c>
      <c r="G319" s="171" t="s">
        <v>7223</v>
      </c>
      <c r="H319" s="173">
        <v>8853.1</v>
      </c>
      <c r="I319" s="171"/>
      <c r="J319" s="171" t="s">
        <v>4190</v>
      </c>
      <c r="K319" s="171" t="s">
        <v>207</v>
      </c>
      <c r="L319" s="171" t="s">
        <v>1994</v>
      </c>
      <c r="M319" s="171" t="s">
        <v>5032</v>
      </c>
      <c r="N319" s="171"/>
      <c r="O319" s="171"/>
      <c r="P319" s="171" t="s">
        <v>5032</v>
      </c>
      <c r="Q319" s="171"/>
      <c r="R319" s="171"/>
      <c r="S319" s="171"/>
      <c r="T319" s="171"/>
      <c r="U319" s="171"/>
      <c r="V319" s="175"/>
      <c r="W319" s="171"/>
      <c r="X319" s="171" t="s">
        <v>1957</v>
      </c>
      <c r="Y319" s="171" t="s">
        <v>4313</v>
      </c>
      <c r="Z319" s="171" t="s">
        <v>7225</v>
      </c>
      <c r="AA319" s="171" t="s">
        <v>1957</v>
      </c>
      <c r="AB319" s="171">
        <v>2040</v>
      </c>
      <c r="AC319" s="171">
        <v>2021</v>
      </c>
      <c r="AD319" s="171"/>
      <c r="AE319" s="171"/>
      <c r="AF319" s="171"/>
      <c r="AG319" s="171" t="s">
        <v>2082</v>
      </c>
      <c r="AH319" s="171"/>
      <c r="AI319" s="171" t="s">
        <v>4174</v>
      </c>
      <c r="AJ319" s="171"/>
      <c r="AK319" s="171"/>
      <c r="AL319" s="171" t="s">
        <v>7601</v>
      </c>
      <c r="AM319" s="171" t="s">
        <v>7600</v>
      </c>
      <c r="AN319" s="171" t="s">
        <v>5032</v>
      </c>
      <c r="AO319" s="171"/>
      <c r="AP319" s="171"/>
      <c r="AQ319" s="171" t="s">
        <v>5032</v>
      </c>
      <c r="AR319" s="171"/>
      <c r="AS319" s="171"/>
      <c r="AT319" s="171"/>
      <c r="AU319" s="171"/>
      <c r="AV319" s="171"/>
      <c r="AW319" s="171"/>
      <c r="AX319" s="171"/>
      <c r="AY319" s="171"/>
      <c r="AZ319" s="171"/>
      <c r="BA319" s="171"/>
      <c r="BB319" s="171"/>
      <c r="BC319" s="171"/>
      <c r="BD319" s="171"/>
      <c r="BE319" s="171"/>
      <c r="BF319" s="225"/>
      <c r="BG319" s="171"/>
      <c r="BH319" s="171"/>
      <c r="BI319" s="171"/>
      <c r="BJ319" s="171"/>
      <c r="BK319" s="171"/>
      <c r="BL319" s="171">
        <v>1</v>
      </c>
      <c r="BM319" s="171">
        <v>1</v>
      </c>
      <c r="BN319" s="171"/>
      <c r="BO319" s="171"/>
      <c r="BP319" s="171"/>
      <c r="BQ319" s="171"/>
      <c r="BR319" s="171"/>
      <c r="BS319" s="171"/>
      <c r="BT319" s="171"/>
      <c r="BU319" s="171"/>
      <c r="BV319" s="171"/>
      <c r="BW319" s="171"/>
      <c r="BX319" s="171"/>
      <c r="BY319" s="171"/>
      <c r="BZ319" s="171">
        <v>1</v>
      </c>
      <c r="CA319" s="171"/>
      <c r="CB319" s="171">
        <v>1</v>
      </c>
      <c r="CC319" s="171"/>
      <c r="CD319" s="171"/>
      <c r="CE319" s="171">
        <v>1</v>
      </c>
      <c r="CF319" s="171"/>
      <c r="CG319" s="171"/>
      <c r="CH319" s="171">
        <v>1</v>
      </c>
      <c r="CI319" s="171"/>
      <c r="CJ319" s="171"/>
      <c r="CK319" s="171"/>
      <c r="CL319" s="171"/>
    </row>
    <row r="320" spans="1:91">
      <c r="A320" s="171">
        <v>136</v>
      </c>
      <c r="B320" s="171" t="s">
        <v>1671</v>
      </c>
      <c r="C320" s="171">
        <v>160</v>
      </c>
      <c r="D320" s="171" t="str">
        <f t="shared" si="43"/>
        <v>CN SBT</v>
      </c>
      <c r="E320" s="171" t="s">
        <v>7220</v>
      </c>
      <c r="F320" s="174">
        <v>45476</v>
      </c>
      <c r="G320" s="171" t="s">
        <v>7223</v>
      </c>
      <c r="H320" s="173">
        <v>2952</v>
      </c>
      <c r="I320" s="171"/>
      <c r="J320" s="171" t="s">
        <v>4476</v>
      </c>
      <c r="K320" s="171" t="s">
        <v>207</v>
      </c>
      <c r="L320" s="171" t="s">
        <v>1994</v>
      </c>
      <c r="M320" s="171" t="s">
        <v>5032</v>
      </c>
      <c r="N320" s="171"/>
      <c r="O320" s="171"/>
      <c r="P320" s="171" t="s">
        <v>4174</v>
      </c>
      <c r="Q320" s="171" t="s">
        <v>22</v>
      </c>
      <c r="R320" s="171" t="s">
        <v>7599</v>
      </c>
      <c r="S320" s="171">
        <v>2030</v>
      </c>
      <c r="T320" s="171" t="s">
        <v>361</v>
      </c>
      <c r="U320" s="171"/>
      <c r="V320" s="172">
        <v>44409</v>
      </c>
      <c r="W320" s="171">
        <v>2021</v>
      </c>
      <c r="X320" s="171" t="s">
        <v>4172</v>
      </c>
      <c r="Y320" s="171" t="s">
        <v>7598</v>
      </c>
      <c r="Z320" s="171" t="s">
        <v>2790</v>
      </c>
      <c r="AA320" s="171" t="s">
        <v>4172</v>
      </c>
      <c r="AB320" s="171">
        <v>2050</v>
      </c>
      <c r="AC320" s="171">
        <v>2021</v>
      </c>
      <c r="AD320" s="171"/>
      <c r="AE320" s="171"/>
      <c r="AF320" s="171"/>
      <c r="AG320" s="171" t="s">
        <v>4174</v>
      </c>
      <c r="AH320" s="171"/>
      <c r="AI320" s="171" t="s">
        <v>4174</v>
      </c>
      <c r="AJ320" s="171"/>
      <c r="AK320" s="171"/>
      <c r="AL320" s="171" t="s">
        <v>7597</v>
      </c>
      <c r="AM320" s="171"/>
      <c r="AN320" s="171" t="s">
        <v>7229</v>
      </c>
      <c r="AO320" s="171"/>
      <c r="AP320" s="171"/>
      <c r="AQ320" s="171" t="s">
        <v>7229</v>
      </c>
      <c r="AR320" s="171"/>
      <c r="AS320" s="171"/>
      <c r="AT320" s="171"/>
      <c r="AU320" s="171"/>
      <c r="AV320" s="171"/>
      <c r="AW320" s="171"/>
      <c r="AX320" s="171"/>
      <c r="AY320" s="171"/>
      <c r="AZ320" s="171"/>
      <c r="BA320" s="171"/>
      <c r="BB320" s="171"/>
      <c r="BC320" s="171"/>
      <c r="BD320" s="171"/>
      <c r="BE320" s="171"/>
      <c r="BF320" s="225"/>
      <c r="BG320" s="171"/>
      <c r="BH320" s="171"/>
      <c r="BI320" s="171"/>
      <c r="BJ320" s="171"/>
      <c r="BK320" s="171"/>
      <c r="BL320" s="171">
        <v>1</v>
      </c>
      <c r="BM320" s="171">
        <v>1</v>
      </c>
      <c r="BN320" s="171"/>
      <c r="BO320" s="171"/>
      <c r="BP320" s="171"/>
      <c r="BQ320" s="171"/>
      <c r="BR320" s="171"/>
      <c r="BS320" s="171">
        <v>1</v>
      </c>
      <c r="BT320" s="171"/>
      <c r="BU320" s="171">
        <v>1</v>
      </c>
      <c r="BV320" s="171"/>
      <c r="BW320" s="171"/>
      <c r="BX320" s="171"/>
      <c r="BY320" s="171"/>
      <c r="BZ320" s="171">
        <v>1</v>
      </c>
      <c r="CA320" s="171"/>
      <c r="CB320" s="171">
        <v>1</v>
      </c>
      <c r="CC320" s="171">
        <v>1</v>
      </c>
      <c r="CD320" s="171"/>
      <c r="CE320" s="171">
        <v>1</v>
      </c>
      <c r="CF320" s="171"/>
      <c r="CG320" s="171">
        <v>1</v>
      </c>
      <c r="CH320" s="171">
        <v>1</v>
      </c>
      <c r="CI320" s="171"/>
      <c r="CJ320" s="171"/>
      <c r="CK320" s="171"/>
      <c r="CL320" s="171"/>
    </row>
    <row r="321" spans="1:91">
      <c r="A321" s="171">
        <v>382</v>
      </c>
      <c r="B321" s="171" t="s">
        <v>411</v>
      </c>
      <c r="C321" s="171">
        <v>413</v>
      </c>
      <c r="D321" s="171" t="str">
        <f t="shared" si="43"/>
        <v xml:space="preserve"> NZ</v>
      </c>
      <c r="E321" s="171" t="s">
        <v>7385</v>
      </c>
      <c r="F321" s="174">
        <v>45512</v>
      </c>
      <c r="G321" s="171" t="s">
        <v>7220</v>
      </c>
      <c r="H321" s="173">
        <v>2056</v>
      </c>
      <c r="I321" s="171"/>
      <c r="J321" s="171" t="s">
        <v>4260</v>
      </c>
      <c r="K321" s="171" t="s">
        <v>4457</v>
      </c>
      <c r="L321" s="171" t="s">
        <v>2029</v>
      </c>
      <c r="M321" s="171" t="s">
        <v>5032</v>
      </c>
      <c r="N321" s="171"/>
      <c r="O321" s="171"/>
      <c r="P321" s="171" t="s">
        <v>5032</v>
      </c>
      <c r="Q321" s="171"/>
      <c r="R321" s="171"/>
      <c r="S321" s="171"/>
      <c r="T321" s="171"/>
      <c r="U321" s="171"/>
      <c r="V321" s="175"/>
      <c r="W321" s="171"/>
      <c r="X321" s="171" t="s">
        <v>5032</v>
      </c>
      <c r="Y321" s="171"/>
      <c r="Z321" s="171"/>
      <c r="AA321" s="171" t="s">
        <v>5032</v>
      </c>
      <c r="AB321" s="171"/>
      <c r="AC321" s="171"/>
      <c r="AD321" s="171"/>
      <c r="AE321" s="171"/>
      <c r="AF321" s="171"/>
      <c r="AG321" s="171"/>
      <c r="AH321" s="171"/>
      <c r="AI321" s="171"/>
      <c r="AJ321" s="171"/>
      <c r="AK321" s="171"/>
      <c r="AL321" s="171"/>
      <c r="AM321" s="171"/>
      <c r="AN321" s="171" t="s">
        <v>1957</v>
      </c>
      <c r="AO321" s="171" t="s">
        <v>109</v>
      </c>
      <c r="AP321" s="171" t="s">
        <v>2072</v>
      </c>
      <c r="AQ321" s="171" t="s">
        <v>1957</v>
      </c>
      <c r="AR321" s="171">
        <v>2035</v>
      </c>
      <c r="AS321" s="171">
        <v>2022</v>
      </c>
      <c r="AT321" s="171"/>
      <c r="AU321" s="171"/>
      <c r="AV321" s="171"/>
      <c r="AW321" s="171" t="s">
        <v>2082</v>
      </c>
      <c r="AX321" s="171" t="s">
        <v>7596</v>
      </c>
      <c r="AY321" s="171"/>
      <c r="AZ321" s="171"/>
      <c r="BA321" s="171"/>
      <c r="BB321" s="171"/>
      <c r="BC321" s="171"/>
      <c r="BD321" s="171"/>
      <c r="BE321" s="171"/>
      <c r="BF321" s="225"/>
      <c r="BG321" s="171"/>
      <c r="BH321" s="171"/>
      <c r="BI321" s="171"/>
      <c r="BJ321" s="171"/>
      <c r="BK321" s="171"/>
      <c r="BL321" s="171"/>
      <c r="BM321" s="171"/>
      <c r="BN321" s="171"/>
      <c r="BO321" s="171"/>
      <c r="BP321" s="171">
        <v>1</v>
      </c>
      <c r="BQ321" s="171">
        <v>1</v>
      </c>
      <c r="BR321" s="171"/>
      <c r="BS321" s="171"/>
      <c r="BT321" s="171"/>
      <c r="BU321" s="171"/>
      <c r="BV321" s="171"/>
      <c r="BW321" s="171"/>
      <c r="BX321" s="171"/>
      <c r="BY321" s="171"/>
      <c r="BZ321" s="171">
        <v>1</v>
      </c>
      <c r="CA321" s="171"/>
      <c r="CB321" s="171">
        <v>1</v>
      </c>
      <c r="CC321" s="171"/>
      <c r="CD321" s="171"/>
      <c r="CE321" s="171">
        <v>1</v>
      </c>
      <c r="CF321" s="171"/>
      <c r="CG321" s="171"/>
      <c r="CH321" s="171">
        <v>1</v>
      </c>
      <c r="CI321" s="171"/>
      <c r="CJ321" s="171"/>
      <c r="CK321" s="171"/>
      <c r="CL321" s="171"/>
      <c r="CM321">
        <f t="shared" si="44"/>
        <v>2035</v>
      </c>
    </row>
    <row r="322" spans="1:91">
      <c r="A322" s="171">
        <v>388</v>
      </c>
      <c r="B322" s="171" t="s">
        <v>349</v>
      </c>
      <c r="C322" s="171">
        <v>408</v>
      </c>
      <c r="D322" s="171" t="str">
        <f t="shared" ref="D322:D385" si="45">CONCATENATE((IF(BM322=1, "CN", "")),(IF(BQ322=1, " NZ", "")),(IF(BU322=1, " SBT", "")),(IF(BY322=1, " RE100", "")))</f>
        <v/>
      </c>
      <c r="E322" s="171" t="s">
        <v>7385</v>
      </c>
      <c r="F322" s="174">
        <v>45512</v>
      </c>
      <c r="G322" s="171" t="s">
        <v>7220</v>
      </c>
      <c r="H322" s="173">
        <v>711.4</v>
      </c>
      <c r="I322" s="171"/>
      <c r="J322" s="171" t="s">
        <v>4465</v>
      </c>
      <c r="K322" s="171" t="s">
        <v>4457</v>
      </c>
      <c r="L322" s="171" t="s">
        <v>2029</v>
      </c>
      <c r="M322" s="171" t="s">
        <v>5032</v>
      </c>
      <c r="N322" s="171"/>
      <c r="O322" s="171"/>
      <c r="P322" s="171" t="s">
        <v>5032</v>
      </c>
      <c r="Q322" s="171"/>
      <c r="R322" s="171"/>
      <c r="S322" s="171"/>
      <c r="T322" s="171"/>
      <c r="U322" s="171"/>
      <c r="V322" s="175"/>
      <c r="W322" s="171"/>
      <c r="X322" s="171" t="s">
        <v>5032</v>
      </c>
      <c r="Y322" s="171"/>
      <c r="Z322" s="171"/>
      <c r="AA322" s="171" t="s">
        <v>5032</v>
      </c>
      <c r="AB322" s="171"/>
      <c r="AC322" s="171"/>
      <c r="AD322" s="171"/>
      <c r="AE322" s="171"/>
      <c r="AF322" s="171"/>
      <c r="AG322" s="171"/>
      <c r="AH322" s="171"/>
      <c r="AI322" s="171"/>
      <c r="AJ322" s="171"/>
      <c r="AK322" s="171"/>
      <c r="AL322" s="171"/>
      <c r="AM322" s="171"/>
      <c r="AN322" s="171" t="s">
        <v>5032</v>
      </c>
      <c r="AO322" s="171"/>
      <c r="AP322" s="171"/>
      <c r="AQ322" s="171" t="s">
        <v>5032</v>
      </c>
      <c r="AR322" s="171"/>
      <c r="AS322" s="171"/>
      <c r="AT322" s="171"/>
      <c r="AU322" s="171"/>
      <c r="AV322" s="171"/>
      <c r="AW322" s="171"/>
      <c r="AX322" s="171"/>
      <c r="AY322" s="171"/>
      <c r="AZ322" s="171"/>
      <c r="BA322" s="171"/>
      <c r="BB322" s="171"/>
      <c r="BC322" s="171"/>
      <c r="BD322" s="171"/>
      <c r="BE322" s="171"/>
      <c r="BF322" s="225"/>
      <c r="BG322" s="171"/>
      <c r="BH322" s="171"/>
      <c r="BI322" s="171"/>
      <c r="BJ322" s="171"/>
      <c r="BK322" s="171"/>
      <c r="BL322" s="171"/>
      <c r="BM322" s="171"/>
      <c r="BN322" s="171"/>
      <c r="BO322" s="171"/>
      <c r="BP322" s="171"/>
      <c r="BQ322" s="171"/>
      <c r="BR322" s="171"/>
      <c r="BS322" s="171"/>
      <c r="BT322" s="171"/>
      <c r="BU322" s="171"/>
      <c r="BV322" s="171"/>
      <c r="BW322" s="171"/>
      <c r="BX322" s="171"/>
      <c r="BY322" s="171"/>
      <c r="BZ322" s="171"/>
      <c r="CA322" s="171"/>
      <c r="CB322" s="171"/>
      <c r="CC322" s="171"/>
      <c r="CD322" s="171"/>
      <c r="CE322" s="171"/>
      <c r="CF322" s="171"/>
      <c r="CG322" s="171"/>
      <c r="CH322" s="171"/>
      <c r="CI322" s="171"/>
      <c r="CJ322" s="171"/>
      <c r="CK322" s="171"/>
      <c r="CL322" s="171"/>
    </row>
    <row r="323" spans="1:91">
      <c r="A323" s="171">
        <v>263</v>
      </c>
      <c r="B323" s="171" t="s">
        <v>1155</v>
      </c>
      <c r="C323" s="171">
        <v>271</v>
      </c>
      <c r="D323" s="171" t="str">
        <f t="shared" si="45"/>
        <v>CN NZ SBT RE100</v>
      </c>
      <c r="E323" s="171" t="s">
        <v>7228</v>
      </c>
      <c r="F323" s="174">
        <v>45477</v>
      </c>
      <c r="G323" s="171" t="s">
        <v>7223</v>
      </c>
      <c r="H323" s="173">
        <v>14850</v>
      </c>
      <c r="I323" s="171"/>
      <c r="J323" s="171" t="s">
        <v>4201</v>
      </c>
      <c r="K323" s="171" t="s">
        <v>287</v>
      </c>
      <c r="L323" s="171" t="s">
        <v>1951</v>
      </c>
      <c r="M323" s="171" t="s">
        <v>4174</v>
      </c>
      <c r="N323" s="171">
        <v>2021</v>
      </c>
      <c r="O323" s="171">
        <v>2025</v>
      </c>
      <c r="P323" s="171" t="s">
        <v>4174</v>
      </c>
      <c r="Q323" s="171" t="s">
        <v>22</v>
      </c>
      <c r="R323" s="171" t="s">
        <v>7277</v>
      </c>
      <c r="S323" s="171">
        <v>2030</v>
      </c>
      <c r="T323" s="171" t="s">
        <v>361</v>
      </c>
      <c r="U323" s="171">
        <v>2040</v>
      </c>
      <c r="V323" s="172">
        <v>44682</v>
      </c>
      <c r="W323" s="171">
        <v>2022</v>
      </c>
      <c r="X323" s="171" t="s">
        <v>4172</v>
      </c>
      <c r="Y323" s="171" t="s">
        <v>7595</v>
      </c>
      <c r="Z323" s="171" t="s">
        <v>3283</v>
      </c>
      <c r="AA323" s="171" t="s">
        <v>4172</v>
      </c>
      <c r="AB323" s="171">
        <v>2030</v>
      </c>
      <c r="AC323" s="171">
        <v>2020</v>
      </c>
      <c r="AD323" s="171"/>
      <c r="AE323" s="171"/>
      <c r="AF323" s="171"/>
      <c r="AG323" s="171" t="s">
        <v>2082</v>
      </c>
      <c r="AH323" s="171">
        <v>2023</v>
      </c>
      <c r="AI323" s="171" t="s">
        <v>4174</v>
      </c>
      <c r="AJ323" s="176" t="s">
        <v>7593</v>
      </c>
      <c r="AK323" s="171"/>
      <c r="AL323" s="171" t="s">
        <v>7593</v>
      </c>
      <c r="AM323" s="171" t="s">
        <v>7592</v>
      </c>
      <c r="AN323" s="171" t="s">
        <v>4172</v>
      </c>
      <c r="AO323" s="171" t="s">
        <v>2760</v>
      </c>
      <c r="AP323" s="171" t="s">
        <v>7594</v>
      </c>
      <c r="AQ323" s="171" t="s">
        <v>4172</v>
      </c>
      <c r="AR323" s="171">
        <v>2040</v>
      </c>
      <c r="AS323" s="171">
        <v>2020</v>
      </c>
      <c r="AT323" s="171"/>
      <c r="AU323" s="171"/>
      <c r="AV323" s="171"/>
      <c r="AW323" s="171" t="s">
        <v>4174</v>
      </c>
      <c r="AX323" s="171" t="s">
        <v>7593</v>
      </c>
      <c r="AY323" s="171"/>
      <c r="AZ323" s="171"/>
      <c r="BA323" s="171"/>
      <c r="BB323" s="171"/>
      <c r="BC323" s="171" t="s">
        <v>7592</v>
      </c>
      <c r="BD323" s="171"/>
      <c r="BE323" s="171"/>
      <c r="BF323" s="225"/>
      <c r="BG323" s="171"/>
      <c r="BH323" s="171"/>
      <c r="BI323" s="171"/>
      <c r="BJ323" s="171"/>
      <c r="BK323" s="171">
        <v>1</v>
      </c>
      <c r="BL323" s="171"/>
      <c r="BM323" s="171">
        <v>1</v>
      </c>
      <c r="BN323" s="171"/>
      <c r="BO323" s="171"/>
      <c r="BP323" s="171">
        <v>1</v>
      </c>
      <c r="BQ323" s="171">
        <v>1</v>
      </c>
      <c r="BR323" s="171"/>
      <c r="BS323" s="171">
        <v>1</v>
      </c>
      <c r="BT323" s="171"/>
      <c r="BU323" s="171">
        <v>1</v>
      </c>
      <c r="BV323" s="171"/>
      <c r="BW323" s="171">
        <v>1</v>
      </c>
      <c r="BX323" s="171"/>
      <c r="BY323" s="171">
        <v>1</v>
      </c>
      <c r="BZ323" s="171">
        <v>1</v>
      </c>
      <c r="CA323" s="171">
        <v>1</v>
      </c>
      <c r="CB323" s="171">
        <v>1</v>
      </c>
      <c r="CC323" s="171">
        <v>1</v>
      </c>
      <c r="CD323" s="171"/>
      <c r="CE323" s="171">
        <v>1</v>
      </c>
      <c r="CF323" s="171"/>
      <c r="CG323" s="171">
        <v>1</v>
      </c>
      <c r="CH323" s="171">
        <v>1</v>
      </c>
      <c r="CI323" s="171"/>
      <c r="CJ323" s="171"/>
      <c r="CK323" s="171">
        <v>1</v>
      </c>
      <c r="CL323" s="171">
        <v>1</v>
      </c>
      <c r="CM323">
        <f t="shared" ref="CM323:CM386" si="46">MAX(U323,AR323)</f>
        <v>2040</v>
      </c>
    </row>
    <row r="324" spans="1:91">
      <c r="A324" s="171">
        <v>469</v>
      </c>
      <c r="B324" s="171" t="s">
        <v>7591</v>
      </c>
      <c r="C324" s="171"/>
      <c r="D324" s="171" t="str">
        <f t="shared" si="45"/>
        <v xml:space="preserve"> NZ SBT RE100</v>
      </c>
      <c r="E324" s="171" t="s">
        <v>7259</v>
      </c>
      <c r="F324" s="174">
        <v>45511</v>
      </c>
      <c r="G324" s="171"/>
      <c r="H324" s="173">
        <v>12143.4</v>
      </c>
      <c r="I324" s="171"/>
      <c r="J324" s="171" t="s">
        <v>4201</v>
      </c>
      <c r="K324" s="171" t="s">
        <v>858</v>
      </c>
      <c r="L324" s="171" t="s">
        <v>1951</v>
      </c>
      <c r="M324" s="171" t="s">
        <v>4174</v>
      </c>
      <c r="N324" s="171">
        <v>2015</v>
      </c>
      <c r="O324" s="171">
        <v>2020</v>
      </c>
      <c r="P324" s="171" t="s">
        <v>4174</v>
      </c>
      <c r="Q324" s="171" t="s">
        <v>22</v>
      </c>
      <c r="R324" s="171" t="s">
        <v>2499</v>
      </c>
      <c r="S324" s="171">
        <v>2030</v>
      </c>
      <c r="T324" s="171" t="s">
        <v>361</v>
      </c>
      <c r="U324" s="171"/>
      <c r="V324" s="175" t="s">
        <v>7590</v>
      </c>
      <c r="W324" s="171">
        <v>2021</v>
      </c>
      <c r="X324" s="171" t="s">
        <v>5032</v>
      </c>
      <c r="Y324" s="171"/>
      <c r="Z324" s="171"/>
      <c r="AA324" s="171" t="s">
        <v>5032</v>
      </c>
      <c r="AB324" s="171"/>
      <c r="AC324" s="171"/>
      <c r="AD324" s="171"/>
      <c r="AE324" s="171"/>
      <c r="AF324" s="171"/>
      <c r="AG324" s="171"/>
      <c r="AH324" s="171"/>
      <c r="AI324" s="171"/>
      <c r="AJ324" s="171"/>
      <c r="AK324" s="171"/>
      <c r="AL324" s="171"/>
      <c r="AM324" s="171"/>
      <c r="AN324" s="171" t="s">
        <v>7227</v>
      </c>
      <c r="AO324" s="171" t="s">
        <v>2760</v>
      </c>
      <c r="AP324" s="171" t="s">
        <v>2072</v>
      </c>
      <c r="AQ324" s="171" t="s">
        <v>1957</v>
      </c>
      <c r="AR324" s="171">
        <v>2030</v>
      </c>
      <c r="AS324" s="171">
        <v>2020</v>
      </c>
      <c r="AT324" s="171" t="s">
        <v>4172</v>
      </c>
      <c r="AU324" s="171">
        <v>2045</v>
      </c>
      <c r="AV324" s="171">
        <v>2020</v>
      </c>
      <c r="AW324" s="171" t="s">
        <v>2082</v>
      </c>
      <c r="AX324" s="171" t="s">
        <v>7589</v>
      </c>
      <c r="AY324" s="171"/>
      <c r="AZ324" s="171"/>
      <c r="BA324" s="171"/>
      <c r="BB324" s="171"/>
      <c r="BC324" s="171"/>
      <c r="BD324" s="171"/>
      <c r="BE324" s="171"/>
      <c r="BF324" s="225"/>
      <c r="BG324" s="171"/>
      <c r="BH324" s="171"/>
      <c r="BI324" s="171"/>
      <c r="BJ324" s="171"/>
      <c r="BK324" s="171"/>
      <c r="BL324" s="171"/>
      <c r="BM324" s="171"/>
      <c r="BN324" s="171"/>
      <c r="BO324" s="171">
        <v>1</v>
      </c>
      <c r="BP324" s="171"/>
      <c r="BQ324" s="171">
        <v>1</v>
      </c>
      <c r="BR324" s="171"/>
      <c r="BS324" s="171">
        <v>1</v>
      </c>
      <c r="BT324" s="171"/>
      <c r="BU324" s="171">
        <v>1</v>
      </c>
      <c r="BV324" s="171">
        <v>1</v>
      </c>
      <c r="BW324" s="171"/>
      <c r="BX324" s="171"/>
      <c r="BY324" s="171">
        <v>1</v>
      </c>
      <c r="BZ324" s="171">
        <v>1</v>
      </c>
      <c r="CA324" s="171">
        <v>1</v>
      </c>
      <c r="CB324" s="171">
        <v>1</v>
      </c>
      <c r="CC324" s="171"/>
      <c r="CD324" s="171"/>
      <c r="CE324" s="171">
        <v>1</v>
      </c>
      <c r="CF324" s="171">
        <v>1</v>
      </c>
      <c r="CG324" s="171">
        <v>1</v>
      </c>
      <c r="CH324" s="171">
        <v>1</v>
      </c>
      <c r="CI324" s="171"/>
      <c r="CJ324" s="171"/>
      <c r="CK324" s="171">
        <v>1</v>
      </c>
      <c r="CL324" s="171">
        <v>1</v>
      </c>
      <c r="CM324">
        <f t="shared" si="46"/>
        <v>2030</v>
      </c>
    </row>
    <row r="325" spans="1:91">
      <c r="A325" s="171">
        <v>447</v>
      </c>
      <c r="B325" s="171" t="s">
        <v>81</v>
      </c>
      <c r="C325" s="171">
        <v>361</v>
      </c>
      <c r="D325" s="171" t="str">
        <f t="shared" si="45"/>
        <v xml:space="preserve"> NZ</v>
      </c>
      <c r="E325" s="171" t="s">
        <v>7220</v>
      </c>
      <c r="F325" s="174">
        <v>45481</v>
      </c>
      <c r="G325" s="171" t="s">
        <v>7220</v>
      </c>
      <c r="H325" s="173">
        <v>4524.8</v>
      </c>
      <c r="I325" s="171"/>
      <c r="J325" s="171" t="s">
        <v>4494</v>
      </c>
      <c r="K325" s="171" t="s">
        <v>4457</v>
      </c>
      <c r="L325" s="171" t="s">
        <v>2029</v>
      </c>
      <c r="M325" s="171" t="s">
        <v>5032</v>
      </c>
      <c r="N325" s="171"/>
      <c r="O325" s="171"/>
      <c r="P325" s="171" t="s">
        <v>5032</v>
      </c>
      <c r="Q325" s="171"/>
      <c r="R325" s="171"/>
      <c r="S325" s="171"/>
      <c r="T325" s="171"/>
      <c r="U325" s="171"/>
      <c r="V325" s="175"/>
      <c r="W325" s="171"/>
      <c r="X325" s="171" t="s">
        <v>5032</v>
      </c>
      <c r="Y325" s="171"/>
      <c r="Z325" s="171"/>
      <c r="AA325" s="171" t="s">
        <v>5032</v>
      </c>
      <c r="AB325" s="171"/>
      <c r="AC325" s="171"/>
      <c r="AD325" s="171"/>
      <c r="AE325" s="171"/>
      <c r="AF325" s="171"/>
      <c r="AG325" s="171"/>
      <c r="AH325" s="171"/>
      <c r="AI325" s="171"/>
      <c r="AJ325" s="171"/>
      <c r="AK325" s="171"/>
      <c r="AL325" s="171"/>
      <c r="AM325" s="171"/>
      <c r="AN325" s="171" t="s">
        <v>4172</v>
      </c>
      <c r="AO325" s="171" t="s">
        <v>1435</v>
      </c>
      <c r="AP325" s="171" t="s">
        <v>2072</v>
      </c>
      <c r="AQ325" s="171" t="s">
        <v>4172</v>
      </c>
      <c r="AR325" s="171">
        <v>2050</v>
      </c>
      <c r="AS325" s="171">
        <v>2023</v>
      </c>
      <c r="AT325" s="171"/>
      <c r="AU325" s="171"/>
      <c r="AV325" s="171"/>
      <c r="AW325" s="171" t="s">
        <v>4174</v>
      </c>
      <c r="AX325" s="171" t="s">
        <v>7588</v>
      </c>
      <c r="AY325" s="171"/>
      <c r="AZ325" s="171"/>
      <c r="BA325" s="171"/>
      <c r="BB325" s="171"/>
      <c r="BC325" s="171" t="s">
        <v>7587</v>
      </c>
      <c r="BD325" s="171"/>
      <c r="BE325" s="171"/>
      <c r="BF325" s="225"/>
      <c r="BG325" s="171"/>
      <c r="BH325" s="171"/>
      <c r="BI325" s="171"/>
      <c r="BJ325" s="171"/>
      <c r="BK325" s="171"/>
      <c r="BL325" s="171"/>
      <c r="BM325" s="171"/>
      <c r="BN325" s="171"/>
      <c r="BO325" s="171"/>
      <c r="BP325" s="171">
        <v>1</v>
      </c>
      <c r="BQ325" s="171">
        <v>1</v>
      </c>
      <c r="BR325" s="171"/>
      <c r="BS325" s="171"/>
      <c r="BT325" s="171"/>
      <c r="BU325" s="171"/>
      <c r="BV325" s="171"/>
      <c r="BW325" s="171"/>
      <c r="BX325" s="171"/>
      <c r="BY325" s="171"/>
      <c r="BZ325" s="171">
        <v>1</v>
      </c>
      <c r="CA325" s="171"/>
      <c r="CB325" s="171">
        <v>1</v>
      </c>
      <c r="CC325" s="171">
        <v>1</v>
      </c>
      <c r="CD325" s="171"/>
      <c r="CE325" s="171">
        <v>1</v>
      </c>
      <c r="CF325" s="171"/>
      <c r="CG325" s="171"/>
      <c r="CH325" s="171">
        <v>1</v>
      </c>
      <c r="CI325" s="171"/>
      <c r="CJ325" s="171"/>
      <c r="CK325" s="171">
        <v>1</v>
      </c>
      <c r="CL325" s="171">
        <v>1</v>
      </c>
      <c r="CM325">
        <f t="shared" si="46"/>
        <v>2050</v>
      </c>
    </row>
    <row r="326" spans="1:91">
      <c r="A326" s="171">
        <v>222</v>
      </c>
      <c r="B326" s="171" t="s">
        <v>7586</v>
      </c>
      <c r="C326" s="171"/>
      <c r="D326" s="171" t="str">
        <f t="shared" si="45"/>
        <v/>
      </c>
      <c r="E326" s="171" t="s">
        <v>7259</v>
      </c>
      <c r="F326" s="174">
        <v>45511</v>
      </c>
      <c r="G326" s="171"/>
      <c r="H326" s="173">
        <v>29760</v>
      </c>
      <c r="I326" s="171"/>
      <c r="J326" s="171" t="s">
        <v>186</v>
      </c>
      <c r="K326" s="171" t="s">
        <v>4457</v>
      </c>
      <c r="L326" s="171" t="s">
        <v>2029</v>
      </c>
      <c r="M326" s="171" t="s">
        <v>5032</v>
      </c>
      <c r="N326" s="171"/>
      <c r="O326" s="171"/>
      <c r="P326" s="171" t="s">
        <v>5032</v>
      </c>
      <c r="Q326" s="171"/>
      <c r="R326" s="171"/>
      <c r="S326" s="171"/>
      <c r="T326" s="171"/>
      <c r="U326" s="171"/>
      <c r="V326" s="175"/>
      <c r="W326" s="171"/>
      <c r="X326" s="171" t="s">
        <v>5032</v>
      </c>
      <c r="Y326" s="171"/>
      <c r="Z326" s="171"/>
      <c r="AA326" s="171" t="s">
        <v>5032</v>
      </c>
      <c r="AB326" s="171"/>
      <c r="AC326" s="171"/>
      <c r="AD326" s="171"/>
      <c r="AE326" s="171"/>
      <c r="AF326" s="171"/>
      <c r="AG326" s="171"/>
      <c r="AH326" s="171"/>
      <c r="AI326" s="171"/>
      <c r="AJ326" s="171"/>
      <c r="AK326" s="171"/>
      <c r="AL326" s="171" t="s">
        <v>7585</v>
      </c>
      <c r="AM326" s="171"/>
      <c r="AN326" s="171" t="s">
        <v>5032</v>
      </c>
      <c r="AO326" s="171"/>
      <c r="AP326" s="171"/>
      <c r="AQ326" s="171" t="s">
        <v>5032</v>
      </c>
      <c r="AR326" s="171"/>
      <c r="AS326" s="171"/>
      <c r="AT326" s="171"/>
      <c r="AU326" s="171"/>
      <c r="AV326" s="171"/>
      <c r="AW326" s="171"/>
      <c r="AX326" s="171"/>
      <c r="AY326" s="171"/>
      <c r="AZ326" s="171"/>
      <c r="BA326" s="171"/>
      <c r="BB326" s="171"/>
      <c r="BC326" s="171"/>
      <c r="BD326" s="171"/>
      <c r="BE326" s="171"/>
      <c r="BF326" s="225"/>
      <c r="BG326" s="171"/>
      <c r="BH326" s="171"/>
      <c r="BI326" s="171"/>
      <c r="BJ326" s="171"/>
      <c r="BK326" s="171"/>
      <c r="BL326" s="171"/>
      <c r="BM326" s="171"/>
      <c r="BN326" s="171"/>
      <c r="BO326" s="171"/>
      <c r="BP326" s="171"/>
      <c r="BQ326" s="171"/>
      <c r="BR326" s="171"/>
      <c r="BS326" s="171"/>
      <c r="BT326" s="171"/>
      <c r="BU326" s="171"/>
      <c r="BV326" s="171"/>
      <c r="BW326" s="171"/>
      <c r="BX326" s="171"/>
      <c r="BY326" s="171"/>
      <c r="BZ326" s="171"/>
      <c r="CA326" s="171"/>
      <c r="CB326" s="171"/>
      <c r="CC326" s="171"/>
      <c r="CD326" s="171"/>
      <c r="CE326" s="171"/>
      <c r="CF326" s="171"/>
      <c r="CG326" s="171"/>
      <c r="CH326" s="171"/>
      <c r="CI326" s="171"/>
      <c r="CJ326" s="171"/>
      <c r="CK326" s="171"/>
      <c r="CL326" s="171"/>
    </row>
    <row r="327" spans="1:91">
      <c r="A327" s="171">
        <v>180</v>
      </c>
      <c r="B327" s="171" t="s">
        <v>1296</v>
      </c>
      <c r="C327" s="171">
        <v>158</v>
      </c>
      <c r="D327" s="171" t="str">
        <f t="shared" si="45"/>
        <v/>
      </c>
      <c r="E327" s="171" t="s">
        <v>7220</v>
      </c>
      <c r="F327" s="174">
        <v>45476</v>
      </c>
      <c r="G327" s="171" t="s">
        <v>7223</v>
      </c>
      <c r="H327" s="173">
        <v>5947.6</v>
      </c>
      <c r="I327" s="171"/>
      <c r="J327" s="171" t="s">
        <v>4494</v>
      </c>
      <c r="K327" s="171" t="s">
        <v>87</v>
      </c>
      <c r="L327" s="171" t="s">
        <v>1994</v>
      </c>
      <c r="M327" s="171" t="s">
        <v>5032</v>
      </c>
      <c r="N327" s="171"/>
      <c r="O327" s="171"/>
      <c r="P327" s="171" t="s">
        <v>5032</v>
      </c>
      <c r="Q327" s="171"/>
      <c r="R327" s="171"/>
      <c r="S327" s="171"/>
      <c r="T327" s="171"/>
      <c r="U327" s="171"/>
      <c r="V327" s="175"/>
      <c r="W327" s="171"/>
      <c r="X327" s="171" t="s">
        <v>5032</v>
      </c>
      <c r="Y327" s="171"/>
      <c r="Z327" s="171"/>
      <c r="AA327" s="171" t="s">
        <v>5032</v>
      </c>
      <c r="AB327" s="171"/>
      <c r="AC327" s="171"/>
      <c r="AD327" s="171"/>
      <c r="AE327" s="171"/>
      <c r="AF327" s="171"/>
      <c r="AG327" s="171"/>
      <c r="AH327" s="171"/>
      <c r="AI327" s="171"/>
      <c r="AJ327" s="171"/>
      <c r="AK327" s="171"/>
      <c r="AL327" s="171"/>
      <c r="AM327" s="171"/>
      <c r="AN327" s="171" t="s">
        <v>5032</v>
      </c>
      <c r="AO327" s="171"/>
      <c r="AP327" s="171"/>
      <c r="AQ327" s="171" t="s">
        <v>5032</v>
      </c>
      <c r="AR327" s="171"/>
      <c r="AS327" s="171"/>
      <c r="AT327" s="171"/>
      <c r="AU327" s="171"/>
      <c r="AV327" s="171"/>
      <c r="AW327" s="171"/>
      <c r="AX327" s="171" t="s">
        <v>7584</v>
      </c>
      <c r="AY327" s="171"/>
      <c r="AZ327" s="171"/>
      <c r="BA327" s="171"/>
      <c r="BB327" s="171"/>
      <c r="BC327" s="171"/>
      <c r="BD327" s="171" t="s">
        <v>4174</v>
      </c>
      <c r="BE327" s="171" t="s">
        <v>7583</v>
      </c>
      <c r="BF327" s="225"/>
      <c r="BG327" s="171"/>
      <c r="BH327" s="171"/>
      <c r="BI327" s="171"/>
      <c r="BJ327" s="171"/>
      <c r="BK327" s="171"/>
      <c r="BL327" s="171"/>
      <c r="BM327" s="171"/>
      <c r="BN327" s="171"/>
      <c r="BO327" s="171"/>
      <c r="BP327" s="171"/>
      <c r="BQ327" s="171"/>
      <c r="BR327" s="171"/>
      <c r="BS327" s="171"/>
      <c r="BT327" s="171"/>
      <c r="BU327" s="171"/>
      <c r="BV327" s="171"/>
      <c r="BW327" s="171"/>
      <c r="BX327" s="171"/>
      <c r="BY327" s="171"/>
      <c r="BZ327" s="171"/>
      <c r="CA327" s="171"/>
      <c r="CB327" s="171"/>
      <c r="CC327" s="171"/>
      <c r="CD327" s="171"/>
      <c r="CE327" s="171"/>
      <c r="CF327" s="171"/>
      <c r="CG327" s="171"/>
      <c r="CH327" s="171"/>
      <c r="CI327" s="171"/>
      <c r="CJ327" s="171"/>
      <c r="CK327" s="171"/>
      <c r="CL327" s="171"/>
    </row>
    <row r="328" spans="1:91">
      <c r="A328" s="171">
        <v>425</v>
      </c>
      <c r="B328" s="171" t="s">
        <v>4585</v>
      </c>
      <c r="C328" s="171">
        <v>376</v>
      </c>
      <c r="D328" s="171" t="str">
        <f t="shared" si="45"/>
        <v xml:space="preserve"> NZ SBT</v>
      </c>
      <c r="E328" s="171" t="s">
        <v>7220</v>
      </c>
      <c r="F328" s="174">
        <v>45481</v>
      </c>
      <c r="G328" s="171" t="s">
        <v>7220</v>
      </c>
      <c r="H328" s="173">
        <v>207.6</v>
      </c>
      <c r="I328" s="171"/>
      <c r="J328" s="171" t="s">
        <v>4467</v>
      </c>
      <c r="K328" s="171" t="s">
        <v>183</v>
      </c>
      <c r="L328" s="171" t="s">
        <v>1994</v>
      </c>
      <c r="M328" s="171" t="s">
        <v>5032</v>
      </c>
      <c r="N328" s="171"/>
      <c r="O328" s="171"/>
      <c r="P328" s="171" t="s">
        <v>4174</v>
      </c>
      <c r="Q328" s="171" t="s">
        <v>22</v>
      </c>
      <c r="R328" s="171" t="s">
        <v>7277</v>
      </c>
      <c r="S328" s="171">
        <v>2030</v>
      </c>
      <c r="T328" s="171" t="s">
        <v>1</v>
      </c>
      <c r="U328" s="171"/>
      <c r="V328" s="172">
        <v>43709</v>
      </c>
      <c r="W328" s="171">
        <v>2019</v>
      </c>
      <c r="X328" s="171" t="s">
        <v>5032</v>
      </c>
      <c r="Y328" s="171"/>
      <c r="Z328" s="171"/>
      <c r="AA328" s="171" t="s">
        <v>5032</v>
      </c>
      <c r="AB328" s="171"/>
      <c r="AC328" s="171"/>
      <c r="AD328" s="171"/>
      <c r="AE328" s="171"/>
      <c r="AF328" s="171"/>
      <c r="AG328" s="171"/>
      <c r="AH328" s="171"/>
      <c r="AI328" s="171"/>
      <c r="AJ328" s="171"/>
      <c r="AK328" s="171"/>
      <c r="AL328" s="171"/>
      <c r="AM328" s="171"/>
      <c r="AN328" s="171" t="s">
        <v>4172</v>
      </c>
      <c r="AO328" s="171" t="s">
        <v>7582</v>
      </c>
      <c r="AP328" s="171" t="s">
        <v>2072</v>
      </c>
      <c r="AQ328" s="171" t="s">
        <v>4172</v>
      </c>
      <c r="AR328" s="171">
        <v>2050</v>
      </c>
      <c r="AS328" s="171">
        <v>2019</v>
      </c>
      <c r="AT328" s="171"/>
      <c r="AU328" s="171"/>
      <c r="AV328" s="171"/>
      <c r="AW328" s="171" t="s">
        <v>4174</v>
      </c>
      <c r="AX328" s="171" t="s">
        <v>7581</v>
      </c>
      <c r="AY328" s="171"/>
      <c r="AZ328" s="171"/>
      <c r="BA328" s="171"/>
      <c r="BB328" s="171"/>
      <c r="BC328" s="171"/>
      <c r="BD328" s="171"/>
      <c r="BE328" s="171"/>
      <c r="BF328" s="225"/>
      <c r="BG328" s="171"/>
      <c r="BH328" s="171"/>
      <c r="BI328" s="171"/>
      <c r="BJ328" s="171"/>
      <c r="BK328" s="171"/>
      <c r="BL328" s="171"/>
      <c r="BM328" s="171"/>
      <c r="BN328" s="171"/>
      <c r="BO328" s="171"/>
      <c r="BP328" s="171">
        <v>1</v>
      </c>
      <c r="BQ328" s="171">
        <v>1</v>
      </c>
      <c r="BR328" s="171"/>
      <c r="BS328" s="171">
        <v>1</v>
      </c>
      <c r="BT328" s="171"/>
      <c r="BU328" s="171">
        <v>1</v>
      </c>
      <c r="BV328" s="171"/>
      <c r="BW328" s="171"/>
      <c r="BX328" s="171"/>
      <c r="BY328" s="171"/>
      <c r="BZ328" s="171">
        <v>1</v>
      </c>
      <c r="CA328" s="171"/>
      <c r="CB328" s="171">
        <v>1</v>
      </c>
      <c r="CC328" s="171">
        <v>1</v>
      </c>
      <c r="CD328" s="171"/>
      <c r="CE328" s="171">
        <v>1</v>
      </c>
      <c r="CF328" s="171"/>
      <c r="CG328" s="171">
        <v>1</v>
      </c>
      <c r="CH328" s="171">
        <v>1</v>
      </c>
      <c r="CI328" s="171"/>
      <c r="CJ328" s="171"/>
      <c r="CK328" s="171">
        <v>1</v>
      </c>
      <c r="CL328" s="171">
        <v>1</v>
      </c>
      <c r="CM328">
        <f t="shared" si="46"/>
        <v>2050</v>
      </c>
    </row>
    <row r="329" spans="1:91">
      <c r="A329" s="171">
        <v>358</v>
      </c>
      <c r="B329" s="171" t="s">
        <v>245</v>
      </c>
      <c r="C329" s="171">
        <v>203</v>
      </c>
      <c r="D329" s="171" t="str">
        <f t="shared" si="45"/>
        <v xml:space="preserve"> NZ</v>
      </c>
      <c r="E329" s="171" t="s">
        <v>7228</v>
      </c>
      <c r="F329" s="174">
        <v>45477</v>
      </c>
      <c r="G329" s="171" t="s">
        <v>7220</v>
      </c>
      <c r="H329" s="173">
        <v>1677.8</v>
      </c>
      <c r="I329" s="171"/>
      <c r="J329" s="171" t="s">
        <v>3498</v>
      </c>
      <c r="K329" s="171" t="s">
        <v>246</v>
      </c>
      <c r="L329" s="171" t="s">
        <v>1951</v>
      </c>
      <c r="M329" s="171" t="s">
        <v>5032</v>
      </c>
      <c r="N329" s="171"/>
      <c r="O329" s="171"/>
      <c r="P329" s="171" t="s">
        <v>5032</v>
      </c>
      <c r="Q329" s="171"/>
      <c r="R329" s="171"/>
      <c r="S329" s="171"/>
      <c r="T329" s="171"/>
      <c r="U329" s="171"/>
      <c r="V329" s="175"/>
      <c r="W329" s="171"/>
      <c r="X329" s="171" t="s">
        <v>5032</v>
      </c>
      <c r="Y329" s="171"/>
      <c r="Z329" s="171"/>
      <c r="AA329" s="171" t="s">
        <v>5032</v>
      </c>
      <c r="AB329" s="171"/>
      <c r="AC329" s="171"/>
      <c r="AD329" s="171"/>
      <c r="AE329" s="171"/>
      <c r="AF329" s="171"/>
      <c r="AG329" s="171"/>
      <c r="AH329" s="171"/>
      <c r="AI329" s="171"/>
      <c r="AJ329" s="171"/>
      <c r="AK329" s="171"/>
      <c r="AL329" s="171"/>
      <c r="AM329" s="171"/>
      <c r="AN329" s="171" t="s">
        <v>4172</v>
      </c>
      <c r="AO329" s="171" t="s">
        <v>7580</v>
      </c>
      <c r="AP329" s="171" t="s">
        <v>7579</v>
      </c>
      <c r="AQ329" s="171" t="s">
        <v>4172</v>
      </c>
      <c r="AR329" s="171">
        <v>2050</v>
      </c>
      <c r="AS329" s="171">
        <v>2024</v>
      </c>
      <c r="AT329" s="171"/>
      <c r="AU329" s="171"/>
      <c r="AV329" s="171"/>
      <c r="AW329" s="171" t="s">
        <v>4174</v>
      </c>
      <c r="AX329" s="171" t="s">
        <v>7578</v>
      </c>
      <c r="AY329" s="171"/>
      <c r="AZ329" s="171"/>
      <c r="BA329" s="171"/>
      <c r="BB329" s="171"/>
      <c r="BC329" s="171" t="s">
        <v>7577</v>
      </c>
      <c r="BD329" s="171"/>
      <c r="BE329" s="171"/>
      <c r="BF329" s="225"/>
      <c r="BG329" s="171"/>
      <c r="BH329" s="171"/>
      <c r="BI329" s="171"/>
      <c r="BJ329" s="171"/>
      <c r="BK329" s="171"/>
      <c r="BL329" s="171"/>
      <c r="BM329" s="171"/>
      <c r="BN329" s="171"/>
      <c r="BO329" s="171"/>
      <c r="BP329" s="171">
        <v>1</v>
      </c>
      <c r="BQ329" s="171">
        <v>1</v>
      </c>
      <c r="BR329" s="171"/>
      <c r="BS329" s="171"/>
      <c r="BT329" s="171"/>
      <c r="BU329" s="171"/>
      <c r="BV329" s="171"/>
      <c r="BW329" s="171"/>
      <c r="BX329" s="171"/>
      <c r="BY329" s="171"/>
      <c r="BZ329" s="171">
        <v>1</v>
      </c>
      <c r="CA329" s="171"/>
      <c r="CB329" s="171">
        <v>1</v>
      </c>
      <c r="CC329" s="171">
        <v>1</v>
      </c>
      <c r="CD329" s="171"/>
      <c r="CE329" s="171">
        <v>1</v>
      </c>
      <c r="CF329" s="171"/>
      <c r="CG329" s="171"/>
      <c r="CH329" s="171">
        <v>1</v>
      </c>
      <c r="CI329" s="171"/>
      <c r="CJ329" s="171"/>
      <c r="CK329" s="171">
        <v>1</v>
      </c>
      <c r="CL329" s="171">
        <v>1</v>
      </c>
      <c r="CM329">
        <f t="shared" si="46"/>
        <v>2050</v>
      </c>
    </row>
    <row r="330" spans="1:91">
      <c r="A330" s="171">
        <v>299</v>
      </c>
      <c r="B330" s="171" t="s">
        <v>802</v>
      </c>
      <c r="C330" s="171">
        <v>352</v>
      </c>
      <c r="D330" s="171" t="str">
        <f t="shared" si="45"/>
        <v xml:space="preserve"> NZ</v>
      </c>
      <c r="E330" s="171" t="s">
        <v>7228</v>
      </c>
      <c r="F330" s="174">
        <v>45482</v>
      </c>
      <c r="G330" s="171" t="s">
        <v>7220</v>
      </c>
      <c r="H330" s="173">
        <v>8503</v>
      </c>
      <c r="I330" s="171"/>
      <c r="J330" s="171" t="s">
        <v>186</v>
      </c>
      <c r="K330" s="171" t="s">
        <v>4457</v>
      </c>
      <c r="L330" s="171" t="s">
        <v>2029</v>
      </c>
      <c r="M330" s="171" t="s">
        <v>5032</v>
      </c>
      <c r="N330" s="171"/>
      <c r="O330" s="171"/>
      <c r="P330" s="171" t="s">
        <v>5032</v>
      </c>
      <c r="Q330" s="171"/>
      <c r="R330" s="171"/>
      <c r="S330" s="171"/>
      <c r="T330" s="171"/>
      <c r="U330" s="171"/>
      <c r="V330" s="175"/>
      <c r="W330" s="171"/>
      <c r="X330" s="171" t="s">
        <v>5032</v>
      </c>
      <c r="Y330" s="171"/>
      <c r="Z330" s="171"/>
      <c r="AA330" s="171" t="s">
        <v>5032</v>
      </c>
      <c r="AB330" s="171"/>
      <c r="AC330" s="171"/>
      <c r="AD330" s="171"/>
      <c r="AE330" s="171"/>
      <c r="AF330" s="171"/>
      <c r="AG330" s="171"/>
      <c r="AH330" s="171"/>
      <c r="AI330" s="171"/>
      <c r="AJ330" s="171"/>
      <c r="AK330" s="171"/>
      <c r="AL330" s="171"/>
      <c r="AM330" s="171"/>
      <c r="AN330" s="171" t="s">
        <v>7236</v>
      </c>
      <c r="AO330" s="171" t="s">
        <v>5131</v>
      </c>
      <c r="AP330" s="171" t="s">
        <v>2072</v>
      </c>
      <c r="AQ330" s="171" t="s">
        <v>7236</v>
      </c>
      <c r="AR330" s="171">
        <v>2050</v>
      </c>
      <c r="AS330" s="171">
        <v>2021</v>
      </c>
      <c r="AT330" s="171"/>
      <c r="AU330" s="171"/>
      <c r="AV330" s="171"/>
      <c r="AW330" s="171" t="s">
        <v>2082</v>
      </c>
      <c r="AX330" s="176" t="s">
        <v>7576</v>
      </c>
      <c r="AY330" s="171"/>
      <c r="AZ330" s="171"/>
      <c r="BA330" s="171"/>
      <c r="BB330" s="171"/>
      <c r="BC330" s="171" t="s">
        <v>7575</v>
      </c>
      <c r="BD330" s="171"/>
      <c r="BE330" s="171"/>
      <c r="BF330" s="225"/>
      <c r="BG330" s="171"/>
      <c r="BH330" s="171"/>
      <c r="BI330" s="171"/>
      <c r="BJ330" s="171"/>
      <c r="BK330" s="171"/>
      <c r="BL330" s="171"/>
      <c r="BM330" s="171"/>
      <c r="BN330" s="171"/>
      <c r="BO330" s="171"/>
      <c r="BP330" s="171">
        <v>1</v>
      </c>
      <c r="BQ330" s="171">
        <v>1</v>
      </c>
      <c r="BR330" s="171"/>
      <c r="BS330" s="171"/>
      <c r="BT330" s="171"/>
      <c r="BU330" s="171"/>
      <c r="BV330" s="171"/>
      <c r="BW330" s="171"/>
      <c r="BX330" s="171"/>
      <c r="BY330" s="171"/>
      <c r="BZ330" s="171">
        <v>1</v>
      </c>
      <c r="CA330" s="171"/>
      <c r="CB330" s="171">
        <v>1</v>
      </c>
      <c r="CC330" s="171"/>
      <c r="CD330" s="171"/>
      <c r="CE330" s="171">
        <v>1</v>
      </c>
      <c r="CF330" s="171"/>
      <c r="CG330" s="171"/>
      <c r="CH330" s="171">
        <v>1</v>
      </c>
      <c r="CI330" s="171"/>
      <c r="CJ330" s="171"/>
      <c r="CK330" s="171"/>
      <c r="CL330" s="171"/>
      <c r="CM330">
        <f t="shared" si="46"/>
        <v>2050</v>
      </c>
    </row>
    <row r="331" spans="1:91">
      <c r="A331" s="171">
        <v>320</v>
      </c>
      <c r="B331" s="171" t="s">
        <v>1069</v>
      </c>
      <c r="C331" s="171">
        <v>319</v>
      </c>
      <c r="D331" s="171" t="str">
        <f t="shared" si="45"/>
        <v xml:space="preserve"> NZ SBT</v>
      </c>
      <c r="E331" s="171" t="s">
        <v>7228</v>
      </c>
      <c r="F331" s="174">
        <v>45481</v>
      </c>
      <c r="G331" s="171" t="s">
        <v>7223</v>
      </c>
      <c r="H331" s="173">
        <v>2637.8</v>
      </c>
      <c r="I331" s="171"/>
      <c r="J331" s="171" t="s">
        <v>4190</v>
      </c>
      <c r="K331" s="171" t="s">
        <v>63</v>
      </c>
      <c r="L331" s="171" t="s">
        <v>1951</v>
      </c>
      <c r="M331" s="171" t="s">
        <v>5032</v>
      </c>
      <c r="N331" s="171"/>
      <c r="O331" s="171"/>
      <c r="P331" s="171" t="s">
        <v>4174</v>
      </c>
      <c r="Q331" s="171" t="s">
        <v>22</v>
      </c>
      <c r="R331" s="171" t="s">
        <v>7233</v>
      </c>
      <c r="S331" s="171">
        <v>2030</v>
      </c>
      <c r="T331" s="171" t="s">
        <v>361</v>
      </c>
      <c r="U331" s="171">
        <v>2040</v>
      </c>
      <c r="V331" s="172">
        <v>45444</v>
      </c>
      <c r="W331" s="171">
        <v>2024</v>
      </c>
      <c r="X331" s="171" t="s">
        <v>5032</v>
      </c>
      <c r="Y331" s="171"/>
      <c r="Z331" s="171"/>
      <c r="AA331" s="171" t="s">
        <v>5032</v>
      </c>
      <c r="AB331" s="171"/>
      <c r="AC331" s="171"/>
      <c r="AD331" s="171"/>
      <c r="AE331" s="171"/>
      <c r="AF331" s="171"/>
      <c r="AG331" s="171"/>
      <c r="AH331" s="171"/>
      <c r="AI331" s="171"/>
      <c r="AJ331" s="171"/>
      <c r="AK331" s="171"/>
      <c r="AL331" s="171"/>
      <c r="AM331" s="171"/>
      <c r="AN331" s="171" t="s">
        <v>4172</v>
      </c>
      <c r="AO331" s="171" t="s">
        <v>7574</v>
      </c>
      <c r="AP331" s="171" t="s">
        <v>7573</v>
      </c>
      <c r="AQ331" s="171" t="s">
        <v>4172</v>
      </c>
      <c r="AR331" s="171">
        <v>2040</v>
      </c>
      <c r="AS331" s="171">
        <v>2019</v>
      </c>
      <c r="AT331" s="171"/>
      <c r="AU331" s="171"/>
      <c r="AV331" s="171"/>
      <c r="AW331" s="171" t="s">
        <v>4174</v>
      </c>
      <c r="AX331" s="171" t="s">
        <v>7572</v>
      </c>
      <c r="AY331" s="171">
        <v>2023</v>
      </c>
      <c r="AZ331" s="171" t="s">
        <v>4174</v>
      </c>
      <c r="BA331" s="171" t="s">
        <v>7571</v>
      </c>
      <c r="BB331" s="171"/>
      <c r="BC331" s="171" t="s">
        <v>7570</v>
      </c>
      <c r="BD331" s="171"/>
      <c r="BE331" s="171"/>
      <c r="BF331" s="225"/>
      <c r="BG331" s="171"/>
      <c r="BH331" s="171"/>
      <c r="BI331" s="171"/>
      <c r="BJ331" s="171"/>
      <c r="BK331" s="171"/>
      <c r="BL331" s="171"/>
      <c r="BM331" s="171"/>
      <c r="BN331" s="171"/>
      <c r="BO331" s="171"/>
      <c r="BP331" s="171">
        <v>1</v>
      </c>
      <c r="BQ331" s="171">
        <v>1</v>
      </c>
      <c r="BR331" s="171"/>
      <c r="BS331" s="171">
        <v>1</v>
      </c>
      <c r="BT331" s="171"/>
      <c r="BU331" s="171">
        <v>1</v>
      </c>
      <c r="BV331" s="171"/>
      <c r="BW331" s="171"/>
      <c r="BX331" s="171"/>
      <c r="BY331" s="171"/>
      <c r="BZ331" s="171">
        <v>1</v>
      </c>
      <c r="CA331" s="171"/>
      <c r="CB331" s="171">
        <v>1</v>
      </c>
      <c r="CC331" s="171">
        <v>1</v>
      </c>
      <c r="CD331" s="171"/>
      <c r="CE331" s="171">
        <v>1</v>
      </c>
      <c r="CF331" s="171"/>
      <c r="CG331" s="171">
        <v>1</v>
      </c>
      <c r="CH331" s="171">
        <v>1</v>
      </c>
      <c r="CI331" s="171"/>
      <c r="CJ331" s="171"/>
      <c r="CK331" s="171">
        <v>1</v>
      </c>
      <c r="CL331" s="171">
        <v>1</v>
      </c>
      <c r="CM331">
        <f t="shared" si="46"/>
        <v>2040</v>
      </c>
    </row>
    <row r="332" spans="1:91">
      <c r="A332" s="171">
        <v>132</v>
      </c>
      <c r="B332" s="171" t="s">
        <v>7569</v>
      </c>
      <c r="C332" s="171">
        <v>216</v>
      </c>
      <c r="D332" s="171" t="str">
        <f t="shared" si="45"/>
        <v xml:space="preserve"> NZ</v>
      </c>
      <c r="E332" s="171" t="s">
        <v>7220</v>
      </c>
      <c r="F332" s="174">
        <v>45477</v>
      </c>
      <c r="G332" s="171" t="s">
        <v>7220</v>
      </c>
      <c r="H332" s="173">
        <v>4921.8</v>
      </c>
      <c r="I332" s="171"/>
      <c r="J332" s="171" t="s">
        <v>3498</v>
      </c>
      <c r="K332" s="171" t="s">
        <v>439</v>
      </c>
      <c r="L332" s="171" t="s">
        <v>1951</v>
      </c>
      <c r="M332" s="171" t="s">
        <v>5032</v>
      </c>
      <c r="N332" s="171"/>
      <c r="O332" s="171"/>
      <c r="P332" s="171" t="s">
        <v>5032</v>
      </c>
      <c r="Q332" s="171"/>
      <c r="R332" s="171"/>
      <c r="S332" s="171"/>
      <c r="T332" s="171"/>
      <c r="U332" s="171"/>
      <c r="V332" s="175"/>
      <c r="W332" s="171"/>
      <c r="X332" s="171" t="s">
        <v>7229</v>
      </c>
      <c r="Y332" s="171"/>
      <c r="Z332" s="171"/>
      <c r="AA332" s="171" t="s">
        <v>7229</v>
      </c>
      <c r="AB332" s="171"/>
      <c r="AC332" s="171"/>
      <c r="AD332" s="171"/>
      <c r="AE332" s="171"/>
      <c r="AF332" s="171"/>
      <c r="AG332" s="171"/>
      <c r="AH332" s="171"/>
      <c r="AI332" s="171"/>
      <c r="AJ332" s="171"/>
      <c r="AK332" s="171"/>
      <c r="AL332" s="171"/>
      <c r="AM332" s="171"/>
      <c r="AN332" s="171" t="s">
        <v>4172</v>
      </c>
      <c r="AO332" s="171" t="s">
        <v>7568</v>
      </c>
      <c r="AP332" s="171" t="s">
        <v>2072</v>
      </c>
      <c r="AQ332" s="171" t="s">
        <v>4172</v>
      </c>
      <c r="AR332" s="171">
        <v>2050</v>
      </c>
      <c r="AS332" s="171">
        <v>2021</v>
      </c>
      <c r="AT332" s="171"/>
      <c r="AU332" s="171"/>
      <c r="AV332" s="171"/>
      <c r="AW332" s="171" t="s">
        <v>2082</v>
      </c>
      <c r="AX332" s="171" t="s">
        <v>7567</v>
      </c>
      <c r="AY332" s="171"/>
      <c r="AZ332" s="171"/>
      <c r="BA332" s="171"/>
      <c r="BB332" s="171"/>
      <c r="BC332" s="171"/>
      <c r="BD332" s="171"/>
      <c r="BE332" s="171"/>
      <c r="BF332" s="225"/>
      <c r="BG332" s="171"/>
      <c r="BH332" s="171"/>
      <c r="BI332" s="171"/>
      <c r="BJ332" s="171"/>
      <c r="BK332" s="171"/>
      <c r="BL332" s="171"/>
      <c r="BM332" s="171"/>
      <c r="BN332" s="171"/>
      <c r="BO332" s="171"/>
      <c r="BP332" s="171">
        <v>1</v>
      </c>
      <c r="BQ332" s="171">
        <v>1</v>
      </c>
      <c r="BR332" s="171"/>
      <c r="BS332" s="171"/>
      <c r="BT332" s="171"/>
      <c r="BU332" s="171"/>
      <c r="BV332" s="171"/>
      <c r="BW332" s="171"/>
      <c r="BX332" s="171"/>
      <c r="BY332" s="171"/>
      <c r="BZ332" s="171">
        <v>1</v>
      </c>
      <c r="CA332" s="171"/>
      <c r="CB332" s="171">
        <v>1</v>
      </c>
      <c r="CC332" s="171"/>
      <c r="CD332" s="171"/>
      <c r="CE332" s="171">
        <v>1</v>
      </c>
      <c r="CF332" s="171"/>
      <c r="CG332" s="171"/>
      <c r="CH332" s="171">
        <v>1</v>
      </c>
      <c r="CI332" s="171"/>
      <c r="CJ332" s="171"/>
      <c r="CK332" s="171">
        <v>1</v>
      </c>
      <c r="CL332" s="171">
        <v>1</v>
      </c>
      <c r="CM332">
        <f t="shared" si="46"/>
        <v>2050</v>
      </c>
    </row>
    <row r="333" spans="1:91">
      <c r="A333" s="171">
        <v>441</v>
      </c>
      <c r="B333" s="171" t="s">
        <v>2690</v>
      </c>
      <c r="C333" s="171"/>
      <c r="D333" s="171" t="str">
        <f t="shared" si="45"/>
        <v xml:space="preserve"> SBT</v>
      </c>
      <c r="E333" s="171" t="s">
        <v>7259</v>
      </c>
      <c r="F333" s="174">
        <v>45511</v>
      </c>
      <c r="G333" s="171"/>
      <c r="H333" s="173">
        <v>4600.8</v>
      </c>
      <c r="I333" s="171"/>
      <c r="J333" s="171" t="s">
        <v>4476</v>
      </c>
      <c r="K333" s="171" t="s">
        <v>4457</v>
      </c>
      <c r="L333" s="171" t="s">
        <v>2029</v>
      </c>
      <c r="M333" s="171" t="s">
        <v>5032</v>
      </c>
      <c r="N333" s="171"/>
      <c r="O333" s="171"/>
      <c r="P333" s="171" t="s">
        <v>4174</v>
      </c>
      <c r="Q333" s="171" t="s">
        <v>22</v>
      </c>
      <c r="R333" s="171" t="s">
        <v>7566</v>
      </c>
      <c r="S333" s="171">
        <v>2030</v>
      </c>
      <c r="T333" s="171" t="s">
        <v>1</v>
      </c>
      <c r="U333" s="171"/>
      <c r="V333" s="175" t="s">
        <v>7565</v>
      </c>
      <c r="W333" s="171">
        <v>2021</v>
      </c>
      <c r="X333" s="171" t="s">
        <v>5032</v>
      </c>
      <c r="Y333" s="171"/>
      <c r="Z333" s="171"/>
      <c r="AA333" s="171" t="s">
        <v>5032</v>
      </c>
      <c r="AB333" s="171"/>
      <c r="AC333" s="171"/>
      <c r="AD333" s="171"/>
      <c r="AE333" s="171"/>
      <c r="AF333" s="171"/>
      <c r="AG333" s="171"/>
      <c r="AH333" s="171"/>
      <c r="AI333" s="171"/>
      <c r="AJ333" s="171"/>
      <c r="AK333" s="171"/>
      <c r="AL333" s="171"/>
      <c r="AM333" s="171"/>
      <c r="AN333" s="171" t="s">
        <v>5032</v>
      </c>
      <c r="AO333" s="171"/>
      <c r="AP333" s="171"/>
      <c r="AQ333" s="171" t="s">
        <v>5032</v>
      </c>
      <c r="AR333" s="171"/>
      <c r="AS333" s="171"/>
      <c r="AT333" s="171"/>
      <c r="AU333" s="171"/>
      <c r="AV333" s="171"/>
      <c r="AW333" s="171"/>
      <c r="AX333" s="171"/>
      <c r="AY333" s="171"/>
      <c r="AZ333" s="171"/>
      <c r="BA333" s="171"/>
      <c r="BB333" s="171"/>
      <c r="BC333" s="171"/>
      <c r="BD333" s="171"/>
      <c r="BE333" s="171"/>
      <c r="BF333" s="225"/>
      <c r="BG333" s="171"/>
      <c r="BH333" s="171"/>
      <c r="BI333" s="171"/>
      <c r="BJ333" s="171"/>
      <c r="BK333" s="171"/>
      <c r="BL333" s="171"/>
      <c r="BM333" s="171"/>
      <c r="BN333" s="171"/>
      <c r="BO333" s="171"/>
      <c r="BP333" s="171"/>
      <c r="BQ333" s="171"/>
      <c r="BR333" s="171"/>
      <c r="BS333" s="171">
        <v>1</v>
      </c>
      <c r="BT333" s="171"/>
      <c r="BU333" s="171">
        <v>1</v>
      </c>
      <c r="BV333" s="171"/>
      <c r="BW333" s="171"/>
      <c r="BX333" s="171"/>
      <c r="BY333" s="171"/>
      <c r="BZ333" s="171"/>
      <c r="CA333" s="171"/>
      <c r="CB333" s="171"/>
      <c r="CC333" s="171"/>
      <c r="CD333" s="171"/>
      <c r="CE333" s="171">
        <v>1</v>
      </c>
      <c r="CF333" s="171"/>
      <c r="CG333" s="171">
        <v>1</v>
      </c>
      <c r="CH333" s="171">
        <v>1</v>
      </c>
      <c r="CI333" s="171"/>
      <c r="CJ333" s="171"/>
      <c r="CK333" s="171"/>
      <c r="CL333" s="171"/>
    </row>
    <row r="334" spans="1:91">
      <c r="A334" s="171">
        <v>161</v>
      </c>
      <c r="B334" s="171" t="s">
        <v>1550</v>
      </c>
      <c r="C334" s="171">
        <v>157</v>
      </c>
      <c r="D334" s="171" t="str">
        <f t="shared" si="45"/>
        <v/>
      </c>
      <c r="E334" s="171" t="s">
        <v>7220</v>
      </c>
      <c r="F334" s="174">
        <v>45476</v>
      </c>
      <c r="G334" s="171" t="s">
        <v>7223</v>
      </c>
      <c r="H334" s="173">
        <v>5035.3</v>
      </c>
      <c r="I334" s="171"/>
      <c r="J334" s="171" t="s">
        <v>4197</v>
      </c>
      <c r="K334" s="171" t="s">
        <v>73</v>
      </c>
      <c r="L334" s="171" t="s">
        <v>1994</v>
      </c>
      <c r="M334" s="171" t="s">
        <v>5032</v>
      </c>
      <c r="N334" s="171"/>
      <c r="O334" s="171"/>
      <c r="P334" s="171" t="s">
        <v>5032</v>
      </c>
      <c r="Q334" s="171"/>
      <c r="R334" s="171"/>
      <c r="S334" s="171"/>
      <c r="T334" s="171"/>
      <c r="U334" s="171"/>
      <c r="V334" s="175"/>
      <c r="W334" s="171"/>
      <c r="X334" s="171" t="s">
        <v>5032</v>
      </c>
      <c r="Y334" s="171"/>
      <c r="Z334" s="171"/>
      <c r="AA334" s="171" t="s">
        <v>5032</v>
      </c>
      <c r="AB334" s="171"/>
      <c r="AC334" s="171"/>
      <c r="AD334" s="171"/>
      <c r="AE334" s="171"/>
      <c r="AF334" s="171"/>
      <c r="AG334" s="171"/>
      <c r="AH334" s="171"/>
      <c r="AI334" s="171"/>
      <c r="AJ334" s="171"/>
      <c r="AK334" s="171"/>
      <c r="AL334" s="171"/>
      <c r="AM334" s="171"/>
      <c r="AN334" s="171" t="s">
        <v>5032</v>
      </c>
      <c r="AO334" s="171"/>
      <c r="AP334" s="171"/>
      <c r="AQ334" s="171" t="s">
        <v>5032</v>
      </c>
      <c r="AR334" s="171"/>
      <c r="AS334" s="171"/>
      <c r="AT334" s="171"/>
      <c r="AU334" s="171"/>
      <c r="AV334" s="171"/>
      <c r="AW334" s="171"/>
      <c r="AX334" s="171"/>
      <c r="AY334" s="171"/>
      <c r="AZ334" s="171"/>
      <c r="BA334" s="171"/>
      <c r="BB334" s="171"/>
      <c r="BC334" s="171"/>
      <c r="BD334" s="171"/>
      <c r="BE334" s="171"/>
      <c r="BF334" s="225"/>
      <c r="BG334" s="171"/>
      <c r="BH334" s="171"/>
      <c r="BI334" s="171"/>
      <c r="BJ334" s="171"/>
      <c r="BK334" s="171"/>
      <c r="BL334" s="171"/>
      <c r="BM334" s="171"/>
      <c r="BN334" s="171"/>
      <c r="BO334" s="171"/>
      <c r="BP334" s="171"/>
      <c r="BQ334" s="171"/>
      <c r="BR334" s="171"/>
      <c r="BS334" s="171"/>
      <c r="BT334" s="171"/>
      <c r="BU334" s="171"/>
      <c r="BV334" s="171"/>
      <c r="BW334" s="171"/>
      <c r="BX334" s="171"/>
      <c r="BY334" s="171"/>
      <c r="BZ334" s="171"/>
      <c r="CA334" s="171"/>
      <c r="CB334" s="171"/>
      <c r="CC334" s="171"/>
      <c r="CD334" s="171"/>
      <c r="CE334" s="171"/>
      <c r="CF334" s="171"/>
      <c r="CG334" s="171"/>
      <c r="CH334" s="171"/>
      <c r="CI334" s="171"/>
      <c r="CJ334" s="171"/>
      <c r="CK334" s="171"/>
      <c r="CL334" s="171"/>
    </row>
    <row r="335" spans="1:91">
      <c r="A335" s="171">
        <v>234</v>
      </c>
      <c r="B335" s="171" t="s">
        <v>4825</v>
      </c>
      <c r="C335" s="171">
        <v>218</v>
      </c>
      <c r="D335" s="171" t="str">
        <f t="shared" si="45"/>
        <v xml:space="preserve"> NZ SBT RE100</v>
      </c>
      <c r="E335" s="171" t="s">
        <v>7220</v>
      </c>
      <c r="F335" s="174">
        <v>45477</v>
      </c>
      <c r="G335" s="171" t="s">
        <v>7220</v>
      </c>
      <c r="H335" s="173">
        <v>3072</v>
      </c>
      <c r="I335" s="171"/>
      <c r="J335" s="171" t="s">
        <v>4459</v>
      </c>
      <c r="K335" s="171" t="s">
        <v>207</v>
      </c>
      <c r="L335" s="171" t="s">
        <v>1994</v>
      </c>
      <c r="M335" s="171" t="s">
        <v>4174</v>
      </c>
      <c r="N335" s="171">
        <v>2019</v>
      </c>
      <c r="O335" s="171">
        <v>2050</v>
      </c>
      <c r="P335" s="171" t="s">
        <v>4174</v>
      </c>
      <c r="Q335" s="171" t="s">
        <v>22</v>
      </c>
      <c r="R335" s="171" t="s">
        <v>7233</v>
      </c>
      <c r="S335" s="171">
        <v>2030</v>
      </c>
      <c r="T335" s="171" t="s">
        <v>361</v>
      </c>
      <c r="U335" s="171"/>
      <c r="V335" s="172">
        <v>45108</v>
      </c>
      <c r="W335" s="171">
        <v>2023</v>
      </c>
      <c r="X335" s="171" t="s">
        <v>7229</v>
      </c>
      <c r="Y335" s="171"/>
      <c r="Z335" s="171"/>
      <c r="AA335" s="171" t="s">
        <v>7229</v>
      </c>
      <c r="AB335" s="171"/>
      <c r="AC335" s="171"/>
      <c r="AD335" s="171"/>
      <c r="AE335" s="171"/>
      <c r="AF335" s="171"/>
      <c r="AG335" s="171"/>
      <c r="AH335" s="171"/>
      <c r="AI335" s="171"/>
      <c r="AJ335" s="171"/>
      <c r="AK335" s="171"/>
      <c r="AL335" s="171"/>
      <c r="AM335" s="171"/>
      <c r="AN335" s="171" t="s">
        <v>7227</v>
      </c>
      <c r="AO335" s="171" t="s">
        <v>7270</v>
      </c>
      <c r="AP335" s="171" t="s">
        <v>2072</v>
      </c>
      <c r="AQ335" s="171" t="s">
        <v>1957</v>
      </c>
      <c r="AR335" s="171">
        <v>2030</v>
      </c>
      <c r="AS335" s="171">
        <v>2021</v>
      </c>
      <c r="AT335" s="171" t="s">
        <v>4172</v>
      </c>
      <c r="AU335" s="171">
        <v>2050</v>
      </c>
      <c r="AV335" s="171">
        <v>2021</v>
      </c>
      <c r="AW335" s="171" t="s">
        <v>4174</v>
      </c>
      <c r="AX335" s="171" t="s">
        <v>7564</v>
      </c>
      <c r="AY335" s="171"/>
      <c r="AZ335" s="171"/>
      <c r="BA335" s="171"/>
      <c r="BB335" s="171"/>
      <c r="BC335" s="171"/>
      <c r="BD335" s="171"/>
      <c r="BE335" s="171"/>
      <c r="BF335" s="225"/>
      <c r="BG335" s="171"/>
      <c r="BH335" s="171"/>
      <c r="BI335" s="171"/>
      <c r="BJ335" s="171"/>
      <c r="BK335" s="171"/>
      <c r="BL335" s="171"/>
      <c r="BM335" s="171"/>
      <c r="BN335" s="171"/>
      <c r="BO335" s="171">
        <v>1</v>
      </c>
      <c r="BP335" s="171"/>
      <c r="BQ335" s="171">
        <v>1</v>
      </c>
      <c r="BR335" s="171"/>
      <c r="BS335" s="171">
        <v>1</v>
      </c>
      <c r="BT335" s="171"/>
      <c r="BU335" s="171">
        <v>1</v>
      </c>
      <c r="BV335" s="171"/>
      <c r="BW335" s="171"/>
      <c r="BX335" s="171">
        <v>1</v>
      </c>
      <c r="BY335" s="171">
        <v>1</v>
      </c>
      <c r="BZ335" s="171">
        <v>1</v>
      </c>
      <c r="CA335" s="171">
        <v>1</v>
      </c>
      <c r="CB335" s="171">
        <v>1</v>
      </c>
      <c r="CC335" s="171">
        <v>1</v>
      </c>
      <c r="CD335" s="171"/>
      <c r="CE335" s="171">
        <v>1</v>
      </c>
      <c r="CF335" s="171"/>
      <c r="CG335" s="171">
        <v>1</v>
      </c>
      <c r="CH335" s="171">
        <v>1</v>
      </c>
      <c r="CI335" s="171"/>
      <c r="CJ335" s="171"/>
      <c r="CK335" s="171">
        <v>1</v>
      </c>
      <c r="CL335" s="171">
        <v>1</v>
      </c>
      <c r="CM335">
        <f t="shared" si="46"/>
        <v>2030</v>
      </c>
    </row>
    <row r="336" spans="1:91">
      <c r="A336" s="171">
        <v>395</v>
      </c>
      <c r="B336" s="171" t="s">
        <v>261</v>
      </c>
      <c r="C336" s="171">
        <v>306</v>
      </c>
      <c r="D336" s="171" t="str">
        <f t="shared" si="45"/>
        <v>CN</v>
      </c>
      <c r="E336" s="171" t="s">
        <v>7220</v>
      </c>
      <c r="F336" s="174">
        <v>45478</v>
      </c>
      <c r="G336" s="171" t="s">
        <v>7223</v>
      </c>
      <c r="H336" s="173">
        <v>2140.5</v>
      </c>
      <c r="I336" s="171"/>
      <c r="J336" s="171" t="s">
        <v>3498</v>
      </c>
      <c r="K336" s="171" t="s">
        <v>4457</v>
      </c>
      <c r="L336" s="171" t="s">
        <v>2029</v>
      </c>
      <c r="M336" s="171" t="s">
        <v>5032</v>
      </c>
      <c r="N336" s="171"/>
      <c r="O336" s="171"/>
      <c r="P336" s="171" t="s">
        <v>5032</v>
      </c>
      <c r="Q336" s="171"/>
      <c r="R336" s="171"/>
      <c r="S336" s="171"/>
      <c r="T336" s="171"/>
      <c r="U336" s="171"/>
      <c r="V336" s="175"/>
      <c r="W336" s="171"/>
      <c r="X336" s="171" t="s">
        <v>4172</v>
      </c>
      <c r="Y336" s="171" t="s">
        <v>5861</v>
      </c>
      <c r="Z336" s="171" t="s">
        <v>7563</v>
      </c>
      <c r="AA336" s="171" t="s">
        <v>4172</v>
      </c>
      <c r="AB336" s="171">
        <v>2050</v>
      </c>
      <c r="AC336" s="171">
        <v>2023</v>
      </c>
      <c r="AD336" s="171"/>
      <c r="AE336" s="171"/>
      <c r="AF336" s="171"/>
      <c r="AG336" s="171" t="s">
        <v>2082</v>
      </c>
      <c r="AH336" s="171"/>
      <c r="AI336" s="171" t="s">
        <v>4174</v>
      </c>
      <c r="AJ336" s="171"/>
      <c r="AK336" s="171"/>
      <c r="AL336" s="171" t="s">
        <v>7562</v>
      </c>
      <c r="AM336" s="171"/>
      <c r="AN336" s="171" t="s">
        <v>5032</v>
      </c>
      <c r="AO336" s="171"/>
      <c r="AP336" s="171"/>
      <c r="AQ336" s="171" t="s">
        <v>5032</v>
      </c>
      <c r="AR336" s="171"/>
      <c r="AS336" s="171"/>
      <c r="AT336" s="171"/>
      <c r="AU336" s="171"/>
      <c r="AV336" s="171"/>
      <c r="AW336" s="171"/>
      <c r="AX336" s="171" t="s">
        <v>7561</v>
      </c>
      <c r="AY336" s="171"/>
      <c r="AZ336" s="171"/>
      <c r="BA336" s="171"/>
      <c r="BB336" s="171"/>
      <c r="BC336" s="171"/>
      <c r="BD336" s="171"/>
      <c r="BE336" s="171"/>
      <c r="BF336" s="225"/>
      <c r="BG336" s="171"/>
      <c r="BH336" s="171"/>
      <c r="BI336" s="171"/>
      <c r="BJ336" s="171"/>
      <c r="BK336" s="171"/>
      <c r="BL336" s="171">
        <v>1</v>
      </c>
      <c r="BM336" s="171">
        <v>1</v>
      </c>
      <c r="BN336" s="171"/>
      <c r="BO336" s="171"/>
      <c r="BP336" s="171"/>
      <c r="BQ336" s="171"/>
      <c r="BR336" s="171"/>
      <c r="BS336" s="171"/>
      <c r="BT336" s="171"/>
      <c r="BU336" s="171"/>
      <c r="BV336" s="171"/>
      <c r="BW336" s="171"/>
      <c r="BX336" s="171"/>
      <c r="BY336" s="171"/>
      <c r="BZ336" s="171">
        <v>1</v>
      </c>
      <c r="CA336" s="171"/>
      <c r="CB336" s="171">
        <v>1</v>
      </c>
      <c r="CC336" s="171"/>
      <c r="CD336" s="171"/>
      <c r="CE336" s="171">
        <v>1</v>
      </c>
      <c r="CF336" s="171"/>
      <c r="CG336" s="171"/>
      <c r="CH336" s="171">
        <v>1</v>
      </c>
      <c r="CI336" s="171"/>
      <c r="CJ336" s="171"/>
      <c r="CK336" s="171"/>
      <c r="CL336" s="171"/>
    </row>
    <row r="337" spans="1:91">
      <c r="A337" s="171">
        <v>442</v>
      </c>
      <c r="B337" s="171" t="s">
        <v>7560</v>
      </c>
      <c r="C337" s="171"/>
      <c r="D337" s="171" t="str">
        <f t="shared" si="45"/>
        <v/>
      </c>
      <c r="E337" s="171" t="s">
        <v>7259</v>
      </c>
      <c r="F337" s="174">
        <v>45511</v>
      </c>
      <c r="G337" s="171"/>
      <c r="H337" s="173">
        <v>8479.2000000000007</v>
      </c>
      <c r="I337" s="171"/>
      <c r="J337" s="171" t="s">
        <v>4467</v>
      </c>
      <c r="K337" s="171" t="s">
        <v>73</v>
      </c>
      <c r="L337" s="171" t="s">
        <v>1994</v>
      </c>
      <c r="M337" s="171" t="s">
        <v>5032</v>
      </c>
      <c r="N337" s="171"/>
      <c r="O337" s="171"/>
      <c r="P337" s="171" t="s">
        <v>5032</v>
      </c>
      <c r="Q337" s="171"/>
      <c r="R337" s="171"/>
      <c r="S337" s="171"/>
      <c r="T337" s="171"/>
      <c r="U337" s="171"/>
      <c r="V337" s="175"/>
      <c r="W337" s="171"/>
      <c r="X337" s="171" t="s">
        <v>5032</v>
      </c>
      <c r="Y337" s="171"/>
      <c r="Z337" s="171"/>
      <c r="AA337" s="171" t="s">
        <v>5032</v>
      </c>
      <c r="AB337" s="171"/>
      <c r="AC337" s="171"/>
      <c r="AD337" s="171"/>
      <c r="AE337" s="171"/>
      <c r="AF337" s="171"/>
      <c r="AG337" s="171"/>
      <c r="AH337" s="171"/>
      <c r="AI337" s="171"/>
      <c r="AJ337" s="171"/>
      <c r="AK337" s="171"/>
      <c r="AL337" s="171"/>
      <c r="AM337" s="171"/>
      <c r="AN337" s="171" t="s">
        <v>5032</v>
      </c>
      <c r="AO337" s="171"/>
      <c r="AP337" s="171"/>
      <c r="AQ337" s="171" t="s">
        <v>5032</v>
      </c>
      <c r="AR337" s="171"/>
      <c r="AS337" s="171"/>
      <c r="AT337" s="171"/>
      <c r="AU337" s="171"/>
      <c r="AV337" s="171"/>
      <c r="AW337" s="171"/>
      <c r="AX337" s="171"/>
      <c r="AY337" s="171"/>
      <c r="AZ337" s="171"/>
      <c r="BA337" s="171"/>
      <c r="BB337" s="171"/>
      <c r="BC337" s="171"/>
      <c r="BD337" s="171"/>
      <c r="BE337" s="171"/>
      <c r="BF337" s="225"/>
      <c r="BG337" s="171"/>
      <c r="BH337" s="171"/>
      <c r="BI337" s="171"/>
      <c r="BJ337" s="171"/>
      <c r="BK337" s="171"/>
      <c r="BL337" s="171"/>
      <c r="BM337" s="171"/>
      <c r="BN337" s="171"/>
      <c r="BO337" s="171"/>
      <c r="BP337" s="171"/>
      <c r="BQ337" s="171"/>
      <c r="BR337" s="171"/>
      <c r="BS337" s="171"/>
      <c r="BT337" s="171"/>
      <c r="BU337" s="171"/>
      <c r="BV337" s="171"/>
      <c r="BW337" s="171"/>
      <c r="BX337" s="171"/>
      <c r="BY337" s="171"/>
      <c r="BZ337" s="171"/>
      <c r="CA337" s="171"/>
      <c r="CB337" s="171"/>
      <c r="CC337" s="171"/>
      <c r="CD337" s="171"/>
      <c r="CE337" s="171"/>
      <c r="CF337" s="171"/>
      <c r="CG337" s="171"/>
      <c r="CH337" s="171"/>
      <c r="CI337" s="171"/>
      <c r="CJ337" s="171"/>
      <c r="CK337" s="171"/>
      <c r="CL337" s="171"/>
    </row>
    <row r="338" spans="1:91">
      <c r="A338" s="171">
        <v>375</v>
      </c>
      <c r="B338" s="171" t="s">
        <v>960</v>
      </c>
      <c r="C338" s="171">
        <v>333</v>
      </c>
      <c r="D338" s="171" t="str">
        <f t="shared" si="45"/>
        <v xml:space="preserve"> NZ SBT</v>
      </c>
      <c r="E338" s="171" t="s">
        <v>7223</v>
      </c>
      <c r="F338" s="174">
        <v>45485</v>
      </c>
      <c r="G338" s="171" t="s">
        <v>7220</v>
      </c>
      <c r="H338" s="173">
        <v>504.6</v>
      </c>
      <c r="I338" s="171"/>
      <c r="J338" s="171" t="s">
        <v>4459</v>
      </c>
      <c r="K338" s="171" t="s">
        <v>3277</v>
      </c>
      <c r="L338" s="171" t="s">
        <v>1994</v>
      </c>
      <c r="M338" s="171" t="s">
        <v>5032</v>
      </c>
      <c r="N338" s="171"/>
      <c r="O338" s="171"/>
      <c r="P338" s="171" t="s">
        <v>5032</v>
      </c>
      <c r="Q338" s="171" t="s">
        <v>165</v>
      </c>
      <c r="R338" s="171"/>
      <c r="S338" s="171">
        <v>2030</v>
      </c>
      <c r="T338" s="171" t="s">
        <v>361</v>
      </c>
      <c r="U338" s="171"/>
      <c r="V338" s="172">
        <v>44593</v>
      </c>
      <c r="W338" s="171">
        <v>2022</v>
      </c>
      <c r="X338" s="171" t="s">
        <v>5032</v>
      </c>
      <c r="Y338" s="171"/>
      <c r="Z338" s="171"/>
      <c r="AA338" s="171" t="s">
        <v>5032</v>
      </c>
      <c r="AB338" s="171"/>
      <c r="AC338" s="171"/>
      <c r="AD338" s="171"/>
      <c r="AE338" s="171"/>
      <c r="AF338" s="171"/>
      <c r="AG338" s="171"/>
      <c r="AH338" s="171"/>
      <c r="AI338" s="171"/>
      <c r="AJ338" s="171"/>
      <c r="AK338" s="171"/>
      <c r="AL338" s="171"/>
      <c r="AM338" s="171"/>
      <c r="AN338" s="171" t="s">
        <v>1957</v>
      </c>
      <c r="AO338" s="171" t="s">
        <v>5131</v>
      </c>
      <c r="AP338" s="171" t="s">
        <v>2072</v>
      </c>
      <c r="AQ338" s="171" t="s">
        <v>1957</v>
      </c>
      <c r="AR338" s="171">
        <v>2050</v>
      </c>
      <c r="AS338" s="171">
        <v>2022</v>
      </c>
      <c r="AT338" s="171"/>
      <c r="AU338" s="171"/>
      <c r="AV338" s="171"/>
      <c r="AW338" s="171" t="s">
        <v>2082</v>
      </c>
      <c r="AX338" s="171" t="s">
        <v>7559</v>
      </c>
      <c r="AY338" s="171"/>
      <c r="AZ338" s="171"/>
      <c r="BA338" s="171"/>
      <c r="BB338" s="171"/>
      <c r="BC338" s="171" t="s">
        <v>7558</v>
      </c>
      <c r="BD338" s="171"/>
      <c r="BE338" s="171"/>
      <c r="BF338" s="225"/>
      <c r="BG338" s="171"/>
      <c r="BH338" s="171"/>
      <c r="BI338" s="171"/>
      <c r="BJ338" s="171"/>
      <c r="BK338" s="171"/>
      <c r="BL338" s="171"/>
      <c r="BM338" s="171"/>
      <c r="BN338" s="171"/>
      <c r="BO338" s="171"/>
      <c r="BP338" s="171">
        <v>1</v>
      </c>
      <c r="BQ338" s="171">
        <v>1</v>
      </c>
      <c r="BR338" s="171"/>
      <c r="BS338" s="171">
        <v>1</v>
      </c>
      <c r="BT338" s="171"/>
      <c r="BU338" s="171">
        <v>1</v>
      </c>
      <c r="BV338" s="171"/>
      <c r="BW338" s="171"/>
      <c r="BX338" s="171"/>
      <c r="BY338" s="171"/>
      <c r="BZ338" s="171">
        <v>1</v>
      </c>
      <c r="CA338" s="171"/>
      <c r="CB338" s="171">
        <v>1</v>
      </c>
      <c r="CC338" s="171"/>
      <c r="CD338" s="171"/>
      <c r="CE338" s="171">
        <v>1</v>
      </c>
      <c r="CF338" s="171"/>
      <c r="CG338" s="171">
        <v>1</v>
      </c>
      <c r="CH338" s="171">
        <v>1</v>
      </c>
      <c r="CI338" s="171"/>
      <c r="CJ338" s="171"/>
      <c r="CK338" s="171"/>
      <c r="CL338" s="171"/>
      <c r="CM338">
        <f t="shared" si="46"/>
        <v>2050</v>
      </c>
    </row>
    <row r="339" spans="1:91">
      <c r="A339" s="171">
        <v>109</v>
      </c>
      <c r="B339" s="171" t="s">
        <v>1556</v>
      </c>
      <c r="C339" s="171">
        <v>80</v>
      </c>
      <c r="D339" s="171" t="str">
        <f t="shared" si="45"/>
        <v xml:space="preserve"> NZ</v>
      </c>
      <c r="E339" s="171" t="s">
        <v>7220</v>
      </c>
      <c r="F339" s="174">
        <v>45475</v>
      </c>
      <c r="G339" s="171" t="s">
        <v>7220</v>
      </c>
      <c r="H339" s="173">
        <v>457.1</v>
      </c>
      <c r="I339" s="171"/>
      <c r="J339" s="171" t="s">
        <v>4494</v>
      </c>
      <c r="K339" s="171" t="s">
        <v>121</v>
      </c>
      <c r="L339" s="171" t="s">
        <v>2029</v>
      </c>
      <c r="M339" s="171" t="s">
        <v>5032</v>
      </c>
      <c r="N339" s="171"/>
      <c r="O339" s="171"/>
      <c r="P339" s="171" t="s">
        <v>5032</v>
      </c>
      <c r="Q339" s="171"/>
      <c r="R339" s="171"/>
      <c r="S339" s="171"/>
      <c r="T339" s="171"/>
      <c r="U339" s="171"/>
      <c r="V339" s="175"/>
      <c r="W339" s="171"/>
      <c r="X339" s="171" t="s">
        <v>5032</v>
      </c>
      <c r="Y339" s="171"/>
      <c r="Z339" s="171"/>
      <c r="AA339" s="171" t="s">
        <v>5032</v>
      </c>
      <c r="AB339" s="171"/>
      <c r="AC339" s="171"/>
      <c r="AD339" s="171"/>
      <c r="AE339" s="171"/>
      <c r="AF339" s="171"/>
      <c r="AG339" s="171"/>
      <c r="AH339" s="171"/>
      <c r="AI339" s="171"/>
      <c r="AJ339" s="171"/>
      <c r="AK339" s="171"/>
      <c r="AL339" s="171"/>
      <c r="AM339" s="171"/>
      <c r="AN339" s="171" t="s">
        <v>1957</v>
      </c>
      <c r="AO339" s="171" t="s">
        <v>7510</v>
      </c>
      <c r="AP339" s="171" t="s">
        <v>2072</v>
      </c>
      <c r="AQ339" s="171" t="s">
        <v>1957</v>
      </c>
      <c r="AR339" s="171">
        <v>2050</v>
      </c>
      <c r="AS339" s="171">
        <v>2021</v>
      </c>
      <c r="AT339" s="171"/>
      <c r="AU339" s="171"/>
      <c r="AV339" s="171"/>
      <c r="AW339" s="171" t="s">
        <v>4174</v>
      </c>
      <c r="AX339" s="171" t="s">
        <v>7557</v>
      </c>
      <c r="AY339" s="171"/>
      <c r="AZ339" s="171"/>
      <c r="BA339" s="171"/>
      <c r="BB339" s="171"/>
      <c r="BC339" s="171" t="s">
        <v>7556</v>
      </c>
      <c r="BD339" s="171"/>
      <c r="BE339" s="171"/>
      <c r="BF339" s="225"/>
      <c r="BG339" s="171"/>
      <c r="BH339" s="171"/>
      <c r="BI339" s="171"/>
      <c r="BJ339" s="171"/>
      <c r="BK339" s="171"/>
      <c r="BL339" s="171"/>
      <c r="BM339" s="171"/>
      <c r="BN339" s="171"/>
      <c r="BO339" s="171"/>
      <c r="BP339" s="171">
        <v>1</v>
      </c>
      <c r="BQ339" s="171">
        <v>1</v>
      </c>
      <c r="BR339" s="171"/>
      <c r="BS339" s="171"/>
      <c r="BT339" s="171"/>
      <c r="BU339" s="171"/>
      <c r="BV339" s="171"/>
      <c r="BW339" s="171"/>
      <c r="BX339" s="171"/>
      <c r="BY339" s="171"/>
      <c r="BZ339" s="171">
        <v>1</v>
      </c>
      <c r="CA339" s="171"/>
      <c r="CB339" s="171">
        <v>1</v>
      </c>
      <c r="CC339" s="171">
        <v>1</v>
      </c>
      <c r="CD339" s="171"/>
      <c r="CE339" s="171">
        <v>1</v>
      </c>
      <c r="CF339" s="171"/>
      <c r="CG339" s="171"/>
      <c r="CH339" s="171">
        <v>1</v>
      </c>
      <c r="CI339" s="171"/>
      <c r="CJ339" s="171"/>
      <c r="CK339" s="171"/>
      <c r="CL339" s="171"/>
      <c r="CM339">
        <f t="shared" si="46"/>
        <v>2050</v>
      </c>
    </row>
    <row r="340" spans="1:91">
      <c r="A340" s="171">
        <v>158</v>
      </c>
      <c r="B340" s="171" t="s">
        <v>1437</v>
      </c>
      <c r="C340" s="171">
        <v>120</v>
      </c>
      <c r="D340" s="171" t="str">
        <f t="shared" si="45"/>
        <v/>
      </c>
      <c r="E340" s="171" t="s">
        <v>7228</v>
      </c>
      <c r="F340" s="174">
        <v>45475</v>
      </c>
      <c r="G340" s="171" t="s">
        <v>7223</v>
      </c>
      <c r="H340" s="173">
        <v>3153.2</v>
      </c>
      <c r="I340" s="171"/>
      <c r="J340" s="171" t="s">
        <v>4465</v>
      </c>
      <c r="K340" s="171" t="s">
        <v>73</v>
      </c>
      <c r="L340" s="171" t="s">
        <v>1994</v>
      </c>
      <c r="M340" s="171" t="s">
        <v>5032</v>
      </c>
      <c r="N340" s="171"/>
      <c r="O340" s="171"/>
      <c r="P340" s="171" t="s">
        <v>5032</v>
      </c>
      <c r="Q340" s="171"/>
      <c r="R340" s="171"/>
      <c r="S340" s="171"/>
      <c r="T340" s="171"/>
      <c r="U340" s="171"/>
      <c r="V340" s="175"/>
      <c r="W340" s="171"/>
      <c r="X340" s="171" t="s">
        <v>4519</v>
      </c>
      <c r="Y340" s="171" t="s">
        <v>5131</v>
      </c>
      <c r="Z340" s="171" t="s">
        <v>3283</v>
      </c>
      <c r="AA340" s="171" t="s">
        <v>4519</v>
      </c>
      <c r="AB340" s="171">
        <v>2060</v>
      </c>
      <c r="AC340" s="171">
        <v>2021</v>
      </c>
      <c r="AD340" s="171"/>
      <c r="AE340" s="171"/>
      <c r="AF340" s="171"/>
      <c r="AG340" s="171"/>
      <c r="AH340" s="171"/>
      <c r="AI340" s="171"/>
      <c r="AJ340" s="171"/>
      <c r="AK340" s="171"/>
      <c r="AL340" s="171" t="s">
        <v>7555</v>
      </c>
      <c r="AM340" s="171"/>
      <c r="AN340" s="171" t="s">
        <v>5032</v>
      </c>
      <c r="AO340" s="171"/>
      <c r="AP340" s="171"/>
      <c r="AQ340" s="171" t="s">
        <v>5032</v>
      </c>
      <c r="AR340" s="171"/>
      <c r="AS340" s="171"/>
      <c r="AT340" s="171"/>
      <c r="AU340" s="171"/>
      <c r="AV340" s="171"/>
      <c r="AW340" s="171"/>
      <c r="AX340" s="171"/>
      <c r="AY340" s="171"/>
      <c r="AZ340" s="171"/>
      <c r="BA340" s="171"/>
      <c r="BB340" s="171"/>
      <c r="BC340" s="171"/>
      <c r="BD340" s="171"/>
      <c r="BE340" s="171"/>
      <c r="BF340" s="225"/>
      <c r="BG340" s="171"/>
      <c r="BH340" s="171"/>
      <c r="BI340" s="171"/>
      <c r="BJ340" s="171"/>
      <c r="BK340" s="171"/>
      <c r="BL340" s="171"/>
      <c r="BM340" s="171"/>
      <c r="BN340" s="171"/>
      <c r="BO340" s="171"/>
      <c r="BP340" s="171"/>
      <c r="BQ340" s="171"/>
      <c r="BR340" s="171"/>
      <c r="BS340" s="171"/>
      <c r="BT340" s="171"/>
      <c r="BU340" s="171"/>
      <c r="BV340" s="171"/>
      <c r="BW340" s="171"/>
      <c r="BX340" s="171"/>
      <c r="BY340" s="171"/>
      <c r="BZ340" s="171"/>
      <c r="CA340" s="171"/>
      <c r="CB340" s="171"/>
      <c r="CC340" s="171"/>
      <c r="CD340" s="171"/>
      <c r="CE340" s="171"/>
      <c r="CF340" s="171"/>
      <c r="CG340" s="171"/>
      <c r="CH340" s="171"/>
      <c r="CI340" s="171"/>
      <c r="CJ340" s="171"/>
      <c r="CK340" s="171"/>
      <c r="CL340" s="171"/>
    </row>
    <row r="341" spans="1:91">
      <c r="A341" s="171">
        <v>123</v>
      </c>
      <c r="B341" s="171" t="s">
        <v>1312</v>
      </c>
      <c r="C341" s="171">
        <v>135</v>
      </c>
      <c r="D341" s="171" t="str">
        <f t="shared" si="45"/>
        <v xml:space="preserve"> NZ SBT RE100</v>
      </c>
      <c r="E341" s="171" t="s">
        <v>7223</v>
      </c>
      <c r="F341" s="174">
        <v>45476</v>
      </c>
      <c r="G341" s="171" t="s">
        <v>7223</v>
      </c>
      <c r="H341" s="173">
        <v>9074</v>
      </c>
      <c r="I341" s="171"/>
      <c r="J341" s="171" t="s">
        <v>4455</v>
      </c>
      <c r="K341" s="171" t="s">
        <v>4457</v>
      </c>
      <c r="L341" s="171" t="s">
        <v>2029</v>
      </c>
      <c r="M341" s="171" t="s">
        <v>4174</v>
      </c>
      <c r="N341" s="171">
        <v>2020</v>
      </c>
      <c r="O341" s="171">
        <v>2040</v>
      </c>
      <c r="P341" s="171" t="s">
        <v>4174</v>
      </c>
      <c r="Q341" s="171" t="s">
        <v>22</v>
      </c>
      <c r="R341" s="171" t="s">
        <v>7233</v>
      </c>
      <c r="S341" s="171">
        <v>2030</v>
      </c>
      <c r="T341" s="171" t="s">
        <v>361</v>
      </c>
      <c r="U341" s="171"/>
      <c r="V341" s="172">
        <v>44197</v>
      </c>
      <c r="W341" s="171">
        <v>2021</v>
      </c>
      <c r="X341" s="171" t="s">
        <v>5032</v>
      </c>
      <c r="Y341" s="171"/>
      <c r="Z341" s="171"/>
      <c r="AA341" s="171" t="s">
        <v>5032</v>
      </c>
      <c r="AB341" s="171"/>
      <c r="AC341" s="171"/>
      <c r="AD341" s="171"/>
      <c r="AE341" s="171"/>
      <c r="AF341" s="171"/>
      <c r="AG341" s="171"/>
      <c r="AH341" s="171"/>
      <c r="AI341" s="171"/>
      <c r="AJ341" s="171"/>
      <c r="AK341" s="171"/>
      <c r="AL341" s="171"/>
      <c r="AM341" s="171"/>
      <c r="AN341" s="171" t="s">
        <v>4172</v>
      </c>
      <c r="AO341" s="171" t="s">
        <v>2760</v>
      </c>
      <c r="AP341" s="171" t="s">
        <v>7350</v>
      </c>
      <c r="AQ341" s="171" t="s">
        <v>4172</v>
      </c>
      <c r="AR341" s="171">
        <v>2040</v>
      </c>
      <c r="AS341" s="171">
        <v>2021</v>
      </c>
      <c r="AT341" s="171"/>
      <c r="AU341" s="171"/>
      <c r="AV341" s="171"/>
      <c r="AW341" s="171" t="s">
        <v>7247</v>
      </c>
      <c r="AX341" s="171" t="s">
        <v>7553</v>
      </c>
      <c r="AY341" s="171"/>
      <c r="AZ341" s="171"/>
      <c r="BA341" s="171"/>
      <c r="BB341" s="171"/>
      <c r="BC341" s="171" t="s">
        <v>7554</v>
      </c>
      <c r="BD341" s="171" t="s">
        <v>4174</v>
      </c>
      <c r="BE341" s="171" t="s">
        <v>7553</v>
      </c>
      <c r="BF341" s="225" t="s">
        <v>5032</v>
      </c>
      <c r="BG341" s="171"/>
      <c r="BH341" s="171"/>
      <c r="BI341" s="171"/>
      <c r="BJ341" s="171"/>
      <c r="BK341" s="171"/>
      <c r="BL341" s="171"/>
      <c r="BM341" s="171"/>
      <c r="BN341" s="171"/>
      <c r="BO341" s="171"/>
      <c r="BP341" s="171">
        <v>1</v>
      </c>
      <c r="BQ341" s="171">
        <v>1</v>
      </c>
      <c r="BR341" s="171"/>
      <c r="BS341" s="171">
        <v>1</v>
      </c>
      <c r="BT341" s="171"/>
      <c r="BU341" s="171">
        <v>1</v>
      </c>
      <c r="BV341" s="171"/>
      <c r="BW341" s="171"/>
      <c r="BX341" s="171">
        <v>1</v>
      </c>
      <c r="BY341" s="171">
        <v>1</v>
      </c>
      <c r="BZ341" s="171">
        <v>1</v>
      </c>
      <c r="CA341" s="171"/>
      <c r="CB341" s="171">
        <v>1</v>
      </c>
      <c r="CC341" s="171">
        <v>1</v>
      </c>
      <c r="CD341" s="171"/>
      <c r="CE341" s="171">
        <v>1</v>
      </c>
      <c r="CF341" s="171"/>
      <c r="CG341" s="171">
        <v>1</v>
      </c>
      <c r="CH341" s="171">
        <v>1</v>
      </c>
      <c r="CI341" s="171"/>
      <c r="CJ341" s="171"/>
      <c r="CK341" s="171">
        <v>1</v>
      </c>
      <c r="CL341" s="171">
        <v>1</v>
      </c>
      <c r="CM341">
        <f t="shared" si="46"/>
        <v>2040</v>
      </c>
    </row>
    <row r="342" spans="1:91">
      <c r="A342" s="171">
        <v>272</v>
      </c>
      <c r="B342" s="171" t="s">
        <v>4267</v>
      </c>
      <c r="C342" s="171">
        <v>304</v>
      </c>
      <c r="D342" s="171" t="str">
        <f t="shared" si="45"/>
        <v xml:space="preserve"> NZ</v>
      </c>
      <c r="E342" s="171" t="s">
        <v>7220</v>
      </c>
      <c r="F342" s="174">
        <v>45478</v>
      </c>
      <c r="G342" s="171" t="s">
        <v>7223</v>
      </c>
      <c r="H342" s="173">
        <v>397.2</v>
      </c>
      <c r="I342" s="171"/>
      <c r="J342" s="171" t="s">
        <v>4467</v>
      </c>
      <c r="K342" s="171" t="s">
        <v>4457</v>
      </c>
      <c r="L342" s="171" t="s">
        <v>2029</v>
      </c>
      <c r="M342" s="171" t="s">
        <v>5032</v>
      </c>
      <c r="N342" s="171"/>
      <c r="O342" s="171"/>
      <c r="P342" s="171" t="s">
        <v>5032</v>
      </c>
      <c r="Q342" s="171"/>
      <c r="R342" s="171"/>
      <c r="S342" s="171"/>
      <c r="T342" s="171"/>
      <c r="U342" s="171"/>
      <c r="V342" s="175"/>
      <c r="W342" s="171"/>
      <c r="X342" s="171" t="s">
        <v>5032</v>
      </c>
      <c r="Y342" s="171"/>
      <c r="Z342" s="171"/>
      <c r="AA342" s="171" t="s">
        <v>5032</v>
      </c>
      <c r="AB342" s="171"/>
      <c r="AC342" s="171"/>
      <c r="AD342" s="171"/>
      <c r="AE342" s="171"/>
      <c r="AF342" s="171"/>
      <c r="AG342" s="171"/>
      <c r="AH342" s="171"/>
      <c r="AI342" s="171"/>
      <c r="AJ342" s="171"/>
      <c r="AK342" s="171"/>
      <c r="AL342" s="171"/>
      <c r="AM342" s="171"/>
      <c r="AN342" s="171" t="s">
        <v>4172</v>
      </c>
      <c r="AO342" s="171" t="s">
        <v>7552</v>
      </c>
      <c r="AP342" s="171" t="s">
        <v>2072</v>
      </c>
      <c r="AQ342" s="171" t="s">
        <v>4172</v>
      </c>
      <c r="AR342" s="171">
        <v>2050</v>
      </c>
      <c r="AS342" s="171">
        <v>2021</v>
      </c>
      <c r="AT342" s="171"/>
      <c r="AU342" s="171"/>
      <c r="AV342" s="171"/>
      <c r="AW342" s="171" t="s">
        <v>2082</v>
      </c>
      <c r="AX342" s="171" t="s">
        <v>7551</v>
      </c>
      <c r="AY342" s="171"/>
      <c r="AZ342" s="171"/>
      <c r="BA342" s="171"/>
      <c r="BB342" s="171"/>
      <c r="BC342" s="171"/>
      <c r="BD342" s="171"/>
      <c r="BE342" s="171"/>
      <c r="BF342" s="225"/>
      <c r="BG342" s="171"/>
      <c r="BH342" s="171"/>
      <c r="BI342" s="171"/>
      <c r="BJ342" s="171"/>
      <c r="BK342" s="171"/>
      <c r="BL342" s="171"/>
      <c r="BM342" s="171"/>
      <c r="BN342" s="171"/>
      <c r="BO342" s="171"/>
      <c r="BP342" s="171">
        <v>1</v>
      </c>
      <c r="BQ342" s="171">
        <v>1</v>
      </c>
      <c r="BR342" s="171"/>
      <c r="BS342" s="171"/>
      <c r="BT342" s="171"/>
      <c r="BU342" s="171"/>
      <c r="BV342" s="171"/>
      <c r="BW342" s="171"/>
      <c r="BX342" s="171"/>
      <c r="BY342" s="171"/>
      <c r="BZ342" s="171">
        <v>1</v>
      </c>
      <c r="CA342" s="171"/>
      <c r="CB342" s="171">
        <v>1</v>
      </c>
      <c r="CC342" s="171"/>
      <c r="CD342" s="171"/>
      <c r="CE342" s="171">
        <v>1</v>
      </c>
      <c r="CF342" s="171"/>
      <c r="CG342" s="171"/>
      <c r="CH342" s="171">
        <v>1</v>
      </c>
      <c r="CI342" s="171"/>
      <c r="CJ342" s="171"/>
      <c r="CK342" s="171">
        <v>1</v>
      </c>
      <c r="CL342" s="171">
        <v>1</v>
      </c>
      <c r="CM342">
        <f t="shared" si="46"/>
        <v>2050</v>
      </c>
    </row>
    <row r="343" spans="1:91">
      <c r="A343" s="171">
        <v>165</v>
      </c>
      <c r="B343" s="171" t="s">
        <v>1241</v>
      </c>
      <c r="C343" s="171">
        <v>141</v>
      </c>
      <c r="D343" s="171" t="str">
        <f t="shared" si="45"/>
        <v/>
      </c>
      <c r="E343" s="171" t="s">
        <v>7220</v>
      </c>
      <c r="F343" s="174">
        <v>45476</v>
      </c>
      <c r="G343" s="171" t="s">
        <v>7223</v>
      </c>
      <c r="H343" s="173">
        <v>4441.3999999999996</v>
      </c>
      <c r="I343" s="171"/>
      <c r="J343" s="171" t="s">
        <v>3498</v>
      </c>
      <c r="K343" s="171" t="s">
        <v>1242</v>
      </c>
      <c r="L343" s="171" t="s">
        <v>1994</v>
      </c>
      <c r="M343" s="171" t="s">
        <v>5032</v>
      </c>
      <c r="N343" s="171"/>
      <c r="O343" s="171"/>
      <c r="P343" s="171" t="s">
        <v>5032</v>
      </c>
      <c r="Q343" s="171"/>
      <c r="R343" s="171"/>
      <c r="S343" s="171"/>
      <c r="T343" s="171"/>
      <c r="U343" s="171"/>
      <c r="V343" s="175"/>
      <c r="W343" s="171"/>
      <c r="X343" s="171" t="s">
        <v>5032</v>
      </c>
      <c r="Y343" s="171"/>
      <c r="Z343" s="171"/>
      <c r="AA343" s="171" t="s">
        <v>5032</v>
      </c>
      <c r="AB343" s="171"/>
      <c r="AC343" s="171"/>
      <c r="AD343" s="171"/>
      <c r="AE343" s="171"/>
      <c r="AF343" s="171"/>
      <c r="AG343" s="171"/>
      <c r="AH343" s="171"/>
      <c r="AI343" s="171"/>
      <c r="AJ343" s="171"/>
      <c r="AK343" s="171"/>
      <c r="AL343" s="171"/>
      <c r="AM343" s="171"/>
      <c r="AN343" s="171" t="s">
        <v>4519</v>
      </c>
      <c r="AO343" s="171" t="s">
        <v>7510</v>
      </c>
      <c r="AP343" s="171" t="s">
        <v>2072</v>
      </c>
      <c r="AQ343" s="171" t="s">
        <v>4519</v>
      </c>
      <c r="AR343" s="171">
        <v>2060</v>
      </c>
      <c r="AS343" s="171">
        <v>2021</v>
      </c>
      <c r="AT343" s="171"/>
      <c r="AU343" s="171"/>
      <c r="AV343" s="171"/>
      <c r="AW343" s="171"/>
      <c r="AX343" s="171" t="s">
        <v>7550</v>
      </c>
      <c r="AY343" s="171"/>
      <c r="AZ343" s="171"/>
      <c r="BA343" s="171"/>
      <c r="BB343" s="171"/>
      <c r="BC343" s="171"/>
      <c r="BD343" s="171"/>
      <c r="BE343" s="171"/>
      <c r="BF343" s="225"/>
      <c r="BG343" s="171"/>
      <c r="BH343" s="171"/>
      <c r="BI343" s="171"/>
      <c r="BJ343" s="171"/>
      <c r="BK343" s="171"/>
      <c r="BL343" s="171"/>
      <c r="BM343" s="171"/>
      <c r="BN343" s="171"/>
      <c r="BO343" s="171"/>
      <c r="BP343" s="171"/>
      <c r="BQ343" s="171"/>
      <c r="BR343" s="171"/>
      <c r="BS343" s="171"/>
      <c r="BT343" s="171"/>
      <c r="BU343" s="171"/>
      <c r="BV343" s="171"/>
      <c r="BW343" s="171"/>
      <c r="BX343" s="171"/>
      <c r="BY343" s="171"/>
      <c r="BZ343" s="171"/>
      <c r="CA343" s="171"/>
      <c r="CB343" s="171"/>
      <c r="CC343" s="171"/>
      <c r="CD343" s="171"/>
      <c r="CE343" s="171"/>
      <c r="CF343" s="171"/>
      <c r="CG343" s="171"/>
      <c r="CH343" s="171"/>
      <c r="CI343" s="171"/>
      <c r="CJ343" s="171"/>
      <c r="CK343" s="171"/>
      <c r="CL343" s="171"/>
      <c r="CM343">
        <f t="shared" si="46"/>
        <v>2060</v>
      </c>
    </row>
    <row r="344" spans="1:91">
      <c r="A344" s="171">
        <v>99</v>
      </c>
      <c r="B344" s="171" t="s">
        <v>1645</v>
      </c>
      <c r="C344" s="171">
        <v>71</v>
      </c>
      <c r="D344" s="171" t="str">
        <f t="shared" si="45"/>
        <v>CN</v>
      </c>
      <c r="E344" s="171" t="s">
        <v>7220</v>
      </c>
      <c r="F344" s="174">
        <v>45475</v>
      </c>
      <c r="G344" s="171" t="s">
        <v>7220</v>
      </c>
      <c r="H344" s="173">
        <v>24884</v>
      </c>
      <c r="I344" s="171"/>
      <c r="J344" s="171" t="s">
        <v>3498</v>
      </c>
      <c r="K344" s="171" t="s">
        <v>68</v>
      </c>
      <c r="L344" s="171" t="s">
        <v>8320</v>
      </c>
      <c r="M344" s="171" t="s">
        <v>5032</v>
      </c>
      <c r="N344" s="171"/>
      <c r="O344" s="171"/>
      <c r="P344" s="171" t="s">
        <v>5032</v>
      </c>
      <c r="Q344" s="171"/>
      <c r="R344" s="171"/>
      <c r="S344" s="171"/>
      <c r="T344" s="171"/>
      <c r="U344" s="171"/>
      <c r="V344" s="175"/>
      <c r="W344" s="171"/>
      <c r="X344" s="171" t="s">
        <v>1957</v>
      </c>
      <c r="Y344" s="171" t="s">
        <v>7549</v>
      </c>
      <c r="Z344" s="171" t="s">
        <v>7548</v>
      </c>
      <c r="AA344" s="171" t="s">
        <v>1957</v>
      </c>
      <c r="AB344" s="171">
        <v>2050</v>
      </c>
      <c r="AC344" s="171">
        <v>2022</v>
      </c>
      <c r="AD344" s="171"/>
      <c r="AE344" s="171"/>
      <c r="AF344" s="171"/>
      <c r="AG344" s="171" t="s">
        <v>4174</v>
      </c>
      <c r="AH344" s="171"/>
      <c r="AI344" s="171" t="s">
        <v>5032</v>
      </c>
      <c r="AJ344" s="171"/>
      <c r="AK344" s="171"/>
      <c r="AL344" s="177" t="s">
        <v>7547</v>
      </c>
      <c r="AM344" s="171" t="s">
        <v>7546</v>
      </c>
      <c r="AN344" s="171" t="s">
        <v>5032</v>
      </c>
      <c r="AO344" s="171"/>
      <c r="AP344" s="171"/>
      <c r="AQ344" s="171" t="s">
        <v>5032</v>
      </c>
      <c r="AR344" s="171"/>
      <c r="AS344" s="171"/>
      <c r="AT344" s="171"/>
      <c r="AU344" s="171"/>
      <c r="AV344" s="171"/>
      <c r="AW344" s="171"/>
      <c r="AX344" s="171"/>
      <c r="AY344" s="171"/>
      <c r="AZ344" s="171"/>
      <c r="BA344" s="171"/>
      <c r="BB344" s="171"/>
      <c r="BC344" s="171"/>
      <c r="BD344" s="171"/>
      <c r="BE344" s="171"/>
      <c r="BF344" s="225"/>
      <c r="BG344" s="171"/>
      <c r="BH344" s="171"/>
      <c r="BI344" s="171"/>
      <c r="BJ344" s="171"/>
      <c r="BK344" s="171"/>
      <c r="BL344" s="171">
        <v>1</v>
      </c>
      <c r="BM344" s="171">
        <v>1</v>
      </c>
      <c r="BN344" s="171"/>
      <c r="BO344" s="171"/>
      <c r="BP344" s="171"/>
      <c r="BQ344" s="171"/>
      <c r="BR344" s="171"/>
      <c r="BS344" s="171"/>
      <c r="BT344" s="171"/>
      <c r="BU344" s="171"/>
      <c r="BV344" s="171"/>
      <c r="BW344" s="171"/>
      <c r="BX344" s="171"/>
      <c r="BY344" s="171"/>
      <c r="BZ344" s="171">
        <v>1</v>
      </c>
      <c r="CA344" s="171"/>
      <c r="CB344" s="171">
        <v>1</v>
      </c>
      <c r="CC344" s="171">
        <v>1</v>
      </c>
      <c r="CD344" s="171"/>
      <c r="CE344" s="171">
        <v>1</v>
      </c>
      <c r="CF344" s="171"/>
      <c r="CG344" s="171"/>
      <c r="CH344" s="171">
        <v>1</v>
      </c>
      <c r="CI344" s="171"/>
      <c r="CJ344" s="171"/>
      <c r="CK344" s="171"/>
      <c r="CL344" s="171"/>
    </row>
    <row r="345" spans="1:91">
      <c r="A345" s="171">
        <v>167</v>
      </c>
      <c r="B345" s="171" t="s">
        <v>1300</v>
      </c>
      <c r="C345" s="171">
        <v>139</v>
      </c>
      <c r="D345" s="171" t="str">
        <f t="shared" si="45"/>
        <v xml:space="preserve"> NZ</v>
      </c>
      <c r="E345" s="171" t="s">
        <v>7220</v>
      </c>
      <c r="F345" s="174">
        <v>45476</v>
      </c>
      <c r="G345" s="171" t="s">
        <v>7223</v>
      </c>
      <c r="H345" s="173">
        <v>16320.1</v>
      </c>
      <c r="I345" s="171"/>
      <c r="J345" s="171" t="s">
        <v>3498</v>
      </c>
      <c r="K345" s="171" t="s">
        <v>1301</v>
      </c>
      <c r="L345" s="171" t="s">
        <v>1994</v>
      </c>
      <c r="M345" s="171" t="s">
        <v>5032</v>
      </c>
      <c r="N345" s="171"/>
      <c r="O345" s="171"/>
      <c r="P345" s="171" t="s">
        <v>5032</v>
      </c>
      <c r="Q345" s="171"/>
      <c r="R345" s="171"/>
      <c r="S345" s="171"/>
      <c r="T345" s="171"/>
      <c r="U345" s="171"/>
      <c r="V345" s="175"/>
      <c r="W345" s="171"/>
      <c r="X345" s="171" t="s">
        <v>5032</v>
      </c>
      <c r="Y345" s="171"/>
      <c r="Z345" s="171"/>
      <c r="AA345" s="171" t="s">
        <v>5032</v>
      </c>
      <c r="AB345" s="171"/>
      <c r="AC345" s="171"/>
      <c r="AD345" s="171"/>
      <c r="AE345" s="171"/>
      <c r="AF345" s="171"/>
      <c r="AG345" s="171"/>
      <c r="AH345" s="171"/>
      <c r="AI345" s="171"/>
      <c r="AJ345" s="171"/>
      <c r="AK345" s="171"/>
      <c r="AL345" s="171"/>
      <c r="AM345" s="171" t="s">
        <v>7545</v>
      </c>
      <c r="AN345" s="171" t="s">
        <v>1957</v>
      </c>
      <c r="AO345" s="171" t="s">
        <v>2098</v>
      </c>
      <c r="AP345" s="171" t="s">
        <v>2072</v>
      </c>
      <c r="AQ345" s="171" t="s">
        <v>1957</v>
      </c>
      <c r="AR345" s="171">
        <v>2050</v>
      </c>
      <c r="AS345" s="171">
        <v>2020</v>
      </c>
      <c r="AT345" s="171"/>
      <c r="AU345" s="171"/>
      <c r="AV345" s="171"/>
      <c r="AW345" s="171" t="s">
        <v>2082</v>
      </c>
      <c r="AX345" s="171" t="s">
        <v>7544</v>
      </c>
      <c r="AY345" s="171"/>
      <c r="AZ345" s="171"/>
      <c r="BA345" s="171"/>
      <c r="BB345" s="171"/>
      <c r="BC345" s="171" t="s">
        <v>7543</v>
      </c>
      <c r="BD345" s="171"/>
      <c r="BE345" s="171"/>
      <c r="BF345" s="225"/>
      <c r="BG345" s="171"/>
      <c r="BH345" s="171"/>
      <c r="BI345" s="171"/>
      <c r="BJ345" s="171"/>
      <c r="BK345" s="171"/>
      <c r="BL345" s="171"/>
      <c r="BM345" s="171"/>
      <c r="BN345" s="171"/>
      <c r="BO345" s="171"/>
      <c r="BP345" s="171">
        <v>1</v>
      </c>
      <c r="BQ345" s="171">
        <v>1</v>
      </c>
      <c r="BR345" s="171"/>
      <c r="BS345" s="171"/>
      <c r="BT345" s="171"/>
      <c r="BU345" s="171"/>
      <c r="BV345" s="171"/>
      <c r="BW345" s="171"/>
      <c r="BX345" s="171"/>
      <c r="BY345" s="171"/>
      <c r="BZ345" s="171">
        <v>1</v>
      </c>
      <c r="CA345" s="171"/>
      <c r="CB345" s="171">
        <v>1</v>
      </c>
      <c r="CC345" s="171"/>
      <c r="CD345" s="171"/>
      <c r="CE345" s="171">
        <v>1</v>
      </c>
      <c r="CF345" s="171"/>
      <c r="CG345" s="171"/>
      <c r="CH345" s="171">
        <v>1</v>
      </c>
      <c r="CI345" s="171"/>
      <c r="CJ345" s="171"/>
      <c r="CK345" s="171"/>
      <c r="CL345" s="171"/>
      <c r="CM345">
        <f t="shared" si="46"/>
        <v>2050</v>
      </c>
    </row>
    <row r="346" spans="1:91">
      <c r="A346" s="171">
        <v>236</v>
      </c>
      <c r="B346" s="171" t="s">
        <v>1171</v>
      </c>
      <c r="C346" s="171">
        <v>102</v>
      </c>
      <c r="D346" s="171" t="str">
        <f t="shared" si="45"/>
        <v>CN NZ SBT RE100</v>
      </c>
      <c r="E346" s="171" t="s">
        <v>7228</v>
      </c>
      <c r="F346" s="174">
        <v>45475</v>
      </c>
      <c r="G346" s="171" t="s">
        <v>7220</v>
      </c>
      <c r="H346" s="173">
        <v>2119</v>
      </c>
      <c r="I346" s="171"/>
      <c r="J346" s="171" t="s">
        <v>4201</v>
      </c>
      <c r="K346" s="171" t="s">
        <v>4457</v>
      </c>
      <c r="L346" s="171" t="s">
        <v>2029</v>
      </c>
      <c r="M346" s="171" t="s">
        <v>4174</v>
      </c>
      <c r="N346" s="171">
        <v>2022</v>
      </c>
      <c r="O346" s="171">
        <v>2030</v>
      </c>
      <c r="P346" s="171" t="s">
        <v>4174</v>
      </c>
      <c r="Q346" s="171" t="s">
        <v>22</v>
      </c>
      <c r="R346" s="171" t="s">
        <v>7233</v>
      </c>
      <c r="S346" s="171">
        <v>2025</v>
      </c>
      <c r="T346" s="171" t="s">
        <v>1</v>
      </c>
      <c r="U346" s="171"/>
      <c r="V346" s="172">
        <v>44287</v>
      </c>
      <c r="W346" s="171">
        <v>2021</v>
      </c>
      <c r="X346" s="171" t="s">
        <v>4172</v>
      </c>
      <c r="Y346" s="171" t="s">
        <v>2760</v>
      </c>
      <c r="Z346" s="171" t="s">
        <v>3283</v>
      </c>
      <c r="AA346" s="171" t="s">
        <v>4172</v>
      </c>
      <c r="AB346" s="171">
        <v>2030</v>
      </c>
      <c r="AC346" s="171">
        <v>2020</v>
      </c>
      <c r="AD346" s="171"/>
      <c r="AE346" s="171"/>
      <c r="AF346" s="171"/>
      <c r="AG346" s="171" t="s">
        <v>4174</v>
      </c>
      <c r="AH346" s="171">
        <v>2024</v>
      </c>
      <c r="AI346" s="171" t="s">
        <v>5032</v>
      </c>
      <c r="AJ346" s="176" t="s">
        <v>7542</v>
      </c>
      <c r="AK346" s="171"/>
      <c r="AL346" s="171" t="s">
        <v>6725</v>
      </c>
      <c r="AM346" s="171"/>
      <c r="AN346" s="171" t="s">
        <v>1957</v>
      </c>
      <c r="AO346" s="171" t="s">
        <v>3819</v>
      </c>
      <c r="AP346" s="171" t="s">
        <v>2072</v>
      </c>
      <c r="AQ346" s="171" t="s">
        <v>1957</v>
      </c>
      <c r="AR346" s="171">
        <v>2040</v>
      </c>
      <c r="AS346" s="171">
        <v>2022</v>
      </c>
      <c r="AT346" s="171"/>
      <c r="AU346" s="171"/>
      <c r="AV346" s="171"/>
      <c r="AW346" s="171" t="s">
        <v>2082</v>
      </c>
      <c r="AX346" s="171" t="s">
        <v>7541</v>
      </c>
      <c r="AY346" s="171">
        <v>2023</v>
      </c>
      <c r="AZ346" s="171" t="s">
        <v>4174</v>
      </c>
      <c r="BA346" s="171" t="s">
        <v>6723</v>
      </c>
      <c r="BB346" s="171"/>
      <c r="BC346" s="171" t="s">
        <v>7540</v>
      </c>
      <c r="BD346" s="171"/>
      <c r="BE346" s="171"/>
      <c r="BF346" s="225"/>
      <c r="BG346" s="171"/>
      <c r="BH346" s="171"/>
      <c r="BI346" s="171"/>
      <c r="BJ346" s="171"/>
      <c r="BK346" s="171">
        <v>1</v>
      </c>
      <c r="BL346" s="171"/>
      <c r="BM346" s="171">
        <v>1</v>
      </c>
      <c r="BN346" s="171"/>
      <c r="BO346" s="171"/>
      <c r="BP346" s="171">
        <v>1</v>
      </c>
      <c r="BQ346" s="171">
        <v>1</v>
      </c>
      <c r="BR346" s="171"/>
      <c r="BS346" s="171">
        <v>1</v>
      </c>
      <c r="BT346" s="171"/>
      <c r="BU346" s="171">
        <v>1</v>
      </c>
      <c r="BV346" s="171"/>
      <c r="BW346" s="171">
        <v>1</v>
      </c>
      <c r="BX346" s="171"/>
      <c r="BY346" s="171">
        <v>1</v>
      </c>
      <c r="BZ346" s="171">
        <v>1</v>
      </c>
      <c r="CA346" s="171">
        <v>1</v>
      </c>
      <c r="CB346" s="171">
        <v>1</v>
      </c>
      <c r="CC346" s="171">
        <v>1</v>
      </c>
      <c r="CD346" s="171"/>
      <c r="CE346" s="171">
        <v>1</v>
      </c>
      <c r="CF346" s="171"/>
      <c r="CG346" s="171">
        <v>1</v>
      </c>
      <c r="CH346" s="171">
        <v>1</v>
      </c>
      <c r="CI346" s="171"/>
      <c r="CJ346" s="171"/>
      <c r="CK346" s="171"/>
      <c r="CL346" s="171"/>
      <c r="CM346">
        <f t="shared" si="46"/>
        <v>2040</v>
      </c>
    </row>
    <row r="347" spans="1:91">
      <c r="A347" s="171">
        <v>440</v>
      </c>
      <c r="B347" s="171" t="s">
        <v>386</v>
      </c>
      <c r="C347" s="171">
        <v>480</v>
      </c>
      <c r="D347" s="171" t="str">
        <f t="shared" si="45"/>
        <v>CN NZ SBT</v>
      </c>
      <c r="E347" s="171" t="s">
        <v>7223</v>
      </c>
      <c r="F347" s="174">
        <v>45512</v>
      </c>
      <c r="G347" s="171" t="s">
        <v>7223</v>
      </c>
      <c r="H347" s="173">
        <v>7813</v>
      </c>
      <c r="I347" s="171"/>
      <c r="J347" s="171" t="s">
        <v>4455</v>
      </c>
      <c r="K347" s="171" t="s">
        <v>4457</v>
      </c>
      <c r="L347" s="171" t="s">
        <v>2029</v>
      </c>
      <c r="M347" s="171" t="s">
        <v>5032</v>
      </c>
      <c r="N347" s="171"/>
      <c r="O347" s="171"/>
      <c r="P347" s="171" t="s">
        <v>4174</v>
      </c>
      <c r="Q347" s="171" t="s">
        <v>22</v>
      </c>
      <c r="R347" s="171" t="s">
        <v>7233</v>
      </c>
      <c r="S347" s="171">
        <v>2030</v>
      </c>
      <c r="T347" s="171" t="s">
        <v>361</v>
      </c>
      <c r="U347" s="171">
        <v>2040</v>
      </c>
      <c r="V347" s="172">
        <v>45139</v>
      </c>
      <c r="W347" s="171">
        <v>2023</v>
      </c>
      <c r="X347" s="171" t="s">
        <v>1957</v>
      </c>
      <c r="Y347" s="171" t="s">
        <v>4189</v>
      </c>
      <c r="Z347" s="171" t="s">
        <v>3283</v>
      </c>
      <c r="AA347" s="171" t="s">
        <v>1957</v>
      </c>
      <c r="AB347" s="171">
        <v>2025</v>
      </c>
      <c r="AC347" s="171">
        <v>2021</v>
      </c>
      <c r="AD347" s="171"/>
      <c r="AE347" s="171"/>
      <c r="AF347" s="171"/>
      <c r="AG347" s="171" t="s">
        <v>4174</v>
      </c>
      <c r="AH347" s="171">
        <v>2023</v>
      </c>
      <c r="AI347" s="171" t="s">
        <v>4174</v>
      </c>
      <c r="AJ347" s="176" t="s">
        <v>7538</v>
      </c>
      <c r="AK347" s="171"/>
      <c r="AL347" s="176" t="s">
        <v>7539</v>
      </c>
      <c r="AM347" s="171"/>
      <c r="AN347" s="171" t="s">
        <v>4172</v>
      </c>
      <c r="AO347" s="171" t="s">
        <v>2760</v>
      </c>
      <c r="AP347" s="171" t="s">
        <v>2072</v>
      </c>
      <c r="AQ347" s="171" t="s">
        <v>4172</v>
      </c>
      <c r="AR347" s="171">
        <v>2040</v>
      </c>
      <c r="AS347" s="171">
        <v>2021</v>
      </c>
      <c r="AT347" s="171"/>
      <c r="AU347" s="171"/>
      <c r="AV347" s="171"/>
      <c r="AW347" s="171" t="s">
        <v>2082</v>
      </c>
      <c r="AX347" s="176" t="s">
        <v>7539</v>
      </c>
      <c r="AY347" s="171">
        <v>2023</v>
      </c>
      <c r="AZ347" s="171" t="s">
        <v>4174</v>
      </c>
      <c r="BA347" s="176" t="s">
        <v>7538</v>
      </c>
      <c r="BB347" s="171"/>
      <c r="BC347" s="171"/>
      <c r="BD347" s="171"/>
      <c r="BE347" s="171"/>
      <c r="BF347" s="225"/>
      <c r="BG347" s="171"/>
      <c r="BH347" s="171"/>
      <c r="BI347" s="171"/>
      <c r="BJ347" s="171"/>
      <c r="BK347" s="171">
        <v>1</v>
      </c>
      <c r="BL347" s="171"/>
      <c r="BM347" s="171">
        <v>1</v>
      </c>
      <c r="BN347" s="171"/>
      <c r="BO347" s="171"/>
      <c r="BP347" s="171">
        <v>1</v>
      </c>
      <c r="BQ347" s="171">
        <v>1</v>
      </c>
      <c r="BR347" s="171"/>
      <c r="BS347" s="171">
        <v>1</v>
      </c>
      <c r="BT347" s="171"/>
      <c r="BU347" s="171">
        <v>1</v>
      </c>
      <c r="BV347" s="171"/>
      <c r="BW347" s="171"/>
      <c r="BX347" s="171"/>
      <c r="BY347" s="171"/>
      <c r="BZ347" s="171">
        <v>1</v>
      </c>
      <c r="CA347" s="171">
        <v>1</v>
      </c>
      <c r="CB347" s="171">
        <v>1</v>
      </c>
      <c r="CC347" s="171">
        <v>1</v>
      </c>
      <c r="CD347" s="171"/>
      <c r="CE347" s="171">
        <v>1</v>
      </c>
      <c r="CF347" s="171"/>
      <c r="CG347" s="171">
        <v>1</v>
      </c>
      <c r="CH347" s="171">
        <v>1</v>
      </c>
      <c r="CI347" s="171"/>
      <c r="CJ347" s="171"/>
      <c r="CK347" s="171">
        <v>1</v>
      </c>
      <c r="CL347" s="171">
        <v>1</v>
      </c>
      <c r="CM347">
        <f t="shared" si="46"/>
        <v>2040</v>
      </c>
    </row>
    <row r="348" spans="1:91">
      <c r="A348" s="171">
        <v>52</v>
      </c>
      <c r="B348" s="171" t="s">
        <v>1705</v>
      </c>
      <c r="C348" s="171">
        <v>37</v>
      </c>
      <c r="D348" s="171" t="str">
        <f t="shared" si="45"/>
        <v/>
      </c>
      <c r="E348" s="171" t="s">
        <v>7228</v>
      </c>
      <c r="F348" s="174">
        <v>45474</v>
      </c>
      <c r="G348" s="171" t="s">
        <v>7220</v>
      </c>
      <c r="H348" s="173">
        <v>7015</v>
      </c>
      <c r="I348" s="171"/>
      <c r="J348" s="171" t="s">
        <v>3498</v>
      </c>
      <c r="K348" s="171" t="s">
        <v>4457</v>
      </c>
      <c r="L348" s="171" t="s">
        <v>2029</v>
      </c>
      <c r="M348" s="171" t="s">
        <v>5032</v>
      </c>
      <c r="N348" s="171"/>
      <c r="O348" s="171"/>
      <c r="P348" s="171" t="s">
        <v>5032</v>
      </c>
      <c r="Q348" s="171"/>
      <c r="R348" s="171"/>
      <c r="S348" s="171"/>
      <c r="T348" s="171"/>
      <c r="U348" s="171"/>
      <c r="V348" s="175"/>
      <c r="W348" s="171"/>
      <c r="X348" s="171" t="s">
        <v>5032</v>
      </c>
      <c r="Y348" s="171"/>
      <c r="Z348" s="171"/>
      <c r="AA348" s="171" t="s">
        <v>5032</v>
      </c>
      <c r="AB348" s="171"/>
      <c r="AC348" s="171"/>
      <c r="AD348" s="171"/>
      <c r="AE348" s="171"/>
      <c r="AF348" s="171"/>
      <c r="AG348" s="171"/>
      <c r="AH348" s="171"/>
      <c r="AI348" s="171"/>
      <c r="AJ348" s="171"/>
      <c r="AK348" s="171"/>
      <c r="AL348" s="171" t="s">
        <v>7537</v>
      </c>
      <c r="AM348" s="171"/>
      <c r="AN348" s="171" t="s">
        <v>5032</v>
      </c>
      <c r="AO348" s="171"/>
      <c r="AP348" s="171"/>
      <c r="AQ348" s="171" t="s">
        <v>5032</v>
      </c>
      <c r="AR348" s="171"/>
      <c r="AS348" s="171"/>
      <c r="AT348" s="171"/>
      <c r="AU348" s="171"/>
      <c r="AV348" s="171"/>
      <c r="AW348" s="171"/>
      <c r="AX348" s="171"/>
      <c r="AY348" s="171"/>
      <c r="AZ348" s="171"/>
      <c r="BA348" s="171"/>
      <c r="BB348" s="171"/>
      <c r="BC348" s="171"/>
      <c r="BD348" s="171"/>
      <c r="BE348" s="171"/>
      <c r="BF348" s="225"/>
      <c r="BG348" s="171"/>
      <c r="BH348" s="171"/>
      <c r="BI348" s="171" t="s">
        <v>7536</v>
      </c>
      <c r="BJ348" s="171"/>
      <c r="BK348" s="171"/>
      <c r="BL348" s="171"/>
      <c r="BM348" s="171"/>
      <c r="BN348" s="171"/>
      <c r="BO348" s="171"/>
      <c r="BP348" s="171"/>
      <c r="BQ348" s="171"/>
      <c r="BR348" s="171"/>
      <c r="BS348" s="171"/>
      <c r="BT348" s="171"/>
      <c r="BU348" s="171"/>
      <c r="BV348" s="171"/>
      <c r="BW348" s="171"/>
      <c r="BX348" s="171"/>
      <c r="BY348" s="171"/>
      <c r="BZ348" s="171"/>
      <c r="CA348" s="171"/>
      <c r="CB348" s="171"/>
      <c r="CC348" s="171"/>
      <c r="CD348" s="171"/>
      <c r="CE348" s="171"/>
      <c r="CF348" s="171"/>
      <c r="CG348" s="171"/>
      <c r="CH348" s="171"/>
      <c r="CI348" s="171"/>
      <c r="CJ348" s="171"/>
      <c r="CK348" s="171"/>
      <c r="CL348" s="171"/>
    </row>
    <row r="349" spans="1:91">
      <c r="A349" s="171">
        <v>290</v>
      </c>
      <c r="B349" s="171" t="s">
        <v>425</v>
      </c>
      <c r="C349" s="171">
        <v>388</v>
      </c>
      <c r="D349" s="171" t="str">
        <f t="shared" si="45"/>
        <v xml:space="preserve"> NZ</v>
      </c>
      <c r="E349" s="171" t="s">
        <v>7220</v>
      </c>
      <c r="F349" s="174">
        <v>45482</v>
      </c>
      <c r="G349" s="171" t="s">
        <v>7220</v>
      </c>
      <c r="H349" s="173">
        <v>234.6</v>
      </c>
      <c r="I349" s="171"/>
      <c r="J349" s="171" t="s">
        <v>4467</v>
      </c>
      <c r="K349" s="171" t="s">
        <v>146</v>
      </c>
      <c r="L349" s="171" t="s">
        <v>1951</v>
      </c>
      <c r="M349" s="171" t="s">
        <v>5032</v>
      </c>
      <c r="N349" s="171"/>
      <c r="O349" s="171"/>
      <c r="P349" s="171" t="s">
        <v>5032</v>
      </c>
      <c r="Q349" s="171"/>
      <c r="R349" s="171"/>
      <c r="S349" s="171"/>
      <c r="T349" s="171"/>
      <c r="U349" s="171"/>
      <c r="V349" s="175"/>
      <c r="W349" s="171"/>
      <c r="X349" s="171" t="s">
        <v>5032</v>
      </c>
      <c r="Y349" s="171"/>
      <c r="Z349" s="171"/>
      <c r="AA349" s="171" t="s">
        <v>5032</v>
      </c>
      <c r="AB349" s="171"/>
      <c r="AC349" s="171"/>
      <c r="AD349" s="171"/>
      <c r="AE349" s="171"/>
      <c r="AF349" s="171"/>
      <c r="AG349" s="171"/>
      <c r="AH349" s="171"/>
      <c r="AI349" s="171"/>
      <c r="AJ349" s="171"/>
      <c r="AK349" s="171"/>
      <c r="AL349" s="171"/>
      <c r="AM349" s="171"/>
      <c r="AN349" s="171" t="s">
        <v>4172</v>
      </c>
      <c r="AO349" s="171" t="s">
        <v>1435</v>
      </c>
      <c r="AP349" s="171" t="s">
        <v>2072</v>
      </c>
      <c r="AQ349" s="171" t="s">
        <v>4172</v>
      </c>
      <c r="AR349" s="171">
        <v>2050</v>
      </c>
      <c r="AS349" s="171">
        <v>2023</v>
      </c>
      <c r="AT349" s="171"/>
      <c r="AU349" s="171"/>
      <c r="AV349" s="171"/>
      <c r="AW349" s="171" t="s">
        <v>4174</v>
      </c>
      <c r="AX349" s="171" t="s">
        <v>7535</v>
      </c>
      <c r="AY349" s="171"/>
      <c r="AZ349" s="171"/>
      <c r="BA349" s="171"/>
      <c r="BB349" s="171"/>
      <c r="BC349" s="171" t="s">
        <v>7534</v>
      </c>
      <c r="BD349" s="171"/>
      <c r="BE349" s="171"/>
      <c r="BF349" s="225"/>
      <c r="BG349" s="171"/>
      <c r="BH349" s="171"/>
      <c r="BI349" s="171"/>
      <c r="BJ349" s="171"/>
      <c r="BK349" s="171"/>
      <c r="BL349" s="171"/>
      <c r="BM349" s="171"/>
      <c r="BN349" s="171"/>
      <c r="BO349" s="171"/>
      <c r="BP349" s="171">
        <v>1</v>
      </c>
      <c r="BQ349" s="171">
        <v>1</v>
      </c>
      <c r="BR349" s="171"/>
      <c r="BS349" s="171"/>
      <c r="BT349" s="171"/>
      <c r="BU349" s="171"/>
      <c r="BV349" s="171"/>
      <c r="BW349" s="171"/>
      <c r="BX349" s="171"/>
      <c r="BY349" s="171"/>
      <c r="BZ349" s="171">
        <v>1</v>
      </c>
      <c r="CA349" s="171"/>
      <c r="CB349" s="171">
        <v>1</v>
      </c>
      <c r="CC349" s="171">
        <v>1</v>
      </c>
      <c r="CD349" s="171"/>
      <c r="CE349" s="171">
        <v>1</v>
      </c>
      <c r="CF349" s="171"/>
      <c r="CG349" s="171"/>
      <c r="CH349" s="171">
        <v>1</v>
      </c>
      <c r="CI349" s="171"/>
      <c r="CJ349" s="171"/>
      <c r="CK349" s="171">
        <v>1</v>
      </c>
      <c r="CL349" s="171">
        <v>1</v>
      </c>
      <c r="CM349">
        <f t="shared" si="46"/>
        <v>2050</v>
      </c>
    </row>
    <row r="350" spans="1:91">
      <c r="A350" s="171">
        <v>53</v>
      </c>
      <c r="B350" s="171" t="s">
        <v>1791</v>
      </c>
      <c r="C350" s="171">
        <v>33</v>
      </c>
      <c r="D350" s="171" t="str">
        <f t="shared" si="45"/>
        <v>CN</v>
      </c>
      <c r="E350" s="171" t="s">
        <v>7288</v>
      </c>
      <c r="F350" s="174">
        <v>45474</v>
      </c>
      <c r="G350" s="171" t="s">
        <v>7220</v>
      </c>
      <c r="H350" s="173">
        <v>12100.9</v>
      </c>
      <c r="I350" s="171"/>
      <c r="J350" s="171" t="s">
        <v>4465</v>
      </c>
      <c r="K350" s="171" t="s">
        <v>73</v>
      </c>
      <c r="L350" s="171" t="s">
        <v>1994</v>
      </c>
      <c r="M350" s="171" t="s">
        <v>5032</v>
      </c>
      <c r="N350" s="171"/>
      <c r="O350" s="171"/>
      <c r="P350" s="171" t="s">
        <v>5032</v>
      </c>
      <c r="Q350" s="171"/>
      <c r="R350" s="171"/>
      <c r="S350" s="171"/>
      <c r="T350" s="171"/>
      <c r="U350" s="171"/>
      <c r="V350" s="175"/>
      <c r="W350" s="171"/>
      <c r="X350" s="171" t="s">
        <v>1957</v>
      </c>
      <c r="Y350" s="171" t="s">
        <v>2908</v>
      </c>
      <c r="Z350" s="171" t="s">
        <v>7533</v>
      </c>
      <c r="AA350" s="171" t="s">
        <v>1957</v>
      </c>
      <c r="AB350" s="171">
        <v>2030</v>
      </c>
      <c r="AC350" s="171">
        <v>2021</v>
      </c>
      <c r="AD350" s="171"/>
      <c r="AE350" s="171"/>
      <c r="AF350" s="171"/>
      <c r="AG350" s="171" t="s">
        <v>4174</v>
      </c>
      <c r="AH350" s="171">
        <v>2023</v>
      </c>
      <c r="AI350" s="171" t="s">
        <v>4174</v>
      </c>
      <c r="AJ350" s="171" t="s">
        <v>7532</v>
      </c>
      <c r="AK350" s="171"/>
      <c r="AL350" s="171" t="s">
        <v>7023</v>
      </c>
      <c r="AM350" s="171"/>
      <c r="AN350" s="171" t="s">
        <v>5032</v>
      </c>
      <c r="AO350" s="171"/>
      <c r="AP350" s="171"/>
      <c r="AQ350" s="171" t="s">
        <v>5032</v>
      </c>
      <c r="AR350" s="171"/>
      <c r="AS350" s="171"/>
      <c r="AT350" s="171"/>
      <c r="AU350" s="171"/>
      <c r="AV350" s="171"/>
      <c r="AW350" s="171"/>
      <c r="AX350" s="171"/>
      <c r="AY350" s="171"/>
      <c r="AZ350" s="171"/>
      <c r="BA350" s="171"/>
      <c r="BB350" s="171"/>
      <c r="BC350" s="171"/>
      <c r="BD350" s="171" t="s">
        <v>5032</v>
      </c>
      <c r="BE350" s="171"/>
      <c r="BF350" s="225" t="s">
        <v>5032</v>
      </c>
      <c r="BG350" s="171"/>
      <c r="BH350" s="171"/>
      <c r="BI350" s="171"/>
      <c r="BJ350" s="171"/>
      <c r="BK350" s="171">
        <v>1</v>
      </c>
      <c r="BL350" s="171"/>
      <c r="BM350" s="171">
        <v>1</v>
      </c>
      <c r="BN350" s="171"/>
      <c r="BO350" s="171"/>
      <c r="BP350" s="171"/>
      <c r="BQ350" s="171"/>
      <c r="BR350" s="171"/>
      <c r="BS350" s="171"/>
      <c r="BT350" s="171"/>
      <c r="BU350" s="171"/>
      <c r="BV350" s="171"/>
      <c r="BW350" s="171"/>
      <c r="BX350" s="171"/>
      <c r="BY350" s="171"/>
      <c r="BZ350" s="171">
        <v>1</v>
      </c>
      <c r="CA350" s="171">
        <v>1</v>
      </c>
      <c r="CB350" s="171">
        <v>1</v>
      </c>
      <c r="CC350" s="171">
        <v>1</v>
      </c>
      <c r="CD350" s="171"/>
      <c r="CE350" s="171">
        <v>1</v>
      </c>
      <c r="CF350" s="171"/>
      <c r="CG350" s="171">
        <v>1</v>
      </c>
      <c r="CH350" s="171">
        <v>1</v>
      </c>
      <c r="CI350" s="171"/>
      <c r="CJ350" s="171"/>
      <c r="CK350" s="171"/>
      <c r="CL350" s="171"/>
    </row>
    <row r="351" spans="1:91">
      <c r="A351" s="171">
        <v>311</v>
      </c>
      <c r="B351" s="171" t="s">
        <v>619</v>
      </c>
      <c r="C351" s="171">
        <v>243</v>
      </c>
      <c r="D351" s="171" t="str">
        <f t="shared" si="45"/>
        <v/>
      </c>
      <c r="E351" s="171" t="s">
        <v>7220</v>
      </c>
      <c r="F351" s="174">
        <v>45477</v>
      </c>
      <c r="G351" s="171" t="s">
        <v>7223</v>
      </c>
      <c r="H351" s="173">
        <v>198</v>
      </c>
      <c r="I351" s="171"/>
      <c r="J351" s="171" t="s">
        <v>3498</v>
      </c>
      <c r="K351" s="171" t="s">
        <v>4457</v>
      </c>
      <c r="L351" s="171" t="s">
        <v>2029</v>
      </c>
      <c r="M351" s="171" t="s">
        <v>5032</v>
      </c>
      <c r="N351" s="171"/>
      <c r="O351" s="171"/>
      <c r="P351" s="171" t="s">
        <v>5032</v>
      </c>
      <c r="Q351" s="171"/>
      <c r="R351" s="171"/>
      <c r="S351" s="171"/>
      <c r="T351" s="171"/>
      <c r="U351" s="171"/>
      <c r="V351" s="175"/>
      <c r="W351" s="171"/>
      <c r="X351" s="171" t="s">
        <v>5032</v>
      </c>
      <c r="Y351" s="171"/>
      <c r="Z351" s="171"/>
      <c r="AA351" s="171" t="s">
        <v>5032</v>
      </c>
      <c r="AB351" s="171"/>
      <c r="AC351" s="171"/>
      <c r="AD351" s="171"/>
      <c r="AE351" s="171"/>
      <c r="AF351" s="171"/>
      <c r="AG351" s="171"/>
      <c r="AH351" s="171"/>
      <c r="AI351" s="171"/>
      <c r="AJ351" s="171"/>
      <c r="AK351" s="171"/>
      <c r="AL351" s="171"/>
      <c r="AM351" s="171"/>
      <c r="AN351" s="171" t="s">
        <v>5032</v>
      </c>
      <c r="AO351" s="171"/>
      <c r="AP351" s="171"/>
      <c r="AQ351" s="171" t="s">
        <v>5032</v>
      </c>
      <c r="AR351" s="171"/>
      <c r="AS351" s="171"/>
      <c r="AT351" s="171"/>
      <c r="AU351" s="171"/>
      <c r="AV351" s="171"/>
      <c r="AW351" s="171"/>
      <c r="AX351" s="171"/>
      <c r="AY351" s="171"/>
      <c r="AZ351" s="171"/>
      <c r="BA351" s="171"/>
      <c r="BB351" s="171"/>
      <c r="BC351" s="171"/>
      <c r="BD351" s="171"/>
      <c r="BE351" s="171"/>
      <c r="BF351" s="225"/>
      <c r="BG351" s="171"/>
      <c r="BH351" s="171"/>
      <c r="BI351" s="171"/>
      <c r="BJ351" s="171"/>
      <c r="BK351" s="171"/>
      <c r="BL351" s="171"/>
      <c r="BM351" s="171"/>
      <c r="BN351" s="171"/>
      <c r="BO351" s="171"/>
      <c r="BP351" s="171"/>
      <c r="BQ351" s="171"/>
      <c r="BR351" s="171"/>
      <c r="BS351" s="171"/>
      <c r="BT351" s="171"/>
      <c r="BU351" s="171"/>
      <c r="BV351" s="171"/>
      <c r="BW351" s="171"/>
      <c r="BX351" s="171"/>
      <c r="BY351" s="171"/>
      <c r="BZ351" s="171"/>
      <c r="CA351" s="171"/>
      <c r="CB351" s="171"/>
      <c r="CC351" s="171"/>
      <c r="CD351" s="171"/>
      <c r="CE351" s="171"/>
      <c r="CF351" s="171"/>
      <c r="CG351" s="171"/>
      <c r="CH351" s="171"/>
      <c r="CI351" s="171"/>
      <c r="CJ351" s="171"/>
      <c r="CK351" s="171"/>
      <c r="CL351" s="171"/>
    </row>
    <row r="352" spans="1:91">
      <c r="A352" s="171">
        <v>233</v>
      </c>
      <c r="B352" s="171" t="s">
        <v>7531</v>
      </c>
      <c r="C352" s="171">
        <v>201</v>
      </c>
      <c r="D352" s="171" t="str">
        <f t="shared" si="45"/>
        <v>CN</v>
      </c>
      <c r="E352" s="171" t="s">
        <v>7259</v>
      </c>
      <c r="F352" s="174">
        <v>45511</v>
      </c>
      <c r="G352" s="171"/>
      <c r="H352" s="173">
        <v>1300.3</v>
      </c>
      <c r="I352" s="171"/>
      <c r="J352" s="171" t="s">
        <v>4494</v>
      </c>
      <c r="K352" s="171" t="s">
        <v>114</v>
      </c>
      <c r="L352" s="171" t="s">
        <v>1994</v>
      </c>
      <c r="M352" s="171" t="s">
        <v>5032</v>
      </c>
      <c r="N352" s="171"/>
      <c r="O352" s="171"/>
      <c r="P352" s="171" t="s">
        <v>5032</v>
      </c>
      <c r="Q352" s="171"/>
      <c r="R352" s="171"/>
      <c r="S352" s="171"/>
      <c r="T352" s="171"/>
      <c r="U352" s="171"/>
      <c r="V352" s="175"/>
      <c r="W352" s="171"/>
      <c r="X352" s="171" t="s">
        <v>1957</v>
      </c>
      <c r="Y352" s="171" t="s">
        <v>5131</v>
      </c>
      <c r="Z352" s="171" t="s">
        <v>3283</v>
      </c>
      <c r="AA352" s="171" t="s">
        <v>1957</v>
      </c>
      <c r="AB352" s="171">
        <v>2050</v>
      </c>
      <c r="AC352" s="171">
        <v>2021</v>
      </c>
      <c r="AD352" s="171"/>
      <c r="AE352" s="171"/>
      <c r="AF352" s="171"/>
      <c r="AG352" s="171" t="s">
        <v>2082</v>
      </c>
      <c r="AH352" s="171"/>
      <c r="AI352" s="171" t="s">
        <v>4174</v>
      </c>
      <c r="AJ352" s="171"/>
      <c r="AK352" s="171"/>
      <c r="AL352" s="171" t="s">
        <v>7530</v>
      </c>
      <c r="AM352" s="171"/>
      <c r="AN352" s="171" t="s">
        <v>5032</v>
      </c>
      <c r="AO352" s="171"/>
      <c r="AP352" s="171"/>
      <c r="AQ352" s="171" t="s">
        <v>5032</v>
      </c>
      <c r="AR352" s="171"/>
      <c r="AS352" s="171"/>
      <c r="AT352" s="171"/>
      <c r="AU352" s="171"/>
      <c r="AV352" s="171"/>
      <c r="AW352" s="171"/>
      <c r="AX352" s="171"/>
      <c r="AY352" s="171"/>
      <c r="AZ352" s="171"/>
      <c r="BA352" s="171"/>
      <c r="BB352" s="171"/>
      <c r="BC352" s="171"/>
      <c r="BD352" s="171"/>
      <c r="BE352" s="171"/>
      <c r="BF352" s="225"/>
      <c r="BG352" s="171"/>
      <c r="BH352" s="171"/>
      <c r="BI352" s="171"/>
      <c r="BJ352" s="171"/>
      <c r="BK352" s="171"/>
      <c r="BL352" s="171">
        <v>1</v>
      </c>
      <c r="BM352" s="171">
        <v>1</v>
      </c>
      <c r="BN352" s="171"/>
      <c r="BO352" s="171"/>
      <c r="BP352" s="171"/>
      <c r="BQ352" s="171"/>
      <c r="BR352" s="171"/>
      <c r="BS352" s="171"/>
      <c r="BT352" s="171"/>
      <c r="BU352" s="171"/>
      <c r="BV352" s="171"/>
      <c r="BW352" s="171"/>
      <c r="BX352" s="171"/>
      <c r="BY352" s="171"/>
      <c r="BZ352" s="171">
        <v>1</v>
      </c>
      <c r="CA352" s="171"/>
      <c r="CB352" s="171">
        <v>1</v>
      </c>
      <c r="CC352" s="171"/>
      <c r="CD352" s="171"/>
      <c r="CE352" s="171">
        <v>1</v>
      </c>
      <c r="CF352" s="171"/>
      <c r="CG352" s="171"/>
      <c r="CH352" s="171">
        <v>1</v>
      </c>
      <c r="CI352" s="171"/>
      <c r="CJ352" s="171"/>
      <c r="CK352" s="171"/>
      <c r="CL352" s="171"/>
    </row>
    <row r="353" spans="1:91">
      <c r="A353" s="171">
        <v>476</v>
      </c>
      <c r="B353" s="171" t="s">
        <v>723</v>
      </c>
      <c r="C353" s="171">
        <v>399</v>
      </c>
      <c r="D353" s="171" t="str">
        <f t="shared" si="45"/>
        <v/>
      </c>
      <c r="E353" s="171" t="s">
        <v>7220</v>
      </c>
      <c r="F353" s="174">
        <v>45482</v>
      </c>
      <c r="G353" s="171" t="s">
        <v>7220</v>
      </c>
      <c r="H353" s="173">
        <v>1665.3</v>
      </c>
      <c r="I353" s="171"/>
      <c r="J353" s="171" t="s">
        <v>4465</v>
      </c>
      <c r="K353" s="171" t="s">
        <v>78</v>
      </c>
      <c r="L353" s="171" t="s">
        <v>2029</v>
      </c>
      <c r="M353" s="171" t="s">
        <v>5032</v>
      </c>
      <c r="N353" s="171"/>
      <c r="O353" s="171"/>
      <c r="P353" s="171" t="s">
        <v>5032</v>
      </c>
      <c r="Q353" s="171"/>
      <c r="R353" s="171"/>
      <c r="S353" s="171"/>
      <c r="T353" s="171"/>
      <c r="U353" s="171"/>
      <c r="V353" s="175"/>
      <c r="W353" s="171"/>
      <c r="X353" s="171" t="s">
        <v>5032</v>
      </c>
      <c r="Y353" s="171"/>
      <c r="Z353" s="171"/>
      <c r="AA353" s="171" t="s">
        <v>5032</v>
      </c>
      <c r="AB353" s="171"/>
      <c r="AC353" s="171"/>
      <c r="AD353" s="171"/>
      <c r="AE353" s="171"/>
      <c r="AF353" s="171"/>
      <c r="AG353" s="171"/>
      <c r="AH353" s="171"/>
      <c r="AI353" s="171"/>
      <c r="AJ353" s="171"/>
      <c r="AK353" s="171"/>
      <c r="AL353" s="171"/>
      <c r="AM353" s="171"/>
      <c r="AN353" s="171" t="s">
        <v>5032</v>
      </c>
      <c r="AO353" s="171"/>
      <c r="AP353" s="171"/>
      <c r="AQ353" s="171" t="s">
        <v>5032</v>
      </c>
      <c r="AR353" s="171"/>
      <c r="AS353" s="171"/>
      <c r="AT353" s="171"/>
      <c r="AU353" s="171"/>
      <c r="AV353" s="171"/>
      <c r="AW353" s="171"/>
      <c r="AX353" s="171" t="s">
        <v>7529</v>
      </c>
      <c r="AY353" s="171"/>
      <c r="AZ353" s="171"/>
      <c r="BA353" s="171"/>
      <c r="BB353" s="171"/>
      <c r="BC353" s="171" t="s">
        <v>7528</v>
      </c>
      <c r="BD353" s="171"/>
      <c r="BE353" s="171"/>
      <c r="BF353" s="225"/>
      <c r="BG353" s="171"/>
      <c r="BH353" s="171"/>
      <c r="BI353" s="171"/>
      <c r="BJ353" s="171"/>
      <c r="BK353" s="171"/>
      <c r="BL353" s="171"/>
      <c r="BM353" s="171"/>
      <c r="BN353" s="171"/>
      <c r="BO353" s="171"/>
      <c r="BP353" s="171"/>
      <c r="BQ353" s="171"/>
      <c r="BR353" s="171"/>
      <c r="BS353" s="171"/>
      <c r="BT353" s="171"/>
      <c r="BU353" s="171"/>
      <c r="BV353" s="171"/>
      <c r="BW353" s="171"/>
      <c r="BX353" s="171"/>
      <c r="BY353" s="171"/>
      <c r="BZ353" s="171"/>
      <c r="CA353" s="171"/>
      <c r="CB353" s="171"/>
      <c r="CC353" s="171"/>
      <c r="CD353" s="171"/>
      <c r="CE353" s="171"/>
      <c r="CF353" s="171"/>
      <c r="CG353" s="171"/>
      <c r="CH353" s="171"/>
      <c r="CI353" s="171"/>
      <c r="CJ353" s="171"/>
      <c r="CK353" s="171"/>
      <c r="CL353" s="171"/>
    </row>
    <row r="354" spans="1:91">
      <c r="A354" s="171">
        <v>108</v>
      </c>
      <c r="B354" s="171" t="s">
        <v>1295</v>
      </c>
      <c r="C354" s="171">
        <v>105</v>
      </c>
      <c r="D354" s="171" t="str">
        <f t="shared" si="45"/>
        <v/>
      </c>
      <c r="E354" s="171" t="s">
        <v>7228</v>
      </c>
      <c r="F354" s="174">
        <v>45475</v>
      </c>
      <c r="G354" s="171" t="s">
        <v>7220</v>
      </c>
      <c r="H354" s="173">
        <v>775.9</v>
      </c>
      <c r="I354" s="171"/>
      <c r="J354" s="171" t="s">
        <v>4197</v>
      </c>
      <c r="K354" s="171" t="s">
        <v>73</v>
      </c>
      <c r="L354" s="171" t="s">
        <v>1994</v>
      </c>
      <c r="M354" s="171" t="s">
        <v>5032</v>
      </c>
      <c r="N354" s="171"/>
      <c r="O354" s="171"/>
      <c r="P354" s="171" t="s">
        <v>5032</v>
      </c>
      <c r="Q354" s="171"/>
      <c r="R354" s="171"/>
      <c r="S354" s="171"/>
      <c r="T354" s="171"/>
      <c r="U354" s="171"/>
      <c r="V354" s="175"/>
      <c r="W354" s="171"/>
      <c r="X354" s="171" t="s">
        <v>4519</v>
      </c>
      <c r="Y354" s="171" t="s">
        <v>5131</v>
      </c>
      <c r="Z354" s="171" t="s">
        <v>3283</v>
      </c>
      <c r="AA354" s="171" t="s">
        <v>4519</v>
      </c>
      <c r="AB354" s="171">
        <v>2060</v>
      </c>
      <c r="AC354" s="171">
        <v>2022</v>
      </c>
      <c r="AD354" s="171"/>
      <c r="AE354" s="171"/>
      <c r="AF354" s="171"/>
      <c r="AG354" s="171"/>
      <c r="AH354" s="171"/>
      <c r="AI354" s="171"/>
      <c r="AJ354" s="171"/>
      <c r="AK354" s="171"/>
      <c r="AL354" s="171" t="s">
        <v>7527</v>
      </c>
      <c r="AM354" s="171"/>
      <c r="AN354" s="171" t="s">
        <v>5032</v>
      </c>
      <c r="AO354" s="171"/>
      <c r="AP354" s="171"/>
      <c r="AQ354" s="171" t="s">
        <v>5032</v>
      </c>
      <c r="AR354" s="171"/>
      <c r="AS354" s="171"/>
      <c r="AT354" s="171"/>
      <c r="AU354" s="171"/>
      <c r="AV354" s="171"/>
      <c r="AW354" s="171"/>
      <c r="AX354" s="171"/>
      <c r="AY354" s="171"/>
      <c r="AZ354" s="171"/>
      <c r="BA354" s="171"/>
      <c r="BB354" s="171"/>
      <c r="BC354" s="171"/>
      <c r="BD354" s="171"/>
      <c r="BE354" s="171"/>
      <c r="BF354" s="225"/>
      <c r="BG354" s="171"/>
      <c r="BH354" s="171"/>
      <c r="BI354" s="171"/>
      <c r="BJ354" s="171"/>
      <c r="BK354" s="171"/>
      <c r="BL354" s="171"/>
      <c r="BM354" s="171"/>
      <c r="BN354" s="171"/>
      <c r="BO354" s="171"/>
      <c r="BP354" s="171"/>
      <c r="BQ354" s="171"/>
      <c r="BR354" s="171"/>
      <c r="BS354" s="171"/>
      <c r="BT354" s="171"/>
      <c r="BU354" s="171"/>
      <c r="BV354" s="171"/>
      <c r="BW354" s="171"/>
      <c r="BX354" s="171"/>
      <c r="BY354" s="171"/>
      <c r="BZ354" s="171"/>
      <c r="CA354" s="171"/>
      <c r="CB354" s="171"/>
      <c r="CC354" s="171"/>
      <c r="CD354" s="171"/>
      <c r="CE354" s="171"/>
      <c r="CF354" s="171"/>
      <c r="CG354" s="171"/>
      <c r="CH354" s="171"/>
      <c r="CI354" s="171"/>
      <c r="CJ354" s="171"/>
      <c r="CK354" s="171"/>
      <c r="CL354" s="171"/>
    </row>
    <row r="355" spans="1:91">
      <c r="A355" s="171">
        <v>149</v>
      </c>
      <c r="B355" s="171" t="s">
        <v>1339</v>
      </c>
      <c r="C355" s="171">
        <v>154</v>
      </c>
      <c r="D355" s="171" t="str">
        <f t="shared" si="45"/>
        <v>CN NZ SBT RE100</v>
      </c>
      <c r="E355" s="171" t="s">
        <v>7220</v>
      </c>
      <c r="F355" s="174">
        <v>45476</v>
      </c>
      <c r="G355" s="171" t="s">
        <v>7223</v>
      </c>
      <c r="H355" s="173">
        <v>14653</v>
      </c>
      <c r="I355" s="171"/>
      <c r="J355" s="171" t="s">
        <v>4643</v>
      </c>
      <c r="K355" s="171" t="s">
        <v>4457</v>
      </c>
      <c r="L355" s="171" t="s">
        <v>2029</v>
      </c>
      <c r="M355" s="171" t="s">
        <v>4174</v>
      </c>
      <c r="N355" s="171">
        <v>2015</v>
      </c>
      <c r="O355" s="171">
        <v>2030</v>
      </c>
      <c r="P355" s="171" t="s">
        <v>4174</v>
      </c>
      <c r="Q355" s="171" t="s">
        <v>22</v>
      </c>
      <c r="R355" s="171" t="s">
        <v>7233</v>
      </c>
      <c r="S355" s="171">
        <v>2030</v>
      </c>
      <c r="T355" s="171" t="s">
        <v>1</v>
      </c>
      <c r="U355" s="171"/>
      <c r="V355" s="172">
        <v>45231</v>
      </c>
      <c r="W355" s="171">
        <v>2023</v>
      </c>
      <c r="X355" s="171" t="s">
        <v>1957</v>
      </c>
      <c r="Y355" s="171" t="s">
        <v>160</v>
      </c>
      <c r="Z355" s="171" t="s">
        <v>3283</v>
      </c>
      <c r="AA355" s="171" t="s">
        <v>1957</v>
      </c>
      <c r="AB355" s="171">
        <v>2020</v>
      </c>
      <c r="AC355" s="171">
        <v>2020</v>
      </c>
      <c r="AD355" s="171"/>
      <c r="AE355" s="171"/>
      <c r="AF355" s="171"/>
      <c r="AG355" s="171" t="s">
        <v>4174</v>
      </c>
      <c r="AH355" s="171">
        <v>2023</v>
      </c>
      <c r="AI355" s="171" t="s">
        <v>4174</v>
      </c>
      <c r="AJ355" s="171"/>
      <c r="AK355" s="176" t="s">
        <v>7526</v>
      </c>
      <c r="AL355" s="176" t="s">
        <v>7526</v>
      </c>
      <c r="AM355" s="171"/>
      <c r="AN355" s="171" t="s">
        <v>4172</v>
      </c>
      <c r="AO355" s="171" t="s">
        <v>1435</v>
      </c>
      <c r="AP355" s="171" t="s">
        <v>2072</v>
      </c>
      <c r="AQ355" s="171" t="s">
        <v>4172</v>
      </c>
      <c r="AR355" s="171">
        <v>2040</v>
      </c>
      <c r="AS355" s="171">
        <v>2021</v>
      </c>
      <c r="AT355" s="171"/>
      <c r="AU355" s="171"/>
      <c r="AV355" s="171"/>
      <c r="AW355" s="171" t="s">
        <v>4174</v>
      </c>
      <c r="AX355" s="171" t="s">
        <v>7525</v>
      </c>
      <c r="AY355" s="171"/>
      <c r="AZ355" s="171"/>
      <c r="BA355" s="171"/>
      <c r="BB355" s="171"/>
      <c r="BC355" s="171"/>
      <c r="BD355" s="171"/>
      <c r="BE355" s="171"/>
      <c r="BF355" s="225"/>
      <c r="BG355" s="171"/>
      <c r="BH355" s="171"/>
      <c r="BI355" s="171"/>
      <c r="BJ355" s="171">
        <v>1</v>
      </c>
      <c r="BK355" s="171"/>
      <c r="BL355" s="171"/>
      <c r="BM355" s="171">
        <v>1</v>
      </c>
      <c r="BN355" s="171"/>
      <c r="BO355" s="171"/>
      <c r="BP355" s="171">
        <v>1</v>
      </c>
      <c r="BQ355" s="171">
        <v>1</v>
      </c>
      <c r="BR355" s="171"/>
      <c r="BS355" s="171">
        <v>1</v>
      </c>
      <c r="BT355" s="171"/>
      <c r="BU355" s="171">
        <v>1</v>
      </c>
      <c r="BV355" s="171"/>
      <c r="BW355" s="171">
        <v>1</v>
      </c>
      <c r="BX355" s="171"/>
      <c r="BY355" s="171">
        <v>1</v>
      </c>
      <c r="BZ355" s="171">
        <v>1</v>
      </c>
      <c r="CA355" s="171">
        <v>1</v>
      </c>
      <c r="CB355" s="171">
        <v>1</v>
      </c>
      <c r="CC355" s="171">
        <v>1</v>
      </c>
      <c r="CD355" s="171"/>
      <c r="CE355" s="171">
        <v>1</v>
      </c>
      <c r="CF355" s="171">
        <v>1</v>
      </c>
      <c r="CG355" s="171">
        <v>1</v>
      </c>
      <c r="CH355" s="171">
        <v>1</v>
      </c>
      <c r="CI355" s="171"/>
      <c r="CJ355" s="171"/>
      <c r="CK355" s="171">
        <v>1</v>
      </c>
      <c r="CL355" s="171">
        <v>1</v>
      </c>
      <c r="CM355">
        <f t="shared" si="46"/>
        <v>2040</v>
      </c>
    </row>
    <row r="356" spans="1:91">
      <c r="A356" s="171">
        <v>218</v>
      </c>
      <c r="B356" s="171" t="s">
        <v>526</v>
      </c>
      <c r="C356" s="171">
        <v>287</v>
      </c>
      <c r="D356" s="171" t="str">
        <f t="shared" si="45"/>
        <v>CN NZ</v>
      </c>
      <c r="E356" s="171" t="s">
        <v>7220</v>
      </c>
      <c r="F356" s="174">
        <v>45478</v>
      </c>
      <c r="G356" s="171" t="s">
        <v>7223</v>
      </c>
      <c r="H356" s="173">
        <v>3902.4</v>
      </c>
      <c r="I356" s="171"/>
      <c r="J356" s="171" t="s">
        <v>4465</v>
      </c>
      <c r="K356" s="171" t="s">
        <v>4457</v>
      </c>
      <c r="L356" s="171" t="s">
        <v>2029</v>
      </c>
      <c r="M356" s="171" t="s">
        <v>5032</v>
      </c>
      <c r="N356" s="171"/>
      <c r="O356" s="171"/>
      <c r="P356" s="171" t="s">
        <v>5032</v>
      </c>
      <c r="Q356" s="171"/>
      <c r="R356" s="171"/>
      <c r="S356" s="171"/>
      <c r="T356" s="171"/>
      <c r="U356" s="171"/>
      <c r="V356" s="175"/>
      <c r="W356" s="171"/>
      <c r="X356" s="171" t="s">
        <v>1957</v>
      </c>
      <c r="Y356" s="171" t="s">
        <v>109</v>
      </c>
      <c r="Z356" s="171" t="s">
        <v>32</v>
      </c>
      <c r="AA356" s="171" t="s">
        <v>1957</v>
      </c>
      <c r="AB356" s="171">
        <v>2025</v>
      </c>
      <c r="AC356" s="171">
        <v>2021</v>
      </c>
      <c r="AD356" s="171"/>
      <c r="AE356" s="171"/>
      <c r="AF356" s="171"/>
      <c r="AG356" s="171" t="s">
        <v>4174</v>
      </c>
      <c r="AH356" s="171">
        <v>2023</v>
      </c>
      <c r="AI356" s="171" t="s">
        <v>4174</v>
      </c>
      <c r="AJ356" s="171" t="s">
        <v>7522</v>
      </c>
      <c r="AK356" s="171"/>
      <c r="AL356" s="171" t="s">
        <v>7524</v>
      </c>
      <c r="AM356" s="171" t="s">
        <v>7523</v>
      </c>
      <c r="AN356" s="171" t="s">
        <v>1957</v>
      </c>
      <c r="AO356" s="171" t="s">
        <v>109</v>
      </c>
      <c r="AP356" s="171" t="s">
        <v>7360</v>
      </c>
      <c r="AQ356" s="171" t="s">
        <v>1957</v>
      </c>
      <c r="AR356" s="171">
        <v>2035</v>
      </c>
      <c r="AS356" s="171">
        <v>2021</v>
      </c>
      <c r="AT356" s="171"/>
      <c r="AU356" s="171"/>
      <c r="AV356" s="171"/>
      <c r="AW356" s="171" t="s">
        <v>2082</v>
      </c>
      <c r="AX356" s="176" t="s">
        <v>7522</v>
      </c>
      <c r="AY356" s="171"/>
      <c r="AZ356" s="171"/>
      <c r="BA356" s="171"/>
      <c r="BB356" s="171"/>
      <c r="BC356" s="171" t="s">
        <v>7521</v>
      </c>
      <c r="BD356" s="171"/>
      <c r="BE356" s="171"/>
      <c r="BF356" s="225"/>
      <c r="BG356" s="171"/>
      <c r="BH356" s="171"/>
      <c r="BI356" s="171"/>
      <c r="BJ356" s="171"/>
      <c r="BK356" s="171">
        <v>1</v>
      </c>
      <c r="BL356" s="171"/>
      <c r="BM356" s="171">
        <v>1</v>
      </c>
      <c r="BN356" s="171"/>
      <c r="BO356" s="171"/>
      <c r="BP356" s="171">
        <v>1</v>
      </c>
      <c r="BQ356" s="171">
        <v>1</v>
      </c>
      <c r="BR356" s="171"/>
      <c r="BS356" s="171"/>
      <c r="BT356" s="171"/>
      <c r="BU356" s="171"/>
      <c r="BV356" s="171"/>
      <c r="BW356" s="171"/>
      <c r="BX356" s="171"/>
      <c r="BY356" s="171"/>
      <c r="BZ356" s="171">
        <v>1</v>
      </c>
      <c r="CA356" s="171">
        <v>1</v>
      </c>
      <c r="CB356" s="171">
        <v>1</v>
      </c>
      <c r="CC356" s="171">
        <v>1</v>
      </c>
      <c r="CD356" s="171"/>
      <c r="CE356" s="171">
        <v>1</v>
      </c>
      <c r="CF356" s="171"/>
      <c r="CG356" s="171">
        <v>1</v>
      </c>
      <c r="CH356" s="171">
        <v>1</v>
      </c>
      <c r="CI356" s="171"/>
      <c r="CJ356" s="171"/>
      <c r="CK356" s="171"/>
      <c r="CL356" s="171"/>
      <c r="CM356">
        <f t="shared" si="46"/>
        <v>2035</v>
      </c>
    </row>
    <row r="357" spans="1:91">
      <c r="A357" s="171">
        <v>266</v>
      </c>
      <c r="B357" s="171" t="s">
        <v>1305</v>
      </c>
      <c r="C357" s="171">
        <v>227</v>
      </c>
      <c r="D357" s="171" t="str">
        <f t="shared" si="45"/>
        <v>CN NZ</v>
      </c>
      <c r="E357" s="171" t="s">
        <v>7220</v>
      </c>
      <c r="F357" s="174">
        <v>45477</v>
      </c>
      <c r="G357" s="171" t="s">
        <v>7220</v>
      </c>
      <c r="H357" s="173">
        <v>2488</v>
      </c>
      <c r="I357" s="171"/>
      <c r="J357" s="171" t="s">
        <v>4465</v>
      </c>
      <c r="K357" s="171" t="s">
        <v>4457</v>
      </c>
      <c r="L357" s="171" t="s">
        <v>2029</v>
      </c>
      <c r="M357" s="171" t="s">
        <v>5032</v>
      </c>
      <c r="N357" s="171"/>
      <c r="O357" s="171"/>
      <c r="P357" s="171" t="s">
        <v>5032</v>
      </c>
      <c r="Q357" s="171"/>
      <c r="R357" s="171"/>
      <c r="S357" s="171"/>
      <c r="T357" s="171"/>
      <c r="U357" s="171"/>
      <c r="V357" s="175"/>
      <c r="W357" s="171"/>
      <c r="X357" s="171" t="s">
        <v>1957</v>
      </c>
      <c r="Y357" s="171" t="s">
        <v>109</v>
      </c>
      <c r="Z357" s="171" t="s">
        <v>32</v>
      </c>
      <c r="AA357" s="171" t="s">
        <v>1957</v>
      </c>
      <c r="AB357" s="171">
        <v>2040</v>
      </c>
      <c r="AC357" s="171">
        <v>2021</v>
      </c>
      <c r="AD357" s="171"/>
      <c r="AE357" s="171"/>
      <c r="AF357" s="171"/>
      <c r="AG357" s="171" t="s">
        <v>7247</v>
      </c>
      <c r="AH357" s="171">
        <v>2024</v>
      </c>
      <c r="AI357" s="171" t="s">
        <v>4174</v>
      </c>
      <c r="AJ357" s="176" t="s">
        <v>7520</v>
      </c>
      <c r="AK357" s="171"/>
      <c r="AL357" s="176" t="s">
        <v>7520</v>
      </c>
      <c r="AM357" s="171"/>
      <c r="AN357" s="171" t="s">
        <v>1957</v>
      </c>
      <c r="AO357" s="171" t="s">
        <v>109</v>
      </c>
      <c r="AP357" s="171" t="s">
        <v>2072</v>
      </c>
      <c r="AQ357" s="171" t="s">
        <v>1957</v>
      </c>
      <c r="AR357" s="171">
        <v>2050</v>
      </c>
      <c r="AS357" s="171">
        <v>2021</v>
      </c>
      <c r="AT357" s="171"/>
      <c r="AU357" s="171"/>
      <c r="AV357" s="171"/>
      <c r="AW357" s="171" t="s">
        <v>7247</v>
      </c>
      <c r="AX357" s="176" t="s">
        <v>7520</v>
      </c>
      <c r="AY357" s="171"/>
      <c r="AZ357" s="171"/>
      <c r="BA357" s="171"/>
      <c r="BB357" s="171"/>
      <c r="BC357" s="171"/>
      <c r="BD357" s="171"/>
      <c r="BE357" s="171"/>
      <c r="BF357" s="225"/>
      <c r="BG357" s="171"/>
      <c r="BH357" s="171"/>
      <c r="BI357" s="171"/>
      <c r="BJ357" s="171"/>
      <c r="BK357" s="171"/>
      <c r="BL357" s="171">
        <v>1</v>
      </c>
      <c r="BM357" s="171">
        <v>1</v>
      </c>
      <c r="BN357" s="171"/>
      <c r="BO357" s="171"/>
      <c r="BP357" s="171">
        <v>1</v>
      </c>
      <c r="BQ357" s="171">
        <v>1</v>
      </c>
      <c r="BR357" s="171"/>
      <c r="BS357" s="171"/>
      <c r="BT357" s="171"/>
      <c r="BU357" s="171"/>
      <c r="BV357" s="171"/>
      <c r="BW357" s="171"/>
      <c r="BX357" s="171"/>
      <c r="BY357" s="171"/>
      <c r="BZ357" s="171">
        <v>1</v>
      </c>
      <c r="CA357" s="171"/>
      <c r="CB357" s="171">
        <v>1</v>
      </c>
      <c r="CC357" s="171">
        <v>1</v>
      </c>
      <c r="CD357" s="171"/>
      <c r="CE357" s="171">
        <v>1</v>
      </c>
      <c r="CF357" s="171"/>
      <c r="CG357" s="171"/>
      <c r="CH357" s="171">
        <v>1</v>
      </c>
      <c r="CI357" s="171"/>
      <c r="CJ357" s="171"/>
      <c r="CK357" s="171"/>
      <c r="CL357" s="171"/>
      <c r="CM357">
        <f t="shared" si="46"/>
        <v>2050</v>
      </c>
    </row>
    <row r="358" spans="1:91">
      <c r="A358" s="171">
        <v>125</v>
      </c>
      <c r="B358" s="171" t="s">
        <v>1405</v>
      </c>
      <c r="C358" s="171">
        <v>110</v>
      </c>
      <c r="D358" s="171" t="str">
        <f t="shared" si="45"/>
        <v>CN NZ</v>
      </c>
      <c r="E358" s="171" t="s">
        <v>7228</v>
      </c>
      <c r="F358" s="174">
        <v>45475</v>
      </c>
      <c r="G358" s="171" t="s">
        <v>7223</v>
      </c>
      <c r="H358" s="173">
        <v>3221.1</v>
      </c>
      <c r="I358" s="171"/>
      <c r="J358" s="171" t="s">
        <v>3498</v>
      </c>
      <c r="K358" s="171" t="s">
        <v>1408</v>
      </c>
      <c r="L358" s="171" t="s">
        <v>1994</v>
      </c>
      <c r="M358" s="171" t="s">
        <v>5032</v>
      </c>
      <c r="N358" s="171"/>
      <c r="O358" s="171"/>
      <c r="P358" s="171" t="s">
        <v>5032</v>
      </c>
      <c r="Q358" s="171"/>
      <c r="R358" s="171"/>
      <c r="S358" s="171"/>
      <c r="T358" s="171"/>
      <c r="U358" s="171"/>
      <c r="V358" s="175"/>
      <c r="W358" s="171"/>
      <c r="X358" s="171" t="s">
        <v>1957</v>
      </c>
      <c r="Y358" s="171" t="s">
        <v>5131</v>
      </c>
      <c r="Z358" s="171" t="s">
        <v>3283</v>
      </c>
      <c r="AA358" s="171" t="s">
        <v>1957</v>
      </c>
      <c r="AB358" s="171">
        <v>2040</v>
      </c>
      <c r="AC358" s="171">
        <v>2021</v>
      </c>
      <c r="AD358" s="171"/>
      <c r="AE358" s="171"/>
      <c r="AF358" s="171"/>
      <c r="AG358" s="171" t="s">
        <v>2082</v>
      </c>
      <c r="AH358" s="171">
        <v>2023</v>
      </c>
      <c r="AI358" s="171" t="s">
        <v>4174</v>
      </c>
      <c r="AJ358" s="171" t="s">
        <v>7516</v>
      </c>
      <c r="AK358" s="171"/>
      <c r="AL358" s="171" t="s">
        <v>7519</v>
      </c>
      <c r="AM358" s="171" t="s">
        <v>7518</v>
      </c>
      <c r="AN358" s="171" t="s">
        <v>1957</v>
      </c>
      <c r="AO358" s="171" t="s">
        <v>5131</v>
      </c>
      <c r="AP358" s="171" t="s">
        <v>2072</v>
      </c>
      <c r="AQ358" s="171" t="s">
        <v>1957</v>
      </c>
      <c r="AR358" s="171">
        <v>2050</v>
      </c>
      <c r="AS358" s="171">
        <v>2021</v>
      </c>
      <c r="AT358" s="171"/>
      <c r="AU358" s="171"/>
      <c r="AV358" s="171"/>
      <c r="AW358" s="171" t="s">
        <v>4174</v>
      </c>
      <c r="AX358" s="171" t="s">
        <v>7517</v>
      </c>
      <c r="AY358" s="171">
        <v>2023</v>
      </c>
      <c r="AZ358" s="171" t="s">
        <v>4174</v>
      </c>
      <c r="BA358" s="171" t="s">
        <v>7516</v>
      </c>
      <c r="BB358" s="171"/>
      <c r="BC358" s="171" t="s">
        <v>7515</v>
      </c>
      <c r="BD358" s="171"/>
      <c r="BE358" s="171"/>
      <c r="BF358" s="225"/>
      <c r="BG358" s="171"/>
      <c r="BH358" s="171"/>
      <c r="BI358" s="171"/>
      <c r="BJ358" s="171"/>
      <c r="BK358" s="171"/>
      <c r="BL358" s="171">
        <v>1</v>
      </c>
      <c r="BM358" s="171">
        <v>1</v>
      </c>
      <c r="BN358" s="171"/>
      <c r="BO358" s="171"/>
      <c r="BP358" s="171">
        <v>1</v>
      </c>
      <c r="BQ358" s="171">
        <v>1</v>
      </c>
      <c r="BR358" s="171"/>
      <c r="BS358" s="171"/>
      <c r="BT358" s="171"/>
      <c r="BU358" s="171"/>
      <c r="BV358" s="171"/>
      <c r="BW358" s="171"/>
      <c r="BX358" s="171"/>
      <c r="BY358" s="171"/>
      <c r="BZ358" s="171">
        <v>1</v>
      </c>
      <c r="CA358" s="171"/>
      <c r="CB358" s="171">
        <v>1</v>
      </c>
      <c r="CC358" s="171">
        <v>1</v>
      </c>
      <c r="CD358" s="171"/>
      <c r="CE358" s="171">
        <v>1</v>
      </c>
      <c r="CF358" s="171"/>
      <c r="CG358" s="171"/>
      <c r="CH358" s="171">
        <v>1</v>
      </c>
      <c r="CI358" s="171"/>
      <c r="CJ358" s="171"/>
      <c r="CK358" s="171"/>
      <c r="CL358" s="171"/>
      <c r="CM358">
        <f t="shared" si="46"/>
        <v>2050</v>
      </c>
    </row>
    <row r="359" spans="1:91">
      <c r="A359" s="171">
        <v>242</v>
      </c>
      <c r="B359" s="171" t="s">
        <v>690</v>
      </c>
      <c r="C359" s="171">
        <v>255</v>
      </c>
      <c r="D359" s="171" t="str">
        <f t="shared" si="45"/>
        <v/>
      </c>
      <c r="E359" s="171" t="s">
        <v>7223</v>
      </c>
      <c r="F359" s="174">
        <v>45477</v>
      </c>
      <c r="G359" s="171" t="s">
        <v>7223</v>
      </c>
      <c r="H359" s="173">
        <v>4349</v>
      </c>
      <c r="I359" s="171"/>
      <c r="J359" s="171" t="s">
        <v>4467</v>
      </c>
      <c r="K359" s="171" t="s">
        <v>4457</v>
      </c>
      <c r="L359" s="171" t="s">
        <v>2029</v>
      </c>
      <c r="M359" s="171" t="s">
        <v>5032</v>
      </c>
      <c r="N359" s="171"/>
      <c r="O359" s="171"/>
      <c r="P359" s="171" t="s">
        <v>5032</v>
      </c>
      <c r="Q359" s="171"/>
      <c r="R359" s="171"/>
      <c r="S359" s="171"/>
      <c r="T359" s="171"/>
      <c r="U359" s="171"/>
      <c r="V359" s="175"/>
      <c r="W359" s="171"/>
      <c r="X359" s="171" t="s">
        <v>5032</v>
      </c>
      <c r="Y359" s="171"/>
      <c r="Z359" s="171"/>
      <c r="AA359" s="171" t="s">
        <v>5032</v>
      </c>
      <c r="AB359" s="171"/>
      <c r="AC359" s="171"/>
      <c r="AD359" s="171"/>
      <c r="AE359" s="171"/>
      <c r="AF359" s="171"/>
      <c r="AG359" s="171"/>
      <c r="AH359" s="171"/>
      <c r="AI359" s="171"/>
      <c r="AJ359" s="171"/>
      <c r="AK359" s="171"/>
      <c r="AL359" s="171"/>
      <c r="AM359" s="171"/>
      <c r="AN359" s="171" t="s">
        <v>5032</v>
      </c>
      <c r="AO359" s="171"/>
      <c r="AP359" s="171"/>
      <c r="AQ359" s="171" t="s">
        <v>5032</v>
      </c>
      <c r="AR359" s="171"/>
      <c r="AS359" s="171"/>
      <c r="AT359" s="171"/>
      <c r="AU359" s="171"/>
      <c r="AV359" s="171"/>
      <c r="AW359" s="171"/>
      <c r="AX359" s="171"/>
      <c r="AY359" s="171"/>
      <c r="AZ359" s="171"/>
      <c r="BA359" s="171"/>
      <c r="BB359" s="171"/>
      <c r="BC359" s="171"/>
      <c r="BD359" s="171"/>
      <c r="BE359" s="171"/>
      <c r="BF359" s="225"/>
      <c r="BG359" s="171"/>
      <c r="BH359" s="171"/>
      <c r="BI359" s="171"/>
      <c r="BJ359" s="171"/>
      <c r="BK359" s="171"/>
      <c r="BL359" s="171"/>
      <c r="BM359" s="171"/>
      <c r="BN359" s="171"/>
      <c r="BO359" s="171"/>
      <c r="BP359" s="171"/>
      <c r="BQ359" s="171"/>
      <c r="BR359" s="171"/>
      <c r="BS359" s="171"/>
      <c r="BT359" s="171"/>
      <c r="BU359" s="171"/>
      <c r="BV359" s="171"/>
      <c r="BW359" s="171"/>
      <c r="BX359" s="171"/>
      <c r="BY359" s="171"/>
      <c r="BZ359" s="171"/>
      <c r="CA359" s="171"/>
      <c r="CB359" s="171"/>
      <c r="CC359" s="171"/>
      <c r="CD359" s="171"/>
      <c r="CE359" s="171"/>
      <c r="CF359" s="171"/>
      <c r="CG359" s="171"/>
      <c r="CH359" s="171"/>
      <c r="CI359" s="171"/>
      <c r="CJ359" s="171"/>
      <c r="CK359" s="171"/>
      <c r="CL359" s="171"/>
    </row>
    <row r="360" spans="1:91">
      <c r="A360" s="171">
        <v>426</v>
      </c>
      <c r="B360" s="171" t="s">
        <v>4548</v>
      </c>
      <c r="C360" s="171">
        <v>334</v>
      </c>
      <c r="D360" s="171" t="str">
        <f t="shared" si="45"/>
        <v xml:space="preserve"> NZ SBT</v>
      </c>
      <c r="E360" s="171" t="s">
        <v>7228</v>
      </c>
      <c r="F360" s="174">
        <v>45482</v>
      </c>
      <c r="G360" s="171" t="s">
        <v>7220</v>
      </c>
      <c r="H360" s="173">
        <v>7232</v>
      </c>
      <c r="I360" s="171"/>
      <c r="J360" s="171" t="s">
        <v>4459</v>
      </c>
      <c r="K360" s="171" t="s">
        <v>4457</v>
      </c>
      <c r="L360" s="171" t="s">
        <v>2029</v>
      </c>
      <c r="M360" s="171" t="s">
        <v>5032</v>
      </c>
      <c r="N360" s="171"/>
      <c r="O360" s="171"/>
      <c r="P360" s="171" t="s">
        <v>4174</v>
      </c>
      <c r="Q360" s="171" t="s">
        <v>22</v>
      </c>
      <c r="R360" s="171" t="s">
        <v>7233</v>
      </c>
      <c r="S360" s="171">
        <v>2030</v>
      </c>
      <c r="T360" s="171" t="s">
        <v>361</v>
      </c>
      <c r="U360" s="171">
        <v>2040</v>
      </c>
      <c r="V360" s="172">
        <v>45170</v>
      </c>
      <c r="W360" s="171">
        <v>2023</v>
      </c>
      <c r="X360" s="171" t="s">
        <v>5032</v>
      </c>
      <c r="Y360" s="171"/>
      <c r="Z360" s="171"/>
      <c r="AA360" s="171" t="s">
        <v>5032</v>
      </c>
      <c r="AB360" s="171"/>
      <c r="AC360" s="171"/>
      <c r="AD360" s="171"/>
      <c r="AE360" s="171"/>
      <c r="AF360" s="171"/>
      <c r="AG360" s="171"/>
      <c r="AH360" s="171"/>
      <c r="AI360" s="171"/>
      <c r="AJ360" s="171"/>
      <c r="AK360" s="171"/>
      <c r="AL360" s="171"/>
      <c r="AM360" s="171"/>
      <c r="AN360" s="171" t="s">
        <v>4172</v>
      </c>
      <c r="AO360" s="171" t="s">
        <v>4332</v>
      </c>
      <c r="AP360" s="171" t="s">
        <v>7316</v>
      </c>
      <c r="AQ360" s="171" t="s">
        <v>4172</v>
      </c>
      <c r="AR360" s="171">
        <v>2040</v>
      </c>
      <c r="AS360" s="171">
        <v>2021</v>
      </c>
      <c r="AT360" s="171"/>
      <c r="AU360" s="171"/>
      <c r="AV360" s="171"/>
      <c r="AW360" s="171" t="s">
        <v>4174</v>
      </c>
      <c r="AX360" s="171" t="s">
        <v>7514</v>
      </c>
      <c r="AY360" s="171"/>
      <c r="AZ360" s="171"/>
      <c r="BA360" s="171"/>
      <c r="BB360" s="171"/>
      <c r="BC360" s="171" t="s">
        <v>4547</v>
      </c>
      <c r="BD360" s="171"/>
      <c r="BE360" s="171"/>
      <c r="BF360" s="225"/>
      <c r="BG360" s="171"/>
      <c r="BH360" s="171"/>
      <c r="BI360" s="171"/>
      <c r="BJ360" s="171"/>
      <c r="BK360" s="171"/>
      <c r="BL360" s="171"/>
      <c r="BM360" s="171"/>
      <c r="BN360" s="171"/>
      <c r="BO360" s="171"/>
      <c r="BP360" s="171">
        <v>1</v>
      </c>
      <c r="BQ360" s="171">
        <v>1</v>
      </c>
      <c r="BR360" s="171"/>
      <c r="BS360" s="171">
        <v>1</v>
      </c>
      <c r="BT360" s="171"/>
      <c r="BU360" s="171">
        <v>1</v>
      </c>
      <c r="BV360" s="171"/>
      <c r="BW360" s="171"/>
      <c r="BX360" s="171"/>
      <c r="BY360" s="171"/>
      <c r="BZ360" s="171">
        <v>1</v>
      </c>
      <c r="CA360" s="171"/>
      <c r="CB360" s="171">
        <v>1</v>
      </c>
      <c r="CC360" s="171">
        <v>1</v>
      </c>
      <c r="CD360" s="171"/>
      <c r="CE360" s="171">
        <v>1</v>
      </c>
      <c r="CF360" s="171"/>
      <c r="CG360" s="171">
        <v>1</v>
      </c>
      <c r="CH360" s="171">
        <v>1</v>
      </c>
      <c r="CI360" s="171"/>
      <c r="CJ360" s="171"/>
      <c r="CK360" s="171">
        <v>1</v>
      </c>
      <c r="CL360" s="171">
        <v>1</v>
      </c>
      <c r="CM360">
        <f t="shared" si="46"/>
        <v>2040</v>
      </c>
    </row>
    <row r="361" spans="1:91">
      <c r="A361" s="171">
        <v>444</v>
      </c>
      <c r="B361" s="171" t="s">
        <v>621</v>
      </c>
      <c r="C361" s="171">
        <v>345</v>
      </c>
      <c r="D361" s="171" t="str">
        <f t="shared" si="45"/>
        <v>CN SBT</v>
      </c>
      <c r="E361" s="171" t="s">
        <v>7228</v>
      </c>
      <c r="F361" s="174">
        <v>45482</v>
      </c>
      <c r="G361" s="171" t="s">
        <v>7220</v>
      </c>
      <c r="H361" s="173">
        <v>1274.0999999999999</v>
      </c>
      <c r="I361" s="171"/>
      <c r="J361" s="171" t="s">
        <v>186</v>
      </c>
      <c r="K361" s="171" t="s">
        <v>3277</v>
      </c>
      <c r="L361" s="171" t="s">
        <v>1994</v>
      </c>
      <c r="M361" s="171" t="s">
        <v>5032</v>
      </c>
      <c r="N361" s="171"/>
      <c r="O361" s="171"/>
      <c r="P361" s="171" t="s">
        <v>5032</v>
      </c>
      <c r="Q361" s="171" t="s">
        <v>165</v>
      </c>
      <c r="R361" s="171"/>
      <c r="S361" s="171">
        <v>2030</v>
      </c>
      <c r="T361" s="171" t="s">
        <v>361</v>
      </c>
      <c r="U361" s="171"/>
      <c r="V361" s="172">
        <v>44621</v>
      </c>
      <c r="W361" s="171">
        <v>2022</v>
      </c>
      <c r="X361" s="171" t="s">
        <v>4239</v>
      </c>
      <c r="Y361" s="171" t="s">
        <v>4313</v>
      </c>
      <c r="Z361" s="171" t="s">
        <v>7225</v>
      </c>
      <c r="AA361" s="171" t="s">
        <v>4239</v>
      </c>
      <c r="AB361" s="171">
        <v>2050</v>
      </c>
      <c r="AC361" s="171">
        <v>2022</v>
      </c>
      <c r="AD361" s="171"/>
      <c r="AE361" s="171"/>
      <c r="AF361" s="171"/>
      <c r="AG361" s="171" t="s">
        <v>2082</v>
      </c>
      <c r="AH361" s="171"/>
      <c r="AI361" s="171" t="s">
        <v>4174</v>
      </c>
      <c r="AJ361" s="171"/>
      <c r="AK361" s="171"/>
      <c r="AL361" s="171" t="s">
        <v>7513</v>
      </c>
      <c r="AM361" s="171" t="s">
        <v>7512</v>
      </c>
      <c r="AN361" s="171" t="s">
        <v>5032</v>
      </c>
      <c r="AO361" s="171"/>
      <c r="AP361" s="171"/>
      <c r="AQ361" s="171" t="s">
        <v>5032</v>
      </c>
      <c r="AR361" s="171"/>
      <c r="AS361" s="171"/>
      <c r="AT361" s="171"/>
      <c r="AU361" s="171"/>
      <c r="AV361" s="171"/>
      <c r="AW361" s="171"/>
      <c r="AX361" s="171"/>
      <c r="AY361" s="171"/>
      <c r="AZ361" s="171"/>
      <c r="BA361" s="171"/>
      <c r="BB361" s="171"/>
      <c r="BC361" s="171"/>
      <c r="BD361" s="171"/>
      <c r="BE361" s="171"/>
      <c r="BF361" s="225"/>
      <c r="BG361" s="171"/>
      <c r="BH361" s="171"/>
      <c r="BI361" s="171"/>
      <c r="BJ361" s="171"/>
      <c r="BK361" s="171"/>
      <c r="BL361" s="171">
        <v>1</v>
      </c>
      <c r="BM361" s="171">
        <v>1</v>
      </c>
      <c r="BN361" s="171"/>
      <c r="BO361" s="171"/>
      <c r="BP361" s="171"/>
      <c r="BQ361" s="171"/>
      <c r="BR361" s="171"/>
      <c r="BS361" s="171">
        <v>1</v>
      </c>
      <c r="BT361" s="171"/>
      <c r="BU361" s="171">
        <v>1</v>
      </c>
      <c r="BV361" s="171"/>
      <c r="BW361" s="171"/>
      <c r="BX361" s="171"/>
      <c r="BY361" s="171"/>
      <c r="BZ361" s="171">
        <v>1</v>
      </c>
      <c r="CA361" s="171"/>
      <c r="CB361" s="171">
        <v>1</v>
      </c>
      <c r="CC361" s="171"/>
      <c r="CD361" s="171"/>
      <c r="CE361" s="171">
        <v>1</v>
      </c>
      <c r="CF361" s="171"/>
      <c r="CG361" s="171">
        <v>1</v>
      </c>
      <c r="CH361" s="171">
        <v>1</v>
      </c>
      <c r="CI361" s="171"/>
      <c r="CJ361" s="171"/>
      <c r="CK361" s="171"/>
      <c r="CL361" s="171"/>
    </row>
    <row r="362" spans="1:91">
      <c r="A362" s="171">
        <v>461</v>
      </c>
      <c r="B362" s="171" t="s">
        <v>139</v>
      </c>
      <c r="C362" s="171"/>
      <c r="D362" s="171" t="str">
        <f t="shared" si="45"/>
        <v/>
      </c>
      <c r="E362" s="171" t="s">
        <v>7259</v>
      </c>
      <c r="F362" s="174">
        <v>45511</v>
      </c>
      <c r="G362" s="171"/>
      <c r="H362" s="173">
        <v>4634.5</v>
      </c>
      <c r="I362" s="171"/>
      <c r="J362" s="171" t="s">
        <v>4465</v>
      </c>
      <c r="K362" s="171" t="s">
        <v>96</v>
      </c>
      <c r="L362" s="171" t="s">
        <v>1951</v>
      </c>
      <c r="M362" s="171" t="s">
        <v>5032</v>
      </c>
      <c r="N362" s="171"/>
      <c r="O362" s="171"/>
      <c r="P362" s="171" t="s">
        <v>5032</v>
      </c>
      <c r="Q362" s="171"/>
      <c r="R362" s="171"/>
      <c r="S362" s="171"/>
      <c r="T362" s="171"/>
      <c r="U362" s="171"/>
      <c r="V362" s="175"/>
      <c r="W362" s="171"/>
      <c r="X362" s="171" t="s">
        <v>5032</v>
      </c>
      <c r="Y362" s="171"/>
      <c r="Z362" s="171"/>
      <c r="AA362" s="171" t="s">
        <v>5032</v>
      </c>
      <c r="AB362" s="171"/>
      <c r="AC362" s="171"/>
      <c r="AD362" s="171"/>
      <c r="AE362" s="171"/>
      <c r="AF362" s="171"/>
      <c r="AG362" s="171"/>
      <c r="AH362" s="171"/>
      <c r="AI362" s="171"/>
      <c r="AJ362" s="171"/>
      <c r="AK362" s="171"/>
      <c r="AL362" s="171"/>
      <c r="AM362" s="171"/>
      <c r="AN362" s="171" t="s">
        <v>5032</v>
      </c>
      <c r="AO362" s="171"/>
      <c r="AP362" s="171"/>
      <c r="AQ362" s="171" t="s">
        <v>5032</v>
      </c>
      <c r="AR362" s="171"/>
      <c r="AS362" s="171"/>
      <c r="AT362" s="171"/>
      <c r="AU362" s="171"/>
      <c r="AV362" s="171"/>
      <c r="AW362" s="171"/>
      <c r="AX362" s="171"/>
      <c r="AY362" s="171"/>
      <c r="AZ362" s="171"/>
      <c r="BA362" s="171"/>
      <c r="BB362" s="171"/>
      <c r="BC362" s="171"/>
      <c r="BD362" s="171"/>
      <c r="BE362" s="171"/>
      <c r="BF362" s="225"/>
      <c r="BG362" s="171"/>
      <c r="BH362" s="171"/>
      <c r="BI362" s="171"/>
      <c r="BJ362" s="171"/>
      <c r="BK362" s="171"/>
      <c r="BL362" s="171"/>
      <c r="BM362" s="171"/>
      <c r="BN362" s="171"/>
      <c r="BO362" s="171"/>
      <c r="BP362" s="171"/>
      <c r="BQ362" s="171"/>
      <c r="BR362" s="171"/>
      <c r="BS362" s="171"/>
      <c r="BT362" s="171"/>
      <c r="BU362" s="171"/>
      <c r="BV362" s="171"/>
      <c r="BW362" s="171"/>
      <c r="BX362" s="171"/>
      <c r="BY362" s="171"/>
      <c r="BZ362" s="171"/>
      <c r="CA362" s="171"/>
      <c r="CB362" s="171"/>
      <c r="CC362" s="171"/>
      <c r="CD362" s="171"/>
      <c r="CE362" s="171"/>
      <c r="CF362" s="171"/>
      <c r="CG362" s="171"/>
      <c r="CH362" s="171"/>
      <c r="CI362" s="171"/>
      <c r="CJ362" s="171"/>
      <c r="CK362" s="171"/>
      <c r="CL362" s="171"/>
    </row>
    <row r="363" spans="1:91">
      <c r="A363" s="171">
        <v>345</v>
      </c>
      <c r="B363" s="171" t="s">
        <v>7511</v>
      </c>
      <c r="C363" s="171">
        <v>301</v>
      </c>
      <c r="D363" s="171" t="str">
        <f t="shared" si="45"/>
        <v/>
      </c>
      <c r="E363" s="171" t="s">
        <v>7220</v>
      </c>
      <c r="F363" s="174">
        <v>45478</v>
      </c>
      <c r="G363" s="171" t="s">
        <v>7223</v>
      </c>
      <c r="H363" s="173">
        <v>105.6</v>
      </c>
      <c r="I363" s="171"/>
      <c r="J363" s="171" t="s">
        <v>3498</v>
      </c>
      <c r="K363" s="171" t="s">
        <v>68</v>
      </c>
      <c r="L363" s="171" t="s">
        <v>8320</v>
      </c>
      <c r="M363" s="171" t="s">
        <v>5032</v>
      </c>
      <c r="N363" s="171"/>
      <c r="O363" s="171"/>
      <c r="P363" s="171" t="s">
        <v>5032</v>
      </c>
      <c r="Q363" s="171"/>
      <c r="R363" s="171"/>
      <c r="S363" s="171"/>
      <c r="T363" s="171"/>
      <c r="U363" s="171"/>
      <c r="V363" s="175"/>
      <c r="W363" s="171"/>
      <c r="X363" s="171" t="s">
        <v>5032</v>
      </c>
      <c r="Y363" s="171"/>
      <c r="Z363" s="171"/>
      <c r="AA363" s="171" t="s">
        <v>5032</v>
      </c>
      <c r="AB363" s="171"/>
      <c r="AC363" s="171"/>
      <c r="AD363" s="171"/>
      <c r="AE363" s="171"/>
      <c r="AF363" s="171"/>
      <c r="AG363" s="171"/>
      <c r="AH363" s="171"/>
      <c r="AI363" s="171"/>
      <c r="AJ363" s="171"/>
      <c r="AK363" s="171"/>
      <c r="AL363" s="171"/>
      <c r="AM363" s="171"/>
      <c r="AN363" s="171" t="s">
        <v>5032</v>
      </c>
      <c r="AO363" s="171"/>
      <c r="AP363" s="171"/>
      <c r="AQ363" s="171" t="s">
        <v>5032</v>
      </c>
      <c r="AR363" s="171"/>
      <c r="AS363" s="171"/>
      <c r="AT363" s="171"/>
      <c r="AU363" s="171"/>
      <c r="AV363" s="171"/>
      <c r="AW363" s="171"/>
      <c r="AX363" s="171"/>
      <c r="AY363" s="171"/>
      <c r="AZ363" s="171"/>
      <c r="BA363" s="171"/>
      <c r="BB363" s="171"/>
      <c r="BC363" s="171"/>
      <c r="BD363" s="171"/>
      <c r="BE363" s="171"/>
      <c r="BF363" s="225"/>
      <c r="BG363" s="171"/>
      <c r="BH363" s="171"/>
      <c r="BI363" s="171"/>
      <c r="BJ363" s="171"/>
      <c r="BK363" s="171"/>
      <c r="BL363" s="171"/>
      <c r="BM363" s="171"/>
      <c r="BN363" s="171"/>
      <c r="BO363" s="171"/>
      <c r="BP363" s="171"/>
      <c r="BQ363" s="171"/>
      <c r="BR363" s="171"/>
      <c r="BS363" s="171"/>
      <c r="BT363" s="171"/>
      <c r="BU363" s="171"/>
      <c r="BV363" s="171"/>
      <c r="BW363" s="171"/>
      <c r="BX363" s="171"/>
      <c r="BY363" s="171"/>
      <c r="BZ363" s="171"/>
      <c r="CA363" s="171"/>
      <c r="CB363" s="171"/>
      <c r="CC363" s="171"/>
      <c r="CD363" s="171"/>
      <c r="CE363" s="171"/>
      <c r="CF363" s="171"/>
      <c r="CG363" s="171"/>
      <c r="CH363" s="171"/>
      <c r="CI363" s="171"/>
      <c r="CJ363" s="171"/>
      <c r="CK363" s="171"/>
      <c r="CL363" s="171"/>
    </row>
    <row r="364" spans="1:91">
      <c r="A364" s="171">
        <v>463</v>
      </c>
      <c r="B364" s="171" t="s">
        <v>86</v>
      </c>
      <c r="C364" s="171">
        <v>353</v>
      </c>
      <c r="D364" s="171" t="str">
        <f t="shared" si="45"/>
        <v/>
      </c>
      <c r="E364" s="171" t="s">
        <v>7228</v>
      </c>
      <c r="F364" s="174">
        <v>45482</v>
      </c>
      <c r="G364" s="171" t="s">
        <v>7220</v>
      </c>
      <c r="H364" s="173">
        <v>40.5</v>
      </c>
      <c r="I364" s="171"/>
      <c r="J364" s="171" t="s">
        <v>4465</v>
      </c>
      <c r="K364" s="171" t="s">
        <v>87</v>
      </c>
      <c r="L364" s="171" t="s">
        <v>1994</v>
      </c>
      <c r="M364" s="171" t="s">
        <v>5032</v>
      </c>
      <c r="N364" s="171"/>
      <c r="O364" s="171"/>
      <c r="P364" s="171" t="s">
        <v>5032</v>
      </c>
      <c r="Q364" s="171"/>
      <c r="R364" s="171"/>
      <c r="S364" s="171"/>
      <c r="T364" s="171"/>
      <c r="U364" s="171"/>
      <c r="V364" s="175"/>
      <c r="W364" s="171"/>
      <c r="X364" s="171" t="s">
        <v>5032</v>
      </c>
      <c r="Y364" s="171"/>
      <c r="Z364" s="171"/>
      <c r="AA364" s="171" t="s">
        <v>5032</v>
      </c>
      <c r="AB364" s="171"/>
      <c r="AC364" s="171"/>
      <c r="AD364" s="171"/>
      <c r="AE364" s="171"/>
      <c r="AF364" s="171"/>
      <c r="AG364" s="171"/>
      <c r="AH364" s="171"/>
      <c r="AI364" s="171"/>
      <c r="AJ364" s="171"/>
      <c r="AK364" s="171"/>
      <c r="AL364" s="171"/>
      <c r="AM364" s="171"/>
      <c r="AN364" s="171" t="s">
        <v>5032</v>
      </c>
      <c r="AO364" s="171"/>
      <c r="AP364" s="171"/>
      <c r="AQ364" s="171" t="s">
        <v>5032</v>
      </c>
      <c r="AR364" s="171"/>
      <c r="AS364" s="171"/>
      <c r="AT364" s="171"/>
      <c r="AU364" s="171"/>
      <c r="AV364" s="171"/>
      <c r="AW364" s="171"/>
      <c r="AX364" s="171"/>
      <c r="AY364" s="171"/>
      <c r="AZ364" s="171"/>
      <c r="BA364" s="171"/>
      <c r="BB364" s="171"/>
      <c r="BC364" s="171"/>
      <c r="BD364" s="171"/>
      <c r="BE364" s="171"/>
      <c r="BF364" s="225"/>
      <c r="BG364" s="171"/>
      <c r="BH364" s="171"/>
      <c r="BI364" s="171"/>
      <c r="BJ364" s="171"/>
      <c r="BK364" s="171"/>
      <c r="BL364" s="171"/>
      <c r="BM364" s="171"/>
      <c r="BN364" s="171"/>
      <c r="BO364" s="171"/>
      <c r="BP364" s="171"/>
      <c r="BQ364" s="171"/>
      <c r="BR364" s="171"/>
      <c r="BS364" s="171"/>
      <c r="BT364" s="171"/>
      <c r="BU364" s="171"/>
      <c r="BV364" s="171"/>
      <c r="BW364" s="171"/>
      <c r="BX364" s="171"/>
      <c r="BY364" s="171"/>
      <c r="BZ364" s="171"/>
      <c r="CA364" s="171"/>
      <c r="CB364" s="171"/>
      <c r="CC364" s="171"/>
      <c r="CD364" s="171"/>
      <c r="CE364" s="171"/>
      <c r="CF364" s="171"/>
      <c r="CG364" s="171"/>
      <c r="CH364" s="171"/>
      <c r="CI364" s="171"/>
      <c r="CJ364" s="171"/>
      <c r="CK364" s="171"/>
      <c r="CL364" s="171"/>
    </row>
    <row r="365" spans="1:91" ht="16.149999999999999" customHeight="1">
      <c r="A365" s="171">
        <v>86</v>
      </c>
      <c r="B365" s="171" t="s">
        <v>1505</v>
      </c>
      <c r="C365" s="171">
        <v>88</v>
      </c>
      <c r="D365" s="171" t="str">
        <f t="shared" si="45"/>
        <v xml:space="preserve"> NZ</v>
      </c>
      <c r="E365" s="171" t="s">
        <v>7220</v>
      </c>
      <c r="F365" s="174">
        <v>45475</v>
      </c>
      <c r="G365" s="171" t="s">
        <v>7220</v>
      </c>
      <c r="H365" s="173">
        <v>8412.5</v>
      </c>
      <c r="I365" s="171"/>
      <c r="J365" s="171" t="s">
        <v>3498</v>
      </c>
      <c r="K365" s="171" t="s">
        <v>87</v>
      </c>
      <c r="L365" s="171" t="s">
        <v>1994</v>
      </c>
      <c r="M365" s="171" t="s">
        <v>5032</v>
      </c>
      <c r="N365" s="171"/>
      <c r="O365" s="171"/>
      <c r="P365" s="171" t="s">
        <v>5032</v>
      </c>
      <c r="Q365" s="171"/>
      <c r="R365" s="171"/>
      <c r="S365" s="171"/>
      <c r="T365" s="171"/>
      <c r="U365" s="171"/>
      <c r="V365" s="175"/>
      <c r="W365" s="171"/>
      <c r="X365" s="171" t="s">
        <v>5032</v>
      </c>
      <c r="Y365" s="171"/>
      <c r="Z365" s="171"/>
      <c r="AA365" s="171" t="s">
        <v>5032</v>
      </c>
      <c r="AB365" s="171"/>
      <c r="AC365" s="171"/>
      <c r="AD365" s="171"/>
      <c r="AE365" s="171"/>
      <c r="AF365" s="171"/>
      <c r="AG365" s="171"/>
      <c r="AH365" s="171"/>
      <c r="AI365" s="171"/>
      <c r="AJ365" s="171"/>
      <c r="AK365" s="171"/>
      <c r="AL365" s="171"/>
      <c r="AM365" s="171"/>
      <c r="AN365" s="171" t="s">
        <v>1957</v>
      </c>
      <c r="AO365" s="171" t="s">
        <v>7510</v>
      </c>
      <c r="AP365" s="171" t="s">
        <v>7509</v>
      </c>
      <c r="AQ365" s="171" t="s">
        <v>1957</v>
      </c>
      <c r="AR365" s="171">
        <v>2035</v>
      </c>
      <c r="AS365" s="171">
        <v>2022</v>
      </c>
      <c r="AT365" s="171"/>
      <c r="AU365" s="171"/>
      <c r="AV365" s="171"/>
      <c r="AW365" s="171" t="s">
        <v>2082</v>
      </c>
      <c r="AX365" s="171" t="s">
        <v>7508</v>
      </c>
      <c r="AY365" s="171"/>
      <c r="AZ365" s="171"/>
      <c r="BA365" s="171"/>
      <c r="BB365" s="171"/>
      <c r="BC365" s="171" t="s">
        <v>7507</v>
      </c>
      <c r="BD365" s="171"/>
      <c r="BE365" s="171"/>
      <c r="BF365" s="225"/>
      <c r="BG365" s="171"/>
      <c r="BH365" s="171"/>
      <c r="BI365" s="171"/>
      <c r="BJ365" s="171"/>
      <c r="BK365" s="171"/>
      <c r="BL365" s="171"/>
      <c r="BM365" s="171"/>
      <c r="BN365" s="171"/>
      <c r="BO365" s="171"/>
      <c r="BP365" s="171">
        <v>1</v>
      </c>
      <c r="BQ365" s="171">
        <v>1</v>
      </c>
      <c r="BR365" s="171"/>
      <c r="BS365" s="171"/>
      <c r="BT365" s="171"/>
      <c r="BU365" s="171"/>
      <c r="BV365" s="171"/>
      <c r="BW365" s="171"/>
      <c r="BX365" s="171"/>
      <c r="BY365" s="171"/>
      <c r="BZ365" s="171">
        <v>1</v>
      </c>
      <c r="CA365" s="171"/>
      <c r="CB365" s="171">
        <v>1</v>
      </c>
      <c r="CC365" s="171"/>
      <c r="CD365" s="171"/>
      <c r="CE365" s="171">
        <v>1</v>
      </c>
      <c r="CF365" s="171"/>
      <c r="CG365" s="171"/>
      <c r="CH365" s="171">
        <v>1</v>
      </c>
      <c r="CI365" s="171"/>
      <c r="CJ365" s="171"/>
      <c r="CK365" s="171"/>
      <c r="CL365" s="171"/>
      <c r="CM365">
        <f t="shared" si="46"/>
        <v>2035</v>
      </c>
    </row>
    <row r="366" spans="1:91">
      <c r="A366" s="171">
        <v>251</v>
      </c>
      <c r="B366" s="171" t="s">
        <v>1354</v>
      </c>
      <c r="C366" s="171">
        <v>286</v>
      </c>
      <c r="D366" s="171" t="str">
        <f t="shared" si="45"/>
        <v xml:space="preserve"> NZ SBT</v>
      </c>
      <c r="E366" s="171" t="s">
        <v>7223</v>
      </c>
      <c r="F366" s="174">
        <v>45478</v>
      </c>
      <c r="G366" s="171" t="s">
        <v>7223</v>
      </c>
      <c r="H366" s="173">
        <v>2376.1999999999998</v>
      </c>
      <c r="I366" s="171"/>
      <c r="J366" s="171" t="s">
        <v>4476</v>
      </c>
      <c r="K366" s="171" t="s">
        <v>63</v>
      </c>
      <c r="L366" s="171" t="s">
        <v>1951</v>
      </c>
      <c r="M366" s="171" t="s">
        <v>5032</v>
      </c>
      <c r="N366" s="171"/>
      <c r="O366" s="171"/>
      <c r="P366" s="171" t="s">
        <v>4174</v>
      </c>
      <c r="Q366" s="171" t="s">
        <v>22</v>
      </c>
      <c r="R366" s="171" t="s">
        <v>7506</v>
      </c>
      <c r="S366" s="171">
        <v>2030</v>
      </c>
      <c r="T366" s="171" t="s">
        <v>1</v>
      </c>
      <c r="U366" s="171"/>
      <c r="V366" s="172">
        <v>44256</v>
      </c>
      <c r="W366" s="171">
        <v>2021</v>
      </c>
      <c r="X366" s="171" t="s">
        <v>7229</v>
      </c>
      <c r="Y366" s="171"/>
      <c r="Z366" s="171"/>
      <c r="AA366" s="171" t="s">
        <v>7229</v>
      </c>
      <c r="AB366" s="171"/>
      <c r="AC366" s="171"/>
      <c r="AD366" s="171"/>
      <c r="AE366" s="171"/>
      <c r="AF366" s="171"/>
      <c r="AG366" s="171"/>
      <c r="AH366" s="171"/>
      <c r="AI366" s="171"/>
      <c r="AJ366" s="171"/>
      <c r="AK366" s="171"/>
      <c r="AL366" s="171"/>
      <c r="AM366" s="171" t="s">
        <v>7504</v>
      </c>
      <c r="AN366" s="171" t="s">
        <v>4172</v>
      </c>
      <c r="AO366" s="171" t="s">
        <v>4302</v>
      </c>
      <c r="AP366" s="171" t="s">
        <v>2072</v>
      </c>
      <c r="AQ366" s="171" t="s">
        <v>4172</v>
      </c>
      <c r="AR366" s="171">
        <v>2050</v>
      </c>
      <c r="AS366" s="171">
        <v>2021</v>
      </c>
      <c r="AT366" s="171"/>
      <c r="AU366" s="171"/>
      <c r="AV366" s="171"/>
      <c r="AW366" s="171" t="s">
        <v>4174</v>
      </c>
      <c r="AX366" s="171" t="s">
        <v>7505</v>
      </c>
      <c r="AY366" s="171"/>
      <c r="AZ366" s="171"/>
      <c r="BA366" s="171"/>
      <c r="BB366" s="171"/>
      <c r="BC366" s="171" t="s">
        <v>7504</v>
      </c>
      <c r="BD366" s="171"/>
      <c r="BE366" s="171"/>
      <c r="BF366" s="225"/>
      <c r="BG366" s="171"/>
      <c r="BH366" s="171"/>
      <c r="BI366" s="171"/>
      <c r="BJ366" s="171"/>
      <c r="BK366" s="171"/>
      <c r="BL366" s="171"/>
      <c r="BM366" s="171"/>
      <c r="BN366" s="171"/>
      <c r="BO366" s="171"/>
      <c r="BP366" s="171">
        <v>1</v>
      </c>
      <c r="BQ366" s="171">
        <v>1</v>
      </c>
      <c r="BR366" s="171"/>
      <c r="BS366" s="171">
        <v>1</v>
      </c>
      <c r="BT366" s="171"/>
      <c r="BU366" s="171">
        <v>1</v>
      </c>
      <c r="BV366" s="171"/>
      <c r="BW366" s="171"/>
      <c r="BX366" s="171"/>
      <c r="BY366" s="171"/>
      <c r="BZ366" s="171">
        <v>1</v>
      </c>
      <c r="CA366" s="171"/>
      <c r="CB366" s="171">
        <v>1</v>
      </c>
      <c r="CC366" s="171">
        <v>1</v>
      </c>
      <c r="CD366" s="171"/>
      <c r="CE366" s="171">
        <v>1</v>
      </c>
      <c r="CF366" s="171"/>
      <c r="CG366" s="171">
        <v>1</v>
      </c>
      <c r="CH366" s="171">
        <v>1</v>
      </c>
      <c r="CI366" s="171"/>
      <c r="CJ366" s="171"/>
      <c r="CK366" s="171">
        <v>1</v>
      </c>
      <c r="CL366" s="171">
        <v>1</v>
      </c>
      <c r="CM366">
        <f t="shared" si="46"/>
        <v>2050</v>
      </c>
    </row>
    <row r="367" spans="1:91">
      <c r="A367" s="171">
        <v>247</v>
      </c>
      <c r="B367" s="171" t="s">
        <v>1161</v>
      </c>
      <c r="C367" s="171">
        <v>178</v>
      </c>
      <c r="D367" s="171" t="str">
        <f t="shared" si="45"/>
        <v xml:space="preserve"> NZ</v>
      </c>
      <c r="E367" s="171" t="s">
        <v>7223</v>
      </c>
      <c r="F367" s="174">
        <v>45476</v>
      </c>
      <c r="G367" s="171" t="s">
        <v>7220</v>
      </c>
      <c r="H367" s="173">
        <v>3424.8</v>
      </c>
      <c r="I367" s="171"/>
      <c r="J367" s="171" t="s">
        <v>3498</v>
      </c>
      <c r="K367" s="171" t="s">
        <v>267</v>
      </c>
      <c r="L367" s="171" t="s">
        <v>1951</v>
      </c>
      <c r="M367" s="171" t="s">
        <v>5032</v>
      </c>
      <c r="N367" s="171"/>
      <c r="O367" s="171"/>
      <c r="P367" s="171" t="s">
        <v>5032</v>
      </c>
      <c r="Q367" s="171"/>
      <c r="R367" s="171"/>
      <c r="S367" s="171"/>
      <c r="T367" s="171"/>
      <c r="U367" s="171"/>
      <c r="V367" s="175"/>
      <c r="W367" s="171"/>
      <c r="X367" s="171" t="s">
        <v>5032</v>
      </c>
      <c r="Y367" s="171"/>
      <c r="Z367" s="171"/>
      <c r="AA367" s="171" t="s">
        <v>5032</v>
      </c>
      <c r="AB367" s="171"/>
      <c r="AC367" s="171"/>
      <c r="AD367" s="171"/>
      <c r="AE367" s="171"/>
      <c r="AF367" s="171"/>
      <c r="AG367" s="171"/>
      <c r="AH367" s="171"/>
      <c r="AI367" s="171"/>
      <c r="AJ367" s="171"/>
      <c r="AK367" s="171"/>
      <c r="AL367" s="171"/>
      <c r="AM367" s="171"/>
      <c r="AN367" s="171" t="s">
        <v>7414</v>
      </c>
      <c r="AO367" s="171" t="s">
        <v>7503</v>
      </c>
      <c r="AP367" s="171" t="s">
        <v>7303</v>
      </c>
      <c r="AQ367" s="171" t="s">
        <v>7414</v>
      </c>
      <c r="AR367" s="171">
        <v>2050</v>
      </c>
      <c r="AS367" s="171">
        <v>2019</v>
      </c>
      <c r="AT367" s="171"/>
      <c r="AU367" s="171"/>
      <c r="AV367" s="171"/>
      <c r="AW367" s="171" t="s">
        <v>4174</v>
      </c>
      <c r="AX367" s="171" t="s">
        <v>7502</v>
      </c>
      <c r="AY367" s="171"/>
      <c r="AZ367" s="171"/>
      <c r="BA367" s="171"/>
      <c r="BB367" s="171"/>
      <c r="BC367" s="171" t="s">
        <v>7501</v>
      </c>
      <c r="BD367" s="171" t="s">
        <v>4174</v>
      </c>
      <c r="BE367" s="171" t="s">
        <v>7500</v>
      </c>
      <c r="BF367" s="225" t="s">
        <v>5032</v>
      </c>
      <c r="BG367" s="171"/>
      <c r="BH367" s="171"/>
      <c r="BI367" s="171" t="s">
        <v>7499</v>
      </c>
      <c r="BJ367" s="171"/>
      <c r="BK367" s="171"/>
      <c r="BL367" s="171"/>
      <c r="BM367" s="171"/>
      <c r="BN367" s="171"/>
      <c r="BO367" s="171"/>
      <c r="BP367" s="171">
        <v>1</v>
      </c>
      <c r="BQ367" s="171">
        <v>1</v>
      </c>
      <c r="BR367" s="171"/>
      <c r="BS367" s="171"/>
      <c r="BT367" s="171"/>
      <c r="BU367" s="171"/>
      <c r="BV367" s="171"/>
      <c r="BW367" s="171"/>
      <c r="BX367" s="171"/>
      <c r="BY367" s="171"/>
      <c r="BZ367" s="171">
        <v>1</v>
      </c>
      <c r="CA367" s="171"/>
      <c r="CB367" s="171">
        <v>1</v>
      </c>
      <c r="CC367" s="171">
        <v>1</v>
      </c>
      <c r="CD367" s="171"/>
      <c r="CE367" s="171">
        <v>1</v>
      </c>
      <c r="CF367" s="171"/>
      <c r="CG367" s="171"/>
      <c r="CH367" s="171">
        <v>1</v>
      </c>
      <c r="CI367" s="171"/>
      <c r="CJ367" s="171"/>
      <c r="CK367" s="171">
        <v>1</v>
      </c>
      <c r="CL367" s="171">
        <v>1</v>
      </c>
      <c r="CM367">
        <f t="shared" si="46"/>
        <v>2050</v>
      </c>
    </row>
    <row r="368" spans="1:91">
      <c r="A368" s="171">
        <v>264</v>
      </c>
      <c r="B368" s="171" t="s">
        <v>819</v>
      </c>
      <c r="C368" s="171">
        <v>254</v>
      </c>
      <c r="D368" s="171" t="str">
        <f t="shared" si="45"/>
        <v xml:space="preserve"> NZ</v>
      </c>
      <c r="E368" s="171" t="s">
        <v>7223</v>
      </c>
      <c r="F368" s="174">
        <v>45477</v>
      </c>
      <c r="G368" s="171" t="s">
        <v>7223</v>
      </c>
      <c r="H368" s="173">
        <v>10058</v>
      </c>
      <c r="I368" s="171"/>
      <c r="J368" s="171" t="s">
        <v>4494</v>
      </c>
      <c r="K368" s="171" t="s">
        <v>4195</v>
      </c>
      <c r="L368" s="171" t="s">
        <v>1951</v>
      </c>
      <c r="M368" s="171" t="s">
        <v>5032</v>
      </c>
      <c r="N368" s="171"/>
      <c r="O368" s="171"/>
      <c r="P368" s="171" t="s">
        <v>5032</v>
      </c>
      <c r="Q368" s="171"/>
      <c r="R368" s="171"/>
      <c r="S368" s="171"/>
      <c r="T368" s="171"/>
      <c r="U368" s="171"/>
      <c r="V368" s="175"/>
      <c r="W368" s="171"/>
      <c r="X368" s="171" t="s">
        <v>5032</v>
      </c>
      <c r="Y368" s="171"/>
      <c r="Z368" s="171"/>
      <c r="AA368" s="171" t="s">
        <v>5032</v>
      </c>
      <c r="AB368" s="171"/>
      <c r="AC368" s="171"/>
      <c r="AD368" s="171"/>
      <c r="AE368" s="171"/>
      <c r="AF368" s="171"/>
      <c r="AG368" s="171"/>
      <c r="AH368" s="171"/>
      <c r="AI368" s="171"/>
      <c r="AJ368" s="171"/>
      <c r="AK368" s="171"/>
      <c r="AL368" s="171"/>
      <c r="AM368" s="171"/>
      <c r="AN368" s="171" t="s">
        <v>1957</v>
      </c>
      <c r="AO368" s="171" t="s">
        <v>1659</v>
      </c>
      <c r="AP368" s="171" t="s">
        <v>7303</v>
      </c>
      <c r="AQ368" s="171" t="s">
        <v>1957</v>
      </c>
      <c r="AR368" s="171">
        <v>2050</v>
      </c>
      <c r="AS368" s="171">
        <v>2020</v>
      </c>
      <c r="AT368" s="171"/>
      <c r="AU368" s="171"/>
      <c r="AV368" s="171"/>
      <c r="AW368" s="171" t="s">
        <v>2082</v>
      </c>
      <c r="AX368" s="176" t="s">
        <v>7498</v>
      </c>
      <c r="AY368" s="171"/>
      <c r="AZ368" s="171"/>
      <c r="BA368" s="171"/>
      <c r="BB368" s="171"/>
      <c r="BC368" s="171"/>
      <c r="BD368" s="171" t="s">
        <v>4174</v>
      </c>
      <c r="BE368" s="171" t="s">
        <v>4816</v>
      </c>
      <c r="BF368" s="225"/>
      <c r="BG368" s="171"/>
      <c r="BH368" s="171"/>
      <c r="BI368" s="171"/>
      <c r="BJ368" s="171"/>
      <c r="BK368" s="171"/>
      <c r="BL368" s="171"/>
      <c r="BM368" s="171"/>
      <c r="BN368" s="171"/>
      <c r="BO368" s="171"/>
      <c r="BP368" s="171">
        <v>1</v>
      </c>
      <c r="BQ368" s="171">
        <v>1</v>
      </c>
      <c r="BR368" s="171"/>
      <c r="BS368" s="171"/>
      <c r="BT368" s="171"/>
      <c r="BU368" s="171"/>
      <c r="BV368" s="171"/>
      <c r="BW368" s="171"/>
      <c r="BX368" s="171"/>
      <c r="BY368" s="171"/>
      <c r="BZ368" s="171">
        <v>1</v>
      </c>
      <c r="CA368" s="171"/>
      <c r="CB368" s="171">
        <v>1</v>
      </c>
      <c r="CC368" s="171"/>
      <c r="CD368" s="171"/>
      <c r="CE368" s="171">
        <v>1</v>
      </c>
      <c r="CF368" s="171"/>
      <c r="CG368" s="171"/>
      <c r="CH368" s="171">
        <v>1</v>
      </c>
      <c r="CI368" s="171"/>
      <c r="CJ368" s="171"/>
      <c r="CK368" s="171"/>
      <c r="CL368" s="171"/>
      <c r="CM368">
        <f t="shared" si="46"/>
        <v>2050</v>
      </c>
    </row>
    <row r="369" spans="1:91">
      <c r="A369" s="171">
        <v>197</v>
      </c>
      <c r="B369" s="171" t="s">
        <v>1285</v>
      </c>
      <c r="C369" s="171">
        <v>184</v>
      </c>
      <c r="D369" s="171" t="str">
        <f t="shared" si="45"/>
        <v xml:space="preserve"> NZ</v>
      </c>
      <c r="E369" s="171" t="s">
        <v>7288</v>
      </c>
      <c r="F369" s="174">
        <v>45476</v>
      </c>
      <c r="G369" s="171" t="s">
        <v>7220</v>
      </c>
      <c r="H369" s="173">
        <v>12797.1</v>
      </c>
      <c r="I369" s="171"/>
      <c r="J369" s="171" t="s">
        <v>4201</v>
      </c>
      <c r="K369" s="171" t="s">
        <v>287</v>
      </c>
      <c r="L369" s="171" t="s">
        <v>1951</v>
      </c>
      <c r="M369" s="171" t="s">
        <v>5032</v>
      </c>
      <c r="N369" s="171"/>
      <c r="O369" s="171"/>
      <c r="P369" s="171" t="s">
        <v>5032</v>
      </c>
      <c r="Q369" s="171"/>
      <c r="R369" s="171"/>
      <c r="S369" s="171"/>
      <c r="T369" s="171"/>
      <c r="U369" s="171"/>
      <c r="V369" s="175"/>
      <c r="W369" s="171"/>
      <c r="X369" s="171" t="s">
        <v>5032</v>
      </c>
      <c r="Y369" s="171"/>
      <c r="Z369" s="171"/>
      <c r="AA369" s="171" t="s">
        <v>5032</v>
      </c>
      <c r="AB369" s="171"/>
      <c r="AC369" s="171"/>
      <c r="AD369" s="171"/>
      <c r="AE369" s="171"/>
      <c r="AF369" s="171"/>
      <c r="AG369" s="171"/>
      <c r="AH369" s="171"/>
      <c r="AI369" s="171"/>
      <c r="AJ369" s="171"/>
      <c r="AK369" s="171"/>
      <c r="AL369" s="171"/>
      <c r="AM369" s="171"/>
      <c r="AN369" s="171" t="s">
        <v>1957</v>
      </c>
      <c r="AO369" s="171" t="s">
        <v>7497</v>
      </c>
      <c r="AP369" s="171" t="s">
        <v>7496</v>
      </c>
      <c r="AQ369" s="171" t="s">
        <v>1957</v>
      </c>
      <c r="AR369" s="171">
        <v>2050</v>
      </c>
      <c r="AS369" s="171">
        <v>2022</v>
      </c>
      <c r="AT369" s="171"/>
      <c r="AU369" s="171"/>
      <c r="AV369" s="171"/>
      <c r="AW369" s="171" t="s">
        <v>5032</v>
      </c>
      <c r="AX369" s="171" t="s">
        <v>7495</v>
      </c>
      <c r="AY369" s="171">
        <v>2023</v>
      </c>
      <c r="AZ369" s="171" t="s">
        <v>4174</v>
      </c>
      <c r="BA369" s="171" t="s">
        <v>7494</v>
      </c>
      <c r="BB369" s="171"/>
      <c r="BC369" s="171" t="s">
        <v>7493</v>
      </c>
      <c r="BD369" s="171" t="s">
        <v>4172</v>
      </c>
      <c r="BE369" s="171" t="s">
        <v>7492</v>
      </c>
      <c r="BF369" s="225"/>
      <c r="BG369" s="171"/>
      <c r="BH369" s="171"/>
      <c r="BI369" s="171"/>
      <c r="BJ369" s="171"/>
      <c r="BK369" s="171"/>
      <c r="BL369" s="171"/>
      <c r="BM369" s="171"/>
      <c r="BN369" s="171"/>
      <c r="BO369" s="171"/>
      <c r="BP369" s="171">
        <v>1</v>
      </c>
      <c r="BQ369" s="171">
        <v>1</v>
      </c>
      <c r="BR369" s="171"/>
      <c r="BS369" s="171"/>
      <c r="BT369" s="171"/>
      <c r="BU369" s="171"/>
      <c r="BV369" s="171"/>
      <c r="BW369" s="171"/>
      <c r="BX369" s="171"/>
      <c r="BY369" s="171"/>
      <c r="BZ369" s="171">
        <v>1</v>
      </c>
      <c r="CA369" s="171"/>
      <c r="CB369" s="171">
        <v>1</v>
      </c>
      <c r="CC369" s="171"/>
      <c r="CD369" s="171">
        <v>1</v>
      </c>
      <c r="CE369" s="171">
        <v>1</v>
      </c>
      <c r="CF369" s="171"/>
      <c r="CG369" s="171"/>
      <c r="CH369" s="171">
        <v>1</v>
      </c>
      <c r="CI369" s="171"/>
      <c r="CJ369" s="171"/>
      <c r="CK369" s="171"/>
      <c r="CL369" s="171"/>
      <c r="CM369">
        <f t="shared" si="46"/>
        <v>2050</v>
      </c>
    </row>
    <row r="370" spans="1:91">
      <c r="A370" s="171">
        <v>89</v>
      </c>
      <c r="B370" s="171" t="s">
        <v>1595</v>
      </c>
      <c r="C370" s="171"/>
      <c r="D370" s="171" t="str">
        <f t="shared" si="45"/>
        <v>CN</v>
      </c>
      <c r="E370" s="171" t="s">
        <v>7259</v>
      </c>
      <c r="F370" s="174">
        <v>45511</v>
      </c>
      <c r="G370" s="171"/>
      <c r="H370" s="173">
        <v>14870.4</v>
      </c>
      <c r="I370" s="171"/>
      <c r="J370" s="171" t="s">
        <v>3498</v>
      </c>
      <c r="K370" s="171" t="s">
        <v>972</v>
      </c>
      <c r="L370" s="171" t="s">
        <v>1951</v>
      </c>
      <c r="M370" s="171" t="s">
        <v>5032</v>
      </c>
      <c r="N370" s="171"/>
      <c r="O370" s="171"/>
      <c r="P370" s="171" t="s">
        <v>5032</v>
      </c>
      <c r="Q370" s="171"/>
      <c r="R370" s="171"/>
      <c r="S370" s="171"/>
      <c r="T370" s="171"/>
      <c r="U370" s="171"/>
      <c r="V370" s="175"/>
      <c r="W370" s="171"/>
      <c r="X370" s="171" t="s">
        <v>1957</v>
      </c>
      <c r="Y370" s="171" t="s">
        <v>1659</v>
      </c>
      <c r="Z370" s="171" t="s">
        <v>7491</v>
      </c>
      <c r="AA370" s="171" t="s">
        <v>1957</v>
      </c>
      <c r="AB370" s="171">
        <v>2050</v>
      </c>
      <c r="AC370" s="171">
        <v>2021</v>
      </c>
      <c r="AD370" s="171"/>
      <c r="AE370" s="171"/>
      <c r="AF370" s="171"/>
      <c r="AG370" s="171" t="s">
        <v>4174</v>
      </c>
      <c r="AH370" s="171"/>
      <c r="AI370" s="171" t="s">
        <v>4174</v>
      </c>
      <c r="AJ370" s="171"/>
      <c r="AK370" s="171"/>
      <c r="AL370" s="171" t="s">
        <v>7490</v>
      </c>
      <c r="AM370" s="171"/>
      <c r="AN370" s="171" t="s">
        <v>5032</v>
      </c>
      <c r="AO370" s="171"/>
      <c r="AP370" s="171"/>
      <c r="AQ370" s="171" t="s">
        <v>5032</v>
      </c>
      <c r="AR370" s="171"/>
      <c r="AS370" s="171"/>
      <c r="AT370" s="171"/>
      <c r="AU370" s="171"/>
      <c r="AV370" s="171"/>
      <c r="AW370" s="171"/>
      <c r="AX370" s="171"/>
      <c r="AY370" s="171"/>
      <c r="AZ370" s="171"/>
      <c r="BA370" s="171"/>
      <c r="BB370" s="171"/>
      <c r="BC370" s="171"/>
      <c r="BD370" s="171"/>
      <c r="BE370" s="171"/>
      <c r="BF370" s="225"/>
      <c r="BG370" s="171"/>
      <c r="BH370" s="171"/>
      <c r="BI370" s="171"/>
      <c r="BJ370" s="171"/>
      <c r="BK370" s="171"/>
      <c r="BL370" s="171">
        <v>1</v>
      </c>
      <c r="BM370" s="171">
        <v>1</v>
      </c>
      <c r="BN370" s="171"/>
      <c r="BO370" s="171"/>
      <c r="BP370" s="171"/>
      <c r="BQ370" s="171"/>
      <c r="BR370" s="171"/>
      <c r="BS370" s="171"/>
      <c r="BT370" s="171"/>
      <c r="BU370" s="171"/>
      <c r="BV370" s="171"/>
      <c r="BW370" s="171"/>
      <c r="BX370" s="171"/>
      <c r="BY370" s="171"/>
      <c r="BZ370" s="171">
        <v>1</v>
      </c>
      <c r="CA370" s="171"/>
      <c r="CB370" s="171">
        <v>1</v>
      </c>
      <c r="CC370" s="171">
        <v>1</v>
      </c>
      <c r="CD370" s="171"/>
      <c r="CE370" s="171">
        <v>1</v>
      </c>
      <c r="CF370" s="171"/>
      <c r="CG370" s="171"/>
      <c r="CH370" s="171">
        <v>1</v>
      </c>
      <c r="CI370" s="171"/>
      <c r="CJ370" s="171"/>
      <c r="CK370" s="171"/>
      <c r="CL370" s="171"/>
    </row>
    <row r="371" spans="1:91">
      <c r="A371" s="171">
        <v>114</v>
      </c>
      <c r="B371" s="171" t="s">
        <v>1414</v>
      </c>
      <c r="C371" s="171">
        <v>121</v>
      </c>
      <c r="D371" s="171" t="str">
        <f t="shared" si="45"/>
        <v xml:space="preserve"> NZ SBT</v>
      </c>
      <c r="E371" s="171" t="s">
        <v>7228</v>
      </c>
      <c r="F371" s="174">
        <v>45476</v>
      </c>
      <c r="G371" s="171" t="s">
        <v>7223</v>
      </c>
      <c r="H371" s="173">
        <v>2025.9</v>
      </c>
      <c r="I371" s="171"/>
      <c r="J371" s="171" t="s">
        <v>4467</v>
      </c>
      <c r="K371" s="171" t="s">
        <v>96</v>
      </c>
      <c r="L371" s="171" t="s">
        <v>1951</v>
      </c>
      <c r="M371" s="171" t="s">
        <v>5032</v>
      </c>
      <c r="N371" s="171"/>
      <c r="O371" s="171"/>
      <c r="P371" s="171" t="s">
        <v>4174</v>
      </c>
      <c r="Q371" s="171" t="s">
        <v>22</v>
      </c>
      <c r="R371" s="171" t="s">
        <v>7233</v>
      </c>
      <c r="S371" s="171">
        <v>2030</v>
      </c>
      <c r="T371" s="171" t="s">
        <v>361</v>
      </c>
      <c r="U371" s="171"/>
      <c r="V371" s="172">
        <v>44044</v>
      </c>
      <c r="W371" s="171">
        <v>2020</v>
      </c>
      <c r="X371" s="171" t="s">
        <v>5032</v>
      </c>
      <c r="Y371" s="171"/>
      <c r="Z371" s="171"/>
      <c r="AA371" s="171" t="s">
        <v>5032</v>
      </c>
      <c r="AB371" s="171"/>
      <c r="AC371" s="171"/>
      <c r="AD371" s="171"/>
      <c r="AE371" s="171"/>
      <c r="AF371" s="171"/>
      <c r="AG371" s="171"/>
      <c r="AH371" s="171"/>
      <c r="AI371" s="171"/>
      <c r="AJ371" s="171"/>
      <c r="AK371" s="171"/>
      <c r="AL371" s="171"/>
      <c r="AM371" s="171"/>
      <c r="AN371" s="171" t="s">
        <v>7227</v>
      </c>
      <c r="AO371" s="171" t="s">
        <v>7489</v>
      </c>
      <c r="AP371" s="171" t="s">
        <v>7360</v>
      </c>
      <c r="AQ371" s="171" t="s">
        <v>1957</v>
      </c>
      <c r="AR371" s="171">
        <v>2040</v>
      </c>
      <c r="AS371" s="171">
        <v>2021</v>
      </c>
      <c r="AT371" s="171" t="s">
        <v>4172</v>
      </c>
      <c r="AU371" s="171">
        <v>2050</v>
      </c>
      <c r="AV371" s="171">
        <v>2021</v>
      </c>
      <c r="AW371" s="171" t="s">
        <v>2082</v>
      </c>
      <c r="AX371" s="171" t="s">
        <v>7488</v>
      </c>
      <c r="AY371" s="171"/>
      <c r="AZ371" s="171"/>
      <c r="BA371" s="171"/>
      <c r="BB371" s="171"/>
      <c r="BC371" s="171" t="s">
        <v>7487</v>
      </c>
      <c r="BD371" s="171"/>
      <c r="BE371" s="171"/>
      <c r="BF371" s="225"/>
      <c r="BG371" s="171"/>
      <c r="BH371" s="171"/>
      <c r="BI371" s="171"/>
      <c r="BJ371" s="171"/>
      <c r="BK371" s="171"/>
      <c r="BL371" s="171"/>
      <c r="BM371" s="171"/>
      <c r="BN371" s="171"/>
      <c r="BO371" s="171"/>
      <c r="BP371" s="171">
        <v>1</v>
      </c>
      <c r="BQ371" s="171">
        <v>1</v>
      </c>
      <c r="BR371" s="171"/>
      <c r="BS371" s="171">
        <v>1</v>
      </c>
      <c r="BT371" s="171"/>
      <c r="BU371" s="171">
        <v>1</v>
      </c>
      <c r="BV371" s="171"/>
      <c r="BW371" s="171"/>
      <c r="BX371" s="171"/>
      <c r="BY371" s="171"/>
      <c r="BZ371" s="171">
        <v>1</v>
      </c>
      <c r="CA371" s="171"/>
      <c r="CB371" s="171">
        <v>1</v>
      </c>
      <c r="CC371" s="171"/>
      <c r="CD371" s="171"/>
      <c r="CE371" s="171">
        <v>1</v>
      </c>
      <c r="CF371" s="171"/>
      <c r="CG371" s="171">
        <v>1</v>
      </c>
      <c r="CH371" s="171">
        <v>1</v>
      </c>
      <c r="CI371" s="171"/>
      <c r="CJ371" s="171"/>
      <c r="CK371" s="171">
        <v>1</v>
      </c>
      <c r="CL371" s="171">
        <v>1</v>
      </c>
      <c r="CM371">
        <f t="shared" si="46"/>
        <v>2040</v>
      </c>
    </row>
    <row r="372" spans="1:91">
      <c r="A372" s="171">
        <v>137</v>
      </c>
      <c r="B372" s="171" t="s">
        <v>969</v>
      </c>
      <c r="C372" s="171">
        <v>270</v>
      </c>
      <c r="D372" s="171" t="str">
        <f t="shared" si="45"/>
        <v>CN NZ</v>
      </c>
      <c r="E372" s="171" t="s">
        <v>7228</v>
      </c>
      <c r="F372" s="174">
        <v>45477</v>
      </c>
      <c r="G372" s="171" t="s">
        <v>7223</v>
      </c>
      <c r="H372" s="173">
        <v>11019</v>
      </c>
      <c r="I372" s="171"/>
      <c r="J372" s="171" t="s">
        <v>4465</v>
      </c>
      <c r="K372" s="171" t="s">
        <v>78</v>
      </c>
      <c r="L372" s="171" t="s">
        <v>2029</v>
      </c>
      <c r="M372" s="171" t="s">
        <v>5032</v>
      </c>
      <c r="N372" s="171"/>
      <c r="O372" s="171"/>
      <c r="P372" s="171" t="s">
        <v>5032</v>
      </c>
      <c r="Q372" s="171"/>
      <c r="R372" s="171"/>
      <c r="S372" s="171"/>
      <c r="T372" s="171"/>
      <c r="U372" s="171"/>
      <c r="V372" s="175"/>
      <c r="W372" s="171"/>
      <c r="X372" s="171" t="s">
        <v>1957</v>
      </c>
      <c r="Y372" s="171" t="s">
        <v>1659</v>
      </c>
      <c r="Z372" s="171" t="s">
        <v>3283</v>
      </c>
      <c r="AA372" s="171" t="s">
        <v>1957</v>
      </c>
      <c r="AB372" s="171">
        <v>2017</v>
      </c>
      <c r="AC372" s="171">
        <v>2017</v>
      </c>
      <c r="AD372" s="171"/>
      <c r="AE372" s="171"/>
      <c r="AF372" s="171"/>
      <c r="AG372" s="171" t="s">
        <v>4174</v>
      </c>
      <c r="AH372" s="171">
        <v>2022</v>
      </c>
      <c r="AI372" s="171" t="s">
        <v>4174</v>
      </c>
      <c r="AJ372" s="171" t="s">
        <v>6023</v>
      </c>
      <c r="AK372" s="171"/>
      <c r="AL372" s="176" t="s">
        <v>6023</v>
      </c>
      <c r="AM372" s="171"/>
      <c r="AN372" s="171" t="s">
        <v>5050</v>
      </c>
      <c r="AO372" s="171" t="s">
        <v>6025</v>
      </c>
      <c r="AP372" s="171" t="s">
        <v>7360</v>
      </c>
      <c r="AQ372" s="171" t="s">
        <v>5050</v>
      </c>
      <c r="AR372" s="171">
        <v>2050</v>
      </c>
      <c r="AS372" s="171">
        <v>2021</v>
      </c>
      <c r="AT372" s="171"/>
      <c r="AU372" s="171"/>
      <c r="AV372" s="171"/>
      <c r="AW372" s="171" t="s">
        <v>4174</v>
      </c>
      <c r="AX372" s="171" t="s">
        <v>7486</v>
      </c>
      <c r="AY372" s="171"/>
      <c r="AZ372" s="171"/>
      <c r="BA372" s="171"/>
      <c r="BB372" s="171"/>
      <c r="BC372" s="171"/>
      <c r="BD372" s="171"/>
      <c r="BE372" s="171"/>
      <c r="BF372" s="225"/>
      <c r="BG372" s="171"/>
      <c r="BH372" s="171"/>
      <c r="BI372" s="171"/>
      <c r="BJ372" s="171">
        <v>1</v>
      </c>
      <c r="BK372" s="171"/>
      <c r="BL372" s="171"/>
      <c r="BM372" s="171">
        <v>1</v>
      </c>
      <c r="BN372" s="171"/>
      <c r="BO372" s="171"/>
      <c r="BP372" s="171">
        <v>1</v>
      </c>
      <c r="BQ372" s="171">
        <v>1</v>
      </c>
      <c r="BR372" s="171"/>
      <c r="BS372" s="171"/>
      <c r="BT372" s="171"/>
      <c r="BU372" s="171"/>
      <c r="BV372" s="171"/>
      <c r="BW372" s="171"/>
      <c r="BX372" s="171"/>
      <c r="BY372" s="171"/>
      <c r="BZ372" s="171">
        <v>1</v>
      </c>
      <c r="CA372" s="171">
        <v>1</v>
      </c>
      <c r="CB372" s="171">
        <v>1</v>
      </c>
      <c r="CC372" s="171">
        <v>1</v>
      </c>
      <c r="CD372" s="171"/>
      <c r="CE372" s="171">
        <v>1</v>
      </c>
      <c r="CF372" s="171">
        <v>1</v>
      </c>
      <c r="CG372" s="171">
        <v>1</v>
      </c>
      <c r="CH372" s="171">
        <v>1</v>
      </c>
      <c r="CI372" s="171"/>
      <c r="CJ372" s="171"/>
      <c r="CK372" s="171">
        <v>1</v>
      </c>
      <c r="CL372" s="171">
        <v>1</v>
      </c>
      <c r="CM372">
        <f t="shared" si="46"/>
        <v>2050</v>
      </c>
    </row>
    <row r="373" spans="1:91">
      <c r="A373" s="171">
        <v>188</v>
      </c>
      <c r="B373" s="171" t="s">
        <v>6344</v>
      </c>
      <c r="C373" s="171">
        <v>195</v>
      </c>
      <c r="D373" s="171" t="str">
        <f t="shared" si="45"/>
        <v xml:space="preserve"> NZ</v>
      </c>
      <c r="E373" s="171" t="s">
        <v>7228</v>
      </c>
      <c r="F373" s="174">
        <v>45477</v>
      </c>
      <c r="G373" s="171" t="s">
        <v>7220</v>
      </c>
      <c r="H373" s="173">
        <v>3195</v>
      </c>
      <c r="I373" s="171"/>
      <c r="J373" s="171" t="s">
        <v>1333</v>
      </c>
      <c r="K373" s="171" t="s">
        <v>4457</v>
      </c>
      <c r="L373" s="171" t="s">
        <v>2029</v>
      </c>
      <c r="M373" s="171" t="s">
        <v>5032</v>
      </c>
      <c r="N373" s="171"/>
      <c r="O373" s="171"/>
      <c r="P373" s="171" t="s">
        <v>5032</v>
      </c>
      <c r="Q373" s="171"/>
      <c r="R373" s="171"/>
      <c r="S373" s="171"/>
      <c r="T373" s="171"/>
      <c r="U373" s="171"/>
      <c r="V373" s="175"/>
      <c r="W373" s="171"/>
      <c r="X373" s="171" t="s">
        <v>5032</v>
      </c>
      <c r="Y373" s="171"/>
      <c r="Z373" s="171"/>
      <c r="AA373" s="171" t="s">
        <v>5032</v>
      </c>
      <c r="AB373" s="171"/>
      <c r="AC373" s="171"/>
      <c r="AD373" s="171"/>
      <c r="AE373" s="171"/>
      <c r="AF373" s="171"/>
      <c r="AG373" s="171"/>
      <c r="AH373" s="171"/>
      <c r="AI373" s="171"/>
      <c r="AJ373" s="171"/>
      <c r="AK373" s="171"/>
      <c r="AL373" s="171"/>
      <c r="AM373" s="171"/>
      <c r="AN373" s="171" t="s">
        <v>1957</v>
      </c>
      <c r="AO373" s="171" t="s">
        <v>7485</v>
      </c>
      <c r="AP373" s="171" t="s">
        <v>7475</v>
      </c>
      <c r="AQ373" s="171" t="s">
        <v>1957</v>
      </c>
      <c r="AR373" s="171">
        <v>2050</v>
      </c>
      <c r="AS373" s="171">
        <v>2021</v>
      </c>
      <c r="AT373" s="171"/>
      <c r="AU373" s="171"/>
      <c r="AV373" s="171"/>
      <c r="AW373" s="171" t="s">
        <v>4174</v>
      </c>
      <c r="AX373" s="171" t="s">
        <v>7484</v>
      </c>
      <c r="AY373" s="171">
        <v>2023</v>
      </c>
      <c r="AZ373" s="171" t="s">
        <v>4174</v>
      </c>
      <c r="BA373" s="171" t="s">
        <v>7484</v>
      </c>
      <c r="BB373" s="171"/>
      <c r="BC373" s="171"/>
      <c r="BD373" s="171" t="s">
        <v>4172</v>
      </c>
      <c r="BE373" s="171" t="s">
        <v>7484</v>
      </c>
      <c r="BF373" s="225" t="s">
        <v>4174</v>
      </c>
      <c r="BG373" s="171" t="s">
        <v>7484</v>
      </c>
      <c r="BH373" s="171"/>
      <c r="BI373" s="171"/>
      <c r="BJ373" s="171"/>
      <c r="BK373" s="171"/>
      <c r="BL373" s="171"/>
      <c r="BM373" s="171"/>
      <c r="BN373" s="171"/>
      <c r="BO373" s="171"/>
      <c r="BP373" s="171">
        <v>1</v>
      </c>
      <c r="BQ373" s="171">
        <v>1</v>
      </c>
      <c r="BR373" s="171"/>
      <c r="BS373" s="171"/>
      <c r="BT373" s="171"/>
      <c r="BU373" s="171"/>
      <c r="BV373" s="171"/>
      <c r="BW373" s="171"/>
      <c r="BX373" s="171"/>
      <c r="BY373" s="171"/>
      <c r="BZ373" s="171">
        <v>1</v>
      </c>
      <c r="CA373" s="171"/>
      <c r="CB373" s="171">
        <v>1</v>
      </c>
      <c r="CC373" s="171">
        <v>1</v>
      </c>
      <c r="CD373" s="171"/>
      <c r="CE373" s="171">
        <v>1</v>
      </c>
      <c r="CF373" s="171"/>
      <c r="CG373" s="171"/>
      <c r="CH373" s="171">
        <v>1</v>
      </c>
      <c r="CI373" s="171"/>
      <c r="CJ373" s="171"/>
      <c r="CK373" s="171"/>
      <c r="CL373" s="171"/>
      <c r="CM373">
        <f t="shared" si="46"/>
        <v>2050</v>
      </c>
    </row>
    <row r="374" spans="1:91">
      <c r="A374" s="171">
        <v>415</v>
      </c>
      <c r="B374" s="171" t="s">
        <v>4535</v>
      </c>
      <c r="C374" s="171">
        <v>377</v>
      </c>
      <c r="D374" s="171" t="str">
        <f t="shared" si="45"/>
        <v xml:space="preserve"> SBT</v>
      </c>
      <c r="E374" s="171" t="s">
        <v>7220</v>
      </c>
      <c r="F374" s="174">
        <v>45481</v>
      </c>
      <c r="G374" s="171" t="s">
        <v>7220</v>
      </c>
      <c r="H374" s="173">
        <v>1163.2</v>
      </c>
      <c r="I374" s="171"/>
      <c r="J374" s="171" t="s">
        <v>4179</v>
      </c>
      <c r="K374" s="171" t="s">
        <v>73</v>
      </c>
      <c r="L374" s="171" t="s">
        <v>1994</v>
      </c>
      <c r="M374" s="171" t="s">
        <v>5032</v>
      </c>
      <c r="N374" s="171"/>
      <c r="O374" s="171"/>
      <c r="P374" s="171" t="s">
        <v>5032</v>
      </c>
      <c r="Q374" s="171" t="s">
        <v>165</v>
      </c>
      <c r="R374" s="171"/>
      <c r="S374" s="171">
        <v>2030</v>
      </c>
      <c r="T374" s="171" t="s">
        <v>361</v>
      </c>
      <c r="U374" s="171"/>
      <c r="V374" s="172">
        <v>45231</v>
      </c>
      <c r="W374" s="171">
        <v>2023</v>
      </c>
      <c r="X374" s="171" t="s">
        <v>4519</v>
      </c>
      <c r="Y374" s="171" t="s">
        <v>5131</v>
      </c>
      <c r="Z374" s="171" t="s">
        <v>3283</v>
      </c>
      <c r="AA374" s="171" t="s">
        <v>4519</v>
      </c>
      <c r="AB374" s="171">
        <v>2060</v>
      </c>
      <c r="AC374" s="171">
        <v>2021</v>
      </c>
      <c r="AD374" s="171"/>
      <c r="AE374" s="171"/>
      <c r="AF374" s="171"/>
      <c r="AG374" s="171"/>
      <c r="AH374" s="171"/>
      <c r="AI374" s="171"/>
      <c r="AJ374" s="171"/>
      <c r="AK374" s="171"/>
      <c r="AL374" s="171" t="s">
        <v>5544</v>
      </c>
      <c r="AM374" s="171"/>
      <c r="AN374" s="171" t="s">
        <v>5032</v>
      </c>
      <c r="AO374" s="171"/>
      <c r="AP374" s="171"/>
      <c r="AQ374" s="171" t="s">
        <v>5032</v>
      </c>
      <c r="AR374" s="171"/>
      <c r="AS374" s="171"/>
      <c r="AT374" s="171"/>
      <c r="AU374" s="171"/>
      <c r="AV374" s="171"/>
      <c r="AW374" s="171"/>
      <c r="AX374" s="171"/>
      <c r="AY374" s="171"/>
      <c r="AZ374" s="171"/>
      <c r="BA374" s="171"/>
      <c r="BB374" s="171"/>
      <c r="BC374" s="171"/>
      <c r="BD374" s="171"/>
      <c r="BE374" s="171"/>
      <c r="BF374" s="225"/>
      <c r="BG374" s="171"/>
      <c r="BH374" s="171"/>
      <c r="BI374" s="171"/>
      <c r="BJ374" s="171"/>
      <c r="BK374" s="171"/>
      <c r="BL374" s="171"/>
      <c r="BM374" s="171"/>
      <c r="BN374" s="171"/>
      <c r="BO374" s="171"/>
      <c r="BP374" s="171"/>
      <c r="BQ374" s="171"/>
      <c r="BR374" s="171"/>
      <c r="BS374" s="171">
        <v>1</v>
      </c>
      <c r="BT374" s="171"/>
      <c r="BU374" s="171">
        <v>1</v>
      </c>
      <c r="BV374" s="171"/>
      <c r="BW374" s="171"/>
      <c r="BX374" s="171"/>
      <c r="BY374" s="171"/>
      <c r="BZ374" s="171"/>
      <c r="CA374" s="171"/>
      <c r="CB374" s="171"/>
      <c r="CC374" s="171"/>
      <c r="CD374" s="171"/>
      <c r="CE374" s="171">
        <v>1</v>
      </c>
      <c r="CF374" s="171"/>
      <c r="CG374" s="171">
        <v>1</v>
      </c>
      <c r="CH374" s="171">
        <v>1</v>
      </c>
      <c r="CI374" s="171"/>
      <c r="CJ374" s="171"/>
      <c r="CK374" s="171"/>
      <c r="CL374" s="171"/>
    </row>
    <row r="375" spans="1:91">
      <c r="A375" s="171">
        <v>93</v>
      </c>
      <c r="B375" s="171" t="s">
        <v>1754</v>
      </c>
      <c r="C375" s="171">
        <v>84</v>
      </c>
      <c r="D375" s="171" t="str">
        <f t="shared" si="45"/>
        <v/>
      </c>
      <c r="E375" s="171" t="s">
        <v>7220</v>
      </c>
      <c r="F375" s="174">
        <v>45475</v>
      </c>
      <c r="G375" s="171" t="s">
        <v>7220</v>
      </c>
      <c r="H375" s="173">
        <v>1992.6</v>
      </c>
      <c r="I375" s="171"/>
      <c r="J375" s="171" t="s">
        <v>4476</v>
      </c>
      <c r="K375" s="171" t="s">
        <v>73</v>
      </c>
      <c r="L375" s="171" t="s">
        <v>1994</v>
      </c>
      <c r="M375" s="171" t="s">
        <v>5032</v>
      </c>
      <c r="N375" s="171"/>
      <c r="O375" s="171"/>
      <c r="P375" s="171" t="s">
        <v>5032</v>
      </c>
      <c r="Q375" s="171"/>
      <c r="R375" s="171"/>
      <c r="S375" s="171"/>
      <c r="T375" s="171"/>
      <c r="U375" s="171"/>
      <c r="V375" s="175"/>
      <c r="W375" s="171"/>
      <c r="X375" s="171" t="s">
        <v>4519</v>
      </c>
      <c r="Y375" s="171" t="s">
        <v>5131</v>
      </c>
      <c r="Z375" s="171" t="s">
        <v>7238</v>
      </c>
      <c r="AA375" s="171" t="s">
        <v>4519</v>
      </c>
      <c r="AB375" s="171">
        <v>2060</v>
      </c>
      <c r="AC375" s="171">
        <v>2021</v>
      </c>
      <c r="AD375" s="171"/>
      <c r="AE375" s="171"/>
      <c r="AF375" s="171"/>
      <c r="AG375" s="171"/>
      <c r="AH375" s="171"/>
      <c r="AI375" s="171"/>
      <c r="AJ375" s="171"/>
      <c r="AK375" s="171"/>
      <c r="AL375" s="171" t="s">
        <v>7483</v>
      </c>
      <c r="AM375" s="171" t="s">
        <v>7482</v>
      </c>
      <c r="AN375" s="171" t="s">
        <v>5032</v>
      </c>
      <c r="AO375" s="171"/>
      <c r="AP375" s="171"/>
      <c r="AQ375" s="171" t="s">
        <v>5032</v>
      </c>
      <c r="AR375" s="171"/>
      <c r="AS375" s="171"/>
      <c r="AT375" s="171"/>
      <c r="AU375" s="171"/>
      <c r="AV375" s="171"/>
      <c r="AW375" s="171"/>
      <c r="AX375" s="171"/>
      <c r="AY375" s="171"/>
      <c r="AZ375" s="171"/>
      <c r="BA375" s="171"/>
      <c r="BB375" s="171"/>
      <c r="BC375" s="171"/>
      <c r="BD375" s="171"/>
      <c r="BE375" s="171"/>
      <c r="BF375" s="225"/>
      <c r="BG375" s="171"/>
      <c r="BH375" s="171"/>
      <c r="BI375" s="171"/>
      <c r="BJ375" s="171"/>
      <c r="BK375" s="171"/>
      <c r="BL375" s="171"/>
      <c r="BM375" s="171"/>
      <c r="BN375" s="171"/>
      <c r="BO375" s="171"/>
      <c r="BP375" s="171"/>
      <c r="BQ375" s="171"/>
      <c r="BR375" s="171"/>
      <c r="BS375" s="171"/>
      <c r="BT375" s="171"/>
      <c r="BU375" s="171"/>
      <c r="BV375" s="171"/>
      <c r="BW375" s="171"/>
      <c r="BX375" s="171"/>
      <c r="BY375" s="171"/>
      <c r="BZ375" s="171"/>
      <c r="CA375" s="171"/>
      <c r="CB375" s="171"/>
      <c r="CC375" s="171"/>
      <c r="CD375" s="171"/>
      <c r="CE375" s="171"/>
      <c r="CF375" s="171"/>
      <c r="CG375" s="171"/>
      <c r="CH375" s="171"/>
      <c r="CI375" s="171"/>
      <c r="CJ375" s="171"/>
      <c r="CK375" s="171"/>
      <c r="CL375" s="171"/>
    </row>
    <row r="376" spans="1:91">
      <c r="A376" s="171">
        <v>284</v>
      </c>
      <c r="B376" s="171" t="s">
        <v>1074</v>
      </c>
      <c r="C376" s="171">
        <v>263</v>
      </c>
      <c r="D376" s="171" t="str">
        <f t="shared" si="45"/>
        <v>CN NZ SBT</v>
      </c>
      <c r="E376" s="171" t="s">
        <v>7223</v>
      </c>
      <c r="F376" s="174">
        <v>45477</v>
      </c>
      <c r="G376" s="171" t="s">
        <v>7223</v>
      </c>
      <c r="H376" s="173">
        <v>2917.8</v>
      </c>
      <c r="I376" s="171"/>
      <c r="J376" s="171" t="s">
        <v>4459</v>
      </c>
      <c r="K376" s="171" t="s">
        <v>63</v>
      </c>
      <c r="L376" s="171" t="s">
        <v>1951</v>
      </c>
      <c r="M376" s="171" t="s">
        <v>5032</v>
      </c>
      <c r="N376" s="171"/>
      <c r="O376" s="171"/>
      <c r="P376" s="171" t="s">
        <v>4174</v>
      </c>
      <c r="Q376" s="171" t="s">
        <v>22</v>
      </c>
      <c r="R376" s="171" t="s">
        <v>7233</v>
      </c>
      <c r="S376" s="171">
        <v>2030</v>
      </c>
      <c r="T376" s="171" t="s">
        <v>361</v>
      </c>
      <c r="U376" s="171">
        <v>2050</v>
      </c>
      <c r="V376" s="172">
        <v>44805</v>
      </c>
      <c r="W376" s="171">
        <v>2022</v>
      </c>
      <c r="X376" s="171" t="s">
        <v>4172</v>
      </c>
      <c r="Y376" s="171" t="s">
        <v>4259</v>
      </c>
      <c r="Z376" s="171" t="s">
        <v>7225</v>
      </c>
      <c r="AA376" s="171" t="s">
        <v>4172</v>
      </c>
      <c r="AB376" s="171">
        <v>2050</v>
      </c>
      <c r="AC376" s="171">
        <v>2019</v>
      </c>
      <c r="AD376" s="171"/>
      <c r="AE376" s="171"/>
      <c r="AF376" s="171"/>
      <c r="AG376" s="171" t="s">
        <v>2082</v>
      </c>
      <c r="AH376" s="171"/>
      <c r="AI376" s="171" t="s">
        <v>4174</v>
      </c>
      <c r="AJ376" s="171"/>
      <c r="AK376" s="171"/>
      <c r="AL376" s="171" t="s">
        <v>6052</v>
      </c>
      <c r="AM376" s="171" t="s">
        <v>7481</v>
      </c>
      <c r="AN376" s="171" t="s">
        <v>4172</v>
      </c>
      <c r="AO376" s="171" t="s">
        <v>7370</v>
      </c>
      <c r="AP376" s="171" t="s">
        <v>2072</v>
      </c>
      <c r="AQ376" s="171" t="s">
        <v>4172</v>
      </c>
      <c r="AR376" s="171">
        <v>2050</v>
      </c>
      <c r="AS376" s="171">
        <v>2022</v>
      </c>
      <c r="AT376" s="171"/>
      <c r="AU376" s="171"/>
      <c r="AV376" s="171"/>
      <c r="AW376" s="171" t="s">
        <v>2082</v>
      </c>
      <c r="AX376" s="171" t="s">
        <v>6052</v>
      </c>
      <c r="AY376" s="171"/>
      <c r="AZ376" s="171"/>
      <c r="BA376" s="171"/>
      <c r="BB376" s="171"/>
      <c r="BC376" s="171"/>
      <c r="BD376" s="171"/>
      <c r="BE376" s="171"/>
      <c r="BF376" s="225"/>
      <c r="BG376" s="171"/>
      <c r="BH376" s="171"/>
      <c r="BI376" s="171"/>
      <c r="BJ376" s="171"/>
      <c r="BK376" s="171"/>
      <c r="BL376" s="171">
        <v>1</v>
      </c>
      <c r="BM376" s="171">
        <v>1</v>
      </c>
      <c r="BN376" s="171"/>
      <c r="BO376" s="171"/>
      <c r="BP376" s="171">
        <v>1</v>
      </c>
      <c r="BQ376" s="171">
        <v>1</v>
      </c>
      <c r="BR376" s="171"/>
      <c r="BS376" s="171">
        <v>1</v>
      </c>
      <c r="BT376" s="171"/>
      <c r="BU376" s="171">
        <v>1</v>
      </c>
      <c r="BV376" s="171"/>
      <c r="BW376" s="171"/>
      <c r="BX376" s="171"/>
      <c r="BY376" s="171"/>
      <c r="BZ376" s="171">
        <v>1</v>
      </c>
      <c r="CA376" s="171"/>
      <c r="CB376" s="171">
        <v>1</v>
      </c>
      <c r="CC376" s="171"/>
      <c r="CD376" s="171"/>
      <c r="CE376" s="171">
        <v>1</v>
      </c>
      <c r="CF376" s="171"/>
      <c r="CG376" s="171">
        <v>1</v>
      </c>
      <c r="CH376" s="171">
        <v>1</v>
      </c>
      <c r="CI376" s="171"/>
      <c r="CJ376" s="171"/>
      <c r="CK376" s="171">
        <v>1</v>
      </c>
      <c r="CL376" s="171">
        <v>1</v>
      </c>
      <c r="CM376">
        <f t="shared" si="46"/>
        <v>2050</v>
      </c>
    </row>
    <row r="377" spans="1:91">
      <c r="A377" s="171">
        <v>445</v>
      </c>
      <c r="B377" s="171" t="s">
        <v>5071</v>
      </c>
      <c r="C377" s="171">
        <v>491</v>
      </c>
      <c r="D377" s="171" t="str">
        <f t="shared" si="45"/>
        <v xml:space="preserve"> NZ SBT</v>
      </c>
      <c r="E377" s="171" t="s">
        <v>7223</v>
      </c>
      <c r="F377" s="174">
        <v>45512</v>
      </c>
      <c r="G377" s="171" t="s">
        <v>7223</v>
      </c>
      <c r="H377" s="173">
        <v>4136</v>
      </c>
      <c r="I377" s="171"/>
      <c r="J377" s="171" t="s">
        <v>186</v>
      </c>
      <c r="K377" s="171" t="s">
        <v>4457</v>
      </c>
      <c r="L377" s="171" t="s">
        <v>2029</v>
      </c>
      <c r="M377" s="171" t="s">
        <v>5032</v>
      </c>
      <c r="N377" s="171"/>
      <c r="O377" s="171"/>
      <c r="P377" s="171" t="s">
        <v>4174</v>
      </c>
      <c r="Q377" s="171" t="s">
        <v>22</v>
      </c>
      <c r="R377" s="171" t="s">
        <v>7233</v>
      </c>
      <c r="S377" s="171">
        <v>2024</v>
      </c>
      <c r="T377" s="171" t="s">
        <v>1</v>
      </c>
      <c r="U377" s="171"/>
      <c r="V377" s="172">
        <v>43770</v>
      </c>
      <c r="W377" s="171">
        <v>2019</v>
      </c>
      <c r="X377" s="171" t="s">
        <v>5032</v>
      </c>
      <c r="Y377" s="171"/>
      <c r="Z377" s="171"/>
      <c r="AA377" s="171" t="s">
        <v>5032</v>
      </c>
      <c r="AB377" s="171"/>
      <c r="AC377" s="171"/>
      <c r="AD377" s="171"/>
      <c r="AE377" s="171"/>
      <c r="AF377" s="171"/>
      <c r="AG377" s="171"/>
      <c r="AH377" s="171"/>
      <c r="AI377" s="171"/>
      <c r="AJ377" s="171"/>
      <c r="AK377" s="171"/>
      <c r="AL377" s="171"/>
      <c r="AM377" s="171"/>
      <c r="AN377" s="171" t="s">
        <v>7227</v>
      </c>
      <c r="AO377" s="171" t="s">
        <v>7480</v>
      </c>
      <c r="AP377" s="171" t="s">
        <v>7303</v>
      </c>
      <c r="AQ377" s="171" t="s">
        <v>1957</v>
      </c>
      <c r="AR377" s="171">
        <v>2017</v>
      </c>
      <c r="AS377" s="171">
        <v>2017</v>
      </c>
      <c r="AT377" s="171" t="s">
        <v>4172</v>
      </c>
      <c r="AU377" s="171">
        <v>2021</v>
      </c>
      <c r="AV377" s="171">
        <v>2021</v>
      </c>
      <c r="AW377" s="171" t="s">
        <v>4174</v>
      </c>
      <c r="AX377" s="176" t="s">
        <v>7479</v>
      </c>
      <c r="AY377" s="171">
        <v>2024</v>
      </c>
      <c r="AZ377" s="171" t="s">
        <v>4174</v>
      </c>
      <c r="BA377" s="176" t="s">
        <v>7478</v>
      </c>
      <c r="BB377" s="171"/>
      <c r="BC377" s="171"/>
      <c r="BD377" s="171"/>
      <c r="BE377" s="171"/>
      <c r="BF377" s="225"/>
      <c r="BG377" s="171"/>
      <c r="BH377" s="171"/>
      <c r="BI377" s="171"/>
      <c r="BJ377" s="171"/>
      <c r="BK377" s="171"/>
      <c r="BL377" s="171"/>
      <c r="BM377" s="171"/>
      <c r="BN377" s="171">
        <v>1</v>
      </c>
      <c r="BO377" s="171"/>
      <c r="BP377" s="171"/>
      <c r="BQ377" s="171">
        <v>1</v>
      </c>
      <c r="BR377" s="171"/>
      <c r="BS377" s="171">
        <v>1</v>
      </c>
      <c r="BT377" s="171"/>
      <c r="BU377" s="171">
        <v>1</v>
      </c>
      <c r="BV377" s="171"/>
      <c r="BW377" s="171"/>
      <c r="BX377" s="171"/>
      <c r="BY377" s="171"/>
      <c r="BZ377" s="171">
        <v>1</v>
      </c>
      <c r="CA377" s="171">
        <v>1</v>
      </c>
      <c r="CB377" s="171">
        <v>1</v>
      </c>
      <c r="CC377" s="171">
        <v>1</v>
      </c>
      <c r="CD377" s="171"/>
      <c r="CE377" s="171">
        <v>1</v>
      </c>
      <c r="CF377" s="171">
        <v>1</v>
      </c>
      <c r="CG377" s="171">
        <v>1</v>
      </c>
      <c r="CH377" s="171">
        <v>1</v>
      </c>
      <c r="CI377" s="171">
        <v>1</v>
      </c>
      <c r="CJ377" s="171"/>
      <c r="CK377" s="171"/>
      <c r="CL377" s="171">
        <v>1</v>
      </c>
      <c r="CM377">
        <f t="shared" si="46"/>
        <v>2017</v>
      </c>
    </row>
    <row r="378" spans="1:91">
      <c r="A378" s="171">
        <v>500</v>
      </c>
      <c r="B378" s="171" t="s">
        <v>300</v>
      </c>
      <c r="C378" s="171">
        <v>457</v>
      </c>
      <c r="D378" s="171" t="str">
        <f t="shared" si="45"/>
        <v>CN</v>
      </c>
      <c r="E378" s="171" t="s">
        <v>7259</v>
      </c>
      <c r="F378" s="174">
        <v>45511</v>
      </c>
      <c r="G378" s="171" t="s">
        <v>7220</v>
      </c>
      <c r="H378" s="173">
        <v>1698.5</v>
      </c>
      <c r="I378" s="171"/>
      <c r="J378" s="171" t="s">
        <v>4465</v>
      </c>
      <c r="K378" s="171" t="s">
        <v>114</v>
      </c>
      <c r="L378" s="171" t="s">
        <v>1994</v>
      </c>
      <c r="M378" s="171" t="s">
        <v>5032</v>
      </c>
      <c r="N378" s="171"/>
      <c r="O378" s="171"/>
      <c r="P378" s="171" t="s">
        <v>5032</v>
      </c>
      <c r="Q378" s="171"/>
      <c r="R378" s="171"/>
      <c r="S378" s="171"/>
      <c r="T378" s="171"/>
      <c r="U378" s="171"/>
      <c r="V378" s="175"/>
      <c r="W378" s="171"/>
      <c r="X378" s="171" t="s">
        <v>1957</v>
      </c>
      <c r="Y378" s="171" t="s">
        <v>109</v>
      </c>
      <c r="Z378" s="171" t="s">
        <v>3283</v>
      </c>
      <c r="AA378" s="171" t="s">
        <v>1957</v>
      </c>
      <c r="AB378" s="171">
        <v>2050</v>
      </c>
      <c r="AC378" s="171">
        <v>2022</v>
      </c>
      <c r="AD378" s="171"/>
      <c r="AE378" s="171"/>
      <c r="AF378" s="171"/>
      <c r="AG378" s="171" t="s">
        <v>4174</v>
      </c>
      <c r="AH378" s="171"/>
      <c r="AI378" s="171" t="s">
        <v>4174</v>
      </c>
      <c r="AJ378" s="171"/>
      <c r="AK378" s="171"/>
      <c r="AL378" s="171" t="s">
        <v>7477</v>
      </c>
      <c r="AM378" s="171"/>
      <c r="AN378" s="171" t="s">
        <v>5032</v>
      </c>
      <c r="AO378" s="171"/>
      <c r="AP378" s="171"/>
      <c r="AQ378" s="171" t="s">
        <v>5032</v>
      </c>
      <c r="AR378" s="171"/>
      <c r="AS378" s="171"/>
      <c r="AT378" s="171"/>
      <c r="AU378" s="171"/>
      <c r="AV378" s="171"/>
      <c r="AW378" s="171"/>
      <c r="AX378" s="171"/>
      <c r="AY378" s="171"/>
      <c r="AZ378" s="171"/>
      <c r="BA378" s="171"/>
      <c r="BB378" s="171"/>
      <c r="BC378" s="171"/>
      <c r="BD378" s="171"/>
      <c r="BE378" s="171"/>
      <c r="BF378" s="225"/>
      <c r="BG378" s="171"/>
      <c r="BH378" s="171"/>
      <c r="BI378" s="171"/>
      <c r="BJ378" s="171"/>
      <c r="BK378" s="171"/>
      <c r="BL378" s="171">
        <v>1</v>
      </c>
      <c r="BM378" s="171">
        <v>1</v>
      </c>
      <c r="BN378" s="171"/>
      <c r="BO378" s="171"/>
      <c r="BP378" s="171"/>
      <c r="BQ378" s="171"/>
      <c r="BR378" s="171"/>
      <c r="BS378" s="171"/>
      <c r="BT378" s="171"/>
      <c r="BU378" s="171"/>
      <c r="BV378" s="171"/>
      <c r="BW378" s="171"/>
      <c r="BX378" s="171"/>
      <c r="BY378" s="171"/>
      <c r="BZ378" s="171">
        <v>1</v>
      </c>
      <c r="CA378" s="171"/>
      <c r="CB378" s="171">
        <v>1</v>
      </c>
      <c r="CC378" s="171">
        <v>1</v>
      </c>
      <c r="CD378" s="171"/>
      <c r="CE378" s="171">
        <v>1</v>
      </c>
      <c r="CF378" s="171"/>
      <c r="CG378" s="171"/>
      <c r="CH378" s="171">
        <v>1</v>
      </c>
      <c r="CI378" s="171"/>
      <c r="CJ378" s="171"/>
      <c r="CK378" s="171"/>
      <c r="CL378" s="171"/>
    </row>
    <row r="379" spans="1:91">
      <c r="A379" s="171">
        <v>31</v>
      </c>
      <c r="B379" s="171" t="s">
        <v>1833</v>
      </c>
      <c r="C379" s="171">
        <v>25</v>
      </c>
      <c r="D379" s="171" t="str">
        <f t="shared" si="45"/>
        <v xml:space="preserve"> NZ RE100</v>
      </c>
      <c r="E379" s="171" t="s">
        <v>7223</v>
      </c>
      <c r="F379" s="174">
        <v>45474</v>
      </c>
      <c r="G379" s="171" t="s">
        <v>7223</v>
      </c>
      <c r="H379" s="173">
        <v>11081.7</v>
      </c>
      <c r="I379" s="171"/>
      <c r="J379" s="171" t="s">
        <v>4459</v>
      </c>
      <c r="K379" s="171" t="s">
        <v>114</v>
      </c>
      <c r="L379" s="171" t="s">
        <v>1994</v>
      </c>
      <c r="M379" s="171" t="s">
        <v>4174</v>
      </c>
      <c r="N379" s="171">
        <v>2022</v>
      </c>
      <c r="O379" s="171">
        <v>2050</v>
      </c>
      <c r="P379" s="171" t="s">
        <v>5032</v>
      </c>
      <c r="Q379" s="171"/>
      <c r="R379" s="171"/>
      <c r="S379" s="171"/>
      <c r="T379" s="171"/>
      <c r="U379" s="171"/>
      <c r="V379" s="175"/>
      <c r="W379" s="171"/>
      <c r="X379" s="171" t="s">
        <v>5032</v>
      </c>
      <c r="Y379" s="171"/>
      <c r="Z379" s="171"/>
      <c r="AA379" s="171" t="s">
        <v>5032</v>
      </c>
      <c r="AB379" s="171"/>
      <c r="AC379" s="171"/>
      <c r="AD379" s="171"/>
      <c r="AE379" s="171"/>
      <c r="AF379" s="171"/>
      <c r="AG379" s="171"/>
      <c r="AH379" s="171"/>
      <c r="AI379" s="171"/>
      <c r="AJ379" s="171"/>
      <c r="AK379" s="171"/>
      <c r="AL379" s="171"/>
      <c r="AM379" s="171"/>
      <c r="AN379" s="171" t="s">
        <v>1957</v>
      </c>
      <c r="AO379" s="171" t="s">
        <v>7476</v>
      </c>
      <c r="AP379" s="171" t="s">
        <v>7475</v>
      </c>
      <c r="AQ379" s="171" t="s">
        <v>1957</v>
      </c>
      <c r="AR379" s="171">
        <v>2050</v>
      </c>
      <c r="AS379" s="171">
        <v>2022</v>
      </c>
      <c r="AT379" s="171"/>
      <c r="AU379" s="171"/>
      <c r="AV379" s="171"/>
      <c r="AW379" s="171" t="s">
        <v>2082</v>
      </c>
      <c r="AX379" s="171" t="s">
        <v>7474</v>
      </c>
      <c r="AY379" s="171">
        <v>2023</v>
      </c>
      <c r="AZ379" s="171" t="s">
        <v>4174</v>
      </c>
      <c r="BA379" s="171" t="s">
        <v>7473</v>
      </c>
      <c r="BB379" s="171"/>
      <c r="BC379" s="171" t="s">
        <v>7472</v>
      </c>
      <c r="BD379" s="171"/>
      <c r="BE379" s="171"/>
      <c r="BF379" s="225"/>
      <c r="BG379" s="171"/>
      <c r="BH379" s="171"/>
      <c r="BI379" s="171"/>
      <c r="BJ379" s="171"/>
      <c r="BK379" s="171"/>
      <c r="BL379" s="171"/>
      <c r="BM379" s="171"/>
      <c r="BN379" s="171"/>
      <c r="BO379" s="171"/>
      <c r="BP379" s="171">
        <v>1</v>
      </c>
      <c r="BQ379" s="171">
        <v>1</v>
      </c>
      <c r="BR379" s="171"/>
      <c r="BS379" s="171"/>
      <c r="BT379" s="171"/>
      <c r="BU379" s="171"/>
      <c r="BV379" s="171"/>
      <c r="BW379" s="171"/>
      <c r="BX379" s="171">
        <v>1</v>
      </c>
      <c r="BY379" s="171">
        <v>1</v>
      </c>
      <c r="BZ379" s="171">
        <v>1</v>
      </c>
      <c r="CA379" s="171"/>
      <c r="CB379" s="171">
        <v>1</v>
      </c>
      <c r="CC379" s="171"/>
      <c r="CD379" s="171"/>
      <c r="CE379" s="171">
        <v>1</v>
      </c>
      <c r="CF379" s="171"/>
      <c r="CG379" s="171"/>
      <c r="CH379" s="171">
        <v>1</v>
      </c>
      <c r="CI379" s="171"/>
      <c r="CJ379" s="171"/>
      <c r="CK379" s="171"/>
      <c r="CL379" s="171"/>
      <c r="CM379">
        <f t="shared" si="46"/>
        <v>2050</v>
      </c>
    </row>
    <row r="380" spans="1:91">
      <c r="A380" s="171">
        <v>297</v>
      </c>
      <c r="B380" s="171" t="s">
        <v>880</v>
      </c>
      <c r="C380" s="171">
        <v>299</v>
      </c>
      <c r="D380" s="171" t="str">
        <f t="shared" si="45"/>
        <v>CN NZ SBT RE100</v>
      </c>
      <c r="E380" s="171" t="s">
        <v>7220</v>
      </c>
      <c r="F380" s="174">
        <v>45478</v>
      </c>
      <c r="G380" s="171" t="s">
        <v>7223</v>
      </c>
      <c r="H380" s="173">
        <v>5837.7</v>
      </c>
      <c r="I380" s="171"/>
      <c r="J380" s="171" t="s">
        <v>4201</v>
      </c>
      <c r="K380" s="171" t="s">
        <v>63</v>
      </c>
      <c r="L380" s="171" t="s">
        <v>1951</v>
      </c>
      <c r="M380" s="171" t="s">
        <v>4174</v>
      </c>
      <c r="N380" s="171">
        <v>2020</v>
      </c>
      <c r="O380" s="171">
        <v>2030</v>
      </c>
      <c r="P380" s="171" t="s">
        <v>4174</v>
      </c>
      <c r="Q380" s="171" t="s">
        <v>22</v>
      </c>
      <c r="R380" s="171" t="s">
        <v>7233</v>
      </c>
      <c r="S380" s="171">
        <v>2030</v>
      </c>
      <c r="T380" s="171" t="s">
        <v>361</v>
      </c>
      <c r="U380" s="171">
        <v>2045</v>
      </c>
      <c r="V380" s="172">
        <v>44986</v>
      </c>
      <c r="W380" s="171">
        <v>2023</v>
      </c>
      <c r="X380" s="171" t="s">
        <v>1957</v>
      </c>
      <c r="Y380" s="171" t="s">
        <v>7471</v>
      </c>
      <c r="Z380" s="171" t="s">
        <v>32</v>
      </c>
      <c r="AA380" s="171" t="s">
        <v>1957</v>
      </c>
      <c r="AB380" s="171">
        <v>2030</v>
      </c>
      <c r="AC380" s="171">
        <v>2021</v>
      </c>
      <c r="AD380" s="171"/>
      <c r="AE380" s="171"/>
      <c r="AF380" s="171"/>
      <c r="AG380" s="171" t="s">
        <v>4174</v>
      </c>
      <c r="AH380" s="171">
        <v>2023</v>
      </c>
      <c r="AI380" s="171" t="s">
        <v>4174</v>
      </c>
      <c r="AJ380" s="171" t="s">
        <v>7470</v>
      </c>
      <c r="AK380" s="171"/>
      <c r="AL380" s="171" t="s">
        <v>5891</v>
      </c>
      <c r="AM380" s="171"/>
      <c r="AN380" s="171" t="s">
        <v>4172</v>
      </c>
      <c r="AO380" s="171" t="s">
        <v>1435</v>
      </c>
      <c r="AP380" s="171" t="s">
        <v>2072</v>
      </c>
      <c r="AQ380" s="171" t="s">
        <v>4172</v>
      </c>
      <c r="AR380" s="171">
        <v>2045</v>
      </c>
      <c r="AS380" s="171">
        <v>2021</v>
      </c>
      <c r="AT380" s="171"/>
      <c r="AU380" s="171"/>
      <c r="AV380" s="171"/>
      <c r="AW380" s="171" t="s">
        <v>4174</v>
      </c>
      <c r="AX380" s="171" t="s">
        <v>5891</v>
      </c>
      <c r="AY380" s="171"/>
      <c r="AZ380" s="171"/>
      <c r="BA380" s="171"/>
      <c r="BB380" s="171"/>
      <c r="BC380" s="171"/>
      <c r="BD380" s="171"/>
      <c r="BE380" s="171"/>
      <c r="BF380" s="225"/>
      <c r="BG380" s="171"/>
      <c r="BH380" s="171"/>
      <c r="BI380" s="171"/>
      <c r="BJ380" s="171"/>
      <c r="BK380" s="171">
        <v>1</v>
      </c>
      <c r="BL380" s="171"/>
      <c r="BM380" s="171">
        <v>1</v>
      </c>
      <c r="BN380" s="171"/>
      <c r="BO380" s="171"/>
      <c r="BP380" s="171">
        <v>1</v>
      </c>
      <c r="BQ380" s="171">
        <v>1</v>
      </c>
      <c r="BR380" s="171"/>
      <c r="BS380" s="171">
        <v>1</v>
      </c>
      <c r="BT380" s="171"/>
      <c r="BU380" s="171">
        <v>1</v>
      </c>
      <c r="BV380" s="171"/>
      <c r="BW380" s="171">
        <v>1</v>
      </c>
      <c r="BX380" s="171"/>
      <c r="BY380" s="171">
        <v>1</v>
      </c>
      <c r="BZ380" s="171">
        <v>1</v>
      </c>
      <c r="CA380" s="171">
        <v>1</v>
      </c>
      <c r="CB380" s="171">
        <v>1</v>
      </c>
      <c r="CC380" s="171">
        <v>1</v>
      </c>
      <c r="CD380" s="171"/>
      <c r="CE380" s="171">
        <v>1</v>
      </c>
      <c r="CF380" s="171"/>
      <c r="CG380" s="171">
        <v>1</v>
      </c>
      <c r="CH380" s="171">
        <v>1</v>
      </c>
      <c r="CI380" s="171"/>
      <c r="CJ380" s="171"/>
      <c r="CK380" s="171">
        <v>1</v>
      </c>
      <c r="CL380" s="171">
        <v>1</v>
      </c>
      <c r="CM380">
        <f t="shared" si="46"/>
        <v>2045</v>
      </c>
    </row>
    <row r="381" spans="1:91">
      <c r="A381" s="171">
        <v>450</v>
      </c>
      <c r="B381" s="171" t="s">
        <v>362</v>
      </c>
      <c r="C381" s="171">
        <v>472</v>
      </c>
      <c r="D381" s="171" t="str">
        <f t="shared" si="45"/>
        <v>CN NZ SBT RE100</v>
      </c>
      <c r="E381" s="171" t="s">
        <v>7223</v>
      </c>
      <c r="F381" s="174">
        <v>45512</v>
      </c>
      <c r="G381" s="171" t="s">
        <v>7223</v>
      </c>
      <c r="H381" s="173">
        <v>6636.6</v>
      </c>
      <c r="I381" s="171"/>
      <c r="J381" s="171" t="s">
        <v>186</v>
      </c>
      <c r="K381" s="171" t="s">
        <v>146</v>
      </c>
      <c r="L381" s="171" t="s">
        <v>1951</v>
      </c>
      <c r="M381" s="171" t="s">
        <v>4174</v>
      </c>
      <c r="N381" s="171">
        <v>2015</v>
      </c>
      <c r="O381" s="171">
        <v>2014</v>
      </c>
      <c r="P381" s="171" t="s">
        <v>4174</v>
      </c>
      <c r="Q381" s="171" t="s">
        <v>22</v>
      </c>
      <c r="R381" s="171" t="s">
        <v>7233</v>
      </c>
      <c r="S381" s="171">
        <v>2025</v>
      </c>
      <c r="T381" s="171" t="s">
        <v>361</v>
      </c>
      <c r="U381" s="171"/>
      <c r="V381" s="172">
        <v>43739</v>
      </c>
      <c r="W381" s="171">
        <v>2019</v>
      </c>
      <c r="X381" s="171" t="s">
        <v>1957</v>
      </c>
      <c r="Y381" s="179" t="s">
        <v>1659</v>
      </c>
      <c r="Z381" s="179" t="s">
        <v>3283</v>
      </c>
      <c r="AA381" s="171" t="s">
        <v>1957</v>
      </c>
      <c r="AB381" s="179">
        <v>2023</v>
      </c>
      <c r="AC381" s="179">
        <v>2022</v>
      </c>
      <c r="AD381" s="171"/>
      <c r="AE381" s="171"/>
      <c r="AF381" s="171"/>
      <c r="AG381" s="171" t="s">
        <v>4174</v>
      </c>
      <c r="AH381" s="171">
        <v>2023</v>
      </c>
      <c r="AI381" s="171" t="s">
        <v>4174</v>
      </c>
      <c r="AJ381" s="176" t="s">
        <v>7467</v>
      </c>
      <c r="AK381" s="171"/>
      <c r="AL381" s="176" t="s">
        <v>7469</v>
      </c>
      <c r="AM381" s="171"/>
      <c r="AN381" s="171" t="s">
        <v>4172</v>
      </c>
      <c r="AO381" s="171" t="s">
        <v>4411</v>
      </c>
      <c r="AP381" s="171" t="s">
        <v>7360</v>
      </c>
      <c r="AQ381" s="171" t="s">
        <v>4172</v>
      </c>
      <c r="AR381" s="171">
        <v>2030</v>
      </c>
      <c r="AS381" s="171">
        <v>2022</v>
      </c>
      <c r="AT381" s="171"/>
      <c r="AU381" s="171"/>
      <c r="AV381" s="171"/>
      <c r="AW381" s="171" t="s">
        <v>4174</v>
      </c>
      <c r="AX381" s="176" t="s">
        <v>7468</v>
      </c>
      <c r="AY381" s="171">
        <v>2023</v>
      </c>
      <c r="AZ381" s="171" t="s">
        <v>4174</v>
      </c>
      <c r="BA381" s="176" t="s">
        <v>7467</v>
      </c>
      <c r="BB381" s="171"/>
      <c r="BC381" s="171"/>
      <c r="BD381" s="171"/>
      <c r="BE381" s="171"/>
      <c r="BF381" s="225"/>
      <c r="BG381" s="171"/>
      <c r="BH381" s="171"/>
      <c r="BI381" s="171"/>
      <c r="BJ381" s="171">
        <v>1</v>
      </c>
      <c r="BK381" s="171"/>
      <c r="BL381" s="171"/>
      <c r="BM381" s="171">
        <v>1</v>
      </c>
      <c r="BN381" s="171"/>
      <c r="BO381" s="171">
        <v>1</v>
      </c>
      <c r="BP381" s="171"/>
      <c r="BQ381" s="171">
        <v>1</v>
      </c>
      <c r="BR381" s="171"/>
      <c r="BS381" s="171">
        <v>1</v>
      </c>
      <c r="BT381" s="171"/>
      <c r="BU381" s="171">
        <v>1</v>
      </c>
      <c r="BV381" s="171">
        <v>1</v>
      </c>
      <c r="BW381" s="171"/>
      <c r="BX381" s="171"/>
      <c r="BY381" s="171">
        <v>1</v>
      </c>
      <c r="BZ381" s="171">
        <v>1</v>
      </c>
      <c r="CA381" s="171">
        <v>1</v>
      </c>
      <c r="CB381" s="171">
        <v>1</v>
      </c>
      <c r="CC381" s="171">
        <v>1</v>
      </c>
      <c r="CD381" s="171"/>
      <c r="CE381" s="171">
        <v>1</v>
      </c>
      <c r="CF381" s="171">
        <v>1</v>
      </c>
      <c r="CG381" s="171">
        <v>1</v>
      </c>
      <c r="CH381" s="171">
        <v>1</v>
      </c>
      <c r="CI381" s="171"/>
      <c r="CJ381" s="171">
        <v>1</v>
      </c>
      <c r="CK381" s="171"/>
      <c r="CL381" s="171">
        <v>1</v>
      </c>
      <c r="CM381">
        <f t="shared" si="46"/>
        <v>2030</v>
      </c>
    </row>
    <row r="382" spans="1:91">
      <c r="A382" s="171">
        <v>4</v>
      </c>
      <c r="B382" s="171" t="s">
        <v>1875</v>
      </c>
      <c r="C382" s="171">
        <v>2</v>
      </c>
      <c r="D382" s="171" t="str">
        <f t="shared" si="45"/>
        <v xml:space="preserve"> NZ</v>
      </c>
      <c r="E382" s="171" t="s">
        <v>7220</v>
      </c>
      <c r="F382" s="174">
        <v>45474</v>
      </c>
      <c r="G382" s="171" t="s">
        <v>7223</v>
      </c>
      <c r="H382" s="173">
        <v>120699.3</v>
      </c>
      <c r="I382" s="171"/>
      <c r="J382" s="171" t="s">
        <v>4494</v>
      </c>
      <c r="K382" s="171" t="s">
        <v>985</v>
      </c>
      <c r="L382" s="171" t="s">
        <v>1994</v>
      </c>
      <c r="M382" s="171" t="s">
        <v>5032</v>
      </c>
      <c r="N382" s="171"/>
      <c r="O382" s="171"/>
      <c r="P382" s="171" t="s">
        <v>5032</v>
      </c>
      <c r="Q382" s="171"/>
      <c r="R382" s="171"/>
      <c r="S382" s="171"/>
      <c r="T382" s="171"/>
      <c r="U382" s="171"/>
      <c r="V382" s="175"/>
      <c r="W382" s="171"/>
      <c r="X382" s="171" t="s">
        <v>5032</v>
      </c>
      <c r="Y382" s="171"/>
      <c r="Z382" s="171"/>
      <c r="AA382" s="171" t="s">
        <v>5032</v>
      </c>
      <c r="AB382" s="171"/>
      <c r="AC382" s="171"/>
      <c r="AD382" s="171"/>
      <c r="AE382" s="171"/>
      <c r="AF382" s="171"/>
      <c r="AG382" s="171"/>
      <c r="AH382" s="171"/>
      <c r="AI382" s="171"/>
      <c r="AJ382" s="171"/>
      <c r="AK382" s="171"/>
      <c r="AL382" s="171"/>
      <c r="AM382" s="171"/>
      <c r="AN382" s="171" t="s">
        <v>1957</v>
      </c>
      <c r="AO382" s="171" t="s">
        <v>109</v>
      </c>
      <c r="AP382" s="171" t="s">
        <v>2072</v>
      </c>
      <c r="AQ382" s="171" t="s">
        <v>1957</v>
      </c>
      <c r="AR382" s="171">
        <v>2050</v>
      </c>
      <c r="AS382" s="171">
        <v>2021</v>
      </c>
      <c r="AT382" s="171"/>
      <c r="AU382" s="171"/>
      <c r="AV382" s="171"/>
      <c r="AW382" s="171" t="s">
        <v>4174</v>
      </c>
      <c r="AX382" s="171" t="s">
        <v>7466</v>
      </c>
      <c r="AY382" s="171">
        <v>2023</v>
      </c>
      <c r="AZ382" s="171" t="s">
        <v>4174</v>
      </c>
      <c r="BA382" s="171" t="s">
        <v>7465</v>
      </c>
      <c r="BB382" s="171"/>
      <c r="BC382" s="171" t="s">
        <v>7464</v>
      </c>
      <c r="BD382" s="171"/>
      <c r="BE382" s="171"/>
      <c r="BF382" s="225"/>
      <c r="BG382" s="171"/>
      <c r="BH382" s="171"/>
      <c r="BI382" s="171"/>
      <c r="BJ382" s="171"/>
      <c r="BK382" s="171"/>
      <c r="BL382" s="171"/>
      <c r="BM382" s="171"/>
      <c r="BN382" s="171"/>
      <c r="BO382" s="171"/>
      <c r="BP382" s="171">
        <v>1</v>
      </c>
      <c r="BQ382" s="171">
        <v>1</v>
      </c>
      <c r="BR382" s="171"/>
      <c r="BS382" s="171"/>
      <c r="BT382" s="171"/>
      <c r="BU382" s="171"/>
      <c r="BV382" s="171"/>
      <c r="BW382" s="171"/>
      <c r="BX382" s="171"/>
      <c r="BY382" s="171"/>
      <c r="BZ382" s="171">
        <v>1</v>
      </c>
      <c r="CA382" s="171"/>
      <c r="CB382" s="171">
        <v>1</v>
      </c>
      <c r="CC382" s="171">
        <v>1</v>
      </c>
      <c r="CD382" s="171"/>
      <c r="CE382" s="171">
        <v>1</v>
      </c>
      <c r="CF382" s="171"/>
      <c r="CG382" s="171"/>
      <c r="CH382" s="171">
        <v>1</v>
      </c>
      <c r="CI382" s="171"/>
      <c r="CJ382" s="171"/>
      <c r="CK382" s="171"/>
      <c r="CL382" s="171"/>
      <c r="CM382">
        <f t="shared" si="46"/>
        <v>2050</v>
      </c>
    </row>
    <row r="383" spans="1:91">
      <c r="A383" s="171">
        <v>216</v>
      </c>
      <c r="B383" s="171" t="s">
        <v>971</v>
      </c>
      <c r="C383" s="171">
        <v>250</v>
      </c>
      <c r="D383" s="171" t="str">
        <f t="shared" si="45"/>
        <v>CN</v>
      </c>
      <c r="E383" s="171" t="s">
        <v>7223</v>
      </c>
      <c r="F383" s="174">
        <v>45477</v>
      </c>
      <c r="G383" s="171" t="s">
        <v>7223</v>
      </c>
      <c r="H383" s="173">
        <v>17743.5</v>
      </c>
      <c r="I383" s="171"/>
      <c r="J383" s="171" t="s">
        <v>4465</v>
      </c>
      <c r="K383" s="171" t="s">
        <v>972</v>
      </c>
      <c r="L383" s="171" t="s">
        <v>1994</v>
      </c>
      <c r="M383" s="171" t="s">
        <v>5032</v>
      </c>
      <c r="N383" s="171"/>
      <c r="O383" s="171"/>
      <c r="P383" s="171" t="s">
        <v>5032</v>
      </c>
      <c r="Q383" s="171"/>
      <c r="R383" s="171"/>
      <c r="S383" s="171"/>
      <c r="T383" s="171"/>
      <c r="U383" s="171"/>
      <c r="V383" s="175"/>
      <c r="W383" s="171"/>
      <c r="X383" s="171" t="s">
        <v>1957</v>
      </c>
      <c r="Y383" s="171" t="s">
        <v>1659</v>
      </c>
      <c r="Z383" s="171" t="s">
        <v>3390</v>
      </c>
      <c r="AA383" s="171" t="s">
        <v>1957</v>
      </c>
      <c r="AB383" s="171">
        <v>2030</v>
      </c>
      <c r="AC383" s="171">
        <v>2022</v>
      </c>
      <c r="AD383" s="171"/>
      <c r="AE383" s="171"/>
      <c r="AF383" s="171"/>
      <c r="AG383" s="171" t="s">
        <v>4174</v>
      </c>
      <c r="AH383" s="171">
        <v>2022</v>
      </c>
      <c r="AI383" s="171" t="s">
        <v>4174</v>
      </c>
      <c r="AJ383" s="171" t="s">
        <v>7463</v>
      </c>
      <c r="AK383" s="171"/>
      <c r="AL383" s="176" t="s">
        <v>7462</v>
      </c>
      <c r="AM383" s="171"/>
      <c r="AN383" s="171" t="s">
        <v>5032</v>
      </c>
      <c r="AO383" s="171"/>
      <c r="AP383" s="171"/>
      <c r="AQ383" s="171" t="s">
        <v>5032</v>
      </c>
      <c r="AR383" s="171"/>
      <c r="AS383" s="171"/>
      <c r="AT383" s="171"/>
      <c r="AU383" s="171"/>
      <c r="AV383" s="171"/>
      <c r="AW383" s="171"/>
      <c r="AX383" s="171"/>
      <c r="AY383" s="171"/>
      <c r="AZ383" s="171"/>
      <c r="BA383" s="171"/>
      <c r="BB383" s="171"/>
      <c r="BC383" s="171"/>
      <c r="BD383" s="171"/>
      <c r="BE383" s="171"/>
      <c r="BF383" s="225"/>
      <c r="BG383" s="171"/>
      <c r="BH383" s="171"/>
      <c r="BI383" s="171"/>
      <c r="BJ383" s="171"/>
      <c r="BK383" s="171">
        <v>1</v>
      </c>
      <c r="BL383" s="171"/>
      <c r="BM383" s="171">
        <v>1</v>
      </c>
      <c r="BN383" s="171"/>
      <c r="BO383" s="171"/>
      <c r="BP383" s="171"/>
      <c r="BQ383" s="171"/>
      <c r="BR383" s="171"/>
      <c r="BS383" s="171"/>
      <c r="BT383" s="171"/>
      <c r="BU383" s="171"/>
      <c r="BV383" s="171"/>
      <c r="BW383" s="171"/>
      <c r="BX383" s="171"/>
      <c r="BY383" s="171"/>
      <c r="BZ383" s="171">
        <v>1</v>
      </c>
      <c r="CA383" s="171">
        <v>1</v>
      </c>
      <c r="CB383" s="171">
        <v>1</v>
      </c>
      <c r="CC383" s="171">
        <v>1</v>
      </c>
      <c r="CD383" s="171"/>
      <c r="CE383" s="171">
        <v>1</v>
      </c>
      <c r="CF383" s="171"/>
      <c r="CG383" s="171">
        <v>1</v>
      </c>
      <c r="CH383" s="171">
        <v>1</v>
      </c>
      <c r="CI383" s="171"/>
      <c r="CJ383" s="171"/>
      <c r="CK383" s="171"/>
      <c r="CL383" s="171"/>
    </row>
    <row r="384" spans="1:91">
      <c r="A384" s="171">
        <v>479</v>
      </c>
      <c r="B384" s="171" t="s">
        <v>579</v>
      </c>
      <c r="C384" s="171"/>
      <c r="D384" s="171" t="str">
        <f t="shared" si="45"/>
        <v xml:space="preserve"> NZ</v>
      </c>
      <c r="E384" s="171" t="s">
        <v>7259</v>
      </c>
      <c r="F384" s="174">
        <v>45511</v>
      </c>
      <c r="G384" s="171"/>
      <c r="H384" s="173">
        <v>4203</v>
      </c>
      <c r="I384" s="171"/>
      <c r="J384" s="171" t="s">
        <v>3498</v>
      </c>
      <c r="K384" s="171" t="s">
        <v>4457</v>
      </c>
      <c r="L384" s="171" t="s">
        <v>2029</v>
      </c>
      <c r="M384" s="171" t="s">
        <v>5032</v>
      </c>
      <c r="N384" s="171"/>
      <c r="O384" s="171"/>
      <c r="P384" s="171" t="s">
        <v>5032</v>
      </c>
      <c r="Q384" s="171"/>
      <c r="R384" s="171"/>
      <c r="S384" s="171"/>
      <c r="T384" s="171"/>
      <c r="U384" s="171"/>
      <c r="V384" s="175"/>
      <c r="W384" s="171"/>
      <c r="X384" s="171" t="s">
        <v>5032</v>
      </c>
      <c r="Y384" s="171"/>
      <c r="Z384" s="171"/>
      <c r="AA384" s="171" t="s">
        <v>5032</v>
      </c>
      <c r="AB384" s="171"/>
      <c r="AC384" s="171"/>
      <c r="AD384" s="171"/>
      <c r="AE384" s="171"/>
      <c r="AF384" s="171"/>
      <c r="AG384" s="171"/>
      <c r="AH384" s="171"/>
      <c r="AI384" s="171"/>
      <c r="AJ384" s="171"/>
      <c r="AK384" s="171"/>
      <c r="AL384" s="171"/>
      <c r="AM384" s="171"/>
      <c r="AN384" s="171" t="s">
        <v>4172</v>
      </c>
      <c r="AO384" s="171" t="s">
        <v>2760</v>
      </c>
      <c r="AP384" s="171" t="s">
        <v>2072</v>
      </c>
      <c r="AQ384" s="171" t="s">
        <v>4172</v>
      </c>
      <c r="AR384" s="171">
        <v>2050</v>
      </c>
      <c r="AS384" s="171">
        <v>2021</v>
      </c>
      <c r="AT384" s="171"/>
      <c r="AU384" s="171"/>
      <c r="AV384" s="171"/>
      <c r="AW384" s="171" t="s">
        <v>4174</v>
      </c>
      <c r="AX384" s="171" t="s">
        <v>7461</v>
      </c>
      <c r="AY384" s="171"/>
      <c r="AZ384" s="171"/>
      <c r="BA384" s="171"/>
      <c r="BB384" s="171"/>
      <c r="BC384" s="171"/>
      <c r="BD384" s="171"/>
      <c r="BE384" s="171"/>
      <c r="BF384" s="225"/>
      <c r="BG384" s="171"/>
      <c r="BH384" s="171"/>
      <c r="BI384" s="171"/>
      <c r="BJ384" s="171"/>
      <c r="BK384" s="171"/>
      <c r="BL384" s="171"/>
      <c r="BM384" s="171"/>
      <c r="BN384" s="171"/>
      <c r="BO384" s="171"/>
      <c r="BP384" s="171">
        <v>1</v>
      </c>
      <c r="BQ384" s="171">
        <v>1</v>
      </c>
      <c r="BR384" s="171"/>
      <c r="BS384" s="171"/>
      <c r="BT384" s="171"/>
      <c r="BU384" s="171"/>
      <c r="BV384" s="171"/>
      <c r="BW384" s="171"/>
      <c r="BX384" s="171"/>
      <c r="BY384" s="171"/>
      <c r="BZ384" s="171">
        <v>1</v>
      </c>
      <c r="CA384" s="171"/>
      <c r="CB384" s="171">
        <v>1</v>
      </c>
      <c r="CC384" s="171">
        <v>1</v>
      </c>
      <c r="CD384" s="171"/>
      <c r="CE384" s="171">
        <v>1</v>
      </c>
      <c r="CF384" s="171"/>
      <c r="CG384" s="171"/>
      <c r="CH384" s="171">
        <v>1</v>
      </c>
      <c r="CI384" s="171"/>
      <c r="CJ384" s="171"/>
      <c r="CK384" s="171">
        <v>1</v>
      </c>
      <c r="CL384" s="171">
        <v>1</v>
      </c>
      <c r="CM384">
        <f t="shared" si="46"/>
        <v>2050</v>
      </c>
    </row>
    <row r="385" spans="1:91">
      <c r="A385" s="171">
        <v>387</v>
      </c>
      <c r="B385" s="171" t="s">
        <v>429</v>
      </c>
      <c r="C385" s="171">
        <v>421</v>
      </c>
      <c r="D385" s="171" t="str">
        <f t="shared" si="45"/>
        <v>CN NZ SBT RE100</v>
      </c>
      <c r="E385" s="171" t="s">
        <v>7385</v>
      </c>
      <c r="F385" s="174">
        <v>45512</v>
      </c>
      <c r="G385" s="171" t="s">
        <v>7220</v>
      </c>
      <c r="H385" s="173">
        <v>4327.5</v>
      </c>
      <c r="I385" s="171"/>
      <c r="J385" s="171" t="s">
        <v>4459</v>
      </c>
      <c r="K385" s="171" t="s">
        <v>63</v>
      </c>
      <c r="L385" s="171" t="s">
        <v>1951</v>
      </c>
      <c r="M385" s="171" t="s">
        <v>4174</v>
      </c>
      <c r="N385" s="171">
        <v>2017</v>
      </c>
      <c r="O385" s="171">
        <v>2030</v>
      </c>
      <c r="P385" s="171" t="s">
        <v>4174</v>
      </c>
      <c r="Q385" s="171" t="s">
        <v>22</v>
      </c>
      <c r="R385" s="171" t="s">
        <v>7233</v>
      </c>
      <c r="S385" s="171">
        <v>2030</v>
      </c>
      <c r="T385" s="171" t="s">
        <v>361</v>
      </c>
      <c r="U385" s="171">
        <v>2050</v>
      </c>
      <c r="V385" s="172">
        <v>43709</v>
      </c>
      <c r="W385" s="171">
        <v>2019</v>
      </c>
      <c r="X385" s="171" t="s">
        <v>7227</v>
      </c>
      <c r="Y385" s="171" t="s">
        <v>7460</v>
      </c>
      <c r="Z385" s="171" t="s">
        <v>3283</v>
      </c>
      <c r="AA385" s="171" t="s">
        <v>1957</v>
      </c>
      <c r="AB385" s="171">
        <v>2025</v>
      </c>
      <c r="AC385" s="171">
        <v>2019</v>
      </c>
      <c r="AD385" s="171" t="s">
        <v>4172</v>
      </c>
      <c r="AE385" s="171">
        <v>2040</v>
      </c>
      <c r="AF385" s="171">
        <v>2019</v>
      </c>
      <c r="AG385" s="171" t="s">
        <v>4174</v>
      </c>
      <c r="AH385" s="171">
        <v>2023</v>
      </c>
      <c r="AI385" s="171" t="s">
        <v>4174</v>
      </c>
      <c r="AJ385" s="176" t="s">
        <v>7459</v>
      </c>
      <c r="AK385" s="171"/>
      <c r="AL385" s="171" t="s">
        <v>7459</v>
      </c>
      <c r="AM385" s="171"/>
      <c r="AN385" s="171" t="s">
        <v>4172</v>
      </c>
      <c r="AO385" s="171" t="s">
        <v>2760</v>
      </c>
      <c r="AP385" s="171" t="s">
        <v>2072</v>
      </c>
      <c r="AQ385" s="171" t="s">
        <v>4172</v>
      </c>
      <c r="AR385" s="171">
        <v>2050</v>
      </c>
      <c r="AS385" s="171">
        <v>2019</v>
      </c>
      <c r="AT385" s="171"/>
      <c r="AU385" s="171"/>
      <c r="AV385" s="171"/>
      <c r="AW385" s="171" t="s">
        <v>4174</v>
      </c>
      <c r="AX385" s="171" t="s">
        <v>7458</v>
      </c>
      <c r="AY385" s="171"/>
      <c r="AZ385" s="171"/>
      <c r="BA385" s="171"/>
      <c r="BB385" s="171"/>
      <c r="BC385" s="171"/>
      <c r="BD385" s="171"/>
      <c r="BE385" s="171"/>
      <c r="BF385" s="225"/>
      <c r="BG385" s="171"/>
      <c r="BH385" s="171"/>
      <c r="BI385" s="171"/>
      <c r="BJ385" s="171"/>
      <c r="BK385" s="171">
        <v>1</v>
      </c>
      <c r="BL385" s="171"/>
      <c r="BM385" s="171">
        <v>1</v>
      </c>
      <c r="BN385" s="171"/>
      <c r="BO385" s="171"/>
      <c r="BP385" s="171">
        <v>1</v>
      </c>
      <c r="BQ385" s="171">
        <v>1</v>
      </c>
      <c r="BR385" s="171"/>
      <c r="BS385" s="171">
        <v>1</v>
      </c>
      <c r="BT385" s="171"/>
      <c r="BU385" s="171">
        <v>1</v>
      </c>
      <c r="BV385" s="171"/>
      <c r="BW385" s="171">
        <v>1</v>
      </c>
      <c r="BX385" s="171"/>
      <c r="BY385" s="171">
        <v>1</v>
      </c>
      <c r="BZ385" s="171">
        <v>1</v>
      </c>
      <c r="CA385" s="171">
        <v>1</v>
      </c>
      <c r="CB385" s="171">
        <v>1</v>
      </c>
      <c r="CC385" s="171">
        <v>1</v>
      </c>
      <c r="CD385" s="171"/>
      <c r="CE385" s="171">
        <v>1</v>
      </c>
      <c r="CF385" s="171"/>
      <c r="CG385" s="171">
        <v>1</v>
      </c>
      <c r="CH385" s="171">
        <v>1</v>
      </c>
      <c r="CI385" s="171"/>
      <c r="CJ385" s="171"/>
      <c r="CK385" s="171">
        <v>1</v>
      </c>
      <c r="CL385" s="171">
        <v>1</v>
      </c>
      <c r="CM385">
        <f t="shared" si="46"/>
        <v>2050</v>
      </c>
    </row>
    <row r="386" spans="1:91">
      <c r="A386" s="171">
        <v>151</v>
      </c>
      <c r="B386" s="171" t="s">
        <v>1298</v>
      </c>
      <c r="C386" s="171">
        <v>129</v>
      </c>
      <c r="D386" s="171" t="str">
        <f t="shared" ref="D386:D449" si="47">CONCATENATE((IF(BM386=1, "CN", "")),(IF(BQ386=1, " NZ", "")),(IF(BU386=1, " SBT", "")),(IF(BY386=1, " RE100", "")))</f>
        <v xml:space="preserve"> NZ RE100</v>
      </c>
      <c r="E386" s="171" t="s">
        <v>7228</v>
      </c>
      <c r="F386" s="174">
        <v>45476</v>
      </c>
      <c r="G386" s="171" t="s">
        <v>7223</v>
      </c>
      <c r="H386" s="173">
        <v>1568.9</v>
      </c>
      <c r="I386" s="171"/>
      <c r="J386" s="171" t="s">
        <v>4467</v>
      </c>
      <c r="K386" s="171" t="s">
        <v>207</v>
      </c>
      <c r="L386" s="171" t="s">
        <v>1994</v>
      </c>
      <c r="M386" s="171" t="s">
        <v>4174</v>
      </c>
      <c r="N386" s="171">
        <v>2020</v>
      </c>
      <c r="O386" s="171">
        <v>2050</v>
      </c>
      <c r="P386" s="171" t="s">
        <v>5032</v>
      </c>
      <c r="Q386" s="171" t="s">
        <v>7290</v>
      </c>
      <c r="R386" s="171"/>
      <c r="S386" s="171"/>
      <c r="T386" s="171" t="s">
        <v>1</v>
      </c>
      <c r="U386" s="171"/>
      <c r="V386" s="172">
        <v>44256</v>
      </c>
      <c r="W386" s="171">
        <v>2021</v>
      </c>
      <c r="X386" s="171" t="s">
        <v>5032</v>
      </c>
      <c r="Y386" s="171"/>
      <c r="Z386" s="171"/>
      <c r="AA386" s="171" t="s">
        <v>5032</v>
      </c>
      <c r="AB386" s="171"/>
      <c r="AC386" s="171"/>
      <c r="AD386" s="171"/>
      <c r="AE386" s="171"/>
      <c r="AF386" s="171"/>
      <c r="AG386" s="171"/>
      <c r="AH386" s="171"/>
      <c r="AI386" s="171"/>
      <c r="AJ386" s="171"/>
      <c r="AK386" s="171"/>
      <c r="AL386" s="171"/>
      <c r="AM386" s="171"/>
      <c r="AN386" s="171" t="s">
        <v>1957</v>
      </c>
      <c r="AO386" s="171" t="s">
        <v>4248</v>
      </c>
      <c r="AP386" s="171" t="s">
        <v>7303</v>
      </c>
      <c r="AQ386" s="171" t="s">
        <v>1957</v>
      </c>
      <c r="AR386" s="171">
        <v>2050</v>
      </c>
      <c r="AS386" s="171">
        <v>2019</v>
      </c>
      <c r="AT386" s="171"/>
      <c r="AU386" s="171"/>
      <c r="AV386" s="171"/>
      <c r="AW386" s="171" t="s">
        <v>2082</v>
      </c>
      <c r="AX386" s="171"/>
      <c r="AY386" s="171"/>
      <c r="AZ386" s="171"/>
      <c r="BA386" s="171" t="s">
        <v>4868</v>
      </c>
      <c r="BB386" s="171"/>
      <c r="BC386" s="171"/>
      <c r="BD386" s="171"/>
      <c r="BE386" s="171"/>
      <c r="BF386" s="225"/>
      <c r="BG386" s="171"/>
      <c r="BH386" s="171"/>
      <c r="BI386" s="171"/>
      <c r="BJ386" s="171"/>
      <c r="BK386" s="171"/>
      <c r="BL386" s="171"/>
      <c r="BM386" s="171"/>
      <c r="BN386" s="171"/>
      <c r="BO386" s="171"/>
      <c r="BP386" s="171">
        <v>1</v>
      </c>
      <c r="BQ386" s="171">
        <v>1</v>
      </c>
      <c r="BR386" s="171"/>
      <c r="BS386" s="171"/>
      <c r="BT386" s="171"/>
      <c r="BU386" s="171"/>
      <c r="BV386" s="171"/>
      <c r="BW386" s="171"/>
      <c r="BX386" s="171">
        <v>1</v>
      </c>
      <c r="BY386" s="171">
        <v>1</v>
      </c>
      <c r="BZ386" s="171">
        <v>1</v>
      </c>
      <c r="CA386" s="171"/>
      <c r="CB386" s="171">
        <v>1</v>
      </c>
      <c r="CC386" s="171"/>
      <c r="CD386" s="171"/>
      <c r="CE386" s="171">
        <v>1</v>
      </c>
      <c r="CF386" s="171"/>
      <c r="CG386" s="171"/>
      <c r="CH386" s="171">
        <v>1</v>
      </c>
      <c r="CI386" s="171"/>
      <c r="CJ386" s="171"/>
      <c r="CK386" s="171"/>
      <c r="CL386" s="171"/>
      <c r="CM386">
        <f t="shared" si="46"/>
        <v>2050</v>
      </c>
    </row>
    <row r="387" spans="1:91">
      <c r="A387" s="171">
        <v>170</v>
      </c>
      <c r="B387" s="171" t="s">
        <v>902</v>
      </c>
      <c r="C387" s="171">
        <v>169</v>
      </c>
      <c r="D387" s="171" t="str">
        <f t="shared" si="47"/>
        <v/>
      </c>
      <c r="E387" s="171" t="s">
        <v>7223</v>
      </c>
      <c r="F387" s="174">
        <v>45476</v>
      </c>
      <c r="G387" s="171" t="s">
        <v>7220</v>
      </c>
      <c r="H387" s="173">
        <v>1113.7</v>
      </c>
      <c r="I387" s="171"/>
      <c r="J387" s="171" t="s">
        <v>4494</v>
      </c>
      <c r="K387" s="171" t="s">
        <v>73</v>
      </c>
      <c r="L387" s="171" t="s">
        <v>1994</v>
      </c>
      <c r="M387" s="171" t="s">
        <v>5032</v>
      </c>
      <c r="N387" s="171"/>
      <c r="O387" s="171"/>
      <c r="P387" s="171" t="s">
        <v>5032</v>
      </c>
      <c r="Q387" s="171"/>
      <c r="R387" s="171"/>
      <c r="S387" s="171"/>
      <c r="T387" s="171"/>
      <c r="U387" s="171"/>
      <c r="V387" s="175"/>
      <c r="W387" s="171"/>
      <c r="X387" s="171" t="s">
        <v>5032</v>
      </c>
      <c r="Y387" s="171"/>
      <c r="Z387" s="171"/>
      <c r="AA387" s="171" t="s">
        <v>5032</v>
      </c>
      <c r="AB387" s="171"/>
      <c r="AC387" s="171"/>
      <c r="AD387" s="171"/>
      <c r="AE387" s="171"/>
      <c r="AF387" s="171"/>
      <c r="AG387" s="171"/>
      <c r="AH387" s="171"/>
      <c r="AI387" s="171"/>
      <c r="AJ387" s="171"/>
      <c r="AK387" s="171"/>
      <c r="AL387" s="171" t="s">
        <v>7457</v>
      </c>
      <c r="AM387" s="171"/>
      <c r="AN387" s="171" t="s">
        <v>5032</v>
      </c>
      <c r="AO387" s="171"/>
      <c r="AP387" s="171"/>
      <c r="AQ387" s="171" t="s">
        <v>5032</v>
      </c>
      <c r="AR387" s="171"/>
      <c r="AS387" s="171"/>
      <c r="AT387" s="171"/>
      <c r="AU387" s="171"/>
      <c r="AV387" s="171"/>
      <c r="AW387" s="171"/>
      <c r="AX387" s="171"/>
      <c r="AY387" s="171"/>
      <c r="AZ387" s="171"/>
      <c r="BA387" s="171"/>
      <c r="BB387" s="171"/>
      <c r="BC387" s="171"/>
      <c r="BD387" s="171" t="s">
        <v>2082</v>
      </c>
      <c r="BE387" s="171"/>
      <c r="BF387" s="225" t="s">
        <v>2082</v>
      </c>
      <c r="BG387" s="171"/>
      <c r="BH387" s="171"/>
      <c r="BI387" s="171"/>
      <c r="BJ387" s="171"/>
      <c r="BK387" s="171"/>
      <c r="BL387" s="171"/>
      <c r="BM387" s="171"/>
      <c r="BN387" s="171"/>
      <c r="BO387" s="171"/>
      <c r="BP387" s="171"/>
      <c r="BQ387" s="171"/>
      <c r="BR387" s="171"/>
      <c r="BS387" s="171"/>
      <c r="BT387" s="171"/>
      <c r="BU387" s="171"/>
      <c r="BV387" s="171"/>
      <c r="BW387" s="171"/>
      <c r="BX387" s="171"/>
      <c r="BY387" s="171"/>
      <c r="BZ387" s="171"/>
      <c r="CA387" s="171"/>
      <c r="CB387" s="171"/>
      <c r="CC387" s="171"/>
      <c r="CD387" s="171"/>
      <c r="CE387" s="171"/>
      <c r="CF387" s="171"/>
      <c r="CG387" s="171"/>
      <c r="CH387" s="171"/>
      <c r="CI387" s="171"/>
      <c r="CJ387" s="171"/>
      <c r="CK387" s="171"/>
      <c r="CL387" s="171"/>
    </row>
    <row r="388" spans="1:91">
      <c r="A388" s="171">
        <v>460</v>
      </c>
      <c r="B388" s="171" t="s">
        <v>5319</v>
      </c>
      <c r="C388" s="171">
        <v>432</v>
      </c>
      <c r="D388" s="171" t="str">
        <f t="shared" si="47"/>
        <v/>
      </c>
      <c r="E388" s="171" t="s">
        <v>7259</v>
      </c>
      <c r="F388" s="174">
        <v>45511</v>
      </c>
      <c r="G388" s="171" t="s">
        <v>7220</v>
      </c>
      <c r="H388" s="173">
        <v>352.7</v>
      </c>
      <c r="I388" s="171"/>
      <c r="J388" s="171" t="s">
        <v>7456</v>
      </c>
      <c r="K388" s="171" t="s">
        <v>73</v>
      </c>
      <c r="L388" s="171" t="s">
        <v>1994</v>
      </c>
      <c r="M388" s="171" t="s">
        <v>5032</v>
      </c>
      <c r="N388" s="171"/>
      <c r="O388" s="171"/>
      <c r="P388" s="171" t="s">
        <v>5032</v>
      </c>
      <c r="Q388" s="171"/>
      <c r="R388" s="171"/>
      <c r="S388" s="171"/>
      <c r="T388" s="171"/>
      <c r="U388" s="171"/>
      <c r="V388" s="175"/>
      <c r="W388" s="171"/>
      <c r="X388" s="171" t="s">
        <v>5032</v>
      </c>
      <c r="Y388" s="171"/>
      <c r="Z388" s="171"/>
      <c r="AA388" s="171" t="s">
        <v>5032</v>
      </c>
      <c r="AB388" s="171"/>
      <c r="AC388" s="171"/>
      <c r="AD388" s="171"/>
      <c r="AE388" s="171"/>
      <c r="AF388" s="171"/>
      <c r="AG388" s="171"/>
      <c r="AH388" s="171"/>
      <c r="AI388" s="171"/>
      <c r="AJ388" s="171"/>
      <c r="AK388" s="171"/>
      <c r="AL388" s="171"/>
      <c r="AM388" s="171"/>
      <c r="AN388" s="171" t="s">
        <v>5032</v>
      </c>
      <c r="AO388" s="171"/>
      <c r="AP388" s="171"/>
      <c r="AQ388" s="171" t="s">
        <v>5032</v>
      </c>
      <c r="AR388" s="171"/>
      <c r="AS388" s="171"/>
      <c r="AT388" s="171"/>
      <c r="AU388" s="171"/>
      <c r="AV388" s="171"/>
      <c r="AW388" s="171"/>
      <c r="AX388" s="171"/>
      <c r="AY388" s="171"/>
      <c r="AZ388" s="171"/>
      <c r="BA388" s="171"/>
      <c r="BB388" s="171"/>
      <c r="BC388" s="171"/>
      <c r="BD388" s="171"/>
      <c r="BE388" s="171"/>
      <c r="BF388" s="225"/>
      <c r="BG388" s="171"/>
      <c r="BH388" s="171"/>
      <c r="BI388" s="171"/>
      <c r="BJ388" s="171"/>
      <c r="BK388" s="171"/>
      <c r="BL388" s="171"/>
      <c r="BM388" s="171"/>
      <c r="BN388" s="171"/>
      <c r="BO388" s="171"/>
      <c r="BP388" s="171"/>
      <c r="BQ388" s="171"/>
      <c r="BR388" s="171"/>
      <c r="BS388" s="171"/>
      <c r="BT388" s="171"/>
      <c r="BU388" s="171"/>
      <c r="BV388" s="171"/>
      <c r="BW388" s="171"/>
      <c r="BX388" s="171"/>
      <c r="BY388" s="171"/>
      <c r="BZ388" s="171"/>
      <c r="CA388" s="171"/>
      <c r="CB388" s="171"/>
      <c r="CC388" s="171"/>
      <c r="CD388" s="171"/>
      <c r="CE388" s="171"/>
      <c r="CF388" s="171"/>
      <c r="CG388" s="171"/>
      <c r="CH388" s="171"/>
      <c r="CI388" s="171"/>
      <c r="CJ388" s="171"/>
      <c r="CK388" s="171"/>
      <c r="CL388" s="171"/>
    </row>
    <row r="389" spans="1:91">
      <c r="A389" s="171">
        <v>285</v>
      </c>
      <c r="B389" s="171" t="s">
        <v>952</v>
      </c>
      <c r="C389" s="171">
        <v>269</v>
      </c>
      <c r="D389" s="171" t="str">
        <f t="shared" si="47"/>
        <v/>
      </c>
      <c r="E389" s="171" t="s">
        <v>7228</v>
      </c>
      <c r="F389" s="174">
        <v>45477</v>
      </c>
      <c r="G389" s="171" t="s">
        <v>7223</v>
      </c>
      <c r="H389" s="173">
        <v>997.3</v>
      </c>
      <c r="I389" s="171"/>
      <c r="J389" s="171" t="s">
        <v>4494</v>
      </c>
      <c r="K389" s="171" t="s">
        <v>73</v>
      </c>
      <c r="L389" s="171" t="s">
        <v>1994</v>
      </c>
      <c r="M389" s="171" t="s">
        <v>5032</v>
      </c>
      <c r="N389" s="171"/>
      <c r="O389" s="171"/>
      <c r="P389" s="171" t="s">
        <v>5032</v>
      </c>
      <c r="Q389" s="171"/>
      <c r="R389" s="171"/>
      <c r="S389" s="171"/>
      <c r="T389" s="171"/>
      <c r="U389" s="171"/>
      <c r="V389" s="175"/>
      <c r="W389" s="171"/>
      <c r="X389" s="171" t="s">
        <v>5032</v>
      </c>
      <c r="Y389" s="171"/>
      <c r="Z389" s="171"/>
      <c r="AA389" s="171" t="s">
        <v>5032</v>
      </c>
      <c r="AB389" s="171"/>
      <c r="AC389" s="171"/>
      <c r="AD389" s="171"/>
      <c r="AE389" s="171"/>
      <c r="AF389" s="171"/>
      <c r="AG389" s="171"/>
      <c r="AH389" s="171"/>
      <c r="AI389" s="171"/>
      <c r="AJ389" s="171"/>
      <c r="AK389" s="171"/>
      <c r="AL389" s="171"/>
      <c r="AM389" s="171"/>
      <c r="AN389" s="171" t="s">
        <v>5032</v>
      </c>
      <c r="AO389" s="171"/>
      <c r="AP389" s="171"/>
      <c r="AQ389" s="171" t="s">
        <v>5032</v>
      </c>
      <c r="AR389" s="171"/>
      <c r="AS389" s="171"/>
      <c r="AT389" s="171"/>
      <c r="AU389" s="171"/>
      <c r="AV389" s="171"/>
      <c r="AW389" s="171"/>
      <c r="AX389" s="171"/>
      <c r="AY389" s="171"/>
      <c r="AZ389" s="171"/>
      <c r="BA389" s="171"/>
      <c r="BB389" s="171"/>
      <c r="BC389" s="171"/>
      <c r="BD389" s="171"/>
      <c r="BE389" s="171"/>
      <c r="BF389" s="225"/>
      <c r="BG389" s="171"/>
      <c r="BH389" s="171"/>
      <c r="BI389" s="171"/>
      <c r="BJ389" s="171"/>
      <c r="BK389" s="171"/>
      <c r="BL389" s="171"/>
      <c r="BM389" s="171"/>
      <c r="BN389" s="171"/>
      <c r="BO389" s="171"/>
      <c r="BP389" s="171"/>
      <c r="BQ389" s="171"/>
      <c r="BR389" s="171"/>
      <c r="BS389" s="171"/>
      <c r="BT389" s="171"/>
      <c r="BU389" s="171"/>
      <c r="BV389" s="171"/>
      <c r="BW389" s="171"/>
      <c r="BX389" s="171"/>
      <c r="BY389" s="171"/>
      <c r="BZ389" s="171"/>
      <c r="CA389" s="171"/>
      <c r="CB389" s="171"/>
      <c r="CC389" s="171"/>
      <c r="CD389" s="171"/>
      <c r="CE389" s="171"/>
      <c r="CF389" s="171"/>
      <c r="CG389" s="171"/>
      <c r="CH389" s="171"/>
      <c r="CI389" s="171"/>
      <c r="CJ389" s="171"/>
      <c r="CK389" s="171"/>
      <c r="CL389" s="171"/>
    </row>
    <row r="390" spans="1:91">
      <c r="A390" s="171">
        <v>75</v>
      </c>
      <c r="B390" s="171" t="s">
        <v>1128</v>
      </c>
      <c r="C390" s="171">
        <v>72</v>
      </c>
      <c r="D390" s="171" t="str">
        <f t="shared" si="47"/>
        <v/>
      </c>
      <c r="E390" s="171" t="s">
        <v>7221</v>
      </c>
      <c r="F390" s="174">
        <v>45475</v>
      </c>
      <c r="G390" s="171" t="s">
        <v>7220</v>
      </c>
      <c r="H390" s="173">
        <v>829.6</v>
      </c>
      <c r="I390" s="171"/>
      <c r="J390" s="171" t="s">
        <v>4494</v>
      </c>
      <c r="K390" s="171" t="s">
        <v>73</v>
      </c>
      <c r="L390" s="171" t="s">
        <v>1994</v>
      </c>
      <c r="M390" s="171" t="s">
        <v>5032</v>
      </c>
      <c r="N390" s="171"/>
      <c r="O390" s="171"/>
      <c r="P390" s="171" t="s">
        <v>5032</v>
      </c>
      <c r="Q390" s="171"/>
      <c r="R390" s="171"/>
      <c r="S390" s="171"/>
      <c r="T390" s="171"/>
      <c r="U390" s="171"/>
      <c r="V390" s="175"/>
      <c r="W390" s="171"/>
      <c r="X390" s="171" t="s">
        <v>4519</v>
      </c>
      <c r="Y390" s="171" t="s">
        <v>7455</v>
      </c>
      <c r="Z390" s="171" t="s">
        <v>7225</v>
      </c>
      <c r="AA390" s="171" t="s">
        <v>4519</v>
      </c>
      <c r="AB390" s="171">
        <v>2060</v>
      </c>
      <c r="AC390" s="171">
        <v>2021</v>
      </c>
      <c r="AD390" s="171"/>
      <c r="AE390" s="171"/>
      <c r="AF390" s="171"/>
      <c r="AG390" s="171"/>
      <c r="AH390" s="171"/>
      <c r="AI390" s="171"/>
      <c r="AJ390" s="171"/>
      <c r="AK390" s="171"/>
      <c r="AL390" s="171" t="s">
        <v>7454</v>
      </c>
      <c r="AM390" s="171" t="s">
        <v>7453</v>
      </c>
      <c r="AN390" s="171" t="s">
        <v>5032</v>
      </c>
      <c r="AO390" s="171"/>
      <c r="AP390" s="171"/>
      <c r="AQ390" s="171" t="s">
        <v>5032</v>
      </c>
      <c r="AR390" s="171"/>
      <c r="AS390" s="171"/>
      <c r="AT390" s="171"/>
      <c r="AU390" s="171"/>
      <c r="AV390" s="171"/>
      <c r="AW390" s="171"/>
      <c r="AX390" s="171"/>
      <c r="AY390" s="171"/>
      <c r="AZ390" s="171"/>
      <c r="BA390" s="171"/>
      <c r="BB390" s="171"/>
      <c r="BC390" s="171"/>
      <c r="BD390" s="171"/>
      <c r="BE390" s="171"/>
      <c r="BF390" s="225"/>
      <c r="BG390" s="171"/>
      <c r="BH390" s="171"/>
      <c r="BI390" s="171"/>
      <c r="BJ390" s="171"/>
      <c r="BK390" s="171"/>
      <c r="BL390" s="171"/>
      <c r="BM390" s="171"/>
      <c r="BN390" s="171"/>
      <c r="BO390" s="171"/>
      <c r="BP390" s="171"/>
      <c r="BQ390" s="171"/>
      <c r="BR390" s="171"/>
      <c r="BS390" s="171"/>
      <c r="BT390" s="171"/>
      <c r="BU390" s="171"/>
      <c r="BV390" s="171"/>
      <c r="BW390" s="171"/>
      <c r="BX390" s="171"/>
      <c r="BY390" s="171"/>
      <c r="BZ390" s="171"/>
      <c r="CA390" s="171"/>
      <c r="CB390" s="171"/>
      <c r="CC390" s="171"/>
      <c r="CD390" s="171"/>
      <c r="CE390" s="171"/>
      <c r="CF390" s="171"/>
      <c r="CG390" s="171"/>
      <c r="CH390" s="171"/>
      <c r="CI390" s="171"/>
      <c r="CJ390" s="171"/>
      <c r="CK390" s="171"/>
      <c r="CL390" s="171"/>
    </row>
    <row r="391" spans="1:91">
      <c r="A391" s="171">
        <v>412</v>
      </c>
      <c r="B391" s="171" t="s">
        <v>4509</v>
      </c>
      <c r="C391" s="171">
        <v>440</v>
      </c>
      <c r="D391" s="171" t="str">
        <f t="shared" si="47"/>
        <v/>
      </c>
      <c r="E391" s="171" t="s">
        <v>7385</v>
      </c>
      <c r="F391" s="174">
        <v>45512</v>
      </c>
      <c r="G391" s="171" t="s">
        <v>7220</v>
      </c>
      <c r="H391" s="173">
        <v>491.6</v>
      </c>
      <c r="I391" s="171"/>
      <c r="J391" s="171" t="s">
        <v>4179</v>
      </c>
      <c r="K391" s="171" t="s">
        <v>73</v>
      </c>
      <c r="L391" s="171" t="s">
        <v>1994</v>
      </c>
      <c r="M391" s="171" t="s">
        <v>5032</v>
      </c>
      <c r="N391" s="171"/>
      <c r="O391" s="171"/>
      <c r="P391" s="171" t="s">
        <v>5032</v>
      </c>
      <c r="Q391" s="171"/>
      <c r="R391" s="171"/>
      <c r="S391" s="171"/>
      <c r="T391" s="171"/>
      <c r="U391" s="171"/>
      <c r="V391" s="175"/>
      <c r="W391" s="171"/>
      <c r="X391" s="171" t="s">
        <v>5032</v>
      </c>
      <c r="Y391" s="171"/>
      <c r="Z391" s="171"/>
      <c r="AA391" s="171" t="s">
        <v>5032</v>
      </c>
      <c r="AB391" s="171"/>
      <c r="AC391" s="171"/>
      <c r="AD391" s="171"/>
      <c r="AE391" s="171"/>
      <c r="AF391" s="171"/>
      <c r="AG391" s="171"/>
      <c r="AH391" s="171"/>
      <c r="AI391" s="171"/>
      <c r="AJ391" s="171"/>
      <c r="AK391" s="171"/>
      <c r="AL391" s="171"/>
      <c r="AM391" s="171"/>
      <c r="AN391" s="171" t="s">
        <v>5032</v>
      </c>
      <c r="AO391" s="171"/>
      <c r="AP391" s="171"/>
      <c r="AQ391" s="171" t="s">
        <v>5032</v>
      </c>
      <c r="AR391" s="171"/>
      <c r="AS391" s="171"/>
      <c r="AT391" s="171"/>
      <c r="AU391" s="171"/>
      <c r="AV391" s="171"/>
      <c r="AW391" s="171"/>
      <c r="AX391" s="171"/>
      <c r="AY391" s="171"/>
      <c r="AZ391" s="171"/>
      <c r="BA391" s="171"/>
      <c r="BB391" s="171"/>
      <c r="BC391" s="171"/>
      <c r="BD391" s="171"/>
      <c r="BE391" s="171"/>
      <c r="BF391" s="225"/>
      <c r="BG391" s="171"/>
      <c r="BH391" s="171"/>
      <c r="BI391" s="171"/>
      <c r="BJ391" s="171"/>
      <c r="BK391" s="171"/>
      <c r="BL391" s="171"/>
      <c r="BM391" s="171"/>
      <c r="BN391" s="171"/>
      <c r="BO391" s="171"/>
      <c r="BP391" s="171"/>
      <c r="BQ391" s="171"/>
      <c r="BR391" s="171"/>
      <c r="BS391" s="171"/>
      <c r="BT391" s="171"/>
      <c r="BU391" s="171"/>
      <c r="BV391" s="171"/>
      <c r="BW391" s="171"/>
      <c r="BX391" s="171"/>
      <c r="BY391" s="171"/>
      <c r="BZ391" s="171"/>
      <c r="CA391" s="171"/>
      <c r="CB391" s="171"/>
      <c r="CC391" s="171"/>
      <c r="CD391" s="171"/>
      <c r="CE391" s="171"/>
      <c r="CF391" s="171"/>
      <c r="CG391" s="171"/>
      <c r="CH391" s="171"/>
      <c r="CI391" s="171"/>
      <c r="CJ391" s="171"/>
      <c r="CK391" s="171"/>
      <c r="CL391" s="171"/>
    </row>
    <row r="392" spans="1:91">
      <c r="A392" s="171">
        <v>175</v>
      </c>
      <c r="B392" s="171" t="s">
        <v>926</v>
      </c>
      <c r="C392" s="171">
        <v>172</v>
      </c>
      <c r="D392" s="171" t="str">
        <f t="shared" si="47"/>
        <v xml:space="preserve"> NZ</v>
      </c>
      <c r="E392" s="171" t="s">
        <v>7223</v>
      </c>
      <c r="F392" s="174">
        <v>45476</v>
      </c>
      <c r="G392" s="171" t="s">
        <v>7220</v>
      </c>
      <c r="H392" s="173">
        <v>1192.3</v>
      </c>
      <c r="I392" s="171"/>
      <c r="J392" s="171" t="s">
        <v>4643</v>
      </c>
      <c r="K392" s="171" t="s">
        <v>73</v>
      </c>
      <c r="L392" s="171" t="s">
        <v>1994</v>
      </c>
      <c r="M392" s="171" t="s">
        <v>5032</v>
      </c>
      <c r="N392" s="171"/>
      <c r="O392" s="171"/>
      <c r="P392" s="171" t="s">
        <v>5032</v>
      </c>
      <c r="Q392" s="171"/>
      <c r="R392" s="171"/>
      <c r="S392" s="171"/>
      <c r="T392" s="171"/>
      <c r="U392" s="171"/>
      <c r="V392" s="175"/>
      <c r="W392" s="171"/>
      <c r="X392" s="171" t="s">
        <v>5032</v>
      </c>
      <c r="Y392" s="171"/>
      <c r="Z392" s="171"/>
      <c r="AA392" s="171" t="s">
        <v>5032</v>
      </c>
      <c r="AB392" s="171"/>
      <c r="AC392" s="171"/>
      <c r="AD392" s="171"/>
      <c r="AE392" s="171"/>
      <c r="AF392" s="171"/>
      <c r="AG392" s="171"/>
      <c r="AH392" s="171"/>
      <c r="AI392" s="171"/>
      <c r="AJ392" s="171"/>
      <c r="AK392" s="171"/>
      <c r="AL392" s="176"/>
      <c r="AM392" s="171"/>
      <c r="AN392" s="171" t="s">
        <v>1957</v>
      </c>
      <c r="AO392" s="171" t="s">
        <v>4223</v>
      </c>
      <c r="AP392" s="171" t="s">
        <v>7303</v>
      </c>
      <c r="AQ392" s="171" t="s">
        <v>1957</v>
      </c>
      <c r="AR392" s="171">
        <v>2055</v>
      </c>
      <c r="AS392" s="171">
        <v>2022</v>
      </c>
      <c r="AT392" s="171"/>
      <c r="AU392" s="171"/>
      <c r="AV392" s="171"/>
      <c r="AW392" s="171" t="s">
        <v>2082</v>
      </c>
      <c r="AX392" s="176" t="s">
        <v>7452</v>
      </c>
      <c r="AY392" s="171"/>
      <c r="AZ392" s="171"/>
      <c r="BA392" s="171"/>
      <c r="BB392" s="171"/>
      <c r="BC392" s="171"/>
      <c r="BD392" s="171" t="s">
        <v>5032</v>
      </c>
      <c r="BE392" s="171"/>
      <c r="BF392" s="225" t="s">
        <v>5032</v>
      </c>
      <c r="BG392" s="171"/>
      <c r="BH392" s="171"/>
      <c r="BI392" s="171"/>
      <c r="BJ392" s="171"/>
      <c r="BK392" s="171"/>
      <c r="BL392" s="171"/>
      <c r="BM392" s="171"/>
      <c r="BN392" s="171"/>
      <c r="BO392" s="171"/>
      <c r="BP392" s="171"/>
      <c r="BQ392" s="171">
        <v>1</v>
      </c>
      <c r="BR392" s="171"/>
      <c r="BS392" s="171"/>
      <c r="BT392" s="171"/>
      <c r="BU392" s="171"/>
      <c r="BV392" s="171"/>
      <c r="BW392" s="171"/>
      <c r="BX392" s="171"/>
      <c r="BY392" s="171"/>
      <c r="BZ392" s="171">
        <v>1</v>
      </c>
      <c r="CA392" s="171"/>
      <c r="CB392" s="171"/>
      <c r="CC392" s="171"/>
      <c r="CD392" s="171"/>
      <c r="CE392" s="171">
        <v>1</v>
      </c>
      <c r="CF392" s="171"/>
      <c r="CG392" s="171"/>
      <c r="CH392" s="171"/>
      <c r="CI392" s="171"/>
      <c r="CJ392" s="171"/>
      <c r="CK392" s="171"/>
      <c r="CL392" s="171"/>
      <c r="CM392">
        <f t="shared" ref="CM387:CM450" si="48">MAX(U392,AR392)</f>
        <v>2055</v>
      </c>
    </row>
    <row r="393" spans="1:91">
      <c r="A393" s="171">
        <v>354</v>
      </c>
      <c r="B393" s="171" t="s">
        <v>2449</v>
      </c>
      <c r="C393" s="171">
        <v>351</v>
      </c>
      <c r="D393" s="171" t="str">
        <f t="shared" si="47"/>
        <v/>
      </c>
      <c r="E393" s="171" t="s">
        <v>7228</v>
      </c>
      <c r="F393" s="174">
        <v>45482</v>
      </c>
      <c r="G393" s="171" t="s">
        <v>7220</v>
      </c>
      <c r="H393" s="173">
        <v>220.1</v>
      </c>
      <c r="I393" s="171"/>
      <c r="J393" s="171" t="s">
        <v>4197</v>
      </c>
      <c r="K393" s="171" t="s">
        <v>73</v>
      </c>
      <c r="L393" s="171" t="s">
        <v>1994</v>
      </c>
      <c r="M393" s="171" t="s">
        <v>5032</v>
      </c>
      <c r="N393" s="171"/>
      <c r="O393" s="171"/>
      <c r="P393" s="171" t="s">
        <v>5032</v>
      </c>
      <c r="Q393" s="171"/>
      <c r="R393" s="171"/>
      <c r="S393" s="171"/>
      <c r="T393" s="171"/>
      <c r="U393" s="171"/>
      <c r="V393" s="175"/>
      <c r="W393" s="171"/>
      <c r="X393" s="171" t="s">
        <v>5032</v>
      </c>
      <c r="Y393" s="171"/>
      <c r="Z393" s="171"/>
      <c r="AA393" s="171" t="s">
        <v>5032</v>
      </c>
      <c r="AB393" s="171"/>
      <c r="AC393" s="171"/>
      <c r="AD393" s="171"/>
      <c r="AE393" s="171"/>
      <c r="AF393" s="171"/>
      <c r="AG393" s="171"/>
      <c r="AH393" s="171"/>
      <c r="AI393" s="171"/>
      <c r="AJ393" s="171"/>
      <c r="AK393" s="171"/>
      <c r="AL393" s="171"/>
      <c r="AM393" s="171"/>
      <c r="AN393" s="171" t="s">
        <v>5032</v>
      </c>
      <c r="AO393" s="171"/>
      <c r="AP393" s="171"/>
      <c r="AQ393" s="171" t="s">
        <v>5032</v>
      </c>
      <c r="AR393" s="171"/>
      <c r="AS393" s="171"/>
      <c r="AT393" s="171"/>
      <c r="AU393" s="171"/>
      <c r="AV393" s="171"/>
      <c r="AW393" s="171"/>
      <c r="AX393" s="171"/>
      <c r="AY393" s="171"/>
      <c r="AZ393" s="171"/>
      <c r="BA393" s="171"/>
      <c r="BB393" s="171"/>
      <c r="BC393" s="171"/>
      <c r="BD393" s="171"/>
      <c r="BE393" s="171"/>
      <c r="BF393" s="225"/>
      <c r="BG393" s="171"/>
      <c r="BH393" s="171"/>
      <c r="BI393" s="171"/>
      <c r="BJ393" s="171"/>
      <c r="BK393" s="171"/>
      <c r="BL393" s="171"/>
      <c r="BM393" s="171"/>
      <c r="BN393" s="171"/>
      <c r="BO393" s="171"/>
      <c r="BP393" s="171"/>
      <c r="BQ393" s="171"/>
      <c r="BR393" s="171"/>
      <c r="BS393" s="171"/>
      <c r="BT393" s="171"/>
      <c r="BU393" s="171"/>
      <c r="BV393" s="171"/>
      <c r="BW393" s="171"/>
      <c r="BX393" s="171"/>
      <c r="BY393" s="171"/>
      <c r="BZ393" s="171"/>
      <c r="CA393" s="171"/>
      <c r="CB393" s="171"/>
      <c r="CC393" s="171"/>
      <c r="CD393" s="171"/>
      <c r="CE393" s="171"/>
      <c r="CF393" s="171"/>
      <c r="CG393" s="171"/>
      <c r="CH393" s="171"/>
      <c r="CI393" s="171"/>
      <c r="CJ393" s="171"/>
      <c r="CK393" s="171"/>
      <c r="CL393" s="171"/>
    </row>
    <row r="394" spans="1:91">
      <c r="A394" s="171">
        <v>452</v>
      </c>
      <c r="B394" s="171" t="s">
        <v>4495</v>
      </c>
      <c r="C394" s="171">
        <v>451</v>
      </c>
      <c r="D394" s="171" t="str">
        <f t="shared" si="47"/>
        <v/>
      </c>
      <c r="E394" s="171" t="s">
        <v>7223</v>
      </c>
      <c r="F394" s="174">
        <v>45512</v>
      </c>
      <c r="G394" s="171" t="s">
        <v>7223</v>
      </c>
      <c r="H394" s="173">
        <v>223.3</v>
      </c>
      <c r="I394" s="171"/>
      <c r="J394" s="171" t="s">
        <v>4494</v>
      </c>
      <c r="K394" s="171" t="s">
        <v>73</v>
      </c>
      <c r="L394" s="171" t="s">
        <v>1994</v>
      </c>
      <c r="M394" s="171" t="s">
        <v>5032</v>
      </c>
      <c r="N394" s="171"/>
      <c r="O394" s="171"/>
      <c r="P394" s="171" t="s">
        <v>5032</v>
      </c>
      <c r="Q394" s="171"/>
      <c r="R394" s="171"/>
      <c r="S394" s="171"/>
      <c r="T394" s="171"/>
      <c r="U394" s="171"/>
      <c r="V394" s="175"/>
      <c r="W394" s="171"/>
      <c r="X394" s="171" t="s">
        <v>5032</v>
      </c>
      <c r="Y394" s="171"/>
      <c r="Z394" s="171"/>
      <c r="AA394" s="171" t="s">
        <v>5032</v>
      </c>
      <c r="AB394" s="171"/>
      <c r="AC394" s="171"/>
      <c r="AD394" s="171"/>
      <c r="AE394" s="171"/>
      <c r="AF394" s="171"/>
      <c r="AG394" s="171"/>
      <c r="AH394" s="171"/>
      <c r="AI394" s="171"/>
      <c r="AJ394" s="171"/>
      <c r="AK394" s="171"/>
      <c r="AL394" s="171"/>
      <c r="AM394" s="171" t="s">
        <v>7451</v>
      </c>
      <c r="AN394" s="171" t="s">
        <v>5032</v>
      </c>
      <c r="AO394" s="171"/>
      <c r="AP394" s="171"/>
      <c r="AQ394" s="171" t="s">
        <v>5032</v>
      </c>
      <c r="AR394" s="171"/>
      <c r="AS394" s="171"/>
      <c r="AT394" s="171"/>
      <c r="AU394" s="171"/>
      <c r="AV394" s="171"/>
      <c r="AW394" s="171"/>
      <c r="AX394" s="171"/>
      <c r="AY394" s="171"/>
      <c r="AZ394" s="171"/>
      <c r="BA394" s="171"/>
      <c r="BB394" s="171"/>
      <c r="BC394" s="171" t="s">
        <v>7451</v>
      </c>
      <c r="BD394" s="171"/>
      <c r="BE394" s="171"/>
      <c r="BF394" s="225"/>
      <c r="BG394" s="171"/>
      <c r="BH394" s="171"/>
      <c r="BI394" s="171"/>
      <c r="BJ394" s="171"/>
      <c r="BK394" s="171"/>
      <c r="BL394" s="171"/>
      <c r="BM394" s="171"/>
      <c r="BN394" s="171"/>
      <c r="BO394" s="171"/>
      <c r="BP394" s="171"/>
      <c r="BQ394" s="171"/>
      <c r="BR394" s="171"/>
      <c r="BS394" s="171"/>
      <c r="BT394" s="171"/>
      <c r="BU394" s="171"/>
      <c r="BV394" s="171"/>
      <c r="BW394" s="171"/>
      <c r="BX394" s="171"/>
      <c r="BY394" s="171"/>
      <c r="BZ394" s="171"/>
      <c r="CA394" s="171"/>
      <c r="CB394" s="171"/>
      <c r="CC394" s="171"/>
      <c r="CD394" s="171"/>
      <c r="CE394" s="171"/>
      <c r="CF394" s="171"/>
      <c r="CG394" s="171"/>
      <c r="CH394" s="171"/>
      <c r="CI394" s="171"/>
      <c r="CJ394" s="171"/>
      <c r="CK394" s="171"/>
      <c r="CL394" s="171"/>
    </row>
    <row r="395" spans="1:91">
      <c r="A395" s="171">
        <v>411</v>
      </c>
      <c r="B395" s="171" t="s">
        <v>2446</v>
      </c>
      <c r="C395" s="171">
        <v>438</v>
      </c>
      <c r="D395" s="171" t="str">
        <f t="shared" si="47"/>
        <v/>
      </c>
      <c r="E395" s="171" t="s">
        <v>7385</v>
      </c>
      <c r="F395" s="174">
        <v>45512</v>
      </c>
      <c r="G395" s="171" t="s">
        <v>7220</v>
      </c>
      <c r="H395" s="173">
        <v>532.29999999999995</v>
      </c>
      <c r="I395" s="171"/>
      <c r="J395" s="171" t="s">
        <v>4467</v>
      </c>
      <c r="K395" s="171" t="s">
        <v>73</v>
      </c>
      <c r="L395" s="171" t="s">
        <v>1994</v>
      </c>
      <c r="M395" s="171" t="s">
        <v>5032</v>
      </c>
      <c r="N395" s="171"/>
      <c r="O395" s="171"/>
      <c r="P395" s="171" t="s">
        <v>5032</v>
      </c>
      <c r="Q395" s="171"/>
      <c r="R395" s="171"/>
      <c r="S395" s="171"/>
      <c r="T395" s="171"/>
      <c r="U395" s="171"/>
      <c r="V395" s="175"/>
      <c r="W395" s="171"/>
      <c r="X395" s="171" t="s">
        <v>4519</v>
      </c>
      <c r="Y395" s="171" t="s">
        <v>1659</v>
      </c>
      <c r="Z395" s="171" t="s">
        <v>3283</v>
      </c>
      <c r="AA395" s="171" t="s">
        <v>4519</v>
      </c>
      <c r="AB395" s="171">
        <v>2060</v>
      </c>
      <c r="AC395" s="171">
        <v>2021</v>
      </c>
      <c r="AD395" s="171"/>
      <c r="AE395" s="171"/>
      <c r="AF395" s="171"/>
      <c r="AG395" s="171"/>
      <c r="AH395" s="171"/>
      <c r="AI395" s="171"/>
      <c r="AJ395" s="171"/>
      <c r="AK395" s="171"/>
      <c r="AL395" s="171" t="s">
        <v>7450</v>
      </c>
      <c r="AM395" s="171"/>
      <c r="AN395" s="171" t="s">
        <v>5032</v>
      </c>
      <c r="AO395" s="171"/>
      <c r="AP395" s="171"/>
      <c r="AQ395" s="171" t="s">
        <v>5032</v>
      </c>
      <c r="AR395" s="171"/>
      <c r="AS395" s="171"/>
      <c r="AT395" s="171"/>
      <c r="AU395" s="171"/>
      <c r="AV395" s="171"/>
      <c r="AW395" s="171"/>
      <c r="AX395" s="171"/>
      <c r="AY395" s="171"/>
      <c r="AZ395" s="171"/>
      <c r="BA395" s="171"/>
      <c r="BB395" s="171"/>
      <c r="BC395" s="171"/>
      <c r="BD395" s="171"/>
      <c r="BE395" s="171"/>
      <c r="BF395" s="225"/>
      <c r="BG395" s="171"/>
      <c r="BH395" s="171"/>
      <c r="BI395" s="171"/>
      <c r="BJ395" s="171"/>
      <c r="BK395" s="171"/>
      <c r="BL395" s="171"/>
      <c r="BM395" s="171"/>
      <c r="BN395" s="171"/>
      <c r="BO395" s="171"/>
      <c r="BP395" s="171"/>
      <c r="BQ395" s="171"/>
      <c r="BR395" s="171"/>
      <c r="BS395" s="171"/>
      <c r="BT395" s="171"/>
      <c r="BU395" s="171"/>
      <c r="BV395" s="171"/>
      <c r="BW395" s="171"/>
      <c r="BX395" s="171"/>
      <c r="BY395" s="171"/>
      <c r="BZ395" s="171"/>
      <c r="CA395" s="171"/>
      <c r="CB395" s="171"/>
      <c r="CC395" s="171"/>
      <c r="CD395" s="171"/>
      <c r="CE395" s="171"/>
      <c r="CF395" s="171"/>
      <c r="CG395" s="171"/>
      <c r="CH395" s="171"/>
      <c r="CI395" s="171"/>
      <c r="CJ395" s="171"/>
      <c r="CK395" s="171"/>
      <c r="CL395" s="171"/>
    </row>
    <row r="396" spans="1:91">
      <c r="A396" s="171">
        <v>292</v>
      </c>
      <c r="B396" s="171" t="s">
        <v>1116</v>
      </c>
      <c r="C396" s="171">
        <v>260</v>
      </c>
      <c r="D396" s="171" t="str">
        <f t="shared" si="47"/>
        <v/>
      </c>
      <c r="E396" s="171" t="s">
        <v>7223</v>
      </c>
      <c r="F396" s="174">
        <v>45477</v>
      </c>
      <c r="G396" s="171" t="s">
        <v>7223</v>
      </c>
      <c r="H396" s="173">
        <v>5184.5</v>
      </c>
      <c r="I396" s="171"/>
      <c r="J396" s="171" t="s">
        <v>4465</v>
      </c>
      <c r="K396" s="171" t="s">
        <v>73</v>
      </c>
      <c r="L396" s="171" t="s">
        <v>1994</v>
      </c>
      <c r="M396" s="171" t="s">
        <v>5032</v>
      </c>
      <c r="N396" s="171"/>
      <c r="O396" s="171"/>
      <c r="P396" s="171" t="s">
        <v>5032</v>
      </c>
      <c r="Q396" s="171"/>
      <c r="R396" s="171"/>
      <c r="S396" s="171"/>
      <c r="T396" s="171"/>
      <c r="U396" s="171"/>
      <c r="V396" s="175"/>
      <c r="W396" s="171"/>
      <c r="X396" s="171" t="s">
        <v>4519</v>
      </c>
      <c r="Y396" s="171" t="s">
        <v>5131</v>
      </c>
      <c r="Z396" s="178" t="s">
        <v>3283</v>
      </c>
      <c r="AA396" s="171" t="s">
        <v>4519</v>
      </c>
      <c r="AB396" s="171">
        <v>2060</v>
      </c>
      <c r="AC396" s="171">
        <v>2021</v>
      </c>
      <c r="AD396" s="171"/>
      <c r="AE396" s="171"/>
      <c r="AF396" s="171"/>
      <c r="AG396" s="171"/>
      <c r="AH396" s="171"/>
      <c r="AI396" s="171"/>
      <c r="AJ396" s="171"/>
      <c r="AK396" s="171"/>
      <c r="AL396" s="171" t="s">
        <v>7449</v>
      </c>
      <c r="AM396" s="171"/>
      <c r="AN396" s="171" t="s">
        <v>5032</v>
      </c>
      <c r="AO396" s="171"/>
      <c r="AP396" s="171"/>
      <c r="AQ396" s="171" t="s">
        <v>5032</v>
      </c>
      <c r="AR396" s="171"/>
      <c r="AS396" s="171"/>
      <c r="AT396" s="171"/>
      <c r="AU396" s="171"/>
      <c r="AV396" s="171"/>
      <c r="AW396" s="171"/>
      <c r="AX396" s="171"/>
      <c r="AY396" s="171"/>
      <c r="AZ396" s="171"/>
      <c r="BA396" s="171"/>
      <c r="BB396" s="171"/>
      <c r="BC396" s="171"/>
      <c r="BD396" s="171"/>
      <c r="BE396" s="171"/>
      <c r="BF396" s="225"/>
      <c r="BG396" s="171"/>
      <c r="BH396" s="171"/>
      <c r="BI396" s="171"/>
      <c r="BJ396" s="171"/>
      <c r="BK396" s="171"/>
      <c r="BL396" s="171"/>
      <c r="BM396" s="171"/>
      <c r="BN396" s="171"/>
      <c r="BO396" s="171"/>
      <c r="BP396" s="171"/>
      <c r="BQ396" s="171"/>
      <c r="BR396" s="171"/>
      <c r="BS396" s="171"/>
      <c r="BT396" s="171"/>
      <c r="BU396" s="171"/>
      <c r="BV396" s="171"/>
      <c r="BW396" s="171"/>
      <c r="BX396" s="171"/>
      <c r="BY396" s="171"/>
      <c r="BZ396" s="171"/>
      <c r="CA396" s="171"/>
      <c r="CB396" s="171"/>
      <c r="CC396" s="171"/>
      <c r="CD396" s="171"/>
      <c r="CE396" s="171"/>
      <c r="CF396" s="171"/>
      <c r="CG396" s="171"/>
      <c r="CH396" s="171"/>
      <c r="CI396" s="171"/>
      <c r="CJ396" s="171"/>
      <c r="CK396" s="171"/>
      <c r="CL396" s="171"/>
    </row>
    <row r="397" spans="1:91">
      <c r="A397" s="171">
        <v>471</v>
      </c>
      <c r="B397" s="171" t="s">
        <v>231</v>
      </c>
      <c r="C397" s="171">
        <v>359</v>
      </c>
      <c r="D397" s="171" t="str">
        <f t="shared" si="47"/>
        <v/>
      </c>
      <c r="E397" s="171" t="s">
        <v>7220</v>
      </c>
      <c r="F397" s="174">
        <v>45481</v>
      </c>
      <c r="G397" s="171" t="s">
        <v>7220</v>
      </c>
      <c r="H397" s="173">
        <v>1252.5</v>
      </c>
      <c r="I397" s="171"/>
      <c r="J397" s="171" t="s">
        <v>4494</v>
      </c>
      <c r="K397" s="171" t="s">
        <v>73</v>
      </c>
      <c r="L397" s="171" t="s">
        <v>1994</v>
      </c>
      <c r="M397" s="171" t="s">
        <v>5032</v>
      </c>
      <c r="N397" s="171"/>
      <c r="O397" s="171"/>
      <c r="P397" s="171" t="s">
        <v>5032</v>
      </c>
      <c r="Q397" s="171"/>
      <c r="R397" s="171"/>
      <c r="S397" s="171"/>
      <c r="T397" s="171"/>
      <c r="U397" s="171"/>
      <c r="V397" s="175"/>
      <c r="W397" s="171"/>
      <c r="X397" s="171" t="s">
        <v>5032</v>
      </c>
      <c r="Y397" s="171"/>
      <c r="Z397" s="171"/>
      <c r="AA397" s="171" t="s">
        <v>5032</v>
      </c>
      <c r="AB397" s="171"/>
      <c r="AC397" s="171"/>
      <c r="AD397" s="171"/>
      <c r="AE397" s="171"/>
      <c r="AF397" s="171"/>
      <c r="AG397" s="171"/>
      <c r="AH397" s="171"/>
      <c r="AI397" s="171"/>
      <c r="AJ397" s="171"/>
      <c r="AK397" s="171"/>
      <c r="AL397" s="171"/>
      <c r="AM397" s="171"/>
      <c r="AN397" s="171" t="s">
        <v>5032</v>
      </c>
      <c r="AO397" s="171"/>
      <c r="AP397" s="171"/>
      <c r="AQ397" s="171" t="s">
        <v>5032</v>
      </c>
      <c r="AR397" s="171"/>
      <c r="AS397" s="171"/>
      <c r="AT397" s="171"/>
      <c r="AU397" s="171"/>
      <c r="AV397" s="171"/>
      <c r="AW397" s="171"/>
      <c r="AX397" s="171"/>
      <c r="AY397" s="171"/>
      <c r="AZ397" s="171"/>
      <c r="BA397" s="171"/>
      <c r="BB397" s="171"/>
      <c r="BC397" s="171"/>
      <c r="BD397" s="171"/>
      <c r="BE397" s="171"/>
      <c r="BF397" s="225"/>
      <c r="BG397" s="171"/>
      <c r="BH397" s="171"/>
      <c r="BI397" s="171"/>
      <c r="BJ397" s="171"/>
      <c r="BK397" s="171"/>
      <c r="BL397" s="171"/>
      <c r="BM397" s="171"/>
      <c r="BN397" s="171"/>
      <c r="BO397" s="171"/>
      <c r="BP397" s="171"/>
      <c r="BQ397" s="171"/>
      <c r="BR397" s="171"/>
      <c r="BS397" s="171"/>
      <c r="BT397" s="171"/>
      <c r="BU397" s="171"/>
      <c r="BV397" s="171"/>
      <c r="BW397" s="171"/>
      <c r="BX397" s="171"/>
      <c r="BY397" s="171"/>
      <c r="BZ397" s="171"/>
      <c r="CA397" s="171"/>
      <c r="CB397" s="171"/>
      <c r="CC397" s="171"/>
      <c r="CD397" s="171"/>
      <c r="CE397" s="171"/>
      <c r="CF397" s="171"/>
      <c r="CG397" s="171"/>
      <c r="CH397" s="171"/>
      <c r="CI397" s="171"/>
      <c r="CJ397" s="171"/>
      <c r="CK397" s="171"/>
      <c r="CL397" s="171"/>
    </row>
    <row r="398" spans="1:91">
      <c r="A398" s="171">
        <v>13</v>
      </c>
      <c r="B398" s="171" t="s">
        <v>5006</v>
      </c>
      <c r="C398" s="171">
        <v>9</v>
      </c>
      <c r="D398" s="171" t="str">
        <f t="shared" si="47"/>
        <v xml:space="preserve"> NZ</v>
      </c>
      <c r="E398" s="171" t="s">
        <v>7220</v>
      </c>
      <c r="F398" s="174">
        <v>45474</v>
      </c>
      <c r="G398" s="171" t="s">
        <v>7223</v>
      </c>
      <c r="H398" s="173">
        <v>19359</v>
      </c>
      <c r="I398" s="171"/>
      <c r="J398" s="171" t="s">
        <v>3498</v>
      </c>
      <c r="K398" s="171" t="s">
        <v>96</v>
      </c>
      <c r="L398" s="171" t="s">
        <v>1951</v>
      </c>
      <c r="M398" s="171" t="s">
        <v>5032</v>
      </c>
      <c r="N398" s="171"/>
      <c r="O398" s="171"/>
      <c r="P398" s="171" t="s">
        <v>5032</v>
      </c>
      <c r="Q398" s="171"/>
      <c r="R398" s="171"/>
      <c r="S398" s="171"/>
      <c r="T398" s="171"/>
      <c r="U398" s="171"/>
      <c r="V398" s="175"/>
      <c r="W398" s="171"/>
      <c r="X398" s="171" t="s">
        <v>5032</v>
      </c>
      <c r="Y398" s="171"/>
      <c r="Z398" s="171"/>
      <c r="AA398" s="171" t="s">
        <v>5032</v>
      </c>
      <c r="AB398" s="171"/>
      <c r="AC398" s="171"/>
      <c r="AD398" s="171"/>
      <c r="AE398" s="171"/>
      <c r="AF398" s="171"/>
      <c r="AG398" s="171"/>
      <c r="AH398" s="171"/>
      <c r="AI398" s="171"/>
      <c r="AJ398" s="171"/>
      <c r="AK398" s="171"/>
      <c r="AL398" s="171"/>
      <c r="AM398" s="171"/>
      <c r="AN398" s="171" t="s">
        <v>1957</v>
      </c>
      <c r="AO398" s="171" t="s">
        <v>7448</v>
      </c>
      <c r="AP398" s="171" t="s">
        <v>2072</v>
      </c>
      <c r="AQ398" s="171" t="s">
        <v>1957</v>
      </c>
      <c r="AR398" s="171">
        <v>2050</v>
      </c>
      <c r="AS398" s="171">
        <v>2020</v>
      </c>
      <c r="AT398" s="171"/>
      <c r="AU398" s="171"/>
      <c r="AV398" s="171"/>
      <c r="AW398" s="171" t="s">
        <v>4174</v>
      </c>
      <c r="AX398" s="171" t="s">
        <v>7447</v>
      </c>
      <c r="AY398" s="171">
        <v>2023</v>
      </c>
      <c r="AZ398" s="171" t="s">
        <v>4174</v>
      </c>
      <c r="BA398" s="171" t="s">
        <v>7446</v>
      </c>
      <c r="BB398" s="171"/>
      <c r="BC398" s="171" t="s">
        <v>7445</v>
      </c>
      <c r="BD398" s="171"/>
      <c r="BE398" s="171"/>
      <c r="BF398" s="225"/>
      <c r="BG398" s="171"/>
      <c r="BH398" s="171"/>
      <c r="BI398" s="171"/>
      <c r="BJ398" s="171"/>
      <c r="BK398" s="171"/>
      <c r="BL398" s="171"/>
      <c r="BM398" s="171"/>
      <c r="BN398" s="171"/>
      <c r="BO398" s="171"/>
      <c r="BP398" s="171">
        <v>1</v>
      </c>
      <c r="BQ398" s="171">
        <v>1</v>
      </c>
      <c r="BR398" s="171"/>
      <c r="BS398" s="171"/>
      <c r="BT398" s="171"/>
      <c r="BU398" s="171"/>
      <c r="BV398" s="171"/>
      <c r="BW398" s="171"/>
      <c r="BX398" s="171"/>
      <c r="BY398" s="171"/>
      <c r="BZ398" s="171">
        <v>1</v>
      </c>
      <c r="CA398" s="171"/>
      <c r="CB398" s="171">
        <v>1</v>
      </c>
      <c r="CC398" s="171">
        <v>1</v>
      </c>
      <c r="CD398" s="171"/>
      <c r="CE398" s="171">
        <v>1</v>
      </c>
      <c r="CF398" s="171"/>
      <c r="CG398" s="171"/>
      <c r="CH398" s="171">
        <v>1</v>
      </c>
      <c r="CI398" s="171"/>
      <c r="CJ398" s="171"/>
      <c r="CK398" s="171"/>
      <c r="CL398" s="171"/>
      <c r="CM398">
        <f t="shared" si="48"/>
        <v>2050</v>
      </c>
    </row>
    <row r="399" spans="1:91">
      <c r="A399" s="171">
        <v>171</v>
      </c>
      <c r="B399" s="171" t="s">
        <v>2434</v>
      </c>
      <c r="C399" s="171">
        <v>222</v>
      </c>
      <c r="D399" s="171" t="str">
        <f t="shared" si="47"/>
        <v/>
      </c>
      <c r="E399" s="171" t="s">
        <v>7221</v>
      </c>
      <c r="F399" s="174">
        <v>45477</v>
      </c>
      <c r="G399" s="171" t="s">
        <v>7220</v>
      </c>
      <c r="H399" s="173">
        <v>548.5</v>
      </c>
      <c r="I399" s="171"/>
      <c r="J399" s="171" t="s">
        <v>66</v>
      </c>
      <c r="K399" s="171" t="s">
        <v>73</v>
      </c>
      <c r="L399" s="171" t="s">
        <v>1994</v>
      </c>
      <c r="M399" s="171" t="s">
        <v>5032</v>
      </c>
      <c r="N399" s="171"/>
      <c r="O399" s="171"/>
      <c r="P399" s="171" t="s">
        <v>5032</v>
      </c>
      <c r="Q399" s="171"/>
      <c r="R399" s="171"/>
      <c r="S399" s="171"/>
      <c r="T399" s="171"/>
      <c r="U399" s="171"/>
      <c r="V399" s="175"/>
      <c r="W399" s="171"/>
      <c r="X399" s="171" t="s">
        <v>5032</v>
      </c>
      <c r="Y399" s="171"/>
      <c r="Z399" s="171"/>
      <c r="AA399" s="171" t="s">
        <v>5032</v>
      </c>
      <c r="AB399" s="171"/>
      <c r="AC399" s="171"/>
      <c r="AD399" s="171"/>
      <c r="AE399" s="171"/>
      <c r="AF399" s="171"/>
      <c r="AG399" s="171"/>
      <c r="AH399" s="171"/>
      <c r="AI399" s="171"/>
      <c r="AJ399" s="171"/>
      <c r="AK399" s="171"/>
      <c r="AL399" s="171"/>
      <c r="AM399" s="171"/>
      <c r="AN399" s="171" t="s">
        <v>5032</v>
      </c>
      <c r="AO399" s="171"/>
      <c r="AP399" s="171"/>
      <c r="AQ399" s="171" t="s">
        <v>5032</v>
      </c>
      <c r="AR399" s="171"/>
      <c r="AS399" s="171"/>
      <c r="AT399" s="171"/>
      <c r="AU399" s="171"/>
      <c r="AV399" s="171"/>
      <c r="AW399" s="171"/>
      <c r="AX399" s="171" t="s">
        <v>7444</v>
      </c>
      <c r="AY399" s="171"/>
      <c r="AZ399" s="171"/>
      <c r="BA399" s="171"/>
      <c r="BB399" s="171"/>
      <c r="BC399" s="171"/>
      <c r="BD399" s="171"/>
      <c r="BE399" s="171"/>
      <c r="BF399" s="225"/>
      <c r="BG399" s="171"/>
      <c r="BH399" s="171"/>
      <c r="BI399" s="171"/>
      <c r="BJ399" s="171"/>
      <c r="BK399" s="171"/>
      <c r="BL399" s="171"/>
      <c r="BM399" s="171"/>
      <c r="BN399" s="171"/>
      <c r="BO399" s="171"/>
      <c r="BP399" s="171"/>
      <c r="BQ399" s="171"/>
      <c r="BR399" s="171"/>
      <c r="BS399" s="171"/>
      <c r="BT399" s="171"/>
      <c r="BU399" s="171"/>
      <c r="BV399" s="171"/>
      <c r="BW399" s="171"/>
      <c r="BX399" s="171"/>
      <c r="BY399" s="171"/>
      <c r="BZ399" s="171"/>
      <c r="CA399" s="171"/>
      <c r="CB399" s="171"/>
      <c r="CC399" s="171"/>
      <c r="CD399" s="171"/>
      <c r="CE399" s="171"/>
      <c r="CF399" s="171"/>
      <c r="CG399" s="171"/>
      <c r="CH399" s="171"/>
      <c r="CI399" s="171"/>
      <c r="CJ399" s="171"/>
      <c r="CK399" s="171"/>
      <c r="CL399" s="171"/>
    </row>
    <row r="400" spans="1:91">
      <c r="A400" s="171">
        <v>370</v>
      </c>
      <c r="B400" s="171" t="s">
        <v>2431</v>
      </c>
      <c r="C400" s="171">
        <v>391</v>
      </c>
      <c r="D400" s="171" t="str">
        <f t="shared" si="47"/>
        <v/>
      </c>
      <c r="E400" s="171" t="s">
        <v>7220</v>
      </c>
      <c r="F400" s="174">
        <v>45482</v>
      </c>
      <c r="G400" s="171" t="s">
        <v>7220</v>
      </c>
      <c r="H400" s="173">
        <v>1412.5</v>
      </c>
      <c r="I400" s="171"/>
      <c r="J400" s="171" t="s">
        <v>4465</v>
      </c>
      <c r="K400" s="171" t="s">
        <v>73</v>
      </c>
      <c r="L400" s="171" t="s">
        <v>1994</v>
      </c>
      <c r="M400" s="171" t="s">
        <v>5032</v>
      </c>
      <c r="N400" s="171"/>
      <c r="O400" s="171"/>
      <c r="P400" s="171" t="s">
        <v>5032</v>
      </c>
      <c r="Q400" s="171"/>
      <c r="R400" s="171"/>
      <c r="S400" s="171"/>
      <c r="T400" s="171"/>
      <c r="U400" s="171"/>
      <c r="V400" s="175"/>
      <c r="W400" s="171"/>
      <c r="X400" s="171" t="s">
        <v>5032</v>
      </c>
      <c r="Y400" s="171"/>
      <c r="Z400" s="171"/>
      <c r="AA400" s="171" t="s">
        <v>5032</v>
      </c>
      <c r="AB400" s="171"/>
      <c r="AC400" s="171"/>
      <c r="AD400" s="171"/>
      <c r="AE400" s="171"/>
      <c r="AF400" s="171"/>
      <c r="AG400" s="171"/>
      <c r="AH400" s="171"/>
      <c r="AI400" s="171"/>
      <c r="AJ400" s="171"/>
      <c r="AK400" s="171"/>
      <c r="AL400" s="171"/>
      <c r="AM400" s="171"/>
      <c r="AN400" s="171" t="s">
        <v>5032</v>
      </c>
      <c r="AO400" s="171"/>
      <c r="AP400" s="171"/>
      <c r="AQ400" s="171" t="s">
        <v>5032</v>
      </c>
      <c r="AR400" s="171"/>
      <c r="AS400" s="171"/>
      <c r="AT400" s="171"/>
      <c r="AU400" s="171"/>
      <c r="AV400" s="171"/>
      <c r="AW400" s="171"/>
      <c r="AX400" s="171"/>
      <c r="AY400" s="171"/>
      <c r="AZ400" s="171"/>
      <c r="BA400" s="171"/>
      <c r="BB400" s="171"/>
      <c r="BC400" s="171"/>
      <c r="BD400" s="171"/>
      <c r="BE400" s="171"/>
      <c r="BF400" s="225"/>
      <c r="BG400" s="171"/>
      <c r="BH400" s="171"/>
      <c r="BI400" s="171"/>
      <c r="BJ400" s="171"/>
      <c r="BK400" s="171"/>
      <c r="BL400" s="171"/>
      <c r="BM400" s="171"/>
      <c r="BN400" s="171"/>
      <c r="BO400" s="171"/>
      <c r="BP400" s="171"/>
      <c r="BQ400" s="171"/>
      <c r="BR400" s="171"/>
      <c r="BS400" s="171"/>
      <c r="BT400" s="171"/>
      <c r="BU400" s="171"/>
      <c r="BV400" s="171"/>
      <c r="BW400" s="171"/>
      <c r="BX400" s="171"/>
      <c r="BY400" s="171"/>
      <c r="BZ400" s="171"/>
      <c r="CA400" s="171"/>
      <c r="CB400" s="171"/>
      <c r="CC400" s="171"/>
      <c r="CD400" s="171"/>
      <c r="CE400" s="171"/>
      <c r="CF400" s="171"/>
      <c r="CG400" s="171"/>
      <c r="CH400" s="171"/>
      <c r="CI400" s="171"/>
      <c r="CJ400" s="171"/>
      <c r="CK400" s="171"/>
      <c r="CL400" s="171"/>
    </row>
    <row r="401" spans="1:91">
      <c r="A401" s="171">
        <v>470</v>
      </c>
      <c r="B401" s="171" t="s">
        <v>480</v>
      </c>
      <c r="C401" s="171">
        <v>410</v>
      </c>
      <c r="D401" s="171" t="str">
        <f t="shared" si="47"/>
        <v/>
      </c>
      <c r="E401" s="171" t="s">
        <v>7259</v>
      </c>
      <c r="F401" s="174">
        <v>45511</v>
      </c>
      <c r="G401" s="171" t="s">
        <v>7220</v>
      </c>
      <c r="H401" s="173">
        <v>343.8</v>
      </c>
      <c r="I401" s="171"/>
      <c r="J401" s="171" t="s">
        <v>4494</v>
      </c>
      <c r="K401" s="171" t="s">
        <v>73</v>
      </c>
      <c r="L401" s="171" t="s">
        <v>1994</v>
      </c>
      <c r="M401" s="171" t="s">
        <v>5032</v>
      </c>
      <c r="N401" s="171"/>
      <c r="O401" s="171"/>
      <c r="P401" s="171" t="s">
        <v>5032</v>
      </c>
      <c r="Q401" s="171"/>
      <c r="R401" s="171"/>
      <c r="S401" s="171"/>
      <c r="T401" s="171"/>
      <c r="U401" s="171"/>
      <c r="V401" s="175"/>
      <c r="W401" s="171"/>
      <c r="X401" s="171" t="s">
        <v>4519</v>
      </c>
      <c r="Y401" s="171"/>
      <c r="Z401" s="171"/>
      <c r="AA401" s="171" t="s">
        <v>4519</v>
      </c>
      <c r="AB401" s="171">
        <v>2060</v>
      </c>
      <c r="AC401" s="171">
        <v>2021</v>
      </c>
      <c r="AD401" s="171"/>
      <c r="AE401" s="171"/>
      <c r="AF401" s="171"/>
      <c r="AG401" s="171"/>
      <c r="AH401" s="171"/>
      <c r="AI401" s="171"/>
      <c r="AJ401" s="171"/>
      <c r="AK401" s="171"/>
      <c r="AL401" s="171" t="s">
        <v>5404</v>
      </c>
      <c r="AM401" s="171"/>
      <c r="AN401" s="171" t="s">
        <v>5032</v>
      </c>
      <c r="AO401" s="171"/>
      <c r="AP401" s="171"/>
      <c r="AQ401" s="171" t="s">
        <v>5032</v>
      </c>
      <c r="AR401" s="171"/>
      <c r="AS401" s="171"/>
      <c r="AT401" s="171"/>
      <c r="AU401" s="171"/>
      <c r="AV401" s="171"/>
      <c r="AW401" s="171"/>
      <c r="AX401" s="171"/>
      <c r="AY401" s="171"/>
      <c r="AZ401" s="171"/>
      <c r="BA401" s="171"/>
      <c r="BB401" s="171"/>
      <c r="BC401" s="171"/>
      <c r="BD401" s="171"/>
      <c r="BE401" s="171"/>
      <c r="BF401" s="225"/>
      <c r="BG401" s="171"/>
      <c r="BH401" s="171"/>
      <c r="BI401" s="171"/>
      <c r="BJ401" s="171"/>
      <c r="BK401" s="171"/>
      <c r="BL401" s="171"/>
      <c r="BM401" s="171"/>
      <c r="BN401" s="171"/>
      <c r="BO401" s="171"/>
      <c r="BP401" s="171"/>
      <c r="BQ401" s="171"/>
      <c r="BR401" s="171"/>
      <c r="BS401" s="171"/>
      <c r="BT401" s="171"/>
      <c r="BU401" s="171"/>
      <c r="BV401" s="171"/>
      <c r="BW401" s="171"/>
      <c r="BX401" s="171"/>
      <c r="BY401" s="171"/>
      <c r="BZ401" s="171"/>
      <c r="CA401" s="171"/>
      <c r="CB401" s="171"/>
      <c r="CC401" s="171"/>
      <c r="CD401" s="171"/>
      <c r="CE401" s="171"/>
      <c r="CF401" s="171"/>
      <c r="CG401" s="171"/>
      <c r="CH401" s="171"/>
      <c r="CI401" s="171"/>
      <c r="CJ401" s="171"/>
      <c r="CK401" s="171"/>
      <c r="CL401" s="171"/>
    </row>
    <row r="402" spans="1:91">
      <c r="A402" s="171">
        <v>436</v>
      </c>
      <c r="B402" s="171" t="s">
        <v>4577</v>
      </c>
      <c r="C402" s="171">
        <v>389</v>
      </c>
      <c r="D402" s="171" t="str">
        <f t="shared" si="47"/>
        <v/>
      </c>
      <c r="E402" s="171" t="s">
        <v>7220</v>
      </c>
      <c r="F402" s="174">
        <v>45482</v>
      </c>
      <c r="G402" s="171" t="s">
        <v>7220</v>
      </c>
      <c r="H402" s="173">
        <v>685.9</v>
      </c>
      <c r="I402" s="171"/>
      <c r="J402" s="171" t="s">
        <v>4197</v>
      </c>
      <c r="K402" s="171" t="s">
        <v>73</v>
      </c>
      <c r="L402" s="171" t="s">
        <v>1994</v>
      </c>
      <c r="M402" s="171" t="s">
        <v>5032</v>
      </c>
      <c r="N402" s="171"/>
      <c r="O402" s="171"/>
      <c r="P402" s="171" t="s">
        <v>5032</v>
      </c>
      <c r="Q402" s="171"/>
      <c r="R402" s="171"/>
      <c r="S402" s="171"/>
      <c r="T402" s="171"/>
      <c r="U402" s="171"/>
      <c r="V402" s="175"/>
      <c r="W402" s="171"/>
      <c r="X402" s="171" t="s">
        <v>5032</v>
      </c>
      <c r="Y402" s="171"/>
      <c r="Z402" s="171"/>
      <c r="AA402" s="171" t="s">
        <v>5032</v>
      </c>
      <c r="AB402" s="171"/>
      <c r="AC402" s="171"/>
      <c r="AD402" s="171"/>
      <c r="AE402" s="171"/>
      <c r="AF402" s="171"/>
      <c r="AG402" s="171"/>
      <c r="AH402" s="171"/>
      <c r="AI402" s="171"/>
      <c r="AJ402" s="171"/>
      <c r="AK402" s="171"/>
      <c r="AL402" s="171"/>
      <c r="AM402" s="171"/>
      <c r="AN402" s="171" t="s">
        <v>5032</v>
      </c>
      <c r="AO402" s="171"/>
      <c r="AP402" s="171"/>
      <c r="AQ402" s="171" t="s">
        <v>5032</v>
      </c>
      <c r="AR402" s="171"/>
      <c r="AS402" s="171"/>
      <c r="AT402" s="171"/>
      <c r="AU402" s="171"/>
      <c r="AV402" s="171"/>
      <c r="AW402" s="171"/>
      <c r="AX402" s="171"/>
      <c r="AY402" s="171"/>
      <c r="AZ402" s="171"/>
      <c r="BA402" s="171"/>
      <c r="BB402" s="171"/>
      <c r="BC402" s="171"/>
      <c r="BD402" s="171"/>
      <c r="BE402" s="171"/>
      <c r="BF402" s="225"/>
      <c r="BG402" s="171"/>
      <c r="BH402" s="171"/>
      <c r="BI402" s="171"/>
      <c r="BJ402" s="171"/>
      <c r="BK402" s="171"/>
      <c r="BL402" s="171"/>
      <c r="BM402" s="171"/>
      <c r="BN402" s="171"/>
      <c r="BO402" s="171"/>
      <c r="BP402" s="171"/>
      <c r="BQ402" s="171"/>
      <c r="BR402" s="171"/>
      <c r="BS402" s="171"/>
      <c r="BT402" s="171"/>
      <c r="BU402" s="171"/>
      <c r="BV402" s="171"/>
      <c r="BW402" s="171"/>
      <c r="BX402" s="171"/>
      <c r="BY402" s="171"/>
      <c r="BZ402" s="171"/>
      <c r="CA402" s="171"/>
      <c r="CB402" s="171"/>
      <c r="CC402" s="171"/>
      <c r="CD402" s="171"/>
      <c r="CE402" s="171"/>
      <c r="CF402" s="171"/>
      <c r="CG402" s="171"/>
      <c r="CH402" s="171"/>
      <c r="CI402" s="171"/>
      <c r="CJ402" s="171"/>
      <c r="CK402" s="171"/>
      <c r="CL402" s="171"/>
    </row>
    <row r="403" spans="1:91">
      <c r="A403" s="171">
        <v>145</v>
      </c>
      <c r="B403" s="171" t="s">
        <v>1656</v>
      </c>
      <c r="C403" s="171">
        <v>162</v>
      </c>
      <c r="D403" s="171" t="str">
        <f t="shared" si="47"/>
        <v>CN NZ SBT RE100</v>
      </c>
      <c r="E403" s="171" t="s">
        <v>7220</v>
      </c>
      <c r="F403" s="174">
        <v>45476</v>
      </c>
      <c r="G403" s="171" t="s">
        <v>7223</v>
      </c>
      <c r="H403" s="173">
        <v>8476.7000000000007</v>
      </c>
      <c r="I403" s="171"/>
      <c r="J403" s="171" t="s">
        <v>4459</v>
      </c>
      <c r="K403" s="171" t="s">
        <v>146</v>
      </c>
      <c r="L403" s="171" t="s">
        <v>1951</v>
      </c>
      <c r="M403" s="171" t="s">
        <v>4174</v>
      </c>
      <c r="N403" s="171">
        <v>2021</v>
      </c>
      <c r="O403" s="171">
        <v>2030</v>
      </c>
      <c r="P403" s="171" t="s">
        <v>4174</v>
      </c>
      <c r="Q403" s="171" t="s">
        <v>22</v>
      </c>
      <c r="R403" s="171" t="s">
        <v>7233</v>
      </c>
      <c r="S403" s="171">
        <v>2030</v>
      </c>
      <c r="T403" s="171" t="s">
        <v>361</v>
      </c>
      <c r="U403" s="171"/>
      <c r="V403" s="172">
        <v>44228</v>
      </c>
      <c r="W403" s="171">
        <v>2021</v>
      </c>
      <c r="X403" s="171" t="s">
        <v>1957</v>
      </c>
      <c r="Y403" s="171" t="s">
        <v>5131</v>
      </c>
      <c r="Z403" s="171" t="s">
        <v>3283</v>
      </c>
      <c r="AA403" s="171" t="s">
        <v>1957</v>
      </c>
      <c r="AB403" s="171">
        <v>2030</v>
      </c>
      <c r="AC403" s="171">
        <v>2015</v>
      </c>
      <c r="AD403" s="171"/>
      <c r="AE403" s="171"/>
      <c r="AF403" s="171"/>
      <c r="AG403" s="171" t="s">
        <v>4174</v>
      </c>
      <c r="AH403" s="171">
        <v>2023</v>
      </c>
      <c r="AI403" s="171" t="s">
        <v>4174</v>
      </c>
      <c r="AJ403" s="171" t="s">
        <v>7439</v>
      </c>
      <c r="AK403" s="171"/>
      <c r="AL403" s="176" t="s">
        <v>7439</v>
      </c>
      <c r="AM403" s="171"/>
      <c r="AN403" s="171" t="s">
        <v>7227</v>
      </c>
      <c r="AO403" s="171" t="s">
        <v>7443</v>
      </c>
      <c r="AP403" s="171" t="s">
        <v>2072</v>
      </c>
      <c r="AQ403" s="171" t="s">
        <v>1957</v>
      </c>
      <c r="AR403" s="171">
        <v>2030</v>
      </c>
      <c r="AS403" s="171">
        <v>2022</v>
      </c>
      <c r="AT403" s="171" t="s">
        <v>4172</v>
      </c>
      <c r="AU403" s="171">
        <v>2050</v>
      </c>
      <c r="AV403" s="171">
        <v>2022</v>
      </c>
      <c r="AW403" s="171" t="s">
        <v>4174</v>
      </c>
      <c r="AX403" s="171" t="s">
        <v>7439</v>
      </c>
      <c r="AY403" s="171"/>
      <c r="AZ403" s="171"/>
      <c r="BA403" s="171"/>
      <c r="BB403" s="171"/>
      <c r="BC403" s="171" t="s">
        <v>7442</v>
      </c>
      <c r="BD403" s="171"/>
      <c r="BE403" s="171"/>
      <c r="BF403" s="225"/>
      <c r="BG403" s="171"/>
      <c r="BH403" s="171"/>
      <c r="BI403" s="171"/>
      <c r="BJ403" s="171"/>
      <c r="BK403" s="171">
        <v>1</v>
      </c>
      <c r="BL403" s="171"/>
      <c r="BM403" s="171">
        <v>1</v>
      </c>
      <c r="BN403" s="171"/>
      <c r="BO403" s="171">
        <v>1</v>
      </c>
      <c r="BP403" s="171"/>
      <c r="BQ403" s="171">
        <v>1</v>
      </c>
      <c r="BR403" s="171"/>
      <c r="BS403" s="171">
        <v>1</v>
      </c>
      <c r="BT403" s="171"/>
      <c r="BU403" s="171">
        <v>1</v>
      </c>
      <c r="BV403" s="171"/>
      <c r="BW403" s="171">
        <v>1</v>
      </c>
      <c r="BX403" s="171"/>
      <c r="BY403" s="171">
        <v>1</v>
      </c>
      <c r="BZ403" s="171">
        <v>1</v>
      </c>
      <c r="CA403" s="171">
        <v>1</v>
      </c>
      <c r="CB403" s="171">
        <v>1</v>
      </c>
      <c r="CC403" s="171">
        <v>1</v>
      </c>
      <c r="CD403" s="171"/>
      <c r="CE403" s="171">
        <v>1</v>
      </c>
      <c r="CF403" s="171"/>
      <c r="CG403" s="171">
        <v>1</v>
      </c>
      <c r="CH403" s="171">
        <v>1</v>
      </c>
      <c r="CI403" s="171"/>
      <c r="CJ403" s="171"/>
      <c r="CK403" s="171">
        <v>1</v>
      </c>
      <c r="CL403" s="171">
        <v>1</v>
      </c>
      <c r="CM403">
        <f t="shared" si="48"/>
        <v>2030</v>
      </c>
    </row>
    <row r="404" spans="1:91">
      <c r="A404" s="171">
        <v>478</v>
      </c>
      <c r="B404" s="171" t="s">
        <v>4247</v>
      </c>
      <c r="C404" s="171">
        <v>490</v>
      </c>
      <c r="D404" s="171" t="str">
        <f t="shared" si="47"/>
        <v>CN NZ SBT</v>
      </c>
      <c r="E404" s="171" t="s">
        <v>7259</v>
      </c>
      <c r="F404" s="174">
        <v>45511</v>
      </c>
      <c r="G404" s="171" t="s">
        <v>7220</v>
      </c>
      <c r="H404" s="173">
        <v>-4832.8999999999996</v>
      </c>
      <c r="I404" s="171"/>
      <c r="J404" s="171" t="s">
        <v>4199</v>
      </c>
      <c r="K404" s="171" t="s">
        <v>146</v>
      </c>
      <c r="L404" s="171" t="s">
        <v>1951</v>
      </c>
      <c r="M404" s="171" t="s">
        <v>5032</v>
      </c>
      <c r="N404" s="171"/>
      <c r="O404" s="171"/>
      <c r="P404" s="171" t="s">
        <v>4174</v>
      </c>
      <c r="Q404" s="171" t="s">
        <v>22</v>
      </c>
      <c r="R404" s="171" t="s">
        <v>7233</v>
      </c>
      <c r="S404" s="171">
        <v>2023</v>
      </c>
      <c r="T404" s="171" t="s">
        <v>1</v>
      </c>
      <c r="U404" s="171"/>
      <c r="V404" s="172">
        <v>44287</v>
      </c>
      <c r="W404" s="171">
        <v>2021</v>
      </c>
      <c r="X404" s="171" t="s">
        <v>1957</v>
      </c>
      <c r="Y404" s="171" t="s">
        <v>52</v>
      </c>
      <c r="Z404" s="171" t="s">
        <v>3390</v>
      </c>
      <c r="AA404" s="171" t="s">
        <v>1957</v>
      </c>
      <c r="AB404" s="171">
        <v>2030</v>
      </c>
      <c r="AC404" s="171">
        <v>2015</v>
      </c>
      <c r="AD404" s="171"/>
      <c r="AE404" s="171"/>
      <c r="AF404" s="171"/>
      <c r="AG404" s="171" t="s">
        <v>2082</v>
      </c>
      <c r="AH404" s="171">
        <v>2023</v>
      </c>
      <c r="AI404" s="171" t="s">
        <v>4174</v>
      </c>
      <c r="AJ404" s="176" t="s">
        <v>7441</v>
      </c>
      <c r="AK404" s="171"/>
      <c r="AL404" s="176" t="s">
        <v>7441</v>
      </c>
      <c r="AM404" s="171"/>
      <c r="AN404" s="171" t="s">
        <v>4172</v>
      </c>
      <c r="AO404" s="171" t="s">
        <v>7440</v>
      </c>
      <c r="AP404" s="171" t="s">
        <v>2072</v>
      </c>
      <c r="AQ404" s="171" t="s">
        <v>4172</v>
      </c>
      <c r="AR404" s="171">
        <v>2050</v>
      </c>
      <c r="AS404" s="171">
        <v>2015</v>
      </c>
      <c r="AT404" s="171"/>
      <c r="AU404" s="171"/>
      <c r="AV404" s="171"/>
      <c r="AW404" s="171" t="s">
        <v>2082</v>
      </c>
      <c r="AX404" s="171" t="s">
        <v>7439</v>
      </c>
      <c r="AY404" s="171"/>
      <c r="AZ404" s="171"/>
      <c r="BA404" s="171"/>
      <c r="BB404" s="171"/>
      <c r="BC404" s="171"/>
      <c r="BD404" s="171"/>
      <c r="BE404" s="171"/>
      <c r="BF404" s="225"/>
      <c r="BG404" s="171"/>
      <c r="BH404" s="171"/>
      <c r="BI404" s="171"/>
      <c r="BJ404" s="171"/>
      <c r="BK404" s="171">
        <v>1</v>
      </c>
      <c r="BL404" s="171"/>
      <c r="BM404" s="171">
        <v>1</v>
      </c>
      <c r="BN404" s="171"/>
      <c r="BO404" s="171"/>
      <c r="BP404" s="171">
        <v>1</v>
      </c>
      <c r="BQ404" s="171">
        <v>1</v>
      </c>
      <c r="BR404" s="171">
        <v>1</v>
      </c>
      <c r="BS404" s="171"/>
      <c r="BT404" s="171"/>
      <c r="BU404" s="171">
        <v>1</v>
      </c>
      <c r="BV404" s="171"/>
      <c r="BW404" s="171"/>
      <c r="BX404" s="171"/>
      <c r="BY404" s="171"/>
      <c r="BZ404" s="171">
        <v>1</v>
      </c>
      <c r="CA404" s="171">
        <v>1</v>
      </c>
      <c r="CB404" s="171">
        <v>1</v>
      </c>
      <c r="CC404" s="171"/>
      <c r="CD404" s="171"/>
      <c r="CE404" s="171">
        <v>1</v>
      </c>
      <c r="CF404" s="171">
        <v>1</v>
      </c>
      <c r="CG404" s="171">
        <v>1</v>
      </c>
      <c r="CH404" s="171">
        <v>1</v>
      </c>
      <c r="CI404" s="171"/>
      <c r="CJ404" s="171"/>
      <c r="CK404" s="171">
        <v>1</v>
      </c>
      <c r="CL404" s="171">
        <v>1</v>
      </c>
      <c r="CM404">
        <f t="shared" si="48"/>
        <v>2050</v>
      </c>
    </row>
    <row r="405" spans="1:91">
      <c r="A405" s="171">
        <v>54</v>
      </c>
      <c r="B405" s="171" t="s">
        <v>4991</v>
      </c>
      <c r="C405" s="171">
        <v>38</v>
      </c>
      <c r="D405" s="171" t="str">
        <f t="shared" si="47"/>
        <v/>
      </c>
      <c r="E405" s="171" t="s">
        <v>7223</v>
      </c>
      <c r="F405" s="174">
        <v>45485</v>
      </c>
      <c r="G405" s="171" t="s">
        <v>7220</v>
      </c>
      <c r="H405" s="173">
        <v>-3666</v>
      </c>
      <c r="I405" s="171"/>
      <c r="J405" s="171" t="s">
        <v>66</v>
      </c>
      <c r="K405" s="171" t="s">
        <v>73</v>
      </c>
      <c r="L405" s="171" t="s">
        <v>1994</v>
      </c>
      <c r="M405" s="171" t="s">
        <v>5032</v>
      </c>
      <c r="N405" s="171"/>
      <c r="O405" s="171"/>
      <c r="P405" s="171" t="s">
        <v>5032</v>
      </c>
      <c r="Q405" s="171"/>
      <c r="R405" s="171"/>
      <c r="S405" s="171"/>
      <c r="T405" s="171"/>
      <c r="U405" s="171"/>
      <c r="V405" s="175"/>
      <c r="W405" s="171"/>
      <c r="X405" s="171" t="s">
        <v>4519</v>
      </c>
      <c r="Y405" s="171" t="s">
        <v>1659</v>
      </c>
      <c r="Z405" s="171" t="s">
        <v>3283</v>
      </c>
      <c r="AA405" s="171" t="s">
        <v>4519</v>
      </c>
      <c r="AB405" s="171">
        <v>2060</v>
      </c>
      <c r="AC405" s="171">
        <v>2022</v>
      </c>
      <c r="AD405" s="171"/>
      <c r="AE405" s="171"/>
      <c r="AF405" s="171"/>
      <c r="AG405" s="171"/>
      <c r="AH405" s="171"/>
      <c r="AI405" s="171"/>
      <c r="AJ405" s="171"/>
      <c r="AK405" s="171"/>
      <c r="AL405" s="176" t="s">
        <v>7002</v>
      </c>
      <c r="AM405" s="171"/>
      <c r="AN405" s="171" t="s">
        <v>5032</v>
      </c>
      <c r="AO405" s="171"/>
      <c r="AP405" s="171"/>
      <c r="AQ405" s="171" t="s">
        <v>5032</v>
      </c>
      <c r="AR405" s="171"/>
      <c r="AS405" s="171"/>
      <c r="AT405" s="171"/>
      <c r="AU405" s="171"/>
      <c r="AV405" s="171"/>
      <c r="AW405" s="171"/>
      <c r="AX405" s="171" t="s">
        <v>7438</v>
      </c>
      <c r="AY405" s="171"/>
      <c r="AZ405" s="171"/>
      <c r="BA405" s="171"/>
      <c r="BB405" s="171"/>
      <c r="BC405" s="171"/>
      <c r="BD405" s="171"/>
      <c r="BE405" s="171"/>
      <c r="BF405" s="225"/>
      <c r="BG405" s="171"/>
      <c r="BH405" s="171"/>
      <c r="BI405" s="171"/>
      <c r="BJ405" s="171"/>
      <c r="BK405" s="171"/>
      <c r="BL405" s="171"/>
      <c r="BM405" s="171"/>
      <c r="BN405" s="171"/>
      <c r="BO405" s="171"/>
      <c r="BP405" s="171"/>
      <c r="BQ405" s="171"/>
      <c r="BR405" s="171"/>
      <c r="BS405" s="171"/>
      <c r="BT405" s="171"/>
      <c r="BU405" s="171"/>
      <c r="BV405" s="171"/>
      <c r="BW405" s="171"/>
      <c r="BX405" s="171"/>
      <c r="BY405" s="171"/>
      <c r="BZ405" s="171"/>
      <c r="CA405" s="171"/>
      <c r="CB405" s="171"/>
      <c r="CC405" s="171"/>
      <c r="CD405" s="171"/>
      <c r="CE405" s="171"/>
      <c r="CF405" s="171"/>
      <c r="CG405" s="171"/>
      <c r="CH405" s="171"/>
      <c r="CI405" s="171"/>
      <c r="CJ405" s="171"/>
      <c r="CK405" s="171"/>
      <c r="CL405" s="171"/>
    </row>
    <row r="406" spans="1:91">
      <c r="A406" s="171">
        <v>326</v>
      </c>
      <c r="B406" s="171" t="s">
        <v>989</v>
      </c>
      <c r="C406" s="171">
        <v>279</v>
      </c>
      <c r="D406" s="171" t="str">
        <f t="shared" si="47"/>
        <v/>
      </c>
      <c r="E406" s="171" t="s">
        <v>7223</v>
      </c>
      <c r="F406" s="174">
        <v>45478</v>
      </c>
      <c r="G406" s="171" t="s">
        <v>7223</v>
      </c>
      <c r="H406" s="173">
        <v>181.6</v>
      </c>
      <c r="I406" s="171"/>
      <c r="J406" s="171" t="s">
        <v>4459</v>
      </c>
      <c r="K406" s="171" t="s">
        <v>73</v>
      </c>
      <c r="L406" s="171" t="s">
        <v>1994</v>
      </c>
      <c r="M406" s="171" t="s">
        <v>5032</v>
      </c>
      <c r="N406" s="171"/>
      <c r="O406" s="171"/>
      <c r="P406" s="171" t="s">
        <v>5032</v>
      </c>
      <c r="Q406" s="171"/>
      <c r="R406" s="171"/>
      <c r="S406" s="171"/>
      <c r="T406" s="171"/>
      <c r="U406" s="171"/>
      <c r="V406" s="175"/>
      <c r="W406" s="171"/>
      <c r="X406" s="171" t="s">
        <v>5032</v>
      </c>
      <c r="Y406" s="171"/>
      <c r="Z406" s="171"/>
      <c r="AA406" s="171" t="s">
        <v>5032</v>
      </c>
      <c r="AB406" s="171"/>
      <c r="AC406" s="171"/>
      <c r="AD406" s="171"/>
      <c r="AE406" s="171"/>
      <c r="AF406" s="171"/>
      <c r="AG406" s="171"/>
      <c r="AH406" s="171"/>
      <c r="AI406" s="171"/>
      <c r="AJ406" s="171"/>
      <c r="AK406" s="171"/>
      <c r="AL406" s="171"/>
      <c r="AM406" s="171"/>
      <c r="AN406" s="171" t="s">
        <v>5032</v>
      </c>
      <c r="AO406" s="171"/>
      <c r="AP406" s="171"/>
      <c r="AQ406" s="171" t="s">
        <v>5032</v>
      </c>
      <c r="AR406" s="171"/>
      <c r="AS406" s="171"/>
      <c r="AT406" s="171"/>
      <c r="AU406" s="171"/>
      <c r="AV406" s="171"/>
      <c r="AW406" s="171"/>
      <c r="AX406" s="171"/>
      <c r="AY406" s="171"/>
      <c r="AZ406" s="171"/>
      <c r="BA406" s="171"/>
      <c r="BB406" s="171"/>
      <c r="BC406" s="171" t="s">
        <v>7437</v>
      </c>
      <c r="BD406" s="171"/>
      <c r="BE406" s="171"/>
      <c r="BF406" s="225"/>
      <c r="BG406" s="171"/>
      <c r="BH406" s="171"/>
      <c r="BI406" s="171"/>
      <c r="BJ406" s="171"/>
      <c r="BK406" s="171"/>
      <c r="BL406" s="171"/>
      <c r="BM406" s="171"/>
      <c r="BN406" s="171"/>
      <c r="BO406" s="171"/>
      <c r="BP406" s="171"/>
      <c r="BQ406" s="171"/>
      <c r="BR406" s="171"/>
      <c r="BS406" s="171"/>
      <c r="BT406" s="171"/>
      <c r="BU406" s="171"/>
      <c r="BV406" s="171"/>
      <c r="BW406" s="171"/>
      <c r="BX406" s="171"/>
      <c r="BY406" s="171"/>
      <c r="BZ406" s="171"/>
      <c r="CA406" s="171"/>
      <c r="CB406" s="171"/>
      <c r="CC406" s="171"/>
      <c r="CD406" s="171"/>
      <c r="CE406" s="171"/>
      <c r="CF406" s="171"/>
      <c r="CG406" s="171"/>
      <c r="CH406" s="171"/>
      <c r="CI406" s="171"/>
      <c r="CJ406" s="171"/>
      <c r="CK406" s="171"/>
      <c r="CL406" s="171"/>
    </row>
    <row r="407" spans="1:91">
      <c r="A407" s="171">
        <v>5</v>
      </c>
      <c r="B407" s="171" t="s">
        <v>1887</v>
      </c>
      <c r="C407" s="171">
        <v>6</v>
      </c>
      <c r="D407" s="171" t="str">
        <f t="shared" si="47"/>
        <v/>
      </c>
      <c r="E407" s="171" t="s">
        <v>7255</v>
      </c>
      <c r="F407" s="174">
        <v>45474</v>
      </c>
      <c r="G407" s="171" t="s">
        <v>7223</v>
      </c>
      <c r="H407" s="173">
        <v>9393.4</v>
      </c>
      <c r="I407" s="171"/>
      <c r="J407" s="171" t="s">
        <v>3498</v>
      </c>
      <c r="K407" s="171" t="s">
        <v>73</v>
      </c>
      <c r="L407" s="171" t="s">
        <v>1994</v>
      </c>
      <c r="M407" s="171" t="s">
        <v>5032</v>
      </c>
      <c r="N407" s="171"/>
      <c r="O407" s="171"/>
      <c r="P407" s="171" t="s">
        <v>5032</v>
      </c>
      <c r="Q407" s="171"/>
      <c r="R407" s="171"/>
      <c r="S407" s="171"/>
      <c r="T407" s="171"/>
      <c r="U407" s="171"/>
      <c r="V407" s="175"/>
      <c r="W407" s="171"/>
      <c r="X407" s="171" t="s">
        <v>4519</v>
      </c>
      <c r="Y407" s="171" t="s">
        <v>5131</v>
      </c>
      <c r="Z407" s="171" t="s">
        <v>7225</v>
      </c>
      <c r="AA407" s="171" t="s">
        <v>4519</v>
      </c>
      <c r="AB407" s="171">
        <v>2060</v>
      </c>
      <c r="AC407" s="171">
        <v>2021</v>
      </c>
      <c r="AD407" s="171"/>
      <c r="AE407" s="171"/>
      <c r="AF407" s="171"/>
      <c r="AG407" s="171"/>
      <c r="AH407" s="171"/>
      <c r="AI407" s="171"/>
      <c r="AJ407" s="171"/>
      <c r="AK407" s="171"/>
      <c r="AL407" s="171" t="s">
        <v>7436</v>
      </c>
      <c r="AM407" s="171" t="s">
        <v>7435</v>
      </c>
      <c r="AN407" s="171" t="s">
        <v>5032</v>
      </c>
      <c r="AO407" s="171"/>
      <c r="AP407" s="171"/>
      <c r="AQ407" s="171" t="s">
        <v>5032</v>
      </c>
      <c r="AR407" s="171"/>
      <c r="AS407" s="171"/>
      <c r="AT407" s="171"/>
      <c r="AU407" s="171"/>
      <c r="AV407" s="171"/>
      <c r="AW407" s="171"/>
      <c r="AX407" s="171"/>
      <c r="AY407" s="171"/>
      <c r="AZ407" s="171"/>
      <c r="BA407" s="171"/>
      <c r="BB407" s="171"/>
      <c r="BC407" s="171"/>
      <c r="BD407" s="171"/>
      <c r="BE407" s="171"/>
      <c r="BF407" s="225"/>
      <c r="BG407" s="171"/>
      <c r="BH407" s="171"/>
      <c r="BI407" s="171"/>
      <c r="BJ407" s="171"/>
      <c r="BK407" s="171"/>
      <c r="BL407" s="171"/>
      <c r="BM407" s="171"/>
      <c r="BN407" s="171"/>
      <c r="BO407" s="171"/>
      <c r="BP407" s="171"/>
      <c r="BQ407" s="171"/>
      <c r="BR407" s="171"/>
      <c r="BS407" s="171"/>
      <c r="BT407" s="171"/>
      <c r="BU407" s="171"/>
      <c r="BV407" s="171"/>
      <c r="BW407" s="171"/>
      <c r="BX407" s="171"/>
      <c r="BY407" s="171"/>
      <c r="BZ407" s="171"/>
      <c r="CA407" s="171"/>
      <c r="CB407" s="171"/>
      <c r="CC407" s="171"/>
      <c r="CD407" s="171"/>
      <c r="CE407" s="171"/>
      <c r="CF407" s="171"/>
      <c r="CG407" s="171"/>
      <c r="CH407" s="171"/>
      <c r="CI407" s="171"/>
      <c r="CJ407" s="171"/>
      <c r="CK407" s="171"/>
      <c r="CL407" s="171"/>
    </row>
    <row r="408" spans="1:91">
      <c r="A408" s="171">
        <v>112</v>
      </c>
      <c r="B408" s="171" t="s">
        <v>1267</v>
      </c>
      <c r="C408" s="171">
        <v>113</v>
      </c>
      <c r="D408" s="171" t="str">
        <f t="shared" si="47"/>
        <v/>
      </c>
      <c r="E408" s="171" t="s">
        <v>7228</v>
      </c>
      <c r="F408" s="174">
        <v>45475</v>
      </c>
      <c r="G408" s="171" t="s">
        <v>7223</v>
      </c>
      <c r="H408" s="173">
        <v>1149.5</v>
      </c>
      <c r="I408" s="171"/>
      <c r="J408" s="171" t="s">
        <v>4201</v>
      </c>
      <c r="K408" s="171" t="s">
        <v>73</v>
      </c>
      <c r="L408" s="171" t="s">
        <v>1994</v>
      </c>
      <c r="M408" s="171" t="s">
        <v>5032</v>
      </c>
      <c r="N408" s="171"/>
      <c r="O408" s="171"/>
      <c r="P408" s="171" t="s">
        <v>5032</v>
      </c>
      <c r="Q408" s="171"/>
      <c r="R408" s="171"/>
      <c r="S408" s="171"/>
      <c r="T408" s="171"/>
      <c r="U408" s="171"/>
      <c r="V408" s="175"/>
      <c r="W408" s="171"/>
      <c r="X408" s="171" t="s">
        <v>4519</v>
      </c>
      <c r="Y408" s="171" t="s">
        <v>5131</v>
      </c>
      <c r="Z408" s="171" t="s">
        <v>7238</v>
      </c>
      <c r="AA408" s="171" t="s">
        <v>4519</v>
      </c>
      <c r="AB408" s="171">
        <v>2060</v>
      </c>
      <c r="AC408" s="171">
        <v>2021</v>
      </c>
      <c r="AD408" s="171"/>
      <c r="AE408" s="171"/>
      <c r="AF408" s="171"/>
      <c r="AG408" s="171"/>
      <c r="AH408" s="171"/>
      <c r="AI408" s="171"/>
      <c r="AJ408" s="171"/>
      <c r="AK408" s="171"/>
      <c r="AL408" s="171" t="s">
        <v>7434</v>
      </c>
      <c r="AM408" s="171"/>
      <c r="AN408" s="171" t="s">
        <v>5032</v>
      </c>
      <c r="AO408" s="171"/>
      <c r="AP408" s="171"/>
      <c r="AQ408" s="171" t="s">
        <v>5032</v>
      </c>
      <c r="AR408" s="171"/>
      <c r="AS408" s="171"/>
      <c r="AT408" s="171"/>
      <c r="AU408" s="171"/>
      <c r="AV408" s="171"/>
      <c r="AW408" s="171"/>
      <c r="AX408" s="171"/>
      <c r="AY408" s="171"/>
      <c r="AZ408" s="171"/>
      <c r="BA408" s="171"/>
      <c r="BB408" s="171"/>
      <c r="BC408" s="171"/>
      <c r="BD408" s="171"/>
      <c r="BE408" s="171"/>
      <c r="BF408" s="225"/>
      <c r="BG408" s="171"/>
      <c r="BH408" s="171"/>
      <c r="BI408" s="171"/>
      <c r="BJ408" s="171"/>
      <c r="BK408" s="171"/>
      <c r="BL408" s="171"/>
      <c r="BM408" s="171"/>
      <c r="BN408" s="171"/>
      <c r="BO408" s="171"/>
      <c r="BP408" s="171"/>
      <c r="BQ408" s="171"/>
      <c r="BR408" s="171"/>
      <c r="BS408" s="171"/>
      <c r="BT408" s="171"/>
      <c r="BU408" s="171"/>
      <c r="BV408" s="171"/>
      <c r="BW408" s="171"/>
      <c r="BX408" s="171"/>
      <c r="BY408" s="171"/>
      <c r="BZ408" s="171"/>
      <c r="CA408" s="171"/>
      <c r="CB408" s="171"/>
      <c r="CC408" s="171"/>
      <c r="CD408" s="171"/>
      <c r="CE408" s="171"/>
      <c r="CF408" s="171"/>
      <c r="CG408" s="171"/>
      <c r="CH408" s="171"/>
      <c r="CI408" s="171"/>
      <c r="CJ408" s="171"/>
      <c r="CK408" s="171"/>
      <c r="CL408" s="171"/>
    </row>
    <row r="409" spans="1:91">
      <c r="A409" s="171">
        <v>100</v>
      </c>
      <c r="B409" s="171" t="s">
        <v>4245</v>
      </c>
      <c r="C409" s="171">
        <v>92</v>
      </c>
      <c r="D409" s="171" t="str">
        <f t="shared" si="47"/>
        <v>CN</v>
      </c>
      <c r="E409" s="171" t="s">
        <v>7228</v>
      </c>
      <c r="F409" s="174">
        <v>45475</v>
      </c>
      <c r="G409" s="171" t="s">
        <v>7220</v>
      </c>
      <c r="H409" s="173">
        <v>-594.79999999999995</v>
      </c>
      <c r="I409" s="171"/>
      <c r="J409" s="171" t="s">
        <v>3498</v>
      </c>
      <c r="K409" s="171" t="s">
        <v>114</v>
      </c>
      <c r="L409" s="171" t="s">
        <v>1994</v>
      </c>
      <c r="M409" s="171" t="s">
        <v>5032</v>
      </c>
      <c r="N409" s="171"/>
      <c r="O409" s="171"/>
      <c r="P409" s="171" t="s">
        <v>5032</v>
      </c>
      <c r="Q409" s="171"/>
      <c r="R409" s="171"/>
      <c r="S409" s="171"/>
      <c r="T409" s="171"/>
      <c r="U409" s="171"/>
      <c r="V409" s="175"/>
      <c r="W409" s="171"/>
      <c r="X409" s="171" t="s">
        <v>1957</v>
      </c>
      <c r="Y409" s="171" t="s">
        <v>4313</v>
      </c>
      <c r="Z409" s="171" t="s">
        <v>7433</v>
      </c>
      <c r="AA409" s="171" t="s">
        <v>1957</v>
      </c>
      <c r="AB409" s="171">
        <v>2050</v>
      </c>
      <c r="AC409" s="171">
        <v>2021</v>
      </c>
      <c r="AD409" s="171"/>
      <c r="AE409" s="171"/>
      <c r="AF409" s="171"/>
      <c r="AG409" s="171" t="s">
        <v>4174</v>
      </c>
      <c r="AH409" s="171"/>
      <c r="AI409" s="171" t="s">
        <v>4174</v>
      </c>
      <c r="AJ409" s="171"/>
      <c r="AK409" s="171"/>
      <c r="AL409" s="176" t="s">
        <v>7432</v>
      </c>
      <c r="AM409" s="171"/>
      <c r="AN409" s="171" t="s">
        <v>7229</v>
      </c>
      <c r="AO409" s="171"/>
      <c r="AP409" s="171"/>
      <c r="AQ409" s="171" t="s">
        <v>7229</v>
      </c>
      <c r="AR409" s="171"/>
      <c r="AS409" s="171"/>
      <c r="AT409" s="171"/>
      <c r="AU409" s="171"/>
      <c r="AV409" s="171"/>
      <c r="AW409" s="171"/>
      <c r="AX409" s="171"/>
      <c r="AY409" s="171"/>
      <c r="AZ409" s="171"/>
      <c r="BA409" s="171"/>
      <c r="BB409" s="171"/>
      <c r="BC409" s="171"/>
      <c r="BD409" s="171"/>
      <c r="BE409" s="171"/>
      <c r="BF409" s="225"/>
      <c r="BG409" s="171"/>
      <c r="BH409" s="171"/>
      <c r="BI409" s="171"/>
      <c r="BJ409" s="171"/>
      <c r="BK409" s="171"/>
      <c r="BL409" s="171">
        <v>1</v>
      </c>
      <c r="BM409" s="171">
        <v>1</v>
      </c>
      <c r="BN409" s="171"/>
      <c r="BO409" s="171"/>
      <c r="BP409" s="171"/>
      <c r="BQ409" s="171"/>
      <c r="BR409" s="171"/>
      <c r="BS409" s="171"/>
      <c r="BT409" s="171"/>
      <c r="BU409" s="171"/>
      <c r="BV409" s="171"/>
      <c r="BW409" s="171"/>
      <c r="BX409" s="171"/>
      <c r="BY409" s="171"/>
      <c r="BZ409" s="171">
        <v>1</v>
      </c>
      <c r="CA409" s="171"/>
      <c r="CB409" s="171">
        <v>1</v>
      </c>
      <c r="CC409" s="171">
        <v>1</v>
      </c>
      <c r="CD409" s="171"/>
      <c r="CE409" s="171">
        <v>1</v>
      </c>
      <c r="CF409" s="171"/>
      <c r="CG409" s="171"/>
      <c r="CH409" s="171">
        <v>1</v>
      </c>
      <c r="CI409" s="171"/>
      <c r="CJ409" s="171"/>
      <c r="CK409" s="171"/>
      <c r="CL409" s="171"/>
    </row>
    <row r="410" spans="1:91">
      <c r="A410" s="171">
        <v>341</v>
      </c>
      <c r="B410" s="171" t="s">
        <v>2407</v>
      </c>
      <c r="C410" s="171">
        <v>340</v>
      </c>
      <c r="D410" s="171" t="str">
        <f t="shared" si="47"/>
        <v>CN NZ</v>
      </c>
      <c r="E410" s="171" t="s">
        <v>7288</v>
      </c>
      <c r="F410" s="174">
        <v>45482</v>
      </c>
      <c r="G410" s="171" t="s">
        <v>7220</v>
      </c>
      <c r="H410" s="173">
        <v>1416.2</v>
      </c>
      <c r="I410" s="171"/>
      <c r="J410" s="171" t="s">
        <v>4179</v>
      </c>
      <c r="K410" s="171" t="s">
        <v>63</v>
      </c>
      <c r="L410" s="171" t="s">
        <v>1951</v>
      </c>
      <c r="M410" s="171" t="s">
        <v>5032</v>
      </c>
      <c r="N410" s="171"/>
      <c r="O410" s="171"/>
      <c r="P410" s="171" t="s">
        <v>5032</v>
      </c>
      <c r="Q410" s="171"/>
      <c r="R410" s="171"/>
      <c r="S410" s="171"/>
      <c r="T410" s="171"/>
      <c r="U410" s="171"/>
      <c r="V410" s="175"/>
      <c r="W410" s="171"/>
      <c r="X410" s="171" t="s">
        <v>1957</v>
      </c>
      <c r="Y410" s="171" t="s">
        <v>5131</v>
      </c>
      <c r="Z410" s="171" t="s">
        <v>7431</v>
      </c>
      <c r="AA410" s="171" t="s">
        <v>1957</v>
      </c>
      <c r="AB410" s="171">
        <v>2035</v>
      </c>
      <c r="AC410" s="171">
        <v>2019</v>
      </c>
      <c r="AD410" s="171"/>
      <c r="AE410" s="171"/>
      <c r="AF410" s="171"/>
      <c r="AG410" s="171" t="s">
        <v>2082</v>
      </c>
      <c r="AH410" s="171"/>
      <c r="AI410" s="171" t="s">
        <v>5032</v>
      </c>
      <c r="AJ410" s="171"/>
      <c r="AK410" s="171"/>
      <c r="AL410" s="171" t="s">
        <v>7430</v>
      </c>
      <c r="AM410" s="171"/>
      <c r="AN410" s="171" t="s">
        <v>1957</v>
      </c>
      <c r="AO410" s="171" t="s">
        <v>5937</v>
      </c>
      <c r="AP410" s="171" t="s">
        <v>7429</v>
      </c>
      <c r="AQ410" s="171" t="s">
        <v>1957</v>
      </c>
      <c r="AR410" s="171">
        <v>2050</v>
      </c>
      <c r="AS410" s="171">
        <v>2024</v>
      </c>
      <c r="AT410" s="171"/>
      <c r="AU410" s="171"/>
      <c r="AV410" s="171"/>
      <c r="AW410" s="171" t="s">
        <v>2082</v>
      </c>
      <c r="AX410" s="177" t="s">
        <v>7428</v>
      </c>
      <c r="AY410" s="171"/>
      <c r="AZ410" s="171"/>
      <c r="BA410" s="171"/>
      <c r="BB410" s="171"/>
      <c r="BC410" s="171"/>
      <c r="BD410" s="171"/>
      <c r="BE410" s="171"/>
      <c r="BF410" s="225"/>
      <c r="BG410" s="171"/>
      <c r="BH410" s="171"/>
      <c r="BI410" s="171"/>
      <c r="BJ410" s="171"/>
      <c r="BK410" s="171"/>
      <c r="BL410" s="171">
        <v>1</v>
      </c>
      <c r="BM410" s="171">
        <v>1</v>
      </c>
      <c r="BN410" s="171"/>
      <c r="BO410" s="171"/>
      <c r="BP410" s="171">
        <v>1</v>
      </c>
      <c r="BQ410" s="171">
        <v>1</v>
      </c>
      <c r="BR410" s="171"/>
      <c r="BS410" s="171"/>
      <c r="BT410" s="171"/>
      <c r="BU410" s="171"/>
      <c r="BV410" s="171"/>
      <c r="BW410" s="171"/>
      <c r="BX410" s="171"/>
      <c r="BY410" s="171"/>
      <c r="BZ410" s="171">
        <v>1</v>
      </c>
      <c r="CA410" s="171"/>
      <c r="CB410" s="171">
        <v>1</v>
      </c>
      <c r="CC410" s="171"/>
      <c r="CD410" s="171"/>
      <c r="CE410" s="171">
        <v>1</v>
      </c>
      <c r="CF410" s="171"/>
      <c r="CG410" s="171"/>
      <c r="CH410" s="171">
        <v>1</v>
      </c>
      <c r="CI410" s="171"/>
      <c r="CJ410" s="171"/>
      <c r="CK410" s="171"/>
      <c r="CL410" s="171"/>
      <c r="CM410">
        <f t="shared" si="48"/>
        <v>2050</v>
      </c>
    </row>
    <row r="411" spans="1:91">
      <c r="A411" s="171">
        <v>104</v>
      </c>
      <c r="B411" s="171" t="s">
        <v>1244</v>
      </c>
      <c r="C411" s="171">
        <v>208</v>
      </c>
      <c r="D411" s="171" t="str">
        <f t="shared" si="47"/>
        <v>CN</v>
      </c>
      <c r="E411" s="171" t="s">
        <v>7228</v>
      </c>
      <c r="F411" s="174">
        <v>45477</v>
      </c>
      <c r="G411" s="171" t="s">
        <v>7220</v>
      </c>
      <c r="H411" s="173">
        <v>2695.1</v>
      </c>
      <c r="I411" s="171"/>
      <c r="J411" s="171" t="s">
        <v>4465</v>
      </c>
      <c r="K411" s="171" t="s">
        <v>63</v>
      </c>
      <c r="L411" s="171" t="s">
        <v>1951</v>
      </c>
      <c r="M411" s="171" t="s">
        <v>5032</v>
      </c>
      <c r="N411" s="171"/>
      <c r="O411" s="171"/>
      <c r="P411" s="171" t="s">
        <v>5032</v>
      </c>
      <c r="Q411" s="171"/>
      <c r="R411" s="171"/>
      <c r="S411" s="171"/>
      <c r="T411" s="171"/>
      <c r="U411" s="171"/>
      <c r="V411" s="175"/>
      <c r="W411" s="171"/>
      <c r="X411" s="171" t="s">
        <v>5050</v>
      </c>
      <c r="Y411" s="171" t="s">
        <v>7427</v>
      </c>
      <c r="Z411" s="171" t="s">
        <v>3283</v>
      </c>
      <c r="AA411" s="171" t="s">
        <v>5050</v>
      </c>
      <c r="AB411" s="171">
        <v>2050</v>
      </c>
      <c r="AC411" s="171">
        <v>2021</v>
      </c>
      <c r="AD411" s="171"/>
      <c r="AE411" s="171"/>
      <c r="AF411" s="171"/>
      <c r="AG411" s="171" t="s">
        <v>4174</v>
      </c>
      <c r="AH411" s="171"/>
      <c r="AI411" s="171" t="s">
        <v>4174</v>
      </c>
      <c r="AJ411" s="171"/>
      <c r="AK411" s="171"/>
      <c r="AL411" s="171" t="s">
        <v>7426</v>
      </c>
      <c r="AM411" s="171"/>
      <c r="AN411" s="171" t="s">
        <v>7229</v>
      </c>
      <c r="AO411" s="171"/>
      <c r="AP411" s="171"/>
      <c r="AQ411" s="171" t="s">
        <v>7229</v>
      </c>
      <c r="AR411" s="171"/>
      <c r="AS411" s="171"/>
      <c r="AT411" s="171"/>
      <c r="AU411" s="171"/>
      <c r="AV411" s="171"/>
      <c r="AW411" s="171"/>
      <c r="AX411" s="171"/>
      <c r="AY411" s="171"/>
      <c r="AZ411" s="171"/>
      <c r="BA411" s="171"/>
      <c r="BB411" s="171"/>
      <c r="BC411" s="171"/>
      <c r="BD411" s="171"/>
      <c r="BE411" s="171"/>
      <c r="BF411" s="225"/>
      <c r="BG411" s="171"/>
      <c r="BH411" s="171"/>
      <c r="BI411" s="171"/>
      <c r="BJ411" s="171"/>
      <c r="BK411" s="171"/>
      <c r="BL411" s="171">
        <v>1</v>
      </c>
      <c r="BM411" s="171">
        <v>1</v>
      </c>
      <c r="BN411" s="171"/>
      <c r="BO411" s="171"/>
      <c r="BP411" s="171"/>
      <c r="BQ411" s="171"/>
      <c r="BR411" s="171"/>
      <c r="BS411" s="171"/>
      <c r="BT411" s="171"/>
      <c r="BU411" s="171"/>
      <c r="BV411" s="171"/>
      <c r="BW411" s="171"/>
      <c r="BX411" s="171"/>
      <c r="BY411" s="171"/>
      <c r="BZ411" s="171">
        <v>1</v>
      </c>
      <c r="CA411" s="171"/>
      <c r="CB411" s="171">
        <v>1</v>
      </c>
      <c r="CC411" s="171">
        <v>1</v>
      </c>
      <c r="CD411" s="171"/>
      <c r="CE411" s="171">
        <v>1</v>
      </c>
      <c r="CF411" s="171"/>
      <c r="CG411" s="171"/>
      <c r="CH411" s="171">
        <v>1</v>
      </c>
      <c r="CI411" s="171"/>
      <c r="CJ411" s="171"/>
      <c r="CK411" s="171"/>
      <c r="CL411" s="171"/>
    </row>
    <row r="412" spans="1:91">
      <c r="A412" s="171">
        <v>325</v>
      </c>
      <c r="B412" s="171" t="s">
        <v>1548</v>
      </c>
      <c r="C412" s="171">
        <v>295</v>
      </c>
      <c r="D412" s="171" t="str">
        <f t="shared" si="47"/>
        <v>CN NZ SBT RE100</v>
      </c>
      <c r="E412" s="171" t="s">
        <v>7220</v>
      </c>
      <c r="F412" s="174">
        <v>45478</v>
      </c>
      <c r="G412" s="171" t="s">
        <v>7223</v>
      </c>
      <c r="H412" s="173">
        <v>-1575.1</v>
      </c>
      <c r="I412" s="171"/>
      <c r="J412" s="171" t="s">
        <v>4190</v>
      </c>
      <c r="K412" s="171" t="s">
        <v>207</v>
      </c>
      <c r="L412" s="171" t="s">
        <v>1994</v>
      </c>
      <c r="M412" s="171" t="s">
        <v>4174</v>
      </c>
      <c r="N412" s="171">
        <v>2024</v>
      </c>
      <c r="O412" s="171">
        <v>2040</v>
      </c>
      <c r="P412" s="171" t="s">
        <v>4174</v>
      </c>
      <c r="Q412" s="171" t="s">
        <v>22</v>
      </c>
      <c r="R412" s="171" t="s">
        <v>7233</v>
      </c>
      <c r="S412" s="171">
        <v>2030</v>
      </c>
      <c r="T412" s="171" t="s">
        <v>361</v>
      </c>
      <c r="U412" s="171">
        <v>2050</v>
      </c>
      <c r="V412" s="172">
        <v>45444</v>
      </c>
      <c r="W412" s="171">
        <v>2024</v>
      </c>
      <c r="X412" s="171" t="s">
        <v>1957</v>
      </c>
      <c r="Y412" s="171" t="s">
        <v>109</v>
      </c>
      <c r="Z412" s="171" t="s">
        <v>32</v>
      </c>
      <c r="AA412" s="171" t="s">
        <v>1957</v>
      </c>
      <c r="AB412" s="171">
        <v>2030</v>
      </c>
      <c r="AC412" s="171">
        <v>2020</v>
      </c>
      <c r="AD412" s="171"/>
      <c r="AE412" s="171"/>
      <c r="AF412" s="171"/>
      <c r="AG412" s="171" t="s">
        <v>4174</v>
      </c>
      <c r="AH412" s="171">
        <v>2023</v>
      </c>
      <c r="AI412" s="171" t="s">
        <v>4174</v>
      </c>
      <c r="AJ412" s="176" t="s">
        <v>7425</v>
      </c>
      <c r="AK412" s="171"/>
      <c r="AL412" s="171" t="s">
        <v>7425</v>
      </c>
      <c r="AM412" s="171"/>
      <c r="AN412" s="171" t="s">
        <v>4172</v>
      </c>
      <c r="AO412" s="171" t="s">
        <v>1435</v>
      </c>
      <c r="AP412" s="171" t="s">
        <v>2072</v>
      </c>
      <c r="AQ412" s="171" t="s">
        <v>4172</v>
      </c>
      <c r="AR412" s="171">
        <v>2050</v>
      </c>
      <c r="AS412" s="171">
        <v>2023</v>
      </c>
      <c r="AT412" s="171"/>
      <c r="AU412" s="171"/>
      <c r="AV412" s="171"/>
      <c r="AW412" s="171" t="s">
        <v>2082</v>
      </c>
      <c r="AX412" s="171" t="s">
        <v>7425</v>
      </c>
      <c r="AY412" s="171"/>
      <c r="AZ412" s="171"/>
      <c r="BA412" s="171"/>
      <c r="BB412" s="171"/>
      <c r="BC412" s="171"/>
      <c r="BD412" s="171"/>
      <c r="BE412" s="171"/>
      <c r="BF412" s="225"/>
      <c r="BG412" s="171"/>
      <c r="BH412" s="171"/>
      <c r="BI412" s="171"/>
      <c r="BJ412" s="171"/>
      <c r="BK412" s="171">
        <v>1</v>
      </c>
      <c r="BL412" s="171"/>
      <c r="BM412" s="171">
        <v>1</v>
      </c>
      <c r="BN412" s="171"/>
      <c r="BO412" s="171"/>
      <c r="BP412" s="171">
        <v>1</v>
      </c>
      <c r="BQ412" s="171">
        <v>1</v>
      </c>
      <c r="BR412" s="171"/>
      <c r="BS412" s="171">
        <v>1</v>
      </c>
      <c r="BT412" s="171"/>
      <c r="BU412" s="171">
        <v>1</v>
      </c>
      <c r="BV412" s="171"/>
      <c r="BW412" s="171"/>
      <c r="BX412" s="171">
        <v>1</v>
      </c>
      <c r="BY412" s="171">
        <v>1</v>
      </c>
      <c r="BZ412" s="171">
        <v>1</v>
      </c>
      <c r="CA412" s="171">
        <v>1</v>
      </c>
      <c r="CB412" s="171">
        <v>1</v>
      </c>
      <c r="CC412" s="171">
        <v>1</v>
      </c>
      <c r="CD412" s="171"/>
      <c r="CE412" s="171">
        <v>1</v>
      </c>
      <c r="CF412" s="171"/>
      <c r="CG412" s="171">
        <v>1</v>
      </c>
      <c r="CH412" s="171">
        <v>1</v>
      </c>
      <c r="CI412" s="171"/>
      <c r="CJ412" s="171"/>
      <c r="CK412" s="171">
        <v>1</v>
      </c>
      <c r="CL412" s="171">
        <v>1</v>
      </c>
      <c r="CM412">
        <f t="shared" si="48"/>
        <v>2050</v>
      </c>
    </row>
    <row r="413" spans="1:91">
      <c r="A413" s="171">
        <v>454</v>
      </c>
      <c r="B413" s="171" t="s">
        <v>584</v>
      </c>
      <c r="C413" s="171">
        <v>447</v>
      </c>
      <c r="D413" s="171" t="str">
        <f t="shared" si="47"/>
        <v>CN NZ SBT</v>
      </c>
      <c r="E413" s="171" t="s">
        <v>7223</v>
      </c>
      <c r="F413" s="174">
        <v>45512</v>
      </c>
      <c r="G413" s="171" t="s">
        <v>7223</v>
      </c>
      <c r="H413" s="173">
        <v>2878.7</v>
      </c>
      <c r="I413" s="171"/>
      <c r="J413" s="171" t="s">
        <v>4465</v>
      </c>
      <c r="K413" s="171" t="s">
        <v>207</v>
      </c>
      <c r="L413" s="171" t="s">
        <v>1994</v>
      </c>
      <c r="M413" s="171" t="s">
        <v>5032</v>
      </c>
      <c r="N413" s="171"/>
      <c r="O413" s="171"/>
      <c r="P413" s="171" t="s">
        <v>5032</v>
      </c>
      <c r="Q413" s="171" t="s">
        <v>165</v>
      </c>
      <c r="R413" s="171"/>
      <c r="S413" s="171">
        <v>2030</v>
      </c>
      <c r="T413" s="171" t="s">
        <v>1</v>
      </c>
      <c r="U413" s="171"/>
      <c r="V413" s="172">
        <v>43101</v>
      </c>
      <c r="W413" s="171">
        <v>2018</v>
      </c>
      <c r="X413" s="171" t="s">
        <v>1957</v>
      </c>
      <c r="Y413" s="171" t="s">
        <v>5131</v>
      </c>
      <c r="Z413" s="171" t="s">
        <v>7225</v>
      </c>
      <c r="AA413" s="171" t="s">
        <v>1957</v>
      </c>
      <c r="AB413" s="171">
        <v>2013</v>
      </c>
      <c r="AC413" s="171">
        <v>2013</v>
      </c>
      <c r="AD413" s="171"/>
      <c r="AE413" s="171"/>
      <c r="AF413" s="171"/>
      <c r="AG413" s="171" t="s">
        <v>2082</v>
      </c>
      <c r="AH413" s="171">
        <v>2024</v>
      </c>
      <c r="AI413" s="171" t="s">
        <v>5032</v>
      </c>
      <c r="AJ413" s="176" t="s">
        <v>7420</v>
      </c>
      <c r="AK413" s="176" t="s">
        <v>7424</v>
      </c>
      <c r="AL413" s="176" t="s">
        <v>7424</v>
      </c>
      <c r="AM413" s="171"/>
      <c r="AN413" s="171" t="s">
        <v>4172</v>
      </c>
      <c r="AO413" s="171" t="s">
        <v>7423</v>
      </c>
      <c r="AP413" s="171" t="s">
        <v>7422</v>
      </c>
      <c r="AQ413" s="171" t="s">
        <v>4172</v>
      </c>
      <c r="AR413" s="171">
        <v>2050</v>
      </c>
      <c r="AS413" s="171">
        <v>2022</v>
      </c>
      <c r="AT413" s="171"/>
      <c r="AU413" s="171"/>
      <c r="AV413" s="171"/>
      <c r="AW413" s="171" t="s">
        <v>4174</v>
      </c>
      <c r="AX413" s="176" t="s">
        <v>7421</v>
      </c>
      <c r="AY413" s="171">
        <v>2024</v>
      </c>
      <c r="AZ413" s="171" t="s">
        <v>4174</v>
      </c>
      <c r="BA413" s="176" t="s">
        <v>7420</v>
      </c>
      <c r="BB413" s="171"/>
      <c r="BC413" s="171"/>
      <c r="BD413" s="171"/>
      <c r="BE413" s="171"/>
      <c r="BF413" s="225"/>
      <c r="BG413" s="171"/>
      <c r="BH413" s="171"/>
      <c r="BI413" s="171"/>
      <c r="BJ413" s="171">
        <v>1</v>
      </c>
      <c r="BK413" s="171"/>
      <c r="BL413" s="171"/>
      <c r="BM413" s="171">
        <v>1</v>
      </c>
      <c r="BN413" s="171"/>
      <c r="BO413" s="171"/>
      <c r="BP413" s="171">
        <v>1</v>
      </c>
      <c r="BQ413" s="171">
        <v>1</v>
      </c>
      <c r="BR413" s="171"/>
      <c r="BS413" s="171">
        <v>1</v>
      </c>
      <c r="BT413" s="171"/>
      <c r="BU413" s="171">
        <v>1</v>
      </c>
      <c r="BV413" s="171"/>
      <c r="BW413" s="171"/>
      <c r="BX413" s="171"/>
      <c r="BY413" s="171"/>
      <c r="BZ413" s="171">
        <v>1</v>
      </c>
      <c r="CA413" s="171">
        <v>1</v>
      </c>
      <c r="CB413" s="171">
        <v>1</v>
      </c>
      <c r="CC413" s="171">
        <v>1</v>
      </c>
      <c r="CD413" s="171"/>
      <c r="CE413" s="171">
        <v>1</v>
      </c>
      <c r="CF413" s="171">
        <v>1</v>
      </c>
      <c r="CG413" s="171">
        <v>1</v>
      </c>
      <c r="CH413" s="171">
        <v>1</v>
      </c>
      <c r="CI413" s="171"/>
      <c r="CJ413" s="171"/>
      <c r="CK413" s="171">
        <v>1</v>
      </c>
      <c r="CL413" s="171">
        <v>1</v>
      </c>
      <c r="CM413">
        <f t="shared" si="48"/>
        <v>2050</v>
      </c>
    </row>
    <row r="414" spans="1:91">
      <c r="A414" s="171">
        <v>128</v>
      </c>
      <c r="B414" s="171" t="s">
        <v>1460</v>
      </c>
      <c r="C414" s="171">
        <v>140</v>
      </c>
      <c r="D414" s="171" t="str">
        <f t="shared" si="47"/>
        <v xml:space="preserve"> NZ SBT RE100</v>
      </c>
      <c r="E414" s="171" t="s">
        <v>7220</v>
      </c>
      <c r="F414" s="174">
        <v>45476</v>
      </c>
      <c r="G414" s="171" t="s">
        <v>7223</v>
      </c>
      <c r="H414" s="173">
        <v>6715.5</v>
      </c>
      <c r="I414" s="171"/>
      <c r="J414" s="171" t="s">
        <v>4459</v>
      </c>
      <c r="K414" s="171" t="s">
        <v>207</v>
      </c>
      <c r="L414" s="171" t="s">
        <v>1994</v>
      </c>
      <c r="M414" s="171" t="s">
        <v>4174</v>
      </c>
      <c r="N414" s="171">
        <v>2018</v>
      </c>
      <c r="O414" s="171">
        <v>2030</v>
      </c>
      <c r="P414" s="171" t="s">
        <v>4174</v>
      </c>
      <c r="Q414" s="171" t="s">
        <v>22</v>
      </c>
      <c r="R414" s="171" t="s">
        <v>7233</v>
      </c>
      <c r="S414" s="171">
        <v>2025</v>
      </c>
      <c r="T414" s="171" t="s">
        <v>361</v>
      </c>
      <c r="U414" s="171">
        <v>2040</v>
      </c>
      <c r="V414" s="172">
        <v>44805</v>
      </c>
      <c r="W414" s="171">
        <v>2022</v>
      </c>
      <c r="X414" s="171" t="s">
        <v>7229</v>
      </c>
      <c r="Y414" s="171"/>
      <c r="Z414" s="171"/>
      <c r="AA414" s="171" t="s">
        <v>7229</v>
      </c>
      <c r="AB414" s="171"/>
      <c r="AC414" s="171"/>
      <c r="AD414" s="171"/>
      <c r="AE414" s="171"/>
      <c r="AF414" s="171"/>
      <c r="AG414" s="171"/>
      <c r="AH414" s="171"/>
      <c r="AI414" s="171"/>
      <c r="AJ414" s="171"/>
      <c r="AK414" s="171"/>
      <c r="AL414" s="171"/>
      <c r="AM414" s="171"/>
      <c r="AN414" s="171" t="s">
        <v>7227</v>
      </c>
      <c r="AO414" s="171" t="s">
        <v>7419</v>
      </c>
      <c r="AP414" s="171" t="s">
        <v>2072</v>
      </c>
      <c r="AQ414" s="171" t="s">
        <v>1957</v>
      </c>
      <c r="AR414" s="171">
        <v>2030</v>
      </c>
      <c r="AS414" s="171">
        <v>2022</v>
      </c>
      <c r="AT414" s="171" t="s">
        <v>4172</v>
      </c>
      <c r="AU414" s="171">
        <v>2040</v>
      </c>
      <c r="AV414" s="171">
        <v>2022</v>
      </c>
      <c r="AW414" s="171" t="s">
        <v>2082</v>
      </c>
      <c r="AX414" s="171" t="s">
        <v>7418</v>
      </c>
      <c r="AY414" s="171"/>
      <c r="AZ414" s="171"/>
      <c r="BA414" s="171"/>
      <c r="BB414" s="171"/>
      <c r="BC414" s="171"/>
      <c r="BD414" s="171"/>
      <c r="BE414" s="171"/>
      <c r="BF414" s="225"/>
      <c r="BG414" s="171"/>
      <c r="BH414" s="171"/>
      <c r="BI414" s="171"/>
      <c r="BJ414" s="171"/>
      <c r="BK414" s="171"/>
      <c r="BL414" s="171"/>
      <c r="BM414" s="171"/>
      <c r="BN414" s="171"/>
      <c r="BO414" s="171">
        <v>1</v>
      </c>
      <c r="BP414" s="171"/>
      <c r="BQ414" s="171">
        <v>1</v>
      </c>
      <c r="BR414" s="171"/>
      <c r="BS414" s="171">
        <v>1</v>
      </c>
      <c r="BT414" s="171"/>
      <c r="BU414" s="171">
        <v>1</v>
      </c>
      <c r="BV414" s="171"/>
      <c r="BW414" s="171">
        <v>1</v>
      </c>
      <c r="BX414" s="171"/>
      <c r="BY414" s="171">
        <v>1</v>
      </c>
      <c r="BZ414" s="171">
        <v>1</v>
      </c>
      <c r="CA414" s="171">
        <v>1</v>
      </c>
      <c r="CB414" s="171">
        <v>1</v>
      </c>
      <c r="CC414" s="171"/>
      <c r="CD414" s="171"/>
      <c r="CE414" s="171">
        <v>1</v>
      </c>
      <c r="CF414" s="171"/>
      <c r="CG414" s="171">
        <v>1</v>
      </c>
      <c r="CH414" s="171">
        <v>1</v>
      </c>
      <c r="CI414" s="171"/>
      <c r="CJ414" s="171"/>
      <c r="CK414" s="171">
        <v>1</v>
      </c>
      <c r="CL414" s="171">
        <v>1</v>
      </c>
      <c r="CM414">
        <f t="shared" si="48"/>
        <v>2040</v>
      </c>
    </row>
    <row r="415" spans="1:91">
      <c r="A415" s="171">
        <v>396</v>
      </c>
      <c r="B415" s="171" t="s">
        <v>7417</v>
      </c>
      <c r="C415" s="171"/>
      <c r="D415" s="171" t="str">
        <f t="shared" si="47"/>
        <v xml:space="preserve"> NZ RE100</v>
      </c>
      <c r="E415" s="171" t="s">
        <v>7259</v>
      </c>
      <c r="F415" s="174">
        <v>45511</v>
      </c>
      <c r="G415" s="171"/>
      <c r="H415" s="173">
        <v>3469</v>
      </c>
      <c r="I415" s="171"/>
      <c r="J415" s="171" t="s">
        <v>4465</v>
      </c>
      <c r="K415" s="171" t="s">
        <v>4195</v>
      </c>
      <c r="L415" s="171" t="s">
        <v>1951</v>
      </c>
      <c r="M415" s="171" t="s">
        <v>4174</v>
      </c>
      <c r="N415" s="171">
        <v>2022</v>
      </c>
      <c r="O415" s="171">
        <v>2040</v>
      </c>
      <c r="P415" s="171" t="s">
        <v>5032</v>
      </c>
      <c r="Q415" s="171" t="s">
        <v>7290</v>
      </c>
      <c r="R415" s="171"/>
      <c r="S415" s="171"/>
      <c r="T415" s="171" t="s">
        <v>1</v>
      </c>
      <c r="U415" s="171"/>
      <c r="V415" s="175" t="s">
        <v>7416</v>
      </c>
      <c r="W415" s="171">
        <v>2018</v>
      </c>
      <c r="X415" s="171" t="s">
        <v>5032</v>
      </c>
      <c r="Y415" s="171"/>
      <c r="Z415" s="171"/>
      <c r="AA415" s="171" t="s">
        <v>5032</v>
      </c>
      <c r="AB415" s="171"/>
      <c r="AC415" s="171"/>
      <c r="AD415" s="171"/>
      <c r="AE415" s="171"/>
      <c r="AF415" s="171"/>
      <c r="AG415" s="171"/>
      <c r="AH415" s="171"/>
      <c r="AI415" s="171"/>
      <c r="AJ415" s="171"/>
      <c r="AK415" s="171"/>
      <c r="AL415" s="171"/>
      <c r="AM415" s="171"/>
      <c r="AN415" s="171" t="s">
        <v>7414</v>
      </c>
      <c r="AO415" s="171" t="s">
        <v>7415</v>
      </c>
      <c r="AP415" s="171" t="s">
        <v>2072</v>
      </c>
      <c r="AQ415" s="171" t="s">
        <v>7414</v>
      </c>
      <c r="AR415" s="171">
        <v>2050</v>
      </c>
      <c r="AS415" s="171">
        <v>2021</v>
      </c>
      <c r="AT415" s="171"/>
      <c r="AU415" s="171"/>
      <c r="AV415" s="171"/>
      <c r="AW415" s="171" t="s">
        <v>4174</v>
      </c>
      <c r="AX415" s="171" t="s">
        <v>7413</v>
      </c>
      <c r="AY415" s="171"/>
      <c r="AZ415" s="171"/>
      <c r="BA415" s="171"/>
      <c r="BB415" s="171"/>
      <c r="BC415" s="171"/>
      <c r="BD415" s="171"/>
      <c r="BE415" s="171"/>
      <c r="BF415" s="225"/>
      <c r="BG415" s="171"/>
      <c r="BH415" s="171"/>
      <c r="BI415" s="171"/>
      <c r="BJ415" s="171"/>
      <c r="BK415" s="171"/>
      <c r="BL415" s="171"/>
      <c r="BM415" s="171"/>
      <c r="BN415" s="171"/>
      <c r="BO415" s="171"/>
      <c r="BP415" s="171">
        <v>1</v>
      </c>
      <c r="BQ415" s="171">
        <v>1</v>
      </c>
      <c r="BR415" s="171"/>
      <c r="BS415" s="171"/>
      <c r="BT415" s="171"/>
      <c r="BU415" s="171"/>
      <c r="BV415" s="171"/>
      <c r="BW415" s="171"/>
      <c r="BX415" s="171">
        <v>1</v>
      </c>
      <c r="BY415" s="171">
        <v>1</v>
      </c>
      <c r="BZ415" s="171">
        <v>1</v>
      </c>
      <c r="CA415" s="171"/>
      <c r="CB415" s="171">
        <v>1</v>
      </c>
      <c r="CC415" s="171">
        <v>1</v>
      </c>
      <c r="CD415" s="171"/>
      <c r="CE415" s="171">
        <v>1</v>
      </c>
      <c r="CF415" s="171"/>
      <c r="CG415" s="171"/>
      <c r="CH415" s="171">
        <v>1</v>
      </c>
      <c r="CI415" s="171"/>
      <c r="CJ415" s="171"/>
      <c r="CK415" s="171">
        <v>1</v>
      </c>
      <c r="CL415" s="171">
        <v>1</v>
      </c>
      <c r="CM415">
        <f t="shared" si="48"/>
        <v>2050</v>
      </c>
    </row>
    <row r="416" spans="1:91">
      <c r="A416" s="171">
        <v>424</v>
      </c>
      <c r="B416" s="171" t="s">
        <v>2382</v>
      </c>
      <c r="C416" s="171">
        <v>473</v>
      </c>
      <c r="D416" s="171" t="str">
        <f t="shared" si="47"/>
        <v xml:space="preserve"> NZ SBT RE100</v>
      </c>
      <c r="E416" s="171" t="s">
        <v>7385</v>
      </c>
      <c r="F416" s="174">
        <v>45512</v>
      </c>
      <c r="G416" s="171" t="s">
        <v>7220</v>
      </c>
      <c r="H416" s="173">
        <v>4124.5</v>
      </c>
      <c r="I416" s="171"/>
      <c r="J416" s="171" t="s">
        <v>4455</v>
      </c>
      <c r="K416" s="171" t="s">
        <v>4457</v>
      </c>
      <c r="L416" s="171" t="s">
        <v>2029</v>
      </c>
      <c r="M416" s="171" t="s">
        <v>4174</v>
      </c>
      <c r="N416" s="171">
        <v>2015</v>
      </c>
      <c r="O416" s="171">
        <v>2022</v>
      </c>
      <c r="P416" s="171" t="s">
        <v>4174</v>
      </c>
      <c r="Q416" s="171" t="s">
        <v>22</v>
      </c>
      <c r="R416" s="171" t="s">
        <v>7233</v>
      </c>
      <c r="S416" s="171">
        <v>2030</v>
      </c>
      <c r="T416" s="171" t="s">
        <v>1</v>
      </c>
      <c r="U416" s="171"/>
      <c r="V416" s="172">
        <v>44256</v>
      </c>
      <c r="W416" s="171">
        <v>2021</v>
      </c>
      <c r="X416" s="171" t="s">
        <v>5032</v>
      </c>
      <c r="Y416" s="171"/>
      <c r="Z416" s="171"/>
      <c r="AA416" s="171" t="s">
        <v>5032</v>
      </c>
      <c r="AB416" s="171"/>
      <c r="AC416" s="171"/>
      <c r="AD416" s="171"/>
      <c r="AE416" s="171"/>
      <c r="AF416" s="171"/>
      <c r="AG416" s="171"/>
      <c r="AH416" s="171"/>
      <c r="AI416" s="171"/>
      <c r="AJ416" s="171"/>
      <c r="AK416" s="171"/>
      <c r="AL416" s="171"/>
      <c r="AM416" s="171" t="s">
        <v>7412</v>
      </c>
      <c r="AN416" s="171" t="s">
        <v>1957</v>
      </c>
      <c r="AO416" s="171" t="s">
        <v>5131</v>
      </c>
      <c r="AP416" s="171" t="s">
        <v>2072</v>
      </c>
      <c r="AQ416" s="171" t="s">
        <v>1957</v>
      </c>
      <c r="AR416" s="171">
        <v>2050</v>
      </c>
      <c r="AS416" s="171">
        <v>2020</v>
      </c>
      <c r="AT416" s="171"/>
      <c r="AU416" s="171"/>
      <c r="AV416" s="171"/>
      <c r="AW416" s="171" t="s">
        <v>2082</v>
      </c>
      <c r="AX416" s="176" t="s">
        <v>7411</v>
      </c>
      <c r="AY416" s="171"/>
      <c r="AZ416" s="171"/>
      <c r="BA416" s="171"/>
      <c r="BB416" s="171"/>
      <c r="BC416" s="171"/>
      <c r="BD416" s="171"/>
      <c r="BE416" s="171"/>
      <c r="BF416" s="225"/>
      <c r="BG416" s="171"/>
      <c r="BH416" s="171"/>
      <c r="BI416" s="171"/>
      <c r="BJ416" s="171"/>
      <c r="BK416" s="171"/>
      <c r="BL416" s="171"/>
      <c r="BM416" s="171"/>
      <c r="BN416" s="171"/>
      <c r="BO416" s="171"/>
      <c r="BP416" s="171">
        <v>1</v>
      </c>
      <c r="BQ416" s="171">
        <v>1</v>
      </c>
      <c r="BR416" s="171"/>
      <c r="BS416" s="171">
        <v>1</v>
      </c>
      <c r="BT416" s="171"/>
      <c r="BU416" s="171">
        <v>1</v>
      </c>
      <c r="BV416" s="171">
        <v>1</v>
      </c>
      <c r="BW416" s="171"/>
      <c r="BX416" s="171"/>
      <c r="BY416" s="171">
        <v>1</v>
      </c>
      <c r="BZ416" s="171">
        <v>1</v>
      </c>
      <c r="CA416" s="171"/>
      <c r="CB416" s="171">
        <v>1</v>
      </c>
      <c r="CC416" s="171"/>
      <c r="CD416" s="171"/>
      <c r="CE416" s="171">
        <v>1</v>
      </c>
      <c r="CF416" s="171">
        <v>1</v>
      </c>
      <c r="CG416" s="171">
        <v>1</v>
      </c>
      <c r="CH416" s="171">
        <v>1</v>
      </c>
      <c r="CI416" s="171"/>
      <c r="CJ416" s="171"/>
      <c r="CK416" s="171"/>
      <c r="CL416" s="171"/>
      <c r="CM416">
        <f t="shared" si="48"/>
        <v>2050</v>
      </c>
    </row>
    <row r="417" spans="1:91">
      <c r="A417" s="171">
        <v>178</v>
      </c>
      <c r="B417" s="171" t="s">
        <v>1033</v>
      </c>
      <c r="C417" s="171">
        <v>235</v>
      </c>
      <c r="D417" s="171" t="str">
        <f t="shared" si="47"/>
        <v>CN NZ</v>
      </c>
      <c r="E417" s="171" t="s">
        <v>7220</v>
      </c>
      <c r="F417" s="174">
        <v>45477</v>
      </c>
      <c r="G417" s="171" t="s">
        <v>7220</v>
      </c>
      <c r="H417" s="173">
        <v>8106</v>
      </c>
      <c r="I417" s="171"/>
      <c r="J417" s="171" t="s">
        <v>4465</v>
      </c>
      <c r="K417" s="171" t="s">
        <v>87</v>
      </c>
      <c r="L417" s="171" t="s">
        <v>1994</v>
      </c>
      <c r="M417" s="171" t="s">
        <v>5032</v>
      </c>
      <c r="N417" s="171"/>
      <c r="O417" s="171"/>
      <c r="P417" s="171" t="s">
        <v>5032</v>
      </c>
      <c r="Q417" s="171"/>
      <c r="R417" s="171"/>
      <c r="S417" s="171"/>
      <c r="T417" s="171"/>
      <c r="U417" s="171"/>
      <c r="V417" s="175"/>
      <c r="W417" s="171"/>
      <c r="X417" s="171" t="s">
        <v>1957</v>
      </c>
      <c r="Y417" s="171" t="s">
        <v>109</v>
      </c>
      <c r="Z417" s="171" t="s">
        <v>32</v>
      </c>
      <c r="AA417" s="171" t="s">
        <v>1957</v>
      </c>
      <c r="AB417" s="171">
        <v>2030</v>
      </c>
      <c r="AC417" s="171">
        <v>2018</v>
      </c>
      <c r="AD417" s="171"/>
      <c r="AE417" s="171"/>
      <c r="AF417" s="171"/>
      <c r="AG417" s="171" t="s">
        <v>4174</v>
      </c>
      <c r="AH417" s="171">
        <v>2024</v>
      </c>
      <c r="AI417" s="171" t="s">
        <v>4174</v>
      </c>
      <c r="AJ417" s="171" t="s">
        <v>7410</v>
      </c>
      <c r="AK417" s="171"/>
      <c r="AL417" s="176" t="s">
        <v>7409</v>
      </c>
      <c r="AM417" s="171"/>
      <c r="AN417" s="171" t="s">
        <v>4172</v>
      </c>
      <c r="AO417" s="171" t="s">
        <v>1435</v>
      </c>
      <c r="AP417" s="171" t="s">
        <v>2072</v>
      </c>
      <c r="AQ417" s="171" t="s">
        <v>4172</v>
      </c>
      <c r="AR417" s="171">
        <v>2055</v>
      </c>
      <c r="AS417" s="171">
        <v>2024</v>
      </c>
      <c r="AT417" s="171"/>
      <c r="AU417" s="171"/>
      <c r="AV417" s="171"/>
      <c r="AW417" s="171" t="s">
        <v>2082</v>
      </c>
      <c r="AX417" s="171" t="s">
        <v>7409</v>
      </c>
      <c r="AY417" s="171"/>
      <c r="AZ417" s="171"/>
      <c r="BA417" s="171"/>
      <c r="BB417" s="171"/>
      <c r="BC417" s="171"/>
      <c r="BD417" s="171"/>
      <c r="BE417" s="171"/>
      <c r="BF417" s="225"/>
      <c r="BG417" s="171"/>
      <c r="BH417" s="171"/>
      <c r="BI417" s="171"/>
      <c r="BJ417" s="171"/>
      <c r="BK417" s="171">
        <v>1</v>
      </c>
      <c r="BL417" s="171"/>
      <c r="BM417" s="171">
        <v>1</v>
      </c>
      <c r="BN417" s="171"/>
      <c r="BO417" s="171"/>
      <c r="BP417" s="171"/>
      <c r="BQ417" s="171">
        <v>1</v>
      </c>
      <c r="BR417" s="171"/>
      <c r="BS417" s="171"/>
      <c r="BT417" s="171"/>
      <c r="BU417" s="171"/>
      <c r="BV417" s="171"/>
      <c r="BW417" s="171"/>
      <c r="BX417" s="171"/>
      <c r="BY417" s="171"/>
      <c r="BZ417" s="171">
        <v>1</v>
      </c>
      <c r="CA417" s="171">
        <v>1</v>
      </c>
      <c r="CB417" s="171">
        <v>1</v>
      </c>
      <c r="CC417" s="171">
        <v>1</v>
      </c>
      <c r="CD417" s="171"/>
      <c r="CE417" s="171">
        <v>1</v>
      </c>
      <c r="CF417" s="171"/>
      <c r="CG417" s="171">
        <v>1</v>
      </c>
      <c r="CH417" s="171">
        <v>1</v>
      </c>
      <c r="CI417" s="171"/>
      <c r="CJ417" s="171"/>
      <c r="CK417" s="171"/>
      <c r="CL417" s="171">
        <v>1</v>
      </c>
      <c r="CM417">
        <f t="shared" si="48"/>
        <v>2055</v>
      </c>
    </row>
    <row r="418" spans="1:91">
      <c r="A418" s="171">
        <v>94</v>
      </c>
      <c r="B418" s="171" t="s">
        <v>2369</v>
      </c>
      <c r="C418" s="171">
        <v>128</v>
      </c>
      <c r="D418" s="171" t="str">
        <f t="shared" si="47"/>
        <v/>
      </c>
      <c r="E418" s="171" t="s">
        <v>7228</v>
      </c>
      <c r="F418" s="174">
        <v>45476</v>
      </c>
      <c r="G418" s="171" t="s">
        <v>7223</v>
      </c>
      <c r="H418" s="173">
        <v>-6272.3</v>
      </c>
      <c r="I418" s="171"/>
      <c r="J418" s="171" t="s">
        <v>4465</v>
      </c>
      <c r="K418" s="171" t="s">
        <v>4457</v>
      </c>
      <c r="L418" s="171" t="s">
        <v>2029</v>
      </c>
      <c r="M418" s="171" t="s">
        <v>5032</v>
      </c>
      <c r="N418" s="171"/>
      <c r="O418" s="171"/>
      <c r="P418" s="171" t="s">
        <v>5032</v>
      </c>
      <c r="Q418" s="171"/>
      <c r="R418" s="171"/>
      <c r="S418" s="171"/>
      <c r="T418" s="171"/>
      <c r="U418" s="171"/>
      <c r="V418" s="175"/>
      <c r="W418" s="171"/>
      <c r="X418" s="171" t="s">
        <v>5032</v>
      </c>
      <c r="Y418" s="171"/>
      <c r="Z418" s="171"/>
      <c r="AA418" s="171" t="s">
        <v>5032</v>
      </c>
      <c r="AB418" s="171"/>
      <c r="AC418" s="171"/>
      <c r="AD418" s="171"/>
      <c r="AE418" s="171"/>
      <c r="AF418" s="171"/>
      <c r="AG418" s="171"/>
      <c r="AH418" s="171"/>
      <c r="AI418" s="171"/>
      <c r="AJ418" s="171"/>
      <c r="AK418" s="171"/>
      <c r="AL418" s="171"/>
      <c r="AM418" s="171"/>
      <c r="AN418" s="171" t="s">
        <v>5032</v>
      </c>
      <c r="AO418" s="171"/>
      <c r="AP418" s="171"/>
      <c r="AQ418" s="171" t="s">
        <v>5032</v>
      </c>
      <c r="AR418" s="171"/>
      <c r="AS418" s="171"/>
      <c r="AT418" s="171"/>
      <c r="AU418" s="171"/>
      <c r="AV418" s="171"/>
      <c r="AW418" s="171"/>
      <c r="AX418" s="171"/>
      <c r="AY418" s="171"/>
      <c r="AZ418" s="171"/>
      <c r="BA418" s="171"/>
      <c r="BB418" s="171"/>
      <c r="BC418" s="171"/>
      <c r="BD418" s="171"/>
      <c r="BE418" s="171"/>
      <c r="BF418" s="225"/>
      <c r="BG418" s="171"/>
      <c r="BH418" s="171"/>
      <c r="BI418" s="171"/>
      <c r="BJ418" s="171"/>
      <c r="BK418" s="171"/>
      <c r="BL418" s="171"/>
      <c r="BM418" s="171"/>
      <c r="BN418" s="171"/>
      <c r="BO418" s="171"/>
      <c r="BP418" s="171"/>
      <c r="BQ418" s="171"/>
      <c r="BR418" s="171"/>
      <c r="BS418" s="171"/>
      <c r="BT418" s="171"/>
      <c r="BU418" s="171"/>
      <c r="BV418" s="171"/>
      <c r="BW418" s="171"/>
      <c r="BX418" s="171"/>
      <c r="BY418" s="171"/>
      <c r="BZ418" s="171"/>
      <c r="CA418" s="171"/>
      <c r="CB418" s="171"/>
      <c r="CC418" s="171"/>
      <c r="CD418" s="171"/>
      <c r="CE418" s="171"/>
      <c r="CF418" s="171"/>
      <c r="CG418" s="171"/>
      <c r="CH418" s="171"/>
      <c r="CI418" s="171"/>
      <c r="CJ418" s="171"/>
      <c r="CK418" s="171"/>
      <c r="CL418" s="171"/>
    </row>
    <row r="419" spans="1:91">
      <c r="A419" s="171">
        <v>3</v>
      </c>
      <c r="B419" s="171" t="s">
        <v>1877</v>
      </c>
      <c r="C419" s="171">
        <v>3</v>
      </c>
      <c r="D419" s="171" t="str">
        <f t="shared" si="47"/>
        <v/>
      </c>
      <c r="E419" s="171" t="s">
        <v>7255</v>
      </c>
      <c r="F419" s="174">
        <v>45474</v>
      </c>
      <c r="G419" s="171" t="s">
        <v>7223</v>
      </c>
      <c r="H419" s="173">
        <v>9204.2999999999993</v>
      </c>
      <c r="I419" s="171"/>
      <c r="J419" s="171" t="s">
        <v>4199</v>
      </c>
      <c r="K419" s="171" t="s">
        <v>73</v>
      </c>
      <c r="L419" s="171" t="s">
        <v>1994</v>
      </c>
      <c r="M419" s="171" t="s">
        <v>5032</v>
      </c>
      <c r="N419" s="171"/>
      <c r="O419" s="171"/>
      <c r="P419" s="171" t="s">
        <v>5032</v>
      </c>
      <c r="Q419" s="171"/>
      <c r="R419" s="171"/>
      <c r="S419" s="171"/>
      <c r="T419" s="171"/>
      <c r="U419" s="171"/>
      <c r="V419" s="175"/>
      <c r="W419" s="171"/>
      <c r="X419" s="171" t="s">
        <v>5032</v>
      </c>
      <c r="Y419" s="171"/>
      <c r="Z419" s="171"/>
      <c r="AA419" s="171" t="s">
        <v>5032</v>
      </c>
      <c r="AB419" s="171"/>
      <c r="AC419" s="171"/>
      <c r="AD419" s="171"/>
      <c r="AE419" s="171"/>
      <c r="AF419" s="171"/>
      <c r="AG419" s="171"/>
      <c r="AH419" s="171"/>
      <c r="AI419" s="171"/>
      <c r="AJ419" s="171"/>
      <c r="AK419" s="171"/>
      <c r="AL419" s="171"/>
      <c r="AM419" s="171"/>
      <c r="AN419" s="171" t="s">
        <v>5032</v>
      </c>
      <c r="AO419" s="171"/>
      <c r="AP419" s="171"/>
      <c r="AQ419" s="171" t="s">
        <v>5032</v>
      </c>
      <c r="AR419" s="171"/>
      <c r="AS419" s="171"/>
      <c r="AT419" s="171"/>
      <c r="AU419" s="171"/>
      <c r="AV419" s="171"/>
      <c r="AW419" s="171"/>
      <c r="AX419" s="171"/>
      <c r="AY419" s="171"/>
      <c r="AZ419" s="171"/>
      <c r="BA419" s="171"/>
      <c r="BB419" s="171"/>
      <c r="BC419" s="171"/>
      <c r="BD419" s="171"/>
      <c r="BE419" s="171"/>
      <c r="BF419" s="225"/>
      <c r="BG419" s="171"/>
      <c r="BH419" s="171"/>
      <c r="BI419" s="171"/>
      <c r="BJ419" s="171"/>
      <c r="BK419" s="171"/>
      <c r="BL419" s="171"/>
      <c r="BM419" s="171"/>
      <c r="BN419" s="171"/>
      <c r="BO419" s="171"/>
      <c r="BP419" s="171"/>
      <c r="BQ419" s="171"/>
      <c r="BR419" s="171"/>
      <c r="BS419" s="171"/>
      <c r="BT419" s="171"/>
      <c r="BU419" s="171"/>
      <c r="BV419" s="171"/>
      <c r="BW419" s="171"/>
      <c r="BX419" s="171"/>
      <c r="BY419" s="171"/>
      <c r="BZ419" s="171"/>
      <c r="CA419" s="171"/>
      <c r="CB419" s="171"/>
      <c r="CC419" s="171"/>
      <c r="CD419" s="171"/>
      <c r="CE419" s="171"/>
      <c r="CF419" s="171"/>
      <c r="CG419" s="171"/>
      <c r="CH419" s="171"/>
      <c r="CI419" s="171"/>
      <c r="CJ419" s="171"/>
      <c r="CK419" s="171"/>
      <c r="CL419" s="171"/>
    </row>
    <row r="420" spans="1:91">
      <c r="A420" s="171">
        <v>256</v>
      </c>
      <c r="B420" s="171" t="s">
        <v>630</v>
      </c>
      <c r="C420" s="171">
        <v>262</v>
      </c>
      <c r="D420" s="171" t="str">
        <f t="shared" si="47"/>
        <v/>
      </c>
      <c r="E420" s="171" t="s">
        <v>7223</v>
      </c>
      <c r="F420" s="174">
        <v>45477</v>
      </c>
      <c r="G420" s="171" t="s">
        <v>7223</v>
      </c>
      <c r="H420" s="173">
        <v>1615.9</v>
      </c>
      <c r="I420" s="171"/>
      <c r="J420" s="171" t="s">
        <v>4199</v>
      </c>
      <c r="K420" s="171" t="s">
        <v>73</v>
      </c>
      <c r="L420" s="171" t="s">
        <v>1994</v>
      </c>
      <c r="M420" s="171" t="s">
        <v>5032</v>
      </c>
      <c r="N420" s="171"/>
      <c r="O420" s="171"/>
      <c r="P420" s="171" t="s">
        <v>5032</v>
      </c>
      <c r="Q420" s="171"/>
      <c r="R420" s="171"/>
      <c r="S420" s="171"/>
      <c r="T420" s="171"/>
      <c r="U420" s="171"/>
      <c r="V420" s="175"/>
      <c r="W420" s="171"/>
      <c r="X420" s="171" t="s">
        <v>4519</v>
      </c>
      <c r="Y420" s="171" t="s">
        <v>4754</v>
      </c>
      <c r="Z420" s="171" t="s">
        <v>7225</v>
      </c>
      <c r="AA420" s="171" t="s">
        <v>4519</v>
      </c>
      <c r="AB420" s="171">
        <v>2060</v>
      </c>
      <c r="AC420" s="171">
        <v>2021</v>
      </c>
      <c r="AD420" s="171"/>
      <c r="AE420" s="171"/>
      <c r="AF420" s="171"/>
      <c r="AG420" s="171"/>
      <c r="AH420" s="171"/>
      <c r="AI420" s="171"/>
      <c r="AJ420" s="171"/>
      <c r="AK420" s="171"/>
      <c r="AL420" s="171" t="s">
        <v>7408</v>
      </c>
      <c r="AM420" s="171"/>
      <c r="AN420" s="171" t="s">
        <v>5032</v>
      </c>
      <c r="AO420" s="171"/>
      <c r="AP420" s="171"/>
      <c r="AQ420" s="171" t="s">
        <v>5032</v>
      </c>
      <c r="AR420" s="171"/>
      <c r="AS420" s="171"/>
      <c r="AT420" s="171"/>
      <c r="AU420" s="171"/>
      <c r="AV420" s="171"/>
      <c r="AW420" s="171"/>
      <c r="AX420" s="171"/>
      <c r="AY420" s="171"/>
      <c r="AZ420" s="171"/>
      <c r="BA420" s="171"/>
      <c r="BB420" s="171"/>
      <c r="BC420" s="171"/>
      <c r="BD420" s="171"/>
      <c r="BE420" s="171"/>
      <c r="BF420" s="225"/>
      <c r="BG420" s="171"/>
      <c r="BH420" s="171"/>
      <c r="BI420" s="171" t="s">
        <v>7407</v>
      </c>
      <c r="BJ420" s="171"/>
      <c r="BK420" s="171"/>
      <c r="BL420" s="171"/>
      <c r="BM420" s="171"/>
      <c r="BN420" s="171"/>
      <c r="BO420" s="171"/>
      <c r="BP420" s="171"/>
      <c r="BQ420" s="171"/>
      <c r="BR420" s="171"/>
      <c r="BS420" s="171"/>
      <c r="BT420" s="171"/>
      <c r="BU420" s="171"/>
      <c r="BV420" s="171"/>
      <c r="BW420" s="171"/>
      <c r="BX420" s="171"/>
      <c r="BY420" s="171"/>
      <c r="BZ420" s="171"/>
      <c r="CA420" s="171"/>
      <c r="CB420" s="171"/>
      <c r="CC420" s="171"/>
      <c r="CD420" s="171"/>
      <c r="CE420" s="171"/>
      <c r="CF420" s="171"/>
      <c r="CG420" s="171"/>
      <c r="CH420" s="171"/>
      <c r="CI420" s="171"/>
      <c r="CJ420" s="171"/>
      <c r="CK420" s="171"/>
      <c r="CL420" s="171"/>
    </row>
    <row r="421" spans="1:91">
      <c r="A421" s="171">
        <v>28</v>
      </c>
      <c r="B421" s="171" t="s">
        <v>4994</v>
      </c>
      <c r="C421" s="171">
        <v>31</v>
      </c>
      <c r="D421" s="171" t="str">
        <f t="shared" si="47"/>
        <v xml:space="preserve"> NZ</v>
      </c>
      <c r="E421" s="171" t="s">
        <v>7288</v>
      </c>
      <c r="F421" s="174">
        <v>45474</v>
      </c>
      <c r="G421" s="171" t="s">
        <v>7220</v>
      </c>
      <c r="H421" s="173">
        <v>20103.400000000001</v>
      </c>
      <c r="I421" s="171"/>
      <c r="J421" s="171" t="s">
        <v>4476</v>
      </c>
      <c r="K421" s="171" t="s">
        <v>96</v>
      </c>
      <c r="L421" s="171" t="s">
        <v>1951</v>
      </c>
      <c r="M421" s="171" t="s">
        <v>5032</v>
      </c>
      <c r="N421" s="171"/>
      <c r="O421" s="171"/>
      <c r="P421" s="171" t="s">
        <v>5032</v>
      </c>
      <c r="Q421" s="171"/>
      <c r="R421" s="171"/>
      <c r="S421" s="171"/>
      <c r="T421" s="171"/>
      <c r="U421" s="171"/>
      <c r="V421" s="175"/>
      <c r="W421" s="171"/>
      <c r="X421" s="171" t="s">
        <v>5032</v>
      </c>
      <c r="Y421" s="171"/>
      <c r="Z421" s="171"/>
      <c r="AA421" s="171" t="s">
        <v>5032</v>
      </c>
      <c r="AB421" s="171"/>
      <c r="AC421" s="171"/>
      <c r="AD421" s="171"/>
      <c r="AE421" s="171"/>
      <c r="AF421" s="171"/>
      <c r="AG421" s="171"/>
      <c r="AH421" s="171"/>
      <c r="AI421" s="171"/>
      <c r="AJ421" s="171"/>
      <c r="AK421" s="171"/>
      <c r="AL421" s="171"/>
      <c r="AM421" s="171"/>
      <c r="AN421" s="171" t="s">
        <v>4172</v>
      </c>
      <c r="AO421" s="171" t="s">
        <v>7232</v>
      </c>
      <c r="AP421" s="171" t="s">
        <v>7406</v>
      </c>
      <c r="AQ421" s="171" t="s">
        <v>4172</v>
      </c>
      <c r="AR421" s="171">
        <v>2038</v>
      </c>
      <c r="AS421" s="171">
        <v>2022</v>
      </c>
      <c r="AT421" s="171"/>
      <c r="AU421" s="171"/>
      <c r="AV421" s="171"/>
      <c r="AW421" s="171" t="s">
        <v>4174</v>
      </c>
      <c r="AX421" s="171" t="s">
        <v>7405</v>
      </c>
      <c r="AY421" s="171">
        <v>2023</v>
      </c>
      <c r="AZ421" s="171" t="s">
        <v>4174</v>
      </c>
      <c r="BA421" s="171" t="s">
        <v>7403</v>
      </c>
      <c r="BB421" s="171"/>
      <c r="BC421" s="171" t="s">
        <v>7404</v>
      </c>
      <c r="BD421" s="171" t="s">
        <v>4174</v>
      </c>
      <c r="BE421" s="171" t="s">
        <v>7403</v>
      </c>
      <c r="BF421" s="225" t="s">
        <v>4174</v>
      </c>
      <c r="BG421" s="171" t="s">
        <v>7403</v>
      </c>
      <c r="BH421" s="171"/>
      <c r="BI421" s="171"/>
      <c r="BJ421" s="171"/>
      <c r="BK421" s="171"/>
      <c r="BL421" s="171"/>
      <c r="BM421" s="171"/>
      <c r="BN421" s="171"/>
      <c r="BO421" s="171"/>
      <c r="BP421" s="171">
        <v>1</v>
      </c>
      <c r="BQ421" s="171">
        <v>1</v>
      </c>
      <c r="BR421" s="171"/>
      <c r="BS421" s="171"/>
      <c r="BT421" s="171"/>
      <c r="BU421" s="171"/>
      <c r="BV421" s="171"/>
      <c r="BW421" s="171"/>
      <c r="BX421" s="171"/>
      <c r="BY421" s="171"/>
      <c r="BZ421" s="171">
        <v>1</v>
      </c>
      <c r="CA421" s="171"/>
      <c r="CB421" s="171">
        <v>1</v>
      </c>
      <c r="CC421" s="171">
        <v>1</v>
      </c>
      <c r="CD421" s="171"/>
      <c r="CE421" s="171">
        <v>1</v>
      </c>
      <c r="CF421" s="171"/>
      <c r="CG421" s="171"/>
      <c r="CH421" s="171">
        <v>1</v>
      </c>
      <c r="CI421" s="171"/>
      <c r="CJ421" s="171"/>
      <c r="CK421" s="171">
        <v>1</v>
      </c>
      <c r="CL421" s="171">
        <v>1</v>
      </c>
      <c r="CM421">
        <f t="shared" si="48"/>
        <v>2038</v>
      </c>
    </row>
    <row r="422" spans="1:91">
      <c r="A422" s="171">
        <v>223</v>
      </c>
      <c r="B422" s="171" t="s">
        <v>4240</v>
      </c>
      <c r="C422" s="171">
        <v>198</v>
      </c>
      <c r="D422" s="171" t="str">
        <f t="shared" si="47"/>
        <v/>
      </c>
      <c r="E422" s="171" t="s">
        <v>7228</v>
      </c>
      <c r="F422" s="174">
        <v>45477</v>
      </c>
      <c r="G422" s="171" t="s">
        <v>7220</v>
      </c>
      <c r="H422" s="173">
        <v>238.5</v>
      </c>
      <c r="I422" s="171"/>
      <c r="J422" s="171" t="s">
        <v>4465</v>
      </c>
      <c r="K422" s="171" t="s">
        <v>4457</v>
      </c>
      <c r="L422" s="171" t="s">
        <v>2029</v>
      </c>
      <c r="M422" s="171" t="s">
        <v>5032</v>
      </c>
      <c r="N422" s="171"/>
      <c r="O422" s="171"/>
      <c r="P422" s="171" t="s">
        <v>5032</v>
      </c>
      <c r="Q422" s="171"/>
      <c r="R422" s="171"/>
      <c r="S422" s="171"/>
      <c r="T422" s="171"/>
      <c r="U422" s="171"/>
      <c r="V422" s="175"/>
      <c r="W422" s="171"/>
      <c r="X422" s="171" t="s">
        <v>5032</v>
      </c>
      <c r="Y422" s="171"/>
      <c r="Z422" s="171"/>
      <c r="AA422" s="171" t="s">
        <v>5032</v>
      </c>
      <c r="AB422" s="171"/>
      <c r="AC422" s="171"/>
      <c r="AD422" s="171"/>
      <c r="AE422" s="171"/>
      <c r="AF422" s="171"/>
      <c r="AG422" s="171"/>
      <c r="AH422" s="171"/>
      <c r="AI422" s="171"/>
      <c r="AJ422" s="171"/>
      <c r="AK422" s="171"/>
      <c r="AL422" s="171"/>
      <c r="AM422" s="171"/>
      <c r="AN422" s="171" t="s">
        <v>5032</v>
      </c>
      <c r="AO422" s="171"/>
      <c r="AP422" s="171"/>
      <c r="AQ422" s="171" t="s">
        <v>5032</v>
      </c>
      <c r="AR422" s="171"/>
      <c r="AS422" s="171"/>
      <c r="AT422" s="171"/>
      <c r="AU422" s="171"/>
      <c r="AV422" s="171"/>
      <c r="AW422" s="171"/>
      <c r="AX422" s="171"/>
      <c r="AY422" s="171"/>
      <c r="AZ422" s="171"/>
      <c r="BA422" s="171"/>
      <c r="BB422" s="171"/>
      <c r="BC422" s="171"/>
      <c r="BD422" s="171"/>
      <c r="BE422" s="171"/>
      <c r="BF422" s="225"/>
      <c r="BG422" s="171"/>
      <c r="BH422" s="171"/>
      <c r="BI422" s="171"/>
      <c r="BJ422" s="171"/>
      <c r="BK422" s="171"/>
      <c r="BL422" s="171"/>
      <c r="BM422" s="171"/>
      <c r="BN422" s="171"/>
      <c r="BO422" s="171"/>
      <c r="BP422" s="171"/>
      <c r="BQ422" s="171"/>
      <c r="BR422" s="171"/>
      <c r="BS422" s="171"/>
      <c r="BT422" s="171"/>
      <c r="BU422" s="171"/>
      <c r="BV422" s="171"/>
      <c r="BW422" s="171"/>
      <c r="BX422" s="171"/>
      <c r="BY422" s="171"/>
      <c r="BZ422" s="171"/>
      <c r="CA422" s="171"/>
      <c r="CB422" s="171"/>
      <c r="CC422" s="171"/>
      <c r="CD422" s="171"/>
      <c r="CE422" s="171"/>
      <c r="CF422" s="171"/>
      <c r="CG422" s="171"/>
      <c r="CH422" s="171"/>
      <c r="CI422" s="171"/>
      <c r="CJ422" s="171"/>
      <c r="CK422" s="171"/>
      <c r="CL422" s="171"/>
    </row>
    <row r="423" spans="1:91">
      <c r="A423" s="171">
        <v>495</v>
      </c>
      <c r="B423" s="171" t="s">
        <v>308</v>
      </c>
      <c r="C423" s="171"/>
      <c r="D423" s="171" t="str">
        <f t="shared" si="47"/>
        <v>CN</v>
      </c>
      <c r="E423" s="171" t="s">
        <v>7259</v>
      </c>
      <c r="F423" s="174">
        <v>45511</v>
      </c>
      <c r="G423" s="171"/>
      <c r="H423" s="173">
        <v>2664.4</v>
      </c>
      <c r="I423" s="171"/>
      <c r="J423" s="171" t="s">
        <v>4476</v>
      </c>
      <c r="K423" s="171" t="s">
        <v>207</v>
      </c>
      <c r="L423" s="171" t="s">
        <v>1994</v>
      </c>
      <c r="M423" s="171" t="s">
        <v>5032</v>
      </c>
      <c r="N423" s="171"/>
      <c r="O423" s="171"/>
      <c r="P423" s="171" t="s">
        <v>5032</v>
      </c>
      <c r="Q423" s="171"/>
      <c r="R423" s="171"/>
      <c r="S423" s="171"/>
      <c r="T423" s="171"/>
      <c r="U423" s="171"/>
      <c r="V423" s="175"/>
      <c r="W423" s="171"/>
      <c r="X423" s="171" t="s">
        <v>1957</v>
      </c>
      <c r="Y423" s="171" t="s">
        <v>7402</v>
      </c>
      <c r="Z423" s="171" t="s">
        <v>3283</v>
      </c>
      <c r="AA423" s="171" t="s">
        <v>1957</v>
      </c>
      <c r="AB423" s="171">
        <v>2050</v>
      </c>
      <c r="AC423" s="171">
        <v>2022</v>
      </c>
      <c r="AD423" s="171"/>
      <c r="AE423" s="171"/>
      <c r="AF423" s="171"/>
      <c r="AG423" s="171" t="s">
        <v>4174</v>
      </c>
      <c r="AH423" s="171"/>
      <c r="AI423" s="171" t="s">
        <v>4174</v>
      </c>
      <c r="AJ423" s="171"/>
      <c r="AK423" s="171"/>
      <c r="AL423" s="171" t="s">
        <v>7401</v>
      </c>
      <c r="AM423" s="171"/>
      <c r="AN423" s="171" t="s">
        <v>5032</v>
      </c>
      <c r="AO423" s="171"/>
      <c r="AP423" s="171"/>
      <c r="AQ423" s="171" t="s">
        <v>5032</v>
      </c>
      <c r="AR423" s="171"/>
      <c r="AS423" s="171"/>
      <c r="AT423" s="171"/>
      <c r="AU423" s="171"/>
      <c r="AV423" s="171"/>
      <c r="AW423" s="171"/>
      <c r="AX423" s="171"/>
      <c r="AY423" s="171"/>
      <c r="AZ423" s="171"/>
      <c r="BA423" s="171"/>
      <c r="BB423" s="171"/>
      <c r="BC423" s="171"/>
      <c r="BD423" s="171"/>
      <c r="BE423" s="171"/>
      <c r="BF423" s="225"/>
      <c r="BG423" s="171"/>
      <c r="BH423" s="171"/>
      <c r="BI423" s="171"/>
      <c r="BJ423" s="171"/>
      <c r="BK423" s="171"/>
      <c r="BL423" s="171">
        <v>1</v>
      </c>
      <c r="BM423" s="171">
        <v>1</v>
      </c>
      <c r="BN423" s="171"/>
      <c r="BO423" s="171"/>
      <c r="BP423" s="171"/>
      <c r="BQ423" s="171"/>
      <c r="BR423" s="171"/>
      <c r="BS423" s="171"/>
      <c r="BT423" s="171"/>
      <c r="BU423" s="171"/>
      <c r="BV423" s="171"/>
      <c r="BW423" s="171"/>
      <c r="BX423" s="171"/>
      <c r="BY423" s="171"/>
      <c r="BZ423" s="171">
        <v>1</v>
      </c>
      <c r="CA423" s="171"/>
      <c r="CB423" s="171">
        <v>1</v>
      </c>
      <c r="CC423" s="171">
        <v>1</v>
      </c>
      <c r="CD423" s="171"/>
      <c r="CE423" s="171">
        <v>1</v>
      </c>
      <c r="CF423" s="171"/>
      <c r="CG423" s="171"/>
      <c r="CH423" s="171">
        <v>1</v>
      </c>
      <c r="CI423" s="171"/>
      <c r="CJ423" s="171"/>
      <c r="CK423" s="171"/>
      <c r="CL423" s="171"/>
    </row>
    <row r="424" spans="1:91">
      <c r="A424" s="171">
        <v>318</v>
      </c>
      <c r="B424" s="171" t="s">
        <v>1054</v>
      </c>
      <c r="C424" s="171">
        <v>282</v>
      </c>
      <c r="D424" s="171" t="str">
        <f t="shared" si="47"/>
        <v>CN</v>
      </c>
      <c r="E424" s="171" t="s">
        <v>7223</v>
      </c>
      <c r="F424" s="174">
        <v>45478</v>
      </c>
      <c r="G424" s="171" t="s">
        <v>7223</v>
      </c>
      <c r="H424" s="173">
        <v>2673.2</v>
      </c>
      <c r="I424" s="171"/>
      <c r="J424" s="171" t="s">
        <v>4465</v>
      </c>
      <c r="K424" s="171" t="s">
        <v>207</v>
      </c>
      <c r="L424" s="171" t="s">
        <v>1994</v>
      </c>
      <c r="M424" s="171" t="s">
        <v>5032</v>
      </c>
      <c r="N424" s="171"/>
      <c r="O424" s="171"/>
      <c r="P424" s="171" t="s">
        <v>5032</v>
      </c>
      <c r="Q424" s="171"/>
      <c r="R424" s="171"/>
      <c r="S424" s="171"/>
      <c r="T424" s="171"/>
      <c r="U424" s="171"/>
      <c r="V424" s="175"/>
      <c r="W424" s="171"/>
      <c r="X424" s="171" t="s">
        <v>4172</v>
      </c>
      <c r="Y424" s="171" t="s">
        <v>4302</v>
      </c>
      <c r="Z424" s="171" t="s">
        <v>7225</v>
      </c>
      <c r="AA424" s="171" t="s">
        <v>4172</v>
      </c>
      <c r="AB424" s="171">
        <v>2050</v>
      </c>
      <c r="AC424" s="171">
        <v>2021</v>
      </c>
      <c r="AD424" s="171"/>
      <c r="AE424" s="171"/>
      <c r="AF424" s="171"/>
      <c r="AG424" s="171" t="s">
        <v>4174</v>
      </c>
      <c r="AH424" s="171"/>
      <c r="AI424" s="171" t="s">
        <v>4174</v>
      </c>
      <c r="AJ424" s="171"/>
      <c r="AK424" s="171"/>
      <c r="AL424" s="171" t="s">
        <v>7400</v>
      </c>
      <c r="AM424" s="171"/>
      <c r="AN424" s="171" t="s">
        <v>7229</v>
      </c>
      <c r="AO424" s="171"/>
      <c r="AP424" s="171"/>
      <c r="AQ424" s="171" t="s">
        <v>7229</v>
      </c>
      <c r="AR424" s="171"/>
      <c r="AS424" s="171"/>
      <c r="AT424" s="171"/>
      <c r="AU424" s="171"/>
      <c r="AV424" s="171"/>
      <c r="AW424" s="171"/>
      <c r="AX424" s="171" t="s">
        <v>7399</v>
      </c>
      <c r="AY424" s="171"/>
      <c r="AZ424" s="171"/>
      <c r="BA424" s="171"/>
      <c r="BB424" s="171"/>
      <c r="BC424" s="171"/>
      <c r="BD424" s="171"/>
      <c r="BE424" s="171"/>
      <c r="BF424" s="225"/>
      <c r="BG424" s="171"/>
      <c r="BH424" s="171"/>
      <c r="BI424" s="171"/>
      <c r="BJ424" s="171"/>
      <c r="BK424" s="171"/>
      <c r="BL424" s="171">
        <v>1</v>
      </c>
      <c r="BM424" s="171">
        <v>1</v>
      </c>
      <c r="BN424" s="171"/>
      <c r="BO424" s="171"/>
      <c r="BP424" s="171"/>
      <c r="BQ424" s="171"/>
      <c r="BR424" s="171"/>
      <c r="BS424" s="171"/>
      <c r="BT424" s="171"/>
      <c r="BU424" s="171"/>
      <c r="BV424" s="171"/>
      <c r="BW424" s="171"/>
      <c r="BX424" s="171"/>
      <c r="BY424" s="171"/>
      <c r="BZ424" s="171">
        <v>1</v>
      </c>
      <c r="CA424" s="171"/>
      <c r="CB424" s="171">
        <v>1</v>
      </c>
      <c r="CC424" s="171">
        <v>1</v>
      </c>
      <c r="CD424" s="171"/>
      <c r="CE424" s="171">
        <v>1</v>
      </c>
      <c r="CF424" s="171"/>
      <c r="CG424" s="171"/>
      <c r="CH424" s="171">
        <v>1</v>
      </c>
      <c r="CI424" s="171"/>
      <c r="CJ424" s="171"/>
      <c r="CK424" s="171"/>
      <c r="CL424" s="171"/>
    </row>
    <row r="425" spans="1:91">
      <c r="A425" s="171">
        <v>208</v>
      </c>
      <c r="B425" s="171" t="s">
        <v>1132</v>
      </c>
      <c r="C425" s="171">
        <v>321</v>
      </c>
      <c r="D425" s="171" t="str">
        <f t="shared" si="47"/>
        <v xml:space="preserve"> NZ</v>
      </c>
      <c r="E425" s="171" t="s">
        <v>7228</v>
      </c>
      <c r="F425" s="174">
        <v>45481</v>
      </c>
      <c r="G425" s="171" t="s">
        <v>7223</v>
      </c>
      <c r="H425" s="173">
        <v>6662.7</v>
      </c>
      <c r="I425" s="171"/>
      <c r="J425" s="171" t="s">
        <v>4465</v>
      </c>
      <c r="K425" s="171" t="s">
        <v>207</v>
      </c>
      <c r="L425" s="171" t="s">
        <v>1994</v>
      </c>
      <c r="M425" s="171" t="s">
        <v>5032</v>
      </c>
      <c r="N425" s="171"/>
      <c r="O425" s="171"/>
      <c r="P425" s="171" t="s">
        <v>5032</v>
      </c>
      <c r="Q425" s="171"/>
      <c r="R425" s="171"/>
      <c r="S425" s="171"/>
      <c r="T425" s="171"/>
      <c r="U425" s="171"/>
      <c r="V425" s="175"/>
      <c r="W425" s="171"/>
      <c r="X425" s="171" t="s">
        <v>5032</v>
      </c>
      <c r="Y425" s="171"/>
      <c r="Z425" s="171"/>
      <c r="AA425" s="171" t="s">
        <v>5032</v>
      </c>
      <c r="AB425" s="171"/>
      <c r="AC425" s="171"/>
      <c r="AD425" s="171"/>
      <c r="AE425" s="171"/>
      <c r="AF425" s="171"/>
      <c r="AG425" s="171"/>
      <c r="AH425" s="171"/>
      <c r="AI425" s="171"/>
      <c r="AJ425" s="171"/>
      <c r="AK425" s="171"/>
      <c r="AL425" s="171"/>
      <c r="AM425" s="171"/>
      <c r="AN425" s="171" t="s">
        <v>7218</v>
      </c>
      <c r="AO425" s="171" t="s">
        <v>7398</v>
      </c>
      <c r="AP425" s="171" t="s">
        <v>7303</v>
      </c>
      <c r="AQ425" s="171" t="s">
        <v>1957</v>
      </c>
      <c r="AR425" s="171">
        <v>2030</v>
      </c>
      <c r="AS425" s="171">
        <v>2020</v>
      </c>
      <c r="AT425" s="171" t="s">
        <v>5050</v>
      </c>
      <c r="AU425" s="171">
        <v>2050</v>
      </c>
      <c r="AV425" s="171">
        <v>2020</v>
      </c>
      <c r="AW425" s="171" t="s">
        <v>4174</v>
      </c>
      <c r="AX425" s="171" t="s">
        <v>7397</v>
      </c>
      <c r="AY425" s="171">
        <v>2022</v>
      </c>
      <c r="AZ425" s="171" t="s">
        <v>4174</v>
      </c>
      <c r="BA425" s="171" t="s">
        <v>7397</v>
      </c>
      <c r="BB425" s="171"/>
      <c r="BC425" s="171" t="s">
        <v>7396</v>
      </c>
      <c r="BD425" s="171"/>
      <c r="BE425" s="171"/>
      <c r="BF425" s="225"/>
      <c r="BG425" s="171"/>
      <c r="BH425" s="171"/>
      <c r="BI425" s="171"/>
      <c r="BJ425" s="171"/>
      <c r="BK425" s="171"/>
      <c r="BL425" s="171"/>
      <c r="BM425" s="171"/>
      <c r="BN425" s="171"/>
      <c r="BO425" s="171">
        <v>1</v>
      </c>
      <c r="BP425" s="171"/>
      <c r="BQ425" s="171">
        <v>1</v>
      </c>
      <c r="BR425" s="171"/>
      <c r="BS425" s="171"/>
      <c r="BT425" s="171"/>
      <c r="BU425" s="171"/>
      <c r="BV425" s="171"/>
      <c r="BW425" s="171"/>
      <c r="BX425" s="171"/>
      <c r="BY425" s="171"/>
      <c r="BZ425" s="171">
        <v>1</v>
      </c>
      <c r="CA425" s="171">
        <v>1</v>
      </c>
      <c r="CB425" s="171">
        <v>1</v>
      </c>
      <c r="CC425" s="171">
        <v>1</v>
      </c>
      <c r="CD425" s="171"/>
      <c r="CE425" s="171">
        <v>1</v>
      </c>
      <c r="CF425" s="171"/>
      <c r="CG425" s="171">
        <v>1</v>
      </c>
      <c r="CH425" s="171">
        <v>1</v>
      </c>
      <c r="CI425" s="171"/>
      <c r="CJ425" s="171"/>
      <c r="CK425" s="171">
        <v>1</v>
      </c>
      <c r="CL425" s="171">
        <v>1</v>
      </c>
      <c r="CM425">
        <f t="shared" si="48"/>
        <v>2030</v>
      </c>
    </row>
    <row r="426" spans="1:91">
      <c r="A426" s="171">
        <v>401</v>
      </c>
      <c r="B426" s="171" t="s">
        <v>405</v>
      </c>
      <c r="C426" s="171">
        <v>327</v>
      </c>
      <c r="D426" s="171" t="str">
        <f t="shared" si="47"/>
        <v/>
      </c>
      <c r="E426" s="171" t="s">
        <v>7228</v>
      </c>
      <c r="F426" s="174">
        <v>45481</v>
      </c>
      <c r="G426" s="171" t="s">
        <v>7220</v>
      </c>
      <c r="H426" s="173">
        <v>6147.7</v>
      </c>
      <c r="I426" s="171"/>
      <c r="J426" s="171" t="s">
        <v>3498</v>
      </c>
      <c r="K426" s="171" t="s">
        <v>78</v>
      </c>
      <c r="L426" s="171" t="s">
        <v>2029</v>
      </c>
      <c r="M426" s="171" t="s">
        <v>5032</v>
      </c>
      <c r="N426" s="171"/>
      <c r="O426" s="171"/>
      <c r="P426" s="171" t="s">
        <v>5032</v>
      </c>
      <c r="Q426" s="171"/>
      <c r="R426" s="171"/>
      <c r="S426" s="171"/>
      <c r="T426" s="171"/>
      <c r="U426" s="171"/>
      <c r="V426" s="175"/>
      <c r="W426" s="171"/>
      <c r="X426" s="171" t="s">
        <v>5032</v>
      </c>
      <c r="Y426" s="171"/>
      <c r="Z426" s="171"/>
      <c r="AA426" s="171" t="s">
        <v>5032</v>
      </c>
      <c r="AB426" s="171"/>
      <c r="AC426" s="171"/>
      <c r="AD426" s="171"/>
      <c r="AE426" s="171"/>
      <c r="AF426" s="171"/>
      <c r="AG426" s="171"/>
      <c r="AH426" s="171"/>
      <c r="AI426" s="171"/>
      <c r="AJ426" s="171"/>
      <c r="AK426" s="171"/>
      <c r="AL426" s="171"/>
      <c r="AM426" s="171"/>
      <c r="AN426" s="171" t="s">
        <v>5032</v>
      </c>
      <c r="AO426" s="171"/>
      <c r="AP426" s="171"/>
      <c r="AQ426" s="171" t="s">
        <v>5032</v>
      </c>
      <c r="AR426" s="171"/>
      <c r="AS426" s="171"/>
      <c r="AT426" s="171"/>
      <c r="AU426" s="171"/>
      <c r="AV426" s="171"/>
      <c r="AW426" s="171"/>
      <c r="AX426" s="171"/>
      <c r="AY426" s="171"/>
      <c r="AZ426" s="171"/>
      <c r="BA426" s="171"/>
      <c r="BB426" s="171"/>
      <c r="BC426" s="171"/>
      <c r="BD426" s="171"/>
      <c r="BE426" s="171"/>
      <c r="BF426" s="225"/>
      <c r="BG426" s="171"/>
      <c r="BH426" s="171"/>
      <c r="BI426" s="171" t="s">
        <v>7395</v>
      </c>
      <c r="BJ426" s="171"/>
      <c r="BK426" s="171"/>
      <c r="BL426" s="171"/>
      <c r="BM426" s="171"/>
      <c r="BN426" s="171"/>
      <c r="BO426" s="171"/>
      <c r="BP426" s="171"/>
      <c r="BQ426" s="171"/>
      <c r="BR426" s="171"/>
      <c r="BS426" s="171"/>
      <c r="BT426" s="171"/>
      <c r="BU426" s="171"/>
      <c r="BV426" s="171"/>
      <c r="BW426" s="171"/>
      <c r="BX426" s="171"/>
      <c r="BY426" s="171"/>
      <c r="BZ426" s="171"/>
      <c r="CA426" s="171"/>
      <c r="CB426" s="171"/>
      <c r="CC426" s="171"/>
      <c r="CD426" s="171"/>
      <c r="CE426" s="171"/>
      <c r="CF426" s="171"/>
      <c r="CG426" s="171"/>
      <c r="CH426" s="171"/>
      <c r="CI426" s="171"/>
      <c r="CJ426" s="171"/>
      <c r="CK426" s="171"/>
      <c r="CL426" s="171"/>
    </row>
    <row r="427" spans="1:91">
      <c r="A427" s="171">
        <v>340</v>
      </c>
      <c r="B427" s="171" t="s">
        <v>4716</v>
      </c>
      <c r="C427" s="171">
        <v>313</v>
      </c>
      <c r="D427" s="171" t="str">
        <f t="shared" si="47"/>
        <v/>
      </c>
      <c r="E427" s="171" t="s">
        <v>7228</v>
      </c>
      <c r="F427" s="174">
        <v>45481</v>
      </c>
      <c r="G427" s="171" t="s">
        <v>7223</v>
      </c>
      <c r="H427" s="173">
        <v>1142</v>
      </c>
      <c r="I427" s="171"/>
      <c r="J427" s="171" t="s">
        <v>4197</v>
      </c>
      <c r="K427" s="171" t="s">
        <v>73</v>
      </c>
      <c r="L427" s="171" t="s">
        <v>1994</v>
      </c>
      <c r="M427" s="171" t="s">
        <v>5032</v>
      </c>
      <c r="N427" s="171"/>
      <c r="O427" s="171"/>
      <c r="P427" s="171" t="s">
        <v>5032</v>
      </c>
      <c r="Q427" s="171"/>
      <c r="R427" s="171"/>
      <c r="S427" s="171"/>
      <c r="T427" s="171"/>
      <c r="U427" s="171"/>
      <c r="V427" s="175"/>
      <c r="W427" s="171"/>
      <c r="X427" s="171" t="s">
        <v>5032</v>
      </c>
      <c r="Y427" s="171"/>
      <c r="Z427" s="171"/>
      <c r="AA427" s="171" t="s">
        <v>5032</v>
      </c>
      <c r="AB427" s="171"/>
      <c r="AC427" s="171"/>
      <c r="AD427" s="171"/>
      <c r="AE427" s="171"/>
      <c r="AF427" s="171"/>
      <c r="AG427" s="171"/>
      <c r="AH427" s="171"/>
      <c r="AI427" s="171"/>
      <c r="AJ427" s="171"/>
      <c r="AK427" s="171"/>
      <c r="AL427" s="171"/>
      <c r="AM427" s="171"/>
      <c r="AN427" s="171" t="s">
        <v>5032</v>
      </c>
      <c r="AO427" s="171"/>
      <c r="AP427" s="171"/>
      <c r="AQ427" s="171" t="s">
        <v>5032</v>
      </c>
      <c r="AR427" s="171"/>
      <c r="AS427" s="171"/>
      <c r="AT427" s="171"/>
      <c r="AU427" s="171"/>
      <c r="AV427" s="171"/>
      <c r="AW427" s="171"/>
      <c r="AX427" s="171"/>
      <c r="AY427" s="171"/>
      <c r="AZ427" s="171"/>
      <c r="BA427" s="171"/>
      <c r="BB427" s="171"/>
      <c r="BC427" s="171" t="s">
        <v>7394</v>
      </c>
      <c r="BD427" s="171"/>
      <c r="BE427" s="171"/>
      <c r="BF427" s="225"/>
      <c r="BG427" s="171"/>
      <c r="BH427" s="171"/>
      <c r="BI427" s="171"/>
      <c r="BJ427" s="171"/>
      <c r="BK427" s="171"/>
      <c r="BL427" s="171"/>
      <c r="BM427" s="171"/>
      <c r="BN427" s="171"/>
      <c r="BO427" s="171"/>
      <c r="BP427" s="171"/>
      <c r="BQ427" s="171"/>
      <c r="BR427" s="171"/>
      <c r="BS427" s="171"/>
      <c r="BT427" s="171"/>
      <c r="BU427" s="171"/>
      <c r="BV427" s="171"/>
      <c r="BW427" s="171"/>
      <c r="BX427" s="171"/>
      <c r="BY427" s="171"/>
      <c r="BZ427" s="171"/>
      <c r="CA427" s="171"/>
      <c r="CB427" s="171"/>
      <c r="CC427" s="171"/>
      <c r="CD427" s="171"/>
      <c r="CE427" s="171"/>
      <c r="CF427" s="171"/>
      <c r="CG427" s="171"/>
      <c r="CH427" s="171"/>
      <c r="CI427" s="171"/>
      <c r="CJ427" s="171"/>
      <c r="CK427" s="171"/>
      <c r="CL427" s="171"/>
    </row>
    <row r="428" spans="1:91">
      <c r="A428" s="171">
        <v>406</v>
      </c>
      <c r="B428" s="171" t="s">
        <v>642</v>
      </c>
      <c r="C428" s="171">
        <v>441</v>
      </c>
      <c r="D428" s="171" t="str">
        <f t="shared" si="47"/>
        <v>CN</v>
      </c>
      <c r="E428" s="171" t="s">
        <v>7385</v>
      </c>
      <c r="F428" s="174">
        <v>45512</v>
      </c>
      <c r="G428" s="171" t="s">
        <v>7220</v>
      </c>
      <c r="H428" s="173">
        <v>1852.4</v>
      </c>
      <c r="I428" s="171"/>
      <c r="J428" s="171" t="s">
        <v>4476</v>
      </c>
      <c r="K428" s="171" t="s">
        <v>207</v>
      </c>
      <c r="L428" s="171" t="s">
        <v>1994</v>
      </c>
      <c r="M428" s="171" t="s">
        <v>5032</v>
      </c>
      <c r="N428" s="171"/>
      <c r="O428" s="171"/>
      <c r="P428" s="171" t="s">
        <v>5032</v>
      </c>
      <c r="Q428" s="171"/>
      <c r="R428" s="171"/>
      <c r="S428" s="171"/>
      <c r="T428" s="171"/>
      <c r="U428" s="171"/>
      <c r="V428" s="175"/>
      <c r="W428" s="171"/>
      <c r="X428" s="171" t="s">
        <v>1957</v>
      </c>
      <c r="Y428" s="171" t="s">
        <v>1659</v>
      </c>
      <c r="Z428" s="171" t="s">
        <v>7225</v>
      </c>
      <c r="AA428" s="171" t="s">
        <v>1957</v>
      </c>
      <c r="AB428" s="171">
        <v>2050</v>
      </c>
      <c r="AC428" s="171">
        <v>2023</v>
      </c>
      <c r="AD428" s="171"/>
      <c r="AE428" s="171"/>
      <c r="AF428" s="171"/>
      <c r="AG428" s="171" t="s">
        <v>2082</v>
      </c>
      <c r="AH428" s="171"/>
      <c r="AI428" s="171" t="s">
        <v>4174</v>
      </c>
      <c r="AJ428" s="171"/>
      <c r="AK428" s="171"/>
      <c r="AL428" s="171"/>
      <c r="AM428" s="171"/>
      <c r="AN428" s="171" t="s">
        <v>5032</v>
      </c>
      <c r="AO428" s="171"/>
      <c r="AP428" s="171"/>
      <c r="AQ428" s="171" t="s">
        <v>5032</v>
      </c>
      <c r="AR428" s="171"/>
      <c r="AS428" s="171"/>
      <c r="AT428" s="171"/>
      <c r="AU428" s="171"/>
      <c r="AV428" s="171"/>
      <c r="AW428" s="171"/>
      <c r="AX428" s="171"/>
      <c r="AY428" s="171"/>
      <c r="AZ428" s="171"/>
      <c r="BA428" s="171"/>
      <c r="BB428" s="171"/>
      <c r="BC428" s="171"/>
      <c r="BD428" s="171"/>
      <c r="BE428" s="171"/>
      <c r="BF428" s="225"/>
      <c r="BG428" s="171"/>
      <c r="BH428" s="171"/>
      <c r="BI428" s="171"/>
      <c r="BJ428" s="171"/>
      <c r="BK428" s="171"/>
      <c r="BL428" s="171">
        <v>1</v>
      </c>
      <c r="BM428" s="171">
        <v>1</v>
      </c>
      <c r="BN428" s="171"/>
      <c r="BO428" s="171"/>
      <c r="BP428" s="171"/>
      <c r="BQ428" s="171"/>
      <c r="BR428" s="171"/>
      <c r="BS428" s="171"/>
      <c r="BT428" s="171"/>
      <c r="BU428" s="171"/>
      <c r="BV428" s="171"/>
      <c r="BW428" s="171"/>
      <c r="BX428" s="171"/>
      <c r="BY428" s="171"/>
      <c r="BZ428" s="171">
        <v>1</v>
      </c>
      <c r="CA428" s="171"/>
      <c r="CB428" s="171">
        <v>1</v>
      </c>
      <c r="CC428" s="171"/>
      <c r="CD428" s="171"/>
      <c r="CE428" s="171">
        <v>1</v>
      </c>
      <c r="CF428" s="171"/>
      <c r="CG428" s="171"/>
      <c r="CH428" s="171">
        <v>1</v>
      </c>
      <c r="CI428" s="171"/>
      <c r="CJ428" s="171"/>
      <c r="CK428" s="171"/>
      <c r="CL428" s="171"/>
    </row>
    <row r="429" spans="1:91">
      <c r="A429" s="171">
        <v>301</v>
      </c>
      <c r="B429" s="171" t="s">
        <v>717</v>
      </c>
      <c r="C429" s="171">
        <v>316</v>
      </c>
      <c r="D429" s="171" t="str">
        <f t="shared" si="47"/>
        <v>CN NZ SBT RE100</v>
      </c>
      <c r="E429" s="171" t="s">
        <v>7288</v>
      </c>
      <c r="F429" s="174">
        <v>45481</v>
      </c>
      <c r="G429" s="171" t="s">
        <v>7223</v>
      </c>
      <c r="H429" s="173">
        <v>3214</v>
      </c>
      <c r="I429" s="171"/>
      <c r="J429" s="171" t="s">
        <v>4465</v>
      </c>
      <c r="K429" s="171" t="s">
        <v>287</v>
      </c>
      <c r="L429" s="171" t="s">
        <v>1951</v>
      </c>
      <c r="M429" s="171" t="s">
        <v>4174</v>
      </c>
      <c r="N429" s="171">
        <v>2014</v>
      </c>
      <c r="O429" s="171">
        <v>2020</v>
      </c>
      <c r="P429" s="171" t="s">
        <v>5032</v>
      </c>
      <c r="Q429" s="171" t="s">
        <v>165</v>
      </c>
      <c r="R429" s="171"/>
      <c r="S429" s="171">
        <v>2030</v>
      </c>
      <c r="T429" s="171" t="s">
        <v>361</v>
      </c>
      <c r="U429" s="171"/>
      <c r="V429" s="172">
        <v>43709</v>
      </c>
      <c r="W429" s="171">
        <v>2019</v>
      </c>
      <c r="X429" s="171" t="s">
        <v>1957</v>
      </c>
      <c r="Y429" s="171" t="s">
        <v>4832</v>
      </c>
      <c r="Z429" s="171" t="s">
        <v>7393</v>
      </c>
      <c r="AA429" s="171" t="s">
        <v>1957</v>
      </c>
      <c r="AB429" s="171">
        <v>2003</v>
      </c>
      <c r="AC429" s="171">
        <v>2003</v>
      </c>
      <c r="AD429" s="171"/>
      <c r="AE429" s="171"/>
      <c r="AF429" s="171"/>
      <c r="AG429" s="171" t="s">
        <v>4174</v>
      </c>
      <c r="AH429" s="171">
        <v>2023</v>
      </c>
      <c r="AI429" s="171" t="s">
        <v>4174</v>
      </c>
      <c r="AJ429" s="171" t="s">
        <v>7388</v>
      </c>
      <c r="AK429" s="171"/>
      <c r="AL429" s="176" t="s">
        <v>7392</v>
      </c>
      <c r="AM429" s="171" t="s">
        <v>7391</v>
      </c>
      <c r="AN429" s="171" t="s">
        <v>7218</v>
      </c>
      <c r="AO429" s="171" t="s">
        <v>7390</v>
      </c>
      <c r="AP429" s="171" t="s">
        <v>7389</v>
      </c>
      <c r="AQ429" s="171" t="s">
        <v>1957</v>
      </c>
      <c r="AR429" s="171">
        <v>2030</v>
      </c>
      <c r="AS429" s="171">
        <v>2021</v>
      </c>
      <c r="AT429" s="171" t="s">
        <v>5050</v>
      </c>
      <c r="AU429" s="171">
        <v>2050</v>
      </c>
      <c r="AV429" s="171">
        <v>2021</v>
      </c>
      <c r="AW429" s="171" t="s">
        <v>4174</v>
      </c>
      <c r="AX429" s="171" t="s">
        <v>7388</v>
      </c>
      <c r="AY429" s="171">
        <v>2023</v>
      </c>
      <c r="AZ429" s="171" t="s">
        <v>4174</v>
      </c>
      <c r="BA429" s="171" t="s">
        <v>7388</v>
      </c>
      <c r="BB429" s="171"/>
      <c r="BC429" s="171" t="s">
        <v>7387</v>
      </c>
      <c r="BD429" s="171"/>
      <c r="BE429" s="171"/>
      <c r="BF429" s="225"/>
      <c r="BG429" s="171"/>
      <c r="BH429" s="171"/>
      <c r="BI429" s="171" t="s">
        <v>7386</v>
      </c>
      <c r="BJ429" s="171">
        <v>1</v>
      </c>
      <c r="BK429" s="171"/>
      <c r="BL429" s="171"/>
      <c r="BM429" s="171">
        <v>1</v>
      </c>
      <c r="BN429" s="171"/>
      <c r="BO429" s="171">
        <v>1</v>
      </c>
      <c r="BP429" s="171"/>
      <c r="BQ429" s="171">
        <v>1</v>
      </c>
      <c r="BR429" s="171"/>
      <c r="BS429" s="171">
        <v>1</v>
      </c>
      <c r="BT429" s="171"/>
      <c r="BU429" s="171">
        <v>1</v>
      </c>
      <c r="BV429" s="171">
        <v>1</v>
      </c>
      <c r="BW429" s="171"/>
      <c r="BX429" s="171"/>
      <c r="BY429" s="171">
        <v>1</v>
      </c>
      <c r="BZ429" s="171">
        <v>1</v>
      </c>
      <c r="CA429" s="171">
        <v>1</v>
      </c>
      <c r="CB429" s="171">
        <v>1</v>
      </c>
      <c r="CC429" s="171">
        <v>1</v>
      </c>
      <c r="CD429" s="171"/>
      <c r="CE429" s="171">
        <v>1</v>
      </c>
      <c r="CF429" s="171">
        <v>1</v>
      </c>
      <c r="CG429" s="171">
        <v>1</v>
      </c>
      <c r="CH429" s="171">
        <v>1</v>
      </c>
      <c r="CI429" s="171"/>
      <c r="CJ429" s="171"/>
      <c r="CK429" s="171">
        <v>1</v>
      </c>
      <c r="CL429" s="171">
        <v>1</v>
      </c>
      <c r="CM429">
        <f t="shared" si="48"/>
        <v>2030</v>
      </c>
    </row>
    <row r="430" spans="1:91">
      <c r="A430" s="171">
        <v>163</v>
      </c>
      <c r="B430" s="171" t="s">
        <v>1259</v>
      </c>
      <c r="C430" s="171">
        <v>186</v>
      </c>
      <c r="D430" s="171" t="str">
        <f t="shared" si="47"/>
        <v xml:space="preserve"> SBT</v>
      </c>
      <c r="E430" s="171" t="s">
        <v>7288</v>
      </c>
      <c r="F430" s="174">
        <v>45476</v>
      </c>
      <c r="G430" s="171" t="s">
        <v>7220</v>
      </c>
      <c r="H430" s="173">
        <v>1770.1</v>
      </c>
      <c r="I430" s="171"/>
      <c r="J430" s="171" t="s">
        <v>4467</v>
      </c>
      <c r="K430" s="171" t="s">
        <v>4457</v>
      </c>
      <c r="L430" s="171" t="s">
        <v>2029</v>
      </c>
      <c r="M430" s="171" t="s">
        <v>5032</v>
      </c>
      <c r="N430" s="171"/>
      <c r="O430" s="171"/>
      <c r="P430" s="171" t="s">
        <v>4174</v>
      </c>
      <c r="Q430" s="171" t="s">
        <v>22</v>
      </c>
      <c r="R430" s="171" t="s">
        <v>7277</v>
      </c>
      <c r="S430" s="171">
        <v>2030</v>
      </c>
      <c r="T430" s="171" t="s">
        <v>1</v>
      </c>
      <c r="U430" s="171"/>
      <c r="V430" s="172">
        <v>44774</v>
      </c>
      <c r="W430" s="171">
        <v>2022</v>
      </c>
      <c r="X430" s="171" t="s">
        <v>5032</v>
      </c>
      <c r="Y430" s="171"/>
      <c r="Z430" s="171"/>
      <c r="AA430" s="171" t="s">
        <v>5032</v>
      </c>
      <c r="AB430" s="171"/>
      <c r="AC430" s="171"/>
      <c r="AD430" s="171"/>
      <c r="AE430" s="171"/>
      <c r="AF430" s="171"/>
      <c r="AG430" s="171"/>
      <c r="AH430" s="171"/>
      <c r="AI430" s="171"/>
      <c r="AJ430" s="171"/>
      <c r="AK430" s="171"/>
      <c r="AL430" s="171"/>
      <c r="AM430" s="171"/>
      <c r="AN430" s="171" t="s">
        <v>5032</v>
      </c>
      <c r="AO430" s="171"/>
      <c r="AP430" s="171"/>
      <c r="AQ430" s="171" t="s">
        <v>5032</v>
      </c>
      <c r="AR430" s="171"/>
      <c r="AS430" s="171"/>
      <c r="AT430" s="171"/>
      <c r="AU430" s="171"/>
      <c r="AV430" s="171"/>
      <c r="AW430" s="171"/>
      <c r="AX430" s="171"/>
      <c r="AY430" s="171"/>
      <c r="AZ430" s="171"/>
      <c r="BA430" s="171"/>
      <c r="BB430" s="171"/>
      <c r="BC430" s="171"/>
      <c r="BD430" s="171"/>
      <c r="BE430" s="171"/>
      <c r="BF430" s="225"/>
      <c r="BG430" s="171"/>
      <c r="BH430" s="171"/>
      <c r="BI430" s="171"/>
      <c r="BJ430" s="171"/>
      <c r="BK430" s="171"/>
      <c r="BL430" s="171"/>
      <c r="BM430" s="171"/>
      <c r="BN430" s="171"/>
      <c r="BO430" s="171"/>
      <c r="BP430" s="171"/>
      <c r="BQ430" s="171"/>
      <c r="BR430" s="171"/>
      <c r="BS430" s="171">
        <v>1</v>
      </c>
      <c r="BT430" s="171"/>
      <c r="BU430" s="171">
        <v>1</v>
      </c>
      <c r="BV430" s="171"/>
      <c r="BW430" s="171"/>
      <c r="BX430" s="171"/>
      <c r="BY430" s="171"/>
      <c r="BZ430" s="171"/>
      <c r="CA430" s="171"/>
      <c r="CB430" s="171"/>
      <c r="CC430" s="171"/>
      <c r="CD430" s="171"/>
      <c r="CE430" s="171">
        <v>1</v>
      </c>
      <c r="CF430" s="171"/>
      <c r="CG430" s="171">
        <v>1</v>
      </c>
      <c r="CH430" s="171">
        <v>1</v>
      </c>
      <c r="CI430" s="171"/>
      <c r="CJ430" s="171"/>
      <c r="CK430" s="171"/>
      <c r="CL430" s="171"/>
    </row>
    <row r="431" spans="1:91">
      <c r="A431" s="171">
        <v>381</v>
      </c>
      <c r="B431" s="171" t="s">
        <v>72</v>
      </c>
      <c r="C431" s="171">
        <v>431</v>
      </c>
      <c r="D431" s="171" t="str">
        <f t="shared" si="47"/>
        <v/>
      </c>
      <c r="E431" s="171" t="s">
        <v>7385</v>
      </c>
      <c r="F431" s="174">
        <v>45512</v>
      </c>
      <c r="G431" s="171" t="s">
        <v>7220</v>
      </c>
      <c r="H431" s="173">
        <v>1786.1</v>
      </c>
      <c r="I431" s="171"/>
      <c r="J431" s="171" t="s">
        <v>4465</v>
      </c>
      <c r="K431" s="171" t="s">
        <v>73</v>
      </c>
      <c r="L431" s="171" t="s">
        <v>1994</v>
      </c>
      <c r="M431" s="171" t="s">
        <v>5032</v>
      </c>
      <c r="N431" s="171"/>
      <c r="O431" s="171"/>
      <c r="P431" s="171" t="s">
        <v>5032</v>
      </c>
      <c r="Q431" s="171"/>
      <c r="R431" s="171"/>
      <c r="S431" s="171"/>
      <c r="T431" s="171"/>
      <c r="U431" s="171"/>
      <c r="V431" s="175"/>
      <c r="W431" s="171"/>
      <c r="X431" s="171" t="s">
        <v>5032</v>
      </c>
      <c r="Y431" s="171"/>
      <c r="Z431" s="171"/>
      <c r="AA431" s="171" t="s">
        <v>5032</v>
      </c>
      <c r="AB431" s="171"/>
      <c r="AC431" s="171"/>
      <c r="AD431" s="171"/>
      <c r="AE431" s="171"/>
      <c r="AF431" s="171"/>
      <c r="AG431" s="171"/>
      <c r="AH431" s="171"/>
      <c r="AI431" s="171"/>
      <c r="AJ431" s="171"/>
      <c r="AK431" s="171"/>
      <c r="AL431" s="171"/>
      <c r="AM431" s="171"/>
      <c r="AN431" s="171" t="s">
        <v>5032</v>
      </c>
      <c r="AO431" s="171"/>
      <c r="AP431" s="171"/>
      <c r="AQ431" s="171" t="s">
        <v>5032</v>
      </c>
      <c r="AR431" s="171"/>
      <c r="AS431" s="171"/>
      <c r="AT431" s="171"/>
      <c r="AU431" s="171"/>
      <c r="AV431" s="171"/>
      <c r="AW431" s="171"/>
      <c r="AX431" s="171"/>
      <c r="AY431" s="171"/>
      <c r="AZ431" s="171"/>
      <c r="BA431" s="171"/>
      <c r="BB431" s="171"/>
      <c r="BC431" s="171"/>
      <c r="BD431" s="171"/>
      <c r="BE431" s="171"/>
      <c r="BF431" s="225"/>
      <c r="BG431" s="171"/>
      <c r="BH431" s="171"/>
      <c r="BI431" s="171"/>
      <c r="BJ431" s="171"/>
      <c r="BK431" s="171"/>
      <c r="BL431" s="171"/>
      <c r="BM431" s="171"/>
      <c r="BN431" s="171"/>
      <c r="BO431" s="171"/>
      <c r="BP431" s="171"/>
      <c r="BQ431" s="171"/>
      <c r="BR431" s="171"/>
      <c r="BS431" s="171"/>
      <c r="BT431" s="171"/>
      <c r="BU431" s="171"/>
      <c r="BV431" s="171"/>
      <c r="BW431" s="171"/>
      <c r="BX431" s="171"/>
      <c r="BY431" s="171"/>
      <c r="BZ431" s="171"/>
      <c r="CA431" s="171"/>
      <c r="CB431" s="171"/>
      <c r="CC431" s="171"/>
      <c r="CD431" s="171"/>
      <c r="CE431" s="171"/>
      <c r="CF431" s="171"/>
      <c r="CG431" s="171"/>
      <c r="CH431" s="171"/>
      <c r="CI431" s="171"/>
      <c r="CJ431" s="171"/>
      <c r="CK431" s="171"/>
      <c r="CL431" s="171"/>
    </row>
    <row r="432" spans="1:91">
      <c r="A432" s="171">
        <v>186</v>
      </c>
      <c r="B432" s="171" t="s">
        <v>626</v>
      </c>
      <c r="C432" s="171">
        <v>168</v>
      </c>
      <c r="D432" s="171" t="str">
        <f t="shared" si="47"/>
        <v xml:space="preserve"> NZ</v>
      </c>
      <c r="E432" s="171" t="s">
        <v>7223</v>
      </c>
      <c r="F432" s="174">
        <v>45476</v>
      </c>
      <c r="G432" s="171" t="s">
        <v>7220</v>
      </c>
      <c r="H432" s="173">
        <v>27350.400000000001</v>
      </c>
      <c r="I432" s="171"/>
      <c r="J432" s="171" t="s">
        <v>4459</v>
      </c>
      <c r="K432" s="171" t="s">
        <v>3277</v>
      </c>
      <c r="L432" s="171" t="s">
        <v>1994</v>
      </c>
      <c r="M432" s="171" t="s">
        <v>5032</v>
      </c>
      <c r="N432" s="171"/>
      <c r="O432" s="171"/>
      <c r="P432" s="171" t="s">
        <v>5032</v>
      </c>
      <c r="Q432" s="171"/>
      <c r="R432" s="171"/>
      <c r="S432" s="171"/>
      <c r="T432" s="171"/>
      <c r="U432" s="171"/>
      <c r="V432" s="175"/>
      <c r="W432" s="171"/>
      <c r="X432" s="171" t="s">
        <v>5032</v>
      </c>
      <c r="Y432" s="171"/>
      <c r="Z432" s="171"/>
      <c r="AA432" s="171" t="s">
        <v>5032</v>
      </c>
      <c r="AB432" s="171"/>
      <c r="AC432" s="171"/>
      <c r="AD432" s="171"/>
      <c r="AE432" s="171"/>
      <c r="AF432" s="171"/>
      <c r="AG432" s="171"/>
      <c r="AH432" s="171"/>
      <c r="AI432" s="171"/>
      <c r="AJ432" s="171"/>
      <c r="AK432" s="171"/>
      <c r="AL432" s="171"/>
      <c r="AM432" s="171"/>
      <c r="AN432" s="171" t="s">
        <v>1957</v>
      </c>
      <c r="AO432" s="171" t="s">
        <v>5131</v>
      </c>
      <c r="AP432" s="171" t="s">
        <v>7303</v>
      </c>
      <c r="AQ432" s="171" t="s">
        <v>1957</v>
      </c>
      <c r="AR432" s="171">
        <v>2050</v>
      </c>
      <c r="AS432" s="171">
        <v>2021</v>
      </c>
      <c r="AT432" s="171"/>
      <c r="AU432" s="171"/>
      <c r="AV432" s="171"/>
      <c r="AW432" s="171" t="s">
        <v>2082</v>
      </c>
      <c r="AX432" s="171" t="s">
        <v>7384</v>
      </c>
      <c r="AY432" s="171"/>
      <c r="AZ432" s="171"/>
      <c r="BA432" s="171"/>
      <c r="BB432" s="171"/>
      <c r="BC432" s="171"/>
      <c r="BD432" s="171" t="s">
        <v>4174</v>
      </c>
      <c r="BE432" s="171" t="s">
        <v>7383</v>
      </c>
      <c r="BF432" s="225" t="s">
        <v>4174</v>
      </c>
      <c r="BG432" s="171" t="s">
        <v>7383</v>
      </c>
      <c r="BH432" s="171"/>
      <c r="BI432" s="171"/>
      <c r="BJ432" s="171"/>
      <c r="BK432" s="171"/>
      <c r="BL432" s="171"/>
      <c r="BM432" s="171"/>
      <c r="BN432" s="171"/>
      <c r="BO432" s="171"/>
      <c r="BP432" s="171">
        <v>1</v>
      </c>
      <c r="BQ432" s="171">
        <v>1</v>
      </c>
      <c r="BR432" s="171"/>
      <c r="BS432" s="171"/>
      <c r="BT432" s="171"/>
      <c r="BU432" s="171"/>
      <c r="BV432" s="171"/>
      <c r="BW432" s="171"/>
      <c r="BX432" s="171"/>
      <c r="BY432" s="171"/>
      <c r="BZ432" s="171">
        <v>1</v>
      </c>
      <c r="CA432" s="171"/>
      <c r="CB432" s="171">
        <v>1</v>
      </c>
      <c r="CC432" s="171"/>
      <c r="CD432" s="171"/>
      <c r="CE432" s="171">
        <v>1</v>
      </c>
      <c r="CF432" s="171"/>
      <c r="CG432" s="171"/>
      <c r="CH432" s="171">
        <v>1</v>
      </c>
      <c r="CI432" s="171"/>
      <c r="CJ432" s="171"/>
      <c r="CK432" s="171"/>
      <c r="CL432" s="171"/>
      <c r="CM432">
        <f t="shared" si="48"/>
        <v>2050</v>
      </c>
    </row>
    <row r="433" spans="1:91">
      <c r="A433" s="171">
        <v>327</v>
      </c>
      <c r="B433" s="171" t="s">
        <v>900</v>
      </c>
      <c r="C433" s="171">
        <v>249</v>
      </c>
      <c r="D433" s="171" t="str">
        <f t="shared" si="47"/>
        <v>CN NZ</v>
      </c>
      <c r="E433" s="171" t="s">
        <v>7223</v>
      </c>
      <c r="F433" s="174">
        <v>45477</v>
      </c>
      <c r="G433" s="171" t="s">
        <v>7223</v>
      </c>
      <c r="H433" s="173">
        <v>1709.2</v>
      </c>
      <c r="I433" s="171"/>
      <c r="J433" s="171" t="s">
        <v>4465</v>
      </c>
      <c r="K433" s="171" t="s">
        <v>146</v>
      </c>
      <c r="L433" s="171" t="s">
        <v>1951</v>
      </c>
      <c r="M433" s="171" t="s">
        <v>5032</v>
      </c>
      <c r="N433" s="171"/>
      <c r="O433" s="171"/>
      <c r="P433" s="171" t="s">
        <v>5032</v>
      </c>
      <c r="Q433" s="171"/>
      <c r="R433" s="171"/>
      <c r="S433" s="171"/>
      <c r="T433" s="171"/>
      <c r="U433" s="171"/>
      <c r="V433" s="175"/>
      <c r="W433" s="171"/>
      <c r="X433" s="171" t="s">
        <v>4172</v>
      </c>
      <c r="Y433" s="171" t="s">
        <v>4302</v>
      </c>
      <c r="Z433" s="171" t="s">
        <v>3283</v>
      </c>
      <c r="AA433" s="171" t="s">
        <v>4172</v>
      </c>
      <c r="AB433" s="171">
        <v>2030</v>
      </c>
      <c r="AC433" s="171">
        <v>2019</v>
      </c>
      <c r="AD433" s="171"/>
      <c r="AE433" s="171"/>
      <c r="AF433" s="171"/>
      <c r="AG433" s="171" t="s">
        <v>4174</v>
      </c>
      <c r="AH433" s="171">
        <v>2023</v>
      </c>
      <c r="AI433" s="171" t="s">
        <v>4174</v>
      </c>
      <c r="AJ433" s="176" t="s">
        <v>7379</v>
      </c>
      <c r="AK433" s="171"/>
      <c r="AL433" s="171" t="s">
        <v>7382</v>
      </c>
      <c r="AM433" s="171" t="s">
        <v>7381</v>
      </c>
      <c r="AN433" s="171" t="s">
        <v>7218</v>
      </c>
      <c r="AO433" s="171" t="s">
        <v>7380</v>
      </c>
      <c r="AP433" s="171" t="s">
        <v>7303</v>
      </c>
      <c r="AQ433" s="171" t="s">
        <v>1957</v>
      </c>
      <c r="AR433" s="171">
        <v>2030</v>
      </c>
      <c r="AS433" s="171">
        <v>2022</v>
      </c>
      <c r="AT433" s="171" t="s">
        <v>5050</v>
      </c>
      <c r="AU433" s="171">
        <v>2050</v>
      </c>
      <c r="AV433" s="171">
        <v>2022</v>
      </c>
      <c r="AW433" s="171" t="s">
        <v>4174</v>
      </c>
      <c r="AX433" s="171" t="s">
        <v>7379</v>
      </c>
      <c r="AY433" s="171"/>
      <c r="AZ433" s="171"/>
      <c r="BA433" s="171"/>
      <c r="BB433" s="171"/>
      <c r="BC433" s="171"/>
      <c r="BD433" s="171"/>
      <c r="BE433" s="171"/>
      <c r="BF433" s="225" t="s">
        <v>5032</v>
      </c>
      <c r="BG433" s="171"/>
      <c r="BH433" s="171"/>
      <c r="BI433" s="171"/>
      <c r="BJ433" s="171"/>
      <c r="BK433" s="171">
        <v>1</v>
      </c>
      <c r="BL433" s="171"/>
      <c r="BM433" s="171">
        <v>1</v>
      </c>
      <c r="BN433" s="171"/>
      <c r="BO433" s="171">
        <v>1</v>
      </c>
      <c r="BP433" s="171"/>
      <c r="BQ433" s="171">
        <v>1</v>
      </c>
      <c r="BR433" s="171"/>
      <c r="BS433" s="171"/>
      <c r="BT433" s="171"/>
      <c r="BU433" s="171"/>
      <c r="BV433" s="171"/>
      <c r="BW433" s="171"/>
      <c r="BX433" s="171"/>
      <c r="BY433" s="171"/>
      <c r="BZ433" s="171">
        <v>1</v>
      </c>
      <c r="CA433" s="171">
        <v>1</v>
      </c>
      <c r="CB433" s="171">
        <v>1</v>
      </c>
      <c r="CC433" s="171">
        <v>1</v>
      </c>
      <c r="CD433" s="171"/>
      <c r="CE433" s="171">
        <v>1</v>
      </c>
      <c r="CF433" s="171"/>
      <c r="CG433" s="171">
        <v>1</v>
      </c>
      <c r="CH433" s="171">
        <v>1</v>
      </c>
      <c r="CI433" s="171"/>
      <c r="CJ433" s="171"/>
      <c r="CK433" s="171">
        <v>1</v>
      </c>
      <c r="CL433" s="171">
        <v>1</v>
      </c>
      <c r="CM433">
        <f t="shared" si="48"/>
        <v>2030</v>
      </c>
    </row>
    <row r="434" spans="1:91">
      <c r="A434" s="171">
        <v>90</v>
      </c>
      <c r="B434" s="171" t="s">
        <v>1432</v>
      </c>
      <c r="C434" s="171">
        <v>90</v>
      </c>
      <c r="D434" s="171" t="str">
        <f t="shared" si="47"/>
        <v xml:space="preserve"> NZ SBT RE100</v>
      </c>
      <c r="E434" s="171" t="s">
        <v>7220</v>
      </c>
      <c r="F434" s="174">
        <v>45475</v>
      </c>
      <c r="G434" s="171" t="s">
        <v>7220</v>
      </c>
      <c r="H434" s="173">
        <v>4138</v>
      </c>
      <c r="I434" s="171"/>
      <c r="J434" s="171" t="s">
        <v>4467</v>
      </c>
      <c r="K434" s="171" t="s">
        <v>4457</v>
      </c>
      <c r="L434" s="171" t="s">
        <v>2029</v>
      </c>
      <c r="M434" s="171" t="s">
        <v>4174</v>
      </c>
      <c r="N434" s="171">
        <v>2019</v>
      </c>
      <c r="O434" s="171">
        <v>2030</v>
      </c>
      <c r="P434" s="171" t="s">
        <v>4174</v>
      </c>
      <c r="Q434" s="171" t="s">
        <v>22</v>
      </c>
      <c r="R434" s="171" t="s">
        <v>7317</v>
      </c>
      <c r="S434" s="171">
        <v>2023</v>
      </c>
      <c r="T434" s="171" t="s">
        <v>361</v>
      </c>
      <c r="U434" s="171"/>
      <c r="V434" s="172">
        <v>43525</v>
      </c>
      <c r="W434" s="171">
        <v>2019</v>
      </c>
      <c r="X434" s="171" t="s">
        <v>5032</v>
      </c>
      <c r="Y434" s="171"/>
      <c r="Z434" s="171"/>
      <c r="AA434" s="171" t="s">
        <v>5032</v>
      </c>
      <c r="AB434" s="171"/>
      <c r="AC434" s="171"/>
      <c r="AD434" s="171"/>
      <c r="AE434" s="171"/>
      <c r="AF434" s="171"/>
      <c r="AG434" s="171"/>
      <c r="AH434" s="171"/>
      <c r="AI434" s="171"/>
      <c r="AJ434" s="171"/>
      <c r="AK434" s="171"/>
      <c r="AL434" s="171"/>
      <c r="AM434" s="171"/>
      <c r="AN434" s="171" t="s">
        <v>4172</v>
      </c>
      <c r="AO434" s="171" t="s">
        <v>1435</v>
      </c>
      <c r="AP434" s="171" t="s">
        <v>2072</v>
      </c>
      <c r="AQ434" s="171" t="s">
        <v>4172</v>
      </c>
      <c r="AR434" s="171">
        <v>2040</v>
      </c>
      <c r="AS434" s="171">
        <v>2021</v>
      </c>
      <c r="AT434" s="171"/>
      <c r="AU434" s="171"/>
      <c r="AV434" s="171"/>
      <c r="AW434" s="171" t="s">
        <v>4174</v>
      </c>
      <c r="AX434" s="171" t="s">
        <v>7378</v>
      </c>
      <c r="AY434" s="171"/>
      <c r="AZ434" s="171"/>
      <c r="BA434" s="171"/>
      <c r="BB434" s="171"/>
      <c r="BC434" s="171" t="s">
        <v>7377</v>
      </c>
      <c r="BD434" s="171"/>
      <c r="BE434" s="171"/>
      <c r="BF434" s="225"/>
      <c r="BG434" s="171"/>
      <c r="BH434" s="171"/>
      <c r="BI434" s="171"/>
      <c r="BJ434" s="171"/>
      <c r="BK434" s="171"/>
      <c r="BL434" s="171"/>
      <c r="BM434" s="171"/>
      <c r="BN434" s="171"/>
      <c r="BO434" s="171"/>
      <c r="BP434" s="171">
        <v>1</v>
      </c>
      <c r="BQ434" s="171">
        <v>1</v>
      </c>
      <c r="BR434" s="171">
        <v>1</v>
      </c>
      <c r="BS434" s="171"/>
      <c r="BT434" s="171"/>
      <c r="BU434" s="171">
        <v>1</v>
      </c>
      <c r="BV434" s="171"/>
      <c r="BW434" s="171">
        <v>1</v>
      </c>
      <c r="BX434" s="171"/>
      <c r="BY434" s="171">
        <v>1</v>
      </c>
      <c r="BZ434" s="171">
        <v>1</v>
      </c>
      <c r="CA434" s="171"/>
      <c r="CB434" s="171">
        <v>1</v>
      </c>
      <c r="CC434" s="171">
        <v>1</v>
      </c>
      <c r="CD434" s="171"/>
      <c r="CE434" s="171">
        <v>1</v>
      </c>
      <c r="CF434" s="171">
        <v>1</v>
      </c>
      <c r="CG434" s="171">
        <v>1</v>
      </c>
      <c r="CH434" s="171">
        <v>1</v>
      </c>
      <c r="CI434" s="171"/>
      <c r="CJ434" s="171"/>
      <c r="CK434" s="171">
        <v>1</v>
      </c>
      <c r="CL434" s="171">
        <v>1</v>
      </c>
      <c r="CM434">
        <f t="shared" si="48"/>
        <v>2040</v>
      </c>
    </row>
    <row r="435" spans="1:91">
      <c r="A435" s="171">
        <v>271</v>
      </c>
      <c r="B435" s="171" t="s">
        <v>948</v>
      </c>
      <c r="C435" s="171">
        <v>337</v>
      </c>
      <c r="D435" s="171" t="str">
        <f t="shared" si="47"/>
        <v xml:space="preserve"> SBT RE100</v>
      </c>
      <c r="E435" s="171" t="s">
        <v>7228</v>
      </c>
      <c r="F435" s="174">
        <v>45482</v>
      </c>
      <c r="G435" s="171" t="s">
        <v>7220</v>
      </c>
      <c r="H435" s="173">
        <v>3794</v>
      </c>
      <c r="I435" s="171"/>
      <c r="J435" s="171" t="s">
        <v>4476</v>
      </c>
      <c r="K435" s="171" t="s">
        <v>87</v>
      </c>
      <c r="L435" s="171" t="s">
        <v>1994</v>
      </c>
      <c r="M435" s="171" t="s">
        <v>4174</v>
      </c>
      <c r="N435" s="171">
        <v>2016</v>
      </c>
      <c r="O435" s="171">
        <v>2030</v>
      </c>
      <c r="P435" s="171" t="s">
        <v>5032</v>
      </c>
      <c r="Q435" s="171" t="s">
        <v>165</v>
      </c>
      <c r="R435" s="171"/>
      <c r="S435" s="171">
        <v>2030</v>
      </c>
      <c r="T435" s="171" t="s">
        <v>1</v>
      </c>
      <c r="U435" s="171"/>
      <c r="V435" s="172">
        <v>44713</v>
      </c>
      <c r="W435" s="171">
        <v>2022</v>
      </c>
      <c r="X435" s="171" t="s">
        <v>5032</v>
      </c>
      <c r="Y435" s="171"/>
      <c r="Z435" s="171"/>
      <c r="AA435" s="171" t="s">
        <v>5032</v>
      </c>
      <c r="AB435" s="171"/>
      <c r="AC435" s="171"/>
      <c r="AD435" s="171"/>
      <c r="AE435" s="171"/>
      <c r="AF435" s="171"/>
      <c r="AG435" s="171"/>
      <c r="AH435" s="171"/>
      <c r="AI435" s="171"/>
      <c r="AJ435" s="171"/>
      <c r="AK435" s="171"/>
      <c r="AL435" s="171"/>
      <c r="AM435" s="171"/>
      <c r="AN435" s="171" t="s">
        <v>5032</v>
      </c>
      <c r="AO435" s="171"/>
      <c r="AP435" s="171"/>
      <c r="AQ435" s="171" t="s">
        <v>5032</v>
      </c>
      <c r="AR435" s="171"/>
      <c r="AS435" s="171"/>
      <c r="AT435" s="171"/>
      <c r="AU435" s="171"/>
      <c r="AV435" s="171"/>
      <c r="AW435" s="171"/>
      <c r="AX435" s="171"/>
      <c r="AY435" s="171"/>
      <c r="AZ435" s="171"/>
      <c r="BA435" s="171"/>
      <c r="BB435" s="171"/>
      <c r="BC435" s="171"/>
      <c r="BD435" s="171"/>
      <c r="BE435" s="171"/>
      <c r="BF435" s="225" t="s">
        <v>4174</v>
      </c>
      <c r="BG435" s="171" t="s">
        <v>7376</v>
      </c>
      <c r="BH435" s="171"/>
      <c r="BI435" s="171"/>
      <c r="BJ435" s="171"/>
      <c r="BK435" s="171"/>
      <c r="BL435" s="171"/>
      <c r="BM435" s="171"/>
      <c r="BN435" s="171"/>
      <c r="BO435" s="171"/>
      <c r="BP435" s="171"/>
      <c r="BQ435" s="171"/>
      <c r="BR435" s="171"/>
      <c r="BS435" s="171">
        <v>1</v>
      </c>
      <c r="BT435" s="171"/>
      <c r="BU435" s="171">
        <v>1</v>
      </c>
      <c r="BV435" s="171"/>
      <c r="BW435" s="171">
        <v>1</v>
      </c>
      <c r="BX435" s="171"/>
      <c r="BY435" s="171">
        <v>1</v>
      </c>
      <c r="BZ435" s="171"/>
      <c r="CA435" s="171"/>
      <c r="CB435" s="171"/>
      <c r="CC435" s="171"/>
      <c r="CD435" s="171"/>
      <c r="CE435" s="171">
        <v>1</v>
      </c>
      <c r="CF435" s="171"/>
      <c r="CG435" s="171">
        <v>1</v>
      </c>
      <c r="CH435" s="171">
        <v>1</v>
      </c>
      <c r="CI435" s="171"/>
      <c r="CJ435" s="171"/>
      <c r="CK435" s="171"/>
      <c r="CL435" s="171"/>
    </row>
    <row r="436" spans="1:91">
      <c r="A436" s="171">
        <v>241</v>
      </c>
      <c r="B436" s="171" t="s">
        <v>4521</v>
      </c>
      <c r="C436" s="171">
        <v>215</v>
      </c>
      <c r="D436" s="171" t="str">
        <f t="shared" si="47"/>
        <v xml:space="preserve"> NZ SBT</v>
      </c>
      <c r="E436" s="171" t="s">
        <v>7223</v>
      </c>
      <c r="F436" s="174">
        <v>45476</v>
      </c>
      <c r="G436" s="171" t="s">
        <v>7220</v>
      </c>
      <c r="H436" s="173">
        <v>626.9</v>
      </c>
      <c r="I436" s="171"/>
      <c r="J436" s="171" t="s">
        <v>4467</v>
      </c>
      <c r="K436" s="171" t="s">
        <v>4457</v>
      </c>
      <c r="L436" s="171" t="s">
        <v>2029</v>
      </c>
      <c r="M436" s="171" t="s">
        <v>5032</v>
      </c>
      <c r="N436" s="171"/>
      <c r="O436" s="171"/>
      <c r="P436" s="171" t="s">
        <v>4174</v>
      </c>
      <c r="Q436" s="171" t="s">
        <v>22</v>
      </c>
      <c r="R436" s="171" t="s">
        <v>7233</v>
      </c>
      <c r="S436" s="171">
        <v>2030</v>
      </c>
      <c r="T436" s="171" t="s">
        <v>361</v>
      </c>
      <c r="U436" s="171">
        <v>2045</v>
      </c>
      <c r="V436" s="172">
        <v>45413</v>
      </c>
      <c r="W436" s="171">
        <v>2024</v>
      </c>
      <c r="X436" s="171" t="s">
        <v>5032</v>
      </c>
      <c r="Y436" s="171"/>
      <c r="Z436" s="171"/>
      <c r="AA436" s="171" t="s">
        <v>5032</v>
      </c>
      <c r="AB436" s="171"/>
      <c r="AC436" s="171"/>
      <c r="AD436" s="171"/>
      <c r="AE436" s="171"/>
      <c r="AF436" s="171"/>
      <c r="AG436" s="171"/>
      <c r="AH436" s="171"/>
      <c r="AI436" s="171"/>
      <c r="AJ436" s="171"/>
      <c r="AK436" s="171"/>
      <c r="AL436" s="171"/>
      <c r="AM436" s="171"/>
      <c r="AN436" s="171" t="s">
        <v>4172</v>
      </c>
      <c r="AO436" s="171" t="s">
        <v>2760</v>
      </c>
      <c r="AP436" s="171" t="s">
        <v>7375</v>
      </c>
      <c r="AQ436" s="171" t="s">
        <v>4172</v>
      </c>
      <c r="AR436" s="171">
        <v>2045</v>
      </c>
      <c r="AS436" s="171">
        <v>2021</v>
      </c>
      <c r="AT436" s="171"/>
      <c r="AU436" s="171"/>
      <c r="AV436" s="171"/>
      <c r="AW436" s="171" t="s">
        <v>2082</v>
      </c>
      <c r="AX436" s="171" t="s">
        <v>7374</v>
      </c>
      <c r="AY436" s="171"/>
      <c r="AZ436" s="171"/>
      <c r="BA436" s="171"/>
      <c r="BB436" s="171"/>
      <c r="BC436" s="171" t="s">
        <v>6257</v>
      </c>
      <c r="BD436" s="171" t="s">
        <v>4174</v>
      </c>
      <c r="BE436" s="171" t="s">
        <v>7374</v>
      </c>
      <c r="BF436" s="225" t="s">
        <v>4174</v>
      </c>
      <c r="BG436" s="171" t="s">
        <v>7373</v>
      </c>
      <c r="BH436" s="171"/>
      <c r="BI436" s="171"/>
      <c r="BJ436" s="171"/>
      <c r="BK436" s="171"/>
      <c r="BL436" s="171"/>
      <c r="BM436" s="171"/>
      <c r="BN436" s="171"/>
      <c r="BO436" s="171"/>
      <c r="BP436" s="171">
        <v>1</v>
      </c>
      <c r="BQ436" s="171">
        <v>1</v>
      </c>
      <c r="BR436" s="171"/>
      <c r="BS436" s="171">
        <v>1</v>
      </c>
      <c r="BT436" s="171"/>
      <c r="BU436" s="171">
        <v>1</v>
      </c>
      <c r="BV436" s="171"/>
      <c r="BW436" s="171"/>
      <c r="BX436" s="171"/>
      <c r="BY436" s="171"/>
      <c r="BZ436" s="171">
        <v>1</v>
      </c>
      <c r="CA436" s="171"/>
      <c r="CB436" s="171">
        <v>1</v>
      </c>
      <c r="CC436" s="171"/>
      <c r="CD436" s="171"/>
      <c r="CE436" s="171">
        <v>1</v>
      </c>
      <c r="CF436" s="171"/>
      <c r="CG436" s="171">
        <v>1</v>
      </c>
      <c r="CH436" s="171">
        <v>1</v>
      </c>
      <c r="CI436" s="171"/>
      <c r="CJ436" s="171"/>
      <c r="CK436" s="171">
        <v>1</v>
      </c>
      <c r="CL436" s="171">
        <v>1</v>
      </c>
      <c r="CM436">
        <f t="shared" si="48"/>
        <v>2045</v>
      </c>
    </row>
    <row r="437" spans="1:91">
      <c r="A437" s="171">
        <v>350</v>
      </c>
      <c r="B437" s="171" t="s">
        <v>1234</v>
      </c>
      <c r="C437" s="171">
        <v>355</v>
      </c>
      <c r="D437" s="171" t="str">
        <f t="shared" si="47"/>
        <v>CN NZ SBT RE100</v>
      </c>
      <c r="E437" s="171" t="s">
        <v>7228</v>
      </c>
      <c r="F437" s="174">
        <v>45482</v>
      </c>
      <c r="G437" s="171" t="s">
        <v>7220</v>
      </c>
      <c r="H437" s="173">
        <v>-964.3</v>
      </c>
      <c r="I437" s="171"/>
      <c r="J437" s="171" t="s">
        <v>4190</v>
      </c>
      <c r="K437" s="171" t="s">
        <v>267</v>
      </c>
      <c r="L437" s="171" t="s">
        <v>1951</v>
      </c>
      <c r="M437" s="171" t="s">
        <v>4174</v>
      </c>
      <c r="N437" s="171">
        <v>2017</v>
      </c>
      <c r="O437" s="171">
        <v>2030</v>
      </c>
      <c r="P437" s="171" t="s">
        <v>4174</v>
      </c>
      <c r="Q437" s="171" t="s">
        <v>22</v>
      </c>
      <c r="R437" s="171" t="s">
        <v>7233</v>
      </c>
      <c r="S437" s="171">
        <v>2030</v>
      </c>
      <c r="T437" s="171" t="s">
        <v>361</v>
      </c>
      <c r="U437" s="171">
        <v>2040</v>
      </c>
      <c r="V437" s="172">
        <v>44774</v>
      </c>
      <c r="W437" s="171">
        <v>2022</v>
      </c>
      <c r="X437" s="171" t="s">
        <v>4172</v>
      </c>
      <c r="Y437" s="171" t="s">
        <v>2760</v>
      </c>
      <c r="Z437" s="171" t="s">
        <v>7372</v>
      </c>
      <c r="AA437" s="171" t="s">
        <v>4172</v>
      </c>
      <c r="AB437" s="171">
        <v>2040</v>
      </c>
      <c r="AC437" s="171">
        <v>2023</v>
      </c>
      <c r="AD437" s="171"/>
      <c r="AE437" s="171"/>
      <c r="AF437" s="171"/>
      <c r="AG437" s="171" t="s">
        <v>4174</v>
      </c>
      <c r="AH437" s="171"/>
      <c r="AI437" s="171" t="s">
        <v>5032</v>
      </c>
      <c r="AJ437" s="171"/>
      <c r="AK437" s="171"/>
      <c r="AL437" s="177" t="s">
        <v>7369</v>
      </c>
      <c r="AM437" s="171" t="s">
        <v>7371</v>
      </c>
      <c r="AN437" s="171" t="s">
        <v>4172</v>
      </c>
      <c r="AO437" s="171" t="s">
        <v>7370</v>
      </c>
      <c r="AP437" s="171" t="s">
        <v>2072</v>
      </c>
      <c r="AQ437" s="171" t="s">
        <v>4172</v>
      </c>
      <c r="AR437" s="171">
        <v>2040</v>
      </c>
      <c r="AS437" s="171">
        <v>2022</v>
      </c>
      <c r="AT437" s="171"/>
      <c r="AU437" s="171"/>
      <c r="AV437" s="171"/>
      <c r="AW437" s="171" t="s">
        <v>2082</v>
      </c>
      <c r="AX437" s="176" t="s">
        <v>7369</v>
      </c>
      <c r="AY437" s="171"/>
      <c r="AZ437" s="171"/>
      <c r="BA437" s="171"/>
      <c r="BB437" s="171"/>
      <c r="BC437" s="171"/>
      <c r="BD437" s="171"/>
      <c r="BE437" s="171"/>
      <c r="BF437" s="225"/>
      <c r="BG437" s="171"/>
      <c r="BH437" s="171"/>
      <c r="BI437" s="171" t="s">
        <v>7368</v>
      </c>
      <c r="BJ437" s="171"/>
      <c r="BK437" s="171"/>
      <c r="BL437" s="171">
        <v>1</v>
      </c>
      <c r="BM437" s="171">
        <v>1</v>
      </c>
      <c r="BN437" s="171"/>
      <c r="BO437" s="171"/>
      <c r="BP437" s="171">
        <v>1</v>
      </c>
      <c r="BQ437" s="171">
        <v>1</v>
      </c>
      <c r="BR437" s="171"/>
      <c r="BS437" s="171">
        <v>1</v>
      </c>
      <c r="BT437" s="171"/>
      <c r="BU437" s="171">
        <v>1</v>
      </c>
      <c r="BV437" s="171"/>
      <c r="BW437" s="171">
        <v>1</v>
      </c>
      <c r="BX437" s="171"/>
      <c r="BY437" s="171">
        <v>1</v>
      </c>
      <c r="BZ437" s="171">
        <v>1</v>
      </c>
      <c r="CA437" s="171"/>
      <c r="CB437" s="171">
        <v>1</v>
      </c>
      <c r="CC437" s="171">
        <v>1</v>
      </c>
      <c r="CD437" s="171"/>
      <c r="CE437" s="171">
        <v>1</v>
      </c>
      <c r="CF437" s="171"/>
      <c r="CG437" s="171">
        <v>1</v>
      </c>
      <c r="CH437" s="171">
        <v>1</v>
      </c>
      <c r="CI437" s="171"/>
      <c r="CJ437" s="171"/>
      <c r="CK437" s="171">
        <v>1</v>
      </c>
      <c r="CL437" s="171">
        <v>1</v>
      </c>
      <c r="CM437">
        <f t="shared" si="48"/>
        <v>2040</v>
      </c>
    </row>
    <row r="438" spans="1:91">
      <c r="A438" s="171">
        <v>141</v>
      </c>
      <c r="B438" s="171" t="s">
        <v>1031</v>
      </c>
      <c r="C438" s="171">
        <v>147</v>
      </c>
      <c r="D438" s="171" t="str">
        <f t="shared" si="47"/>
        <v>CN SBT</v>
      </c>
      <c r="E438" s="171" t="s">
        <v>7220</v>
      </c>
      <c r="F438" s="174">
        <v>45476</v>
      </c>
      <c r="G438" s="171" t="s">
        <v>7223</v>
      </c>
      <c r="H438" s="173">
        <v>16275.2</v>
      </c>
      <c r="I438" s="171"/>
      <c r="J438" s="171" t="s">
        <v>186</v>
      </c>
      <c r="K438" s="171" t="s">
        <v>73</v>
      </c>
      <c r="L438" s="171" t="s">
        <v>1994</v>
      </c>
      <c r="M438" s="171" t="s">
        <v>5032</v>
      </c>
      <c r="N438" s="171"/>
      <c r="O438" s="171"/>
      <c r="P438" s="171" t="s">
        <v>4174</v>
      </c>
      <c r="Q438" s="171" t="s">
        <v>22</v>
      </c>
      <c r="R438" s="171" t="s">
        <v>7233</v>
      </c>
      <c r="S438" s="171">
        <v>2030</v>
      </c>
      <c r="T438" s="171" t="s">
        <v>361</v>
      </c>
      <c r="U438" s="171"/>
      <c r="V438" s="172">
        <v>45047</v>
      </c>
      <c r="W438" s="171">
        <v>2023</v>
      </c>
      <c r="X438" s="171" t="s">
        <v>1957</v>
      </c>
      <c r="Y438" s="171" t="s">
        <v>7367</v>
      </c>
      <c r="Z438" s="171" t="s">
        <v>3283</v>
      </c>
      <c r="AA438" s="171" t="s">
        <v>4172</v>
      </c>
      <c r="AB438" s="171">
        <v>2030</v>
      </c>
      <c r="AC438" s="171">
        <v>2022</v>
      </c>
      <c r="AD438" s="171"/>
      <c r="AE438" s="171"/>
      <c r="AF438" s="171"/>
      <c r="AG438" s="171" t="s">
        <v>4174</v>
      </c>
      <c r="AH438" s="171">
        <v>2022</v>
      </c>
      <c r="AI438" s="171" t="s">
        <v>4174</v>
      </c>
      <c r="AJ438" s="171" t="s">
        <v>7366</v>
      </c>
      <c r="AK438" s="171"/>
      <c r="AL438" s="171" t="s">
        <v>7365</v>
      </c>
      <c r="AM438" s="171" t="s">
        <v>7364</v>
      </c>
      <c r="AN438" s="171" t="s">
        <v>5032</v>
      </c>
      <c r="AO438" s="171"/>
      <c r="AP438" s="171"/>
      <c r="AQ438" s="171" t="s">
        <v>5032</v>
      </c>
      <c r="AR438" s="171"/>
      <c r="AS438" s="171"/>
      <c r="AT438" s="171"/>
      <c r="AU438" s="171"/>
      <c r="AV438" s="171"/>
      <c r="AW438" s="171"/>
      <c r="AX438" s="171"/>
      <c r="AY438" s="171"/>
      <c r="AZ438" s="171"/>
      <c r="BA438" s="171"/>
      <c r="BB438" s="171"/>
      <c r="BC438" s="171"/>
      <c r="BD438" s="171"/>
      <c r="BE438" s="171"/>
      <c r="BF438" s="225"/>
      <c r="BG438" s="171"/>
      <c r="BH438" s="171"/>
      <c r="BI438" s="171"/>
      <c r="BJ438" s="171"/>
      <c r="BK438" s="171">
        <v>1</v>
      </c>
      <c r="BL438" s="171"/>
      <c r="BM438" s="171">
        <v>1</v>
      </c>
      <c r="BN438" s="171"/>
      <c r="BO438" s="171"/>
      <c r="BP438" s="171"/>
      <c r="BQ438" s="171"/>
      <c r="BR438" s="171"/>
      <c r="BS438" s="171">
        <v>1</v>
      </c>
      <c r="BT438" s="171"/>
      <c r="BU438" s="171">
        <v>1</v>
      </c>
      <c r="BV438" s="171"/>
      <c r="BW438" s="171"/>
      <c r="BX438" s="171"/>
      <c r="BY438" s="171"/>
      <c r="BZ438" s="171">
        <v>1</v>
      </c>
      <c r="CA438" s="171">
        <v>1</v>
      </c>
      <c r="CB438" s="171">
        <v>1</v>
      </c>
      <c r="CC438" s="171">
        <v>1</v>
      </c>
      <c r="CD438" s="171"/>
      <c r="CE438" s="171">
        <v>1</v>
      </c>
      <c r="CF438" s="171"/>
      <c r="CG438" s="171">
        <v>1</v>
      </c>
      <c r="CH438" s="171">
        <v>1</v>
      </c>
      <c r="CI438" s="171"/>
      <c r="CJ438" s="171"/>
      <c r="CK438" s="171"/>
      <c r="CL438" s="171"/>
    </row>
    <row r="439" spans="1:91">
      <c r="A439" s="171">
        <v>140</v>
      </c>
      <c r="B439" s="171" t="s">
        <v>1517</v>
      </c>
      <c r="C439" s="171">
        <v>156</v>
      </c>
      <c r="D439" s="171" t="str">
        <f t="shared" si="47"/>
        <v>CN NZ SBT RE100</v>
      </c>
      <c r="E439" s="171" t="s">
        <v>7220</v>
      </c>
      <c r="F439" s="174">
        <v>45476</v>
      </c>
      <c r="G439" s="171" t="s">
        <v>7223</v>
      </c>
      <c r="H439" s="173">
        <v>1486.9</v>
      </c>
      <c r="I439" s="171"/>
      <c r="J439" s="171" t="s">
        <v>4467</v>
      </c>
      <c r="K439" s="171" t="s">
        <v>4195</v>
      </c>
      <c r="L439" s="171" t="s">
        <v>1951</v>
      </c>
      <c r="M439" s="171" t="s">
        <v>4174</v>
      </c>
      <c r="N439" s="171">
        <v>2017</v>
      </c>
      <c r="O439" s="171">
        <v>2030</v>
      </c>
      <c r="P439" s="171" t="s">
        <v>4174</v>
      </c>
      <c r="Q439" s="171" t="s">
        <v>22</v>
      </c>
      <c r="R439" s="171" t="s">
        <v>7233</v>
      </c>
      <c r="S439" s="171">
        <v>2032</v>
      </c>
      <c r="T439" s="171" t="s">
        <v>361</v>
      </c>
      <c r="U439" s="171">
        <v>2050</v>
      </c>
      <c r="V439" s="172">
        <v>45139</v>
      </c>
      <c r="W439" s="171">
        <v>2023</v>
      </c>
      <c r="X439" s="171" t="s">
        <v>1957</v>
      </c>
      <c r="Y439" s="171" t="s">
        <v>7363</v>
      </c>
      <c r="Z439" s="171" t="s">
        <v>2790</v>
      </c>
      <c r="AA439" s="171" t="s">
        <v>1957</v>
      </c>
      <c r="AB439" s="171">
        <v>2035</v>
      </c>
      <c r="AC439" s="171">
        <v>2021</v>
      </c>
      <c r="AD439" s="171"/>
      <c r="AE439" s="171"/>
      <c r="AF439" s="171"/>
      <c r="AG439" s="171" t="s">
        <v>4174</v>
      </c>
      <c r="AH439" s="171"/>
      <c r="AI439" s="171" t="s">
        <v>4174</v>
      </c>
      <c r="AJ439" s="171"/>
      <c r="AK439" s="171"/>
      <c r="AL439" s="171" t="s">
        <v>7362</v>
      </c>
      <c r="AM439" s="171"/>
      <c r="AN439" s="171" t="s">
        <v>4172</v>
      </c>
      <c r="AO439" s="171" t="s">
        <v>1435</v>
      </c>
      <c r="AP439" s="171" t="s">
        <v>2072</v>
      </c>
      <c r="AQ439" s="171" t="s">
        <v>4172</v>
      </c>
      <c r="AR439" s="171">
        <v>2050</v>
      </c>
      <c r="AS439" s="171">
        <v>2021</v>
      </c>
      <c r="AT439" s="171"/>
      <c r="AU439" s="171"/>
      <c r="AV439" s="171"/>
      <c r="AW439" s="171" t="s">
        <v>4174</v>
      </c>
      <c r="AX439" s="171" t="s">
        <v>7361</v>
      </c>
      <c r="AY439" s="171"/>
      <c r="AZ439" s="171"/>
      <c r="BA439" s="171"/>
      <c r="BB439" s="171"/>
      <c r="BC439" s="171"/>
      <c r="BD439" s="171"/>
      <c r="BE439" s="171"/>
      <c r="BF439" s="225"/>
      <c r="BG439" s="171"/>
      <c r="BH439" s="171"/>
      <c r="BI439" s="171"/>
      <c r="BJ439" s="171"/>
      <c r="BK439" s="171"/>
      <c r="BL439" s="171">
        <v>1</v>
      </c>
      <c r="BM439" s="171">
        <v>1</v>
      </c>
      <c r="BN439" s="171"/>
      <c r="BO439" s="171"/>
      <c r="BP439" s="171">
        <v>1</v>
      </c>
      <c r="BQ439" s="171">
        <v>1</v>
      </c>
      <c r="BR439" s="171"/>
      <c r="BS439" s="171"/>
      <c r="BT439" s="171">
        <v>1</v>
      </c>
      <c r="BU439" s="171">
        <v>1</v>
      </c>
      <c r="BV439" s="171"/>
      <c r="BW439" s="171">
        <v>1</v>
      </c>
      <c r="BX439" s="171"/>
      <c r="BY439" s="171">
        <v>1</v>
      </c>
      <c r="BZ439" s="171">
        <v>1</v>
      </c>
      <c r="CA439" s="171"/>
      <c r="CB439" s="171">
        <v>1</v>
      </c>
      <c r="CC439" s="171">
        <v>1</v>
      </c>
      <c r="CD439" s="171"/>
      <c r="CE439" s="171">
        <v>1</v>
      </c>
      <c r="CF439" s="171"/>
      <c r="CG439" s="171">
        <v>1</v>
      </c>
      <c r="CH439" s="171">
        <v>1</v>
      </c>
      <c r="CI439" s="171"/>
      <c r="CJ439" s="171"/>
      <c r="CK439" s="171">
        <v>1</v>
      </c>
      <c r="CL439" s="171">
        <v>1</v>
      </c>
      <c r="CM439">
        <f t="shared" si="48"/>
        <v>2050</v>
      </c>
    </row>
    <row r="440" spans="1:91">
      <c r="A440" s="171">
        <v>110</v>
      </c>
      <c r="B440" s="171" t="s">
        <v>4222</v>
      </c>
      <c r="C440" s="171">
        <v>152</v>
      </c>
      <c r="D440" s="171" t="str">
        <f t="shared" si="47"/>
        <v xml:space="preserve"> SBT</v>
      </c>
      <c r="E440" s="171" t="s">
        <v>7220</v>
      </c>
      <c r="F440" s="174">
        <v>45476</v>
      </c>
      <c r="G440" s="171" t="s">
        <v>7223</v>
      </c>
      <c r="H440" s="173">
        <v>14997</v>
      </c>
      <c r="I440" s="171"/>
      <c r="J440" s="171" t="s">
        <v>4476</v>
      </c>
      <c r="K440" s="171" t="s">
        <v>4457</v>
      </c>
      <c r="L440" s="171" t="s">
        <v>2029</v>
      </c>
      <c r="M440" s="171" t="s">
        <v>5032</v>
      </c>
      <c r="N440" s="171"/>
      <c r="O440" s="171"/>
      <c r="P440" s="171" t="s">
        <v>5032</v>
      </c>
      <c r="Q440" s="171" t="s">
        <v>165</v>
      </c>
      <c r="R440" s="171"/>
      <c r="S440" s="171">
        <v>2030</v>
      </c>
      <c r="T440" s="171" t="s">
        <v>1</v>
      </c>
      <c r="U440" s="171"/>
      <c r="V440" s="172">
        <v>44470</v>
      </c>
      <c r="W440" s="171">
        <v>2021</v>
      </c>
      <c r="X440" s="171" t="s">
        <v>5032</v>
      </c>
      <c r="Y440" s="171"/>
      <c r="Z440" s="171"/>
      <c r="AA440" s="171" t="s">
        <v>5032</v>
      </c>
      <c r="AB440" s="171"/>
      <c r="AC440" s="171"/>
      <c r="AD440" s="171"/>
      <c r="AE440" s="171"/>
      <c r="AF440" s="171"/>
      <c r="AG440" s="171"/>
      <c r="AH440" s="171"/>
      <c r="AI440" s="171"/>
      <c r="AJ440" s="171"/>
      <c r="AK440" s="171"/>
      <c r="AL440" s="171"/>
      <c r="AM440" s="171"/>
      <c r="AN440" s="171" t="s">
        <v>5032</v>
      </c>
      <c r="AO440" s="171"/>
      <c r="AP440" s="171"/>
      <c r="AQ440" s="171" t="s">
        <v>5032</v>
      </c>
      <c r="AR440" s="171"/>
      <c r="AS440" s="171"/>
      <c r="AT440" s="171"/>
      <c r="AU440" s="171"/>
      <c r="AV440" s="171"/>
      <c r="AW440" s="171"/>
      <c r="AX440" s="171"/>
      <c r="AY440" s="171"/>
      <c r="AZ440" s="171"/>
      <c r="BA440" s="171"/>
      <c r="BB440" s="171"/>
      <c r="BC440" s="171"/>
      <c r="BD440" s="171"/>
      <c r="BE440" s="171"/>
      <c r="BF440" s="225"/>
      <c r="BG440" s="171"/>
      <c r="BH440" s="171"/>
      <c r="BI440" s="171"/>
      <c r="BJ440" s="171"/>
      <c r="BK440" s="171"/>
      <c r="BL440" s="171"/>
      <c r="BM440" s="171"/>
      <c r="BN440" s="171"/>
      <c r="BO440" s="171"/>
      <c r="BP440" s="171"/>
      <c r="BQ440" s="171"/>
      <c r="BR440" s="171"/>
      <c r="BS440" s="171">
        <v>1</v>
      </c>
      <c r="BT440" s="171"/>
      <c r="BU440" s="171">
        <v>1</v>
      </c>
      <c r="BV440" s="171"/>
      <c r="BW440" s="171"/>
      <c r="BX440" s="171"/>
      <c r="BY440" s="171"/>
      <c r="BZ440" s="171"/>
      <c r="CA440" s="171"/>
      <c r="CB440" s="171"/>
      <c r="CC440" s="171"/>
      <c r="CD440" s="171"/>
      <c r="CE440" s="171">
        <v>1</v>
      </c>
      <c r="CF440" s="171"/>
      <c r="CG440" s="171">
        <v>1</v>
      </c>
      <c r="CH440" s="171">
        <v>1</v>
      </c>
      <c r="CI440" s="171"/>
      <c r="CJ440" s="171"/>
      <c r="CK440" s="171"/>
      <c r="CL440" s="171"/>
    </row>
    <row r="441" spans="1:91">
      <c r="A441" s="171">
        <v>356</v>
      </c>
      <c r="B441" s="171" t="s">
        <v>2250</v>
      </c>
      <c r="C441" s="171">
        <v>328</v>
      </c>
      <c r="D441" s="171" t="str">
        <f t="shared" si="47"/>
        <v xml:space="preserve"> NZ SBT</v>
      </c>
      <c r="E441" s="171" t="s">
        <v>7228</v>
      </c>
      <c r="F441" s="174">
        <v>45481</v>
      </c>
      <c r="G441" s="171" t="s">
        <v>7220</v>
      </c>
      <c r="H441" s="173">
        <v>5995</v>
      </c>
      <c r="I441" s="171"/>
      <c r="J441" s="171" t="s">
        <v>4459</v>
      </c>
      <c r="K441" s="171" t="s">
        <v>4457</v>
      </c>
      <c r="L441" s="171" t="s">
        <v>2029</v>
      </c>
      <c r="M441" s="171" t="s">
        <v>5032</v>
      </c>
      <c r="N441" s="171"/>
      <c r="O441" s="171"/>
      <c r="P441" s="171" t="s">
        <v>4174</v>
      </c>
      <c r="Q441" s="171" t="s">
        <v>22</v>
      </c>
      <c r="R441" s="171" t="s">
        <v>7233</v>
      </c>
      <c r="S441" s="171">
        <v>2030</v>
      </c>
      <c r="T441" s="171" t="s">
        <v>361</v>
      </c>
      <c r="U441" s="171">
        <v>2050</v>
      </c>
      <c r="V441" s="172">
        <v>45017</v>
      </c>
      <c r="W441" s="171">
        <v>2023</v>
      </c>
      <c r="X441" s="171" t="s">
        <v>5032</v>
      </c>
      <c r="Y441" s="171"/>
      <c r="Z441" s="171"/>
      <c r="AA441" s="171" t="s">
        <v>5032</v>
      </c>
      <c r="AB441" s="171"/>
      <c r="AC441" s="171"/>
      <c r="AD441" s="171"/>
      <c r="AE441" s="171"/>
      <c r="AF441" s="171"/>
      <c r="AG441" s="171"/>
      <c r="AH441" s="171"/>
      <c r="AI441" s="171"/>
      <c r="AJ441" s="171"/>
      <c r="AK441" s="171"/>
      <c r="AL441" s="171"/>
      <c r="AM441" s="171"/>
      <c r="AN441" s="171" t="s">
        <v>4172</v>
      </c>
      <c r="AO441" s="171" t="s">
        <v>4332</v>
      </c>
      <c r="AP441" s="171" t="s">
        <v>7360</v>
      </c>
      <c r="AQ441" s="171" t="s">
        <v>4172</v>
      </c>
      <c r="AR441" s="171">
        <v>2050</v>
      </c>
      <c r="AS441" s="171">
        <v>2021</v>
      </c>
      <c r="AT441" s="171"/>
      <c r="AU441" s="171"/>
      <c r="AV441" s="171"/>
      <c r="AW441" s="171" t="s">
        <v>4174</v>
      </c>
      <c r="AX441" s="171" t="s">
        <v>7359</v>
      </c>
      <c r="AY441" s="171"/>
      <c r="AZ441" s="171"/>
      <c r="BA441" s="171"/>
      <c r="BB441" s="171"/>
      <c r="BC441" s="171" t="s">
        <v>4656</v>
      </c>
      <c r="BD441" s="171"/>
      <c r="BE441" s="171"/>
      <c r="BF441" s="225"/>
      <c r="BG441" s="171"/>
      <c r="BH441" s="171"/>
      <c r="BI441" s="171"/>
      <c r="BJ441" s="171"/>
      <c r="BK441" s="171"/>
      <c r="BL441" s="171"/>
      <c r="BM441" s="171"/>
      <c r="BN441" s="171"/>
      <c r="BO441" s="171"/>
      <c r="BP441" s="171">
        <v>1</v>
      </c>
      <c r="BQ441" s="171">
        <v>1</v>
      </c>
      <c r="BR441" s="171"/>
      <c r="BS441" s="171">
        <v>1</v>
      </c>
      <c r="BT441" s="171"/>
      <c r="BU441" s="171">
        <v>1</v>
      </c>
      <c r="BV441" s="171"/>
      <c r="BW441" s="171"/>
      <c r="BX441" s="171"/>
      <c r="BY441" s="171"/>
      <c r="BZ441" s="171">
        <v>1</v>
      </c>
      <c r="CA441" s="171"/>
      <c r="CB441" s="171">
        <v>1</v>
      </c>
      <c r="CC441" s="171">
        <v>1</v>
      </c>
      <c r="CD441" s="171"/>
      <c r="CE441" s="171">
        <v>1</v>
      </c>
      <c r="CF441" s="171"/>
      <c r="CG441" s="171">
        <v>1</v>
      </c>
      <c r="CH441" s="171">
        <v>1</v>
      </c>
      <c r="CI441" s="171"/>
      <c r="CJ441" s="171"/>
      <c r="CK441" s="171">
        <v>1</v>
      </c>
      <c r="CL441" s="171">
        <v>1</v>
      </c>
      <c r="CM441">
        <f t="shared" si="48"/>
        <v>2050</v>
      </c>
    </row>
    <row r="442" spans="1:91">
      <c r="A442" s="171">
        <v>377</v>
      </c>
      <c r="B442" s="171" t="s">
        <v>1117</v>
      </c>
      <c r="C442" s="171">
        <v>330</v>
      </c>
      <c r="D442" s="171" t="str">
        <f t="shared" si="47"/>
        <v>CN SBT</v>
      </c>
      <c r="E442" s="171" t="s">
        <v>7228</v>
      </c>
      <c r="F442" s="174">
        <v>45481</v>
      </c>
      <c r="G442" s="171" t="s">
        <v>7220</v>
      </c>
      <c r="H442" s="173">
        <v>-2209.6</v>
      </c>
      <c r="I442" s="171"/>
      <c r="J442" s="171" t="s">
        <v>4494</v>
      </c>
      <c r="K442" s="171" t="s">
        <v>146</v>
      </c>
      <c r="L442" s="171" t="s">
        <v>1951</v>
      </c>
      <c r="M442" s="171" t="s">
        <v>5032</v>
      </c>
      <c r="N442" s="171"/>
      <c r="O442" s="171"/>
      <c r="P442" s="171" t="s">
        <v>4174</v>
      </c>
      <c r="Q442" s="171" t="s">
        <v>22</v>
      </c>
      <c r="R442" s="171" t="s">
        <v>7277</v>
      </c>
      <c r="S442" s="171">
        <v>2030</v>
      </c>
      <c r="T442" s="171" t="s">
        <v>361</v>
      </c>
      <c r="U442" s="171"/>
      <c r="V442" s="172">
        <v>43678</v>
      </c>
      <c r="W442" s="171">
        <v>2019</v>
      </c>
      <c r="X442" s="171" t="s">
        <v>1957</v>
      </c>
      <c r="Y442" s="171" t="s">
        <v>109</v>
      </c>
      <c r="Z442" s="171" t="s">
        <v>3390</v>
      </c>
      <c r="AA442" s="171" t="s">
        <v>1957</v>
      </c>
      <c r="AB442" s="171">
        <v>2050</v>
      </c>
      <c r="AC442" s="171">
        <v>2019</v>
      </c>
      <c r="AD442" s="171"/>
      <c r="AE442" s="171"/>
      <c r="AF442" s="171"/>
      <c r="AG442" s="171" t="s">
        <v>2082</v>
      </c>
      <c r="AH442" s="171"/>
      <c r="AI442" s="171" t="s">
        <v>4174</v>
      </c>
      <c r="AJ442" s="171"/>
      <c r="AK442" s="171"/>
      <c r="AL442" s="171" t="s">
        <v>4675</v>
      </c>
      <c r="AM442" s="171"/>
      <c r="AN442" s="171" t="s">
        <v>5032</v>
      </c>
      <c r="AO442" s="171"/>
      <c r="AP442" s="171"/>
      <c r="AQ442" s="171" t="s">
        <v>5032</v>
      </c>
      <c r="AR442" s="171"/>
      <c r="AS442" s="171"/>
      <c r="AT442" s="171"/>
      <c r="AU442" s="171"/>
      <c r="AV442" s="171"/>
      <c r="AW442" s="171"/>
      <c r="AX442" s="176"/>
      <c r="AY442" s="171"/>
      <c r="AZ442" s="171"/>
      <c r="BA442" s="171"/>
      <c r="BB442" s="171"/>
      <c r="BC442" s="171"/>
      <c r="BD442" s="171"/>
      <c r="BE442" s="171"/>
      <c r="BF442" s="225"/>
      <c r="BG442" s="171"/>
      <c r="BH442" s="171"/>
      <c r="BI442" s="171"/>
      <c r="BJ442" s="171"/>
      <c r="BK442" s="171"/>
      <c r="BL442" s="171">
        <v>1</v>
      </c>
      <c r="BM442" s="171">
        <v>1</v>
      </c>
      <c r="BN442" s="171"/>
      <c r="BO442" s="171"/>
      <c r="BP442" s="171"/>
      <c r="BQ442" s="171"/>
      <c r="BR442" s="171"/>
      <c r="BS442" s="171">
        <v>1</v>
      </c>
      <c r="BT442" s="171"/>
      <c r="BU442" s="171">
        <v>1</v>
      </c>
      <c r="BV442" s="171"/>
      <c r="BW442" s="171"/>
      <c r="BX442" s="171"/>
      <c r="BY442" s="171"/>
      <c r="BZ442" s="171">
        <v>1</v>
      </c>
      <c r="CA442" s="171"/>
      <c r="CB442" s="171">
        <v>1</v>
      </c>
      <c r="CC442" s="171"/>
      <c r="CD442" s="171"/>
      <c r="CE442" s="171">
        <v>1</v>
      </c>
      <c r="CF442" s="171"/>
      <c r="CG442" s="171">
        <v>1</v>
      </c>
      <c r="CH442" s="171">
        <v>1</v>
      </c>
      <c r="CI442" s="171"/>
      <c r="CJ442" s="171"/>
      <c r="CK442" s="171"/>
      <c r="CL442" s="171"/>
    </row>
    <row r="443" spans="1:91">
      <c r="A443" s="171">
        <v>333</v>
      </c>
      <c r="B443" s="171" t="s">
        <v>838</v>
      </c>
      <c r="C443" s="171">
        <v>366</v>
      </c>
      <c r="D443" s="171" t="str">
        <f t="shared" si="47"/>
        <v xml:space="preserve"> NZ</v>
      </c>
      <c r="E443" s="171" t="s">
        <v>7221</v>
      </c>
      <c r="F443" s="174">
        <v>45481</v>
      </c>
      <c r="G443" s="171" t="s">
        <v>7220</v>
      </c>
      <c r="H443" s="173">
        <v>-1408.9</v>
      </c>
      <c r="I443" s="171"/>
      <c r="J443" s="171" t="s">
        <v>4465</v>
      </c>
      <c r="K443" s="171" t="s">
        <v>4457</v>
      </c>
      <c r="L443" s="171" t="s">
        <v>2029</v>
      </c>
      <c r="M443" s="171" t="s">
        <v>5032</v>
      </c>
      <c r="N443" s="171"/>
      <c r="O443" s="171"/>
      <c r="P443" s="171" t="s">
        <v>5032</v>
      </c>
      <c r="Q443" s="171"/>
      <c r="R443" s="171"/>
      <c r="S443" s="171"/>
      <c r="T443" s="171"/>
      <c r="U443" s="171"/>
      <c r="V443" s="175"/>
      <c r="W443" s="171"/>
      <c r="X443" s="171" t="s">
        <v>5032</v>
      </c>
      <c r="Y443" s="171"/>
      <c r="Z443" s="171"/>
      <c r="AA443" s="171" t="s">
        <v>5032</v>
      </c>
      <c r="AB443" s="171"/>
      <c r="AC443" s="171"/>
      <c r="AD443" s="171"/>
      <c r="AE443" s="171"/>
      <c r="AF443" s="171"/>
      <c r="AG443" s="171"/>
      <c r="AH443" s="171"/>
      <c r="AI443" s="171"/>
      <c r="AJ443" s="171"/>
      <c r="AK443" s="171"/>
      <c r="AL443" s="171"/>
      <c r="AM443" s="171"/>
      <c r="AN443" s="171" t="s">
        <v>7227</v>
      </c>
      <c r="AO443" s="171" t="s">
        <v>7358</v>
      </c>
      <c r="AP443" s="171" t="s">
        <v>2072</v>
      </c>
      <c r="AQ443" s="171" t="s">
        <v>1957</v>
      </c>
      <c r="AR443" s="171">
        <v>2040</v>
      </c>
      <c r="AS443" s="171">
        <v>2021</v>
      </c>
      <c r="AT443" s="171" t="s">
        <v>4172</v>
      </c>
      <c r="AU443" s="171">
        <v>2050</v>
      </c>
      <c r="AV443" s="171">
        <v>2021</v>
      </c>
      <c r="AW443" s="171" t="s">
        <v>4174</v>
      </c>
      <c r="AX443" s="171" t="s">
        <v>5596</v>
      </c>
      <c r="AY443" s="171"/>
      <c r="AZ443" s="171"/>
      <c r="BA443" s="171"/>
      <c r="BB443" s="171"/>
      <c r="BC443" s="171"/>
      <c r="BD443" s="171"/>
      <c r="BE443" s="171"/>
      <c r="BF443" s="225"/>
      <c r="BG443" s="171"/>
      <c r="BH443" s="171"/>
      <c r="BI443" s="171"/>
      <c r="BJ443" s="171"/>
      <c r="BK443" s="171"/>
      <c r="BL443" s="171"/>
      <c r="BM443" s="171"/>
      <c r="BN443" s="171"/>
      <c r="BO443" s="171"/>
      <c r="BP443" s="171">
        <v>1</v>
      </c>
      <c r="BQ443" s="171">
        <v>1</v>
      </c>
      <c r="BR443" s="171"/>
      <c r="BS443" s="171"/>
      <c r="BT443" s="171"/>
      <c r="BU443" s="171"/>
      <c r="BV443" s="171"/>
      <c r="BW443" s="171"/>
      <c r="BX443" s="171"/>
      <c r="BY443" s="171"/>
      <c r="BZ443" s="171">
        <v>1</v>
      </c>
      <c r="CA443" s="171"/>
      <c r="CB443" s="171">
        <v>1</v>
      </c>
      <c r="CC443" s="171">
        <v>1</v>
      </c>
      <c r="CD443" s="171"/>
      <c r="CE443" s="171">
        <v>1</v>
      </c>
      <c r="CF443" s="171"/>
      <c r="CG443" s="171"/>
      <c r="CH443" s="171">
        <v>1</v>
      </c>
      <c r="CI443" s="171"/>
      <c r="CJ443" s="171"/>
      <c r="CK443" s="171">
        <v>1</v>
      </c>
      <c r="CL443" s="171">
        <v>1</v>
      </c>
      <c r="CM443">
        <f t="shared" si="48"/>
        <v>2040</v>
      </c>
    </row>
    <row r="444" spans="1:91">
      <c r="A444" s="171">
        <v>262</v>
      </c>
      <c r="B444" s="171" t="s">
        <v>768</v>
      </c>
      <c r="C444" s="171">
        <v>285</v>
      </c>
      <c r="D444" s="171" t="str">
        <f t="shared" si="47"/>
        <v xml:space="preserve"> NZ</v>
      </c>
      <c r="E444" s="171" t="s">
        <v>7223</v>
      </c>
      <c r="F444" s="174">
        <v>45478</v>
      </c>
      <c r="G444" s="171" t="s">
        <v>7223</v>
      </c>
      <c r="H444" s="173">
        <v>4474</v>
      </c>
      <c r="I444" s="171"/>
      <c r="J444" s="171" t="s">
        <v>4467</v>
      </c>
      <c r="K444" s="171" t="s">
        <v>4457</v>
      </c>
      <c r="L444" s="171" t="s">
        <v>2029</v>
      </c>
      <c r="M444" s="171" t="s">
        <v>5032</v>
      </c>
      <c r="N444" s="171"/>
      <c r="O444" s="171"/>
      <c r="P444" s="171" t="s">
        <v>5032</v>
      </c>
      <c r="Q444" s="171"/>
      <c r="R444" s="171"/>
      <c r="S444" s="171"/>
      <c r="T444" s="171"/>
      <c r="U444" s="171"/>
      <c r="V444" s="175"/>
      <c r="W444" s="171"/>
      <c r="X444" s="171" t="s">
        <v>5032</v>
      </c>
      <c r="Y444" s="171"/>
      <c r="Z444" s="171"/>
      <c r="AA444" s="171" t="s">
        <v>5032</v>
      </c>
      <c r="AB444" s="171"/>
      <c r="AC444" s="171"/>
      <c r="AD444" s="171"/>
      <c r="AE444" s="171"/>
      <c r="AF444" s="171"/>
      <c r="AG444" s="171"/>
      <c r="AH444" s="171"/>
      <c r="AI444" s="171"/>
      <c r="AJ444" s="171"/>
      <c r="AK444" s="171"/>
      <c r="AL444" s="171" t="s">
        <v>7357</v>
      </c>
      <c r="AM444" s="171" t="s">
        <v>7356</v>
      </c>
      <c r="AN444" s="171" t="s">
        <v>1957</v>
      </c>
      <c r="AO444" s="171" t="s">
        <v>3793</v>
      </c>
      <c r="AP444" s="171" t="s">
        <v>7355</v>
      </c>
      <c r="AQ444" s="171" t="s">
        <v>1957</v>
      </c>
      <c r="AR444" s="171">
        <v>2040</v>
      </c>
      <c r="AS444" s="171">
        <v>2022</v>
      </c>
      <c r="AT444" s="171"/>
      <c r="AU444" s="171"/>
      <c r="AV444" s="171"/>
      <c r="AW444" s="171" t="s">
        <v>4174</v>
      </c>
      <c r="AX444" s="171" t="s">
        <v>7354</v>
      </c>
      <c r="AY444" s="171"/>
      <c r="AZ444" s="171"/>
      <c r="BA444" s="171"/>
      <c r="BB444" s="171"/>
      <c r="BC444" s="171"/>
      <c r="BD444" s="171"/>
      <c r="BE444" s="171"/>
      <c r="BF444" s="225"/>
      <c r="BG444" s="171"/>
      <c r="BH444" s="171"/>
      <c r="BI444" s="171"/>
      <c r="BJ444" s="171"/>
      <c r="BK444" s="171"/>
      <c r="BL444" s="171"/>
      <c r="BM444" s="171"/>
      <c r="BN444" s="171"/>
      <c r="BO444" s="171"/>
      <c r="BP444" s="171">
        <v>1</v>
      </c>
      <c r="BQ444" s="171">
        <v>1</v>
      </c>
      <c r="BR444" s="171"/>
      <c r="BS444" s="171"/>
      <c r="BT444" s="171"/>
      <c r="BU444" s="171"/>
      <c r="BV444" s="171"/>
      <c r="BW444" s="171"/>
      <c r="BX444" s="171"/>
      <c r="BY444" s="171"/>
      <c r="BZ444" s="171">
        <v>1</v>
      </c>
      <c r="CA444" s="171"/>
      <c r="CB444" s="171">
        <v>1</v>
      </c>
      <c r="CC444" s="171">
        <v>1</v>
      </c>
      <c r="CD444" s="171"/>
      <c r="CE444" s="171">
        <v>1</v>
      </c>
      <c r="CF444" s="171"/>
      <c r="CG444" s="171"/>
      <c r="CH444" s="171">
        <v>1</v>
      </c>
      <c r="CI444" s="171"/>
      <c r="CJ444" s="171"/>
      <c r="CK444" s="171"/>
      <c r="CL444" s="171"/>
      <c r="CM444">
        <f t="shared" si="48"/>
        <v>2040</v>
      </c>
    </row>
    <row r="445" spans="1:91">
      <c r="A445" s="171">
        <v>287</v>
      </c>
      <c r="B445" s="171" t="s">
        <v>1085</v>
      </c>
      <c r="C445" s="171">
        <v>290</v>
      </c>
      <c r="D445" s="171" t="str">
        <f t="shared" si="47"/>
        <v>CN NZ</v>
      </c>
      <c r="E445" s="171" t="s">
        <v>7220</v>
      </c>
      <c r="F445" s="174">
        <v>45478</v>
      </c>
      <c r="G445" s="171" t="s">
        <v>7223</v>
      </c>
      <c r="H445" s="173">
        <v>4814.3999999999996</v>
      </c>
      <c r="I445" s="171"/>
      <c r="J445" s="171" t="s">
        <v>4465</v>
      </c>
      <c r="K445" s="171" t="s">
        <v>207</v>
      </c>
      <c r="L445" s="171" t="s">
        <v>1994</v>
      </c>
      <c r="M445" s="171" t="s">
        <v>5032</v>
      </c>
      <c r="N445" s="171"/>
      <c r="O445" s="171"/>
      <c r="P445" s="171" t="s">
        <v>5032</v>
      </c>
      <c r="Q445" s="171" t="s">
        <v>7290</v>
      </c>
      <c r="R445" s="171"/>
      <c r="S445" s="171"/>
      <c r="T445" s="171" t="s">
        <v>1</v>
      </c>
      <c r="U445" s="171"/>
      <c r="V445" s="172">
        <v>43160</v>
      </c>
      <c r="W445" s="171">
        <v>2018</v>
      </c>
      <c r="X445" s="171" t="s">
        <v>1957</v>
      </c>
      <c r="Y445" s="171" t="s">
        <v>1659</v>
      </c>
      <c r="Z445" s="171" t="s">
        <v>32</v>
      </c>
      <c r="AA445" s="171" t="s">
        <v>4172</v>
      </c>
      <c r="AB445" s="171">
        <v>2009</v>
      </c>
      <c r="AC445" s="171">
        <v>2021</v>
      </c>
      <c r="AD445" s="171"/>
      <c r="AE445" s="171"/>
      <c r="AF445" s="171"/>
      <c r="AG445" s="171" t="s">
        <v>4174</v>
      </c>
      <c r="AH445" s="171">
        <v>2023</v>
      </c>
      <c r="AI445" s="171" t="s">
        <v>4174</v>
      </c>
      <c r="AJ445" s="176" t="s">
        <v>7353</v>
      </c>
      <c r="AK445" s="171"/>
      <c r="AL445" s="171" t="s">
        <v>7352</v>
      </c>
      <c r="AM445" s="171"/>
      <c r="AN445" s="171" t="s">
        <v>1957</v>
      </c>
      <c r="AO445" s="171" t="s">
        <v>7351</v>
      </c>
      <c r="AP445" s="171" t="s">
        <v>7350</v>
      </c>
      <c r="AQ445" s="171" t="s">
        <v>1957</v>
      </c>
      <c r="AR445" s="171">
        <v>2050</v>
      </c>
      <c r="AS445" s="171">
        <v>2022</v>
      </c>
      <c r="AT445" s="171"/>
      <c r="AU445" s="171"/>
      <c r="AV445" s="171"/>
      <c r="AW445" s="171" t="s">
        <v>2082</v>
      </c>
      <c r="AX445" s="171" t="s">
        <v>5942</v>
      </c>
      <c r="AY445" s="171"/>
      <c r="AZ445" s="171"/>
      <c r="BA445" s="171"/>
      <c r="BB445" s="171"/>
      <c r="BC445" s="171"/>
      <c r="BD445" s="171"/>
      <c r="BE445" s="171"/>
      <c r="BF445" s="225"/>
      <c r="BG445" s="171"/>
      <c r="BH445" s="171"/>
      <c r="BI445" s="171"/>
      <c r="BJ445" s="171">
        <v>1</v>
      </c>
      <c r="BK445" s="171"/>
      <c r="BL445" s="171"/>
      <c r="BM445" s="171">
        <v>1</v>
      </c>
      <c r="BN445" s="171"/>
      <c r="BO445" s="171"/>
      <c r="BP445" s="171">
        <v>1</v>
      </c>
      <c r="BQ445" s="171">
        <v>1</v>
      </c>
      <c r="BR445" s="171"/>
      <c r="BS445" s="171"/>
      <c r="BT445" s="171"/>
      <c r="BU445" s="171"/>
      <c r="BV445" s="171"/>
      <c r="BW445" s="171"/>
      <c r="BX445" s="171"/>
      <c r="BY445" s="171"/>
      <c r="BZ445" s="171">
        <v>1</v>
      </c>
      <c r="CA445" s="171">
        <v>1</v>
      </c>
      <c r="CB445" s="171">
        <v>1</v>
      </c>
      <c r="CC445" s="171">
        <v>1</v>
      </c>
      <c r="CD445" s="171"/>
      <c r="CE445" s="171">
        <v>1</v>
      </c>
      <c r="CF445" s="171">
        <v>1</v>
      </c>
      <c r="CG445" s="171">
        <v>1</v>
      </c>
      <c r="CH445" s="171">
        <v>1</v>
      </c>
      <c r="CI445" s="171"/>
      <c r="CJ445" s="171"/>
      <c r="CK445" s="171"/>
      <c r="CL445" s="171"/>
      <c r="CM445">
        <f t="shared" si="48"/>
        <v>2050</v>
      </c>
    </row>
    <row r="446" spans="1:91">
      <c r="A446" s="171">
        <v>317</v>
      </c>
      <c r="B446" s="171" t="s">
        <v>1229</v>
      </c>
      <c r="C446" s="171">
        <v>242</v>
      </c>
      <c r="D446" s="171" t="str">
        <f t="shared" si="47"/>
        <v>CN NZ</v>
      </c>
      <c r="E446" s="171" t="s">
        <v>7221</v>
      </c>
      <c r="F446" s="174">
        <v>45477</v>
      </c>
      <c r="G446" s="171" t="s">
        <v>7223</v>
      </c>
      <c r="H446" s="173">
        <v>1853.3</v>
      </c>
      <c r="I446" s="171"/>
      <c r="J446" s="171" t="s">
        <v>4199</v>
      </c>
      <c r="K446" s="171" t="s">
        <v>207</v>
      </c>
      <c r="L446" s="171" t="s">
        <v>1994</v>
      </c>
      <c r="M446" s="171" t="s">
        <v>5032</v>
      </c>
      <c r="N446" s="171"/>
      <c r="O446" s="171"/>
      <c r="P446" s="171" t="s">
        <v>5032</v>
      </c>
      <c r="Q446" s="171"/>
      <c r="R446" s="171"/>
      <c r="S446" s="171"/>
      <c r="T446" s="171"/>
      <c r="U446" s="171"/>
      <c r="V446" s="175"/>
      <c r="W446" s="171"/>
      <c r="X446" s="171" t="s">
        <v>1957</v>
      </c>
      <c r="Y446" s="171" t="s">
        <v>6140</v>
      </c>
      <c r="Z446" s="171" t="s">
        <v>32</v>
      </c>
      <c r="AA446" s="171" t="s">
        <v>1957</v>
      </c>
      <c r="AB446" s="171">
        <v>2050</v>
      </c>
      <c r="AC446" s="171">
        <v>2021</v>
      </c>
      <c r="AD446" s="171"/>
      <c r="AE446" s="171"/>
      <c r="AF446" s="171"/>
      <c r="AG446" s="171" t="s">
        <v>2082</v>
      </c>
      <c r="AH446" s="171"/>
      <c r="AI446" s="171" t="s">
        <v>4174</v>
      </c>
      <c r="AJ446" s="171"/>
      <c r="AK446" s="171"/>
      <c r="AL446" s="171" t="s">
        <v>7349</v>
      </c>
      <c r="AM446" s="171"/>
      <c r="AN446" s="171" t="s">
        <v>1957</v>
      </c>
      <c r="AO446" s="171" t="s">
        <v>6140</v>
      </c>
      <c r="AP446" s="171" t="s">
        <v>2072</v>
      </c>
      <c r="AQ446" s="171" t="s">
        <v>1957</v>
      </c>
      <c r="AR446" s="171">
        <v>2050</v>
      </c>
      <c r="AS446" s="171">
        <v>2019</v>
      </c>
      <c r="AT446" s="171"/>
      <c r="AU446" s="171"/>
      <c r="AV446" s="171"/>
      <c r="AW446" s="171" t="s">
        <v>4174</v>
      </c>
      <c r="AX446" s="171" t="s">
        <v>4729</v>
      </c>
      <c r="AY446" s="171"/>
      <c r="AZ446" s="171"/>
      <c r="BA446" s="171"/>
      <c r="BB446" s="171"/>
      <c r="BC446" s="171"/>
      <c r="BD446" s="171"/>
      <c r="BE446" s="171"/>
      <c r="BF446" s="225"/>
      <c r="BG446" s="171"/>
      <c r="BH446" s="171"/>
      <c r="BI446" s="171"/>
      <c r="BJ446" s="171"/>
      <c r="BK446" s="171"/>
      <c r="BL446" s="171">
        <v>1</v>
      </c>
      <c r="BM446" s="171">
        <v>1</v>
      </c>
      <c r="BN446" s="171"/>
      <c r="BO446" s="171"/>
      <c r="BP446" s="171">
        <v>1</v>
      </c>
      <c r="BQ446" s="171">
        <v>1</v>
      </c>
      <c r="BR446" s="171"/>
      <c r="BS446" s="171"/>
      <c r="BT446" s="171"/>
      <c r="BU446" s="171"/>
      <c r="BV446" s="171"/>
      <c r="BW446" s="171"/>
      <c r="BX446" s="171"/>
      <c r="BY446" s="171"/>
      <c r="BZ446" s="171">
        <v>1</v>
      </c>
      <c r="CA446" s="171"/>
      <c r="CB446" s="171">
        <v>1</v>
      </c>
      <c r="CC446" s="171">
        <v>1</v>
      </c>
      <c r="CD446" s="171"/>
      <c r="CE446" s="171">
        <v>1</v>
      </c>
      <c r="CF446" s="171"/>
      <c r="CG446" s="171"/>
      <c r="CH446" s="171">
        <v>1</v>
      </c>
      <c r="CI446" s="171"/>
      <c r="CJ446" s="171"/>
      <c r="CK446" s="171"/>
      <c r="CL446" s="171"/>
      <c r="CM446">
        <f t="shared" si="48"/>
        <v>2050</v>
      </c>
    </row>
    <row r="447" spans="1:91">
      <c r="A447" s="171">
        <v>438</v>
      </c>
      <c r="B447" s="171" t="s">
        <v>239</v>
      </c>
      <c r="C447" s="171">
        <v>436</v>
      </c>
      <c r="D447" s="171" t="str">
        <f t="shared" si="47"/>
        <v/>
      </c>
      <c r="E447" s="171" t="s">
        <v>7223</v>
      </c>
      <c r="F447" s="174">
        <v>45512</v>
      </c>
      <c r="G447" s="171" t="s">
        <v>7223</v>
      </c>
      <c r="H447" s="173">
        <v>59.7</v>
      </c>
      <c r="I447" s="171"/>
      <c r="J447" s="171" t="s">
        <v>4494</v>
      </c>
      <c r="K447" s="171" t="s">
        <v>73</v>
      </c>
      <c r="L447" s="171" t="s">
        <v>1994</v>
      </c>
      <c r="M447" s="171" t="s">
        <v>5032</v>
      </c>
      <c r="N447" s="171"/>
      <c r="O447" s="171"/>
      <c r="P447" s="171" t="s">
        <v>5032</v>
      </c>
      <c r="Q447" s="171"/>
      <c r="R447" s="171"/>
      <c r="S447" s="171"/>
      <c r="T447" s="171"/>
      <c r="U447" s="171"/>
      <c r="V447" s="175"/>
      <c r="W447" s="171"/>
      <c r="X447" s="171" t="s">
        <v>5032</v>
      </c>
      <c r="Y447" s="171"/>
      <c r="Z447" s="171"/>
      <c r="AA447" s="171" t="s">
        <v>5032</v>
      </c>
      <c r="AB447" s="171"/>
      <c r="AC447" s="171"/>
      <c r="AD447" s="171"/>
      <c r="AE447" s="171"/>
      <c r="AF447" s="171"/>
      <c r="AG447" s="171"/>
      <c r="AH447" s="171"/>
      <c r="AI447" s="171"/>
      <c r="AJ447" s="171"/>
      <c r="AK447" s="171"/>
      <c r="AL447" s="171"/>
      <c r="AM447" s="171"/>
      <c r="AN447" s="171" t="s">
        <v>5032</v>
      </c>
      <c r="AO447" s="171"/>
      <c r="AP447" s="171"/>
      <c r="AQ447" s="171" t="s">
        <v>5032</v>
      </c>
      <c r="AR447" s="171"/>
      <c r="AS447" s="171"/>
      <c r="AT447" s="171"/>
      <c r="AU447" s="171"/>
      <c r="AV447" s="171"/>
      <c r="AW447" s="171"/>
      <c r="AX447" s="171"/>
      <c r="AY447" s="171"/>
      <c r="AZ447" s="171"/>
      <c r="BA447" s="171"/>
      <c r="BB447" s="171"/>
      <c r="BC447" s="171"/>
      <c r="BD447" s="171"/>
      <c r="BE447" s="171"/>
      <c r="BF447" s="225"/>
      <c r="BG447" s="171"/>
      <c r="BH447" s="171"/>
      <c r="BI447" s="171"/>
      <c r="BJ447" s="171"/>
      <c r="BK447" s="171"/>
      <c r="BL447" s="171"/>
      <c r="BM447" s="171"/>
      <c r="BN447" s="171"/>
      <c r="BO447" s="171"/>
      <c r="BP447" s="171"/>
      <c r="BQ447" s="171"/>
      <c r="BR447" s="171"/>
      <c r="BS447" s="171"/>
      <c r="BT447" s="171"/>
      <c r="BU447" s="171"/>
      <c r="BV447" s="171"/>
      <c r="BW447" s="171"/>
      <c r="BX447" s="171"/>
      <c r="BY447" s="171"/>
      <c r="BZ447" s="171"/>
      <c r="CA447" s="171"/>
      <c r="CB447" s="171"/>
      <c r="CC447" s="171"/>
      <c r="CD447" s="171"/>
      <c r="CE447" s="171"/>
      <c r="CF447" s="171"/>
      <c r="CG447" s="171"/>
      <c r="CH447" s="171"/>
      <c r="CI447" s="171"/>
      <c r="CJ447" s="171"/>
      <c r="CK447" s="171"/>
      <c r="CL447" s="171"/>
    </row>
    <row r="448" spans="1:91">
      <c r="A448" s="171">
        <v>467</v>
      </c>
      <c r="B448" s="171" t="s">
        <v>5143</v>
      </c>
      <c r="C448" s="171">
        <v>476</v>
      </c>
      <c r="D448" s="171" t="str">
        <f t="shared" si="47"/>
        <v>CN</v>
      </c>
      <c r="E448" s="171" t="s">
        <v>7259</v>
      </c>
      <c r="F448" s="174">
        <v>45511</v>
      </c>
      <c r="G448" s="171" t="s">
        <v>7220</v>
      </c>
      <c r="H448" s="173">
        <v>593.9</v>
      </c>
      <c r="I448" s="171"/>
      <c r="J448" s="171" t="s">
        <v>4199</v>
      </c>
      <c r="K448" s="171" t="s">
        <v>73</v>
      </c>
      <c r="L448" s="171" t="s">
        <v>1994</v>
      </c>
      <c r="M448" s="171" t="s">
        <v>5032</v>
      </c>
      <c r="N448" s="171"/>
      <c r="O448" s="171"/>
      <c r="P448" s="171" t="s">
        <v>5032</v>
      </c>
      <c r="Q448" s="171"/>
      <c r="R448" s="171"/>
      <c r="S448" s="171"/>
      <c r="T448" s="171"/>
      <c r="U448" s="171"/>
      <c r="V448" s="175"/>
      <c r="W448" s="171"/>
      <c r="X448" s="171" t="s">
        <v>1957</v>
      </c>
      <c r="Y448" s="171" t="s">
        <v>7348</v>
      </c>
      <c r="Z448" s="171" t="s">
        <v>7225</v>
      </c>
      <c r="AA448" s="171" t="s">
        <v>1957</v>
      </c>
      <c r="AB448" s="171">
        <v>2023</v>
      </c>
      <c r="AC448" s="171">
        <v>2022</v>
      </c>
      <c r="AD448" s="171"/>
      <c r="AE448" s="171"/>
      <c r="AF448" s="171"/>
      <c r="AG448" s="171" t="s">
        <v>4174</v>
      </c>
      <c r="AH448" s="171">
        <v>2024</v>
      </c>
      <c r="AI448" s="171" t="s">
        <v>4174</v>
      </c>
      <c r="AJ448" s="176" t="s">
        <v>7347</v>
      </c>
      <c r="AK448" s="171"/>
      <c r="AL448" s="176" t="s">
        <v>7347</v>
      </c>
      <c r="AM448" s="171"/>
      <c r="AN448" s="171" t="s">
        <v>5032</v>
      </c>
      <c r="AO448" s="171"/>
      <c r="AP448" s="171"/>
      <c r="AQ448" s="171" t="s">
        <v>5032</v>
      </c>
      <c r="AR448" s="171"/>
      <c r="AS448" s="171"/>
      <c r="AT448" s="171"/>
      <c r="AU448" s="171"/>
      <c r="AV448" s="171"/>
      <c r="AW448" s="171"/>
      <c r="AX448" s="171"/>
      <c r="AY448" s="171"/>
      <c r="AZ448" s="171"/>
      <c r="BA448" s="171"/>
      <c r="BB448" s="171"/>
      <c r="BC448" s="171"/>
      <c r="BD448" s="171"/>
      <c r="BE448" s="171"/>
      <c r="BF448" s="225"/>
      <c r="BG448" s="171"/>
      <c r="BH448" s="171"/>
      <c r="BI448" s="171"/>
      <c r="BJ448" s="171">
        <v>1</v>
      </c>
      <c r="BK448" s="171"/>
      <c r="BL448" s="171"/>
      <c r="BM448" s="171">
        <v>1</v>
      </c>
      <c r="BN448" s="171"/>
      <c r="BO448" s="171"/>
      <c r="BP448" s="171"/>
      <c r="BQ448" s="171"/>
      <c r="BR448" s="171"/>
      <c r="BS448" s="171"/>
      <c r="BT448" s="171"/>
      <c r="BU448" s="171"/>
      <c r="BV448" s="171"/>
      <c r="BW448" s="171"/>
      <c r="BX448" s="171"/>
      <c r="BY448" s="171"/>
      <c r="BZ448" s="171">
        <v>1</v>
      </c>
      <c r="CA448" s="171">
        <v>1</v>
      </c>
      <c r="CB448" s="171">
        <v>1</v>
      </c>
      <c r="CC448" s="171">
        <v>1</v>
      </c>
      <c r="CD448" s="171"/>
      <c r="CE448" s="171">
        <v>1</v>
      </c>
      <c r="CF448" s="171">
        <v>1</v>
      </c>
      <c r="CG448" s="171">
        <v>1</v>
      </c>
      <c r="CH448" s="171">
        <v>1</v>
      </c>
      <c r="CI448" s="171"/>
      <c r="CJ448" s="171"/>
      <c r="CK448" s="171"/>
      <c r="CL448" s="171"/>
    </row>
    <row r="449" spans="1:91">
      <c r="A449" s="171">
        <v>168</v>
      </c>
      <c r="B449" s="171" t="s">
        <v>849</v>
      </c>
      <c r="C449" s="171">
        <v>294</v>
      </c>
      <c r="D449" s="171" t="str">
        <f t="shared" si="47"/>
        <v>CN NZ RE100</v>
      </c>
      <c r="E449" s="171" t="s">
        <v>7220</v>
      </c>
      <c r="F449" s="174">
        <v>45478</v>
      </c>
      <c r="G449" s="171" t="s">
        <v>7223</v>
      </c>
      <c r="H449" s="173">
        <v>7995.6</v>
      </c>
      <c r="I449" s="171"/>
      <c r="J449" s="171" t="s">
        <v>4465</v>
      </c>
      <c r="K449" s="171" t="s">
        <v>78</v>
      </c>
      <c r="L449" s="171" t="s">
        <v>2029</v>
      </c>
      <c r="M449" s="171" t="s">
        <v>4174</v>
      </c>
      <c r="N449" s="171">
        <v>2016</v>
      </c>
      <c r="O449" s="171">
        <v>2017</v>
      </c>
      <c r="P449" s="171" t="s">
        <v>5032</v>
      </c>
      <c r="Q449" s="171"/>
      <c r="R449" s="171"/>
      <c r="S449" s="171"/>
      <c r="T449" s="171"/>
      <c r="U449" s="171"/>
      <c r="V449" s="175"/>
      <c r="W449" s="171"/>
      <c r="X449" s="171" t="s">
        <v>1957</v>
      </c>
      <c r="Y449" s="171" t="s">
        <v>7346</v>
      </c>
      <c r="Z449" s="171" t="s">
        <v>7345</v>
      </c>
      <c r="AA449" s="171" t="s">
        <v>1957</v>
      </c>
      <c r="AB449" s="171">
        <v>2010</v>
      </c>
      <c r="AC449" s="171">
        <v>2010</v>
      </c>
      <c r="AD449" s="171"/>
      <c r="AE449" s="171"/>
      <c r="AF449" s="171"/>
      <c r="AG449" s="171" t="s">
        <v>4174</v>
      </c>
      <c r="AH449" s="171">
        <v>2023</v>
      </c>
      <c r="AI449" s="171" t="s">
        <v>5032</v>
      </c>
      <c r="AJ449" s="171" t="s">
        <v>7344</v>
      </c>
      <c r="AK449" s="171"/>
      <c r="AL449" s="171" t="s">
        <v>7343</v>
      </c>
      <c r="AM449" s="171"/>
      <c r="AN449" s="171" t="s">
        <v>1957</v>
      </c>
      <c r="AO449" s="171" t="s">
        <v>1435</v>
      </c>
      <c r="AP449" s="171" t="s">
        <v>2072</v>
      </c>
      <c r="AQ449" s="171" t="s">
        <v>1957</v>
      </c>
      <c r="AR449" s="171">
        <v>2050</v>
      </c>
      <c r="AS449" s="171">
        <v>2019</v>
      </c>
      <c r="AT449" s="171"/>
      <c r="AU449" s="171"/>
      <c r="AV449" s="171"/>
      <c r="AW449" s="171" t="s">
        <v>4174</v>
      </c>
      <c r="AX449" s="171" t="s">
        <v>7342</v>
      </c>
      <c r="AY449" s="171"/>
      <c r="AZ449" s="171"/>
      <c r="BA449" s="171"/>
      <c r="BB449" s="171"/>
      <c r="BC449" s="171"/>
      <c r="BD449" s="171"/>
      <c r="BE449" s="171"/>
      <c r="BF449" s="225"/>
      <c r="BG449" s="171"/>
      <c r="BH449" s="171"/>
      <c r="BI449" s="171"/>
      <c r="BJ449" s="171">
        <v>1</v>
      </c>
      <c r="BK449" s="171"/>
      <c r="BL449" s="171"/>
      <c r="BM449" s="171">
        <v>1</v>
      </c>
      <c r="BN449" s="171"/>
      <c r="BO449" s="171"/>
      <c r="BP449" s="171">
        <v>1</v>
      </c>
      <c r="BQ449" s="171">
        <v>1</v>
      </c>
      <c r="BR449" s="171"/>
      <c r="BS449" s="171"/>
      <c r="BT449" s="171"/>
      <c r="BU449" s="171"/>
      <c r="BV449" s="171">
        <v>1</v>
      </c>
      <c r="BW449" s="171"/>
      <c r="BX449" s="171"/>
      <c r="BY449" s="171">
        <v>1</v>
      </c>
      <c r="BZ449" s="171">
        <v>1</v>
      </c>
      <c r="CA449" s="171">
        <v>1</v>
      </c>
      <c r="CB449" s="171">
        <v>1</v>
      </c>
      <c r="CC449" s="171">
        <v>1</v>
      </c>
      <c r="CD449" s="171"/>
      <c r="CE449" s="171">
        <v>1</v>
      </c>
      <c r="CF449" s="171">
        <v>1</v>
      </c>
      <c r="CG449" s="171">
        <v>1</v>
      </c>
      <c r="CH449" s="171">
        <v>1</v>
      </c>
      <c r="CI449" s="171"/>
      <c r="CJ449" s="171"/>
      <c r="CK449" s="171"/>
      <c r="CL449" s="171"/>
      <c r="CM449">
        <f t="shared" si="48"/>
        <v>2050</v>
      </c>
    </row>
    <row r="450" spans="1:91">
      <c r="A450" s="171">
        <v>23</v>
      </c>
      <c r="B450" s="171" t="s">
        <v>4215</v>
      </c>
      <c r="C450" s="171">
        <v>20</v>
      </c>
      <c r="D450" s="171" t="str">
        <f t="shared" ref="D450:D501" si="49">CONCATENATE((IF(BM450=1, "CN", "")),(IF(BQ450=1, " NZ", "")),(IF(BU450=1, " SBT", "")),(IF(BY450=1, " RE100", "")))</f>
        <v>CN</v>
      </c>
      <c r="E450" s="171" t="s">
        <v>7341</v>
      </c>
      <c r="F450" s="174">
        <v>45470</v>
      </c>
      <c r="G450" s="171" t="s">
        <v>7223</v>
      </c>
      <c r="H450" s="173">
        <v>21384</v>
      </c>
      <c r="I450" s="171"/>
      <c r="J450" s="171" t="s">
        <v>3498</v>
      </c>
      <c r="K450" s="171" t="s">
        <v>63</v>
      </c>
      <c r="L450" s="171" t="s">
        <v>1951</v>
      </c>
      <c r="M450" s="171" t="s">
        <v>5032</v>
      </c>
      <c r="N450" s="171"/>
      <c r="O450" s="171"/>
      <c r="P450" s="171" t="s">
        <v>5032</v>
      </c>
      <c r="Q450" s="171"/>
      <c r="R450" s="171"/>
      <c r="S450" s="171"/>
      <c r="T450" s="171"/>
      <c r="U450" s="171"/>
      <c r="V450" s="175"/>
      <c r="W450" s="171"/>
      <c r="X450" s="171" t="s">
        <v>7227</v>
      </c>
      <c r="Y450" s="171" t="s">
        <v>7340</v>
      </c>
      <c r="Z450" s="171" t="s">
        <v>7339</v>
      </c>
      <c r="AA450" s="171" t="s">
        <v>1957</v>
      </c>
      <c r="AB450" s="171">
        <v>2030</v>
      </c>
      <c r="AC450" s="171">
        <v>2020</v>
      </c>
      <c r="AD450" s="171" t="s">
        <v>4172</v>
      </c>
      <c r="AE450" s="171">
        <v>2050</v>
      </c>
      <c r="AF450" s="171">
        <v>2020</v>
      </c>
      <c r="AG450" s="171" t="s">
        <v>4174</v>
      </c>
      <c r="AH450" s="171">
        <v>2024</v>
      </c>
      <c r="AI450" s="171" t="s">
        <v>4174</v>
      </c>
      <c r="AJ450" s="171" t="s">
        <v>7338</v>
      </c>
      <c r="AK450" s="171"/>
      <c r="AL450" s="171" t="s">
        <v>7337</v>
      </c>
      <c r="AM450" s="171" t="s">
        <v>7336</v>
      </c>
      <c r="AN450" s="171" t="s">
        <v>7229</v>
      </c>
      <c r="AO450" s="171"/>
      <c r="AP450" s="171"/>
      <c r="AQ450" s="171" t="s">
        <v>7229</v>
      </c>
      <c r="AR450" s="171"/>
      <c r="AS450" s="171"/>
      <c r="AT450" s="171"/>
      <c r="AU450" s="171"/>
      <c r="AV450" s="171"/>
      <c r="AW450" s="171"/>
      <c r="AX450" s="171"/>
      <c r="AY450" s="171"/>
      <c r="AZ450" s="171"/>
      <c r="BA450" s="171"/>
      <c r="BB450" s="171"/>
      <c r="BC450" s="171"/>
      <c r="BD450" s="171"/>
      <c r="BE450" s="171"/>
      <c r="BF450" s="225"/>
      <c r="BG450" s="171"/>
      <c r="BH450" s="171"/>
      <c r="BI450" s="171"/>
      <c r="BJ450" s="171"/>
      <c r="BK450" s="171">
        <v>1</v>
      </c>
      <c r="BL450" s="171"/>
      <c r="BM450" s="171">
        <v>1</v>
      </c>
      <c r="BN450" s="171"/>
      <c r="BO450" s="171"/>
      <c r="BP450" s="171"/>
      <c r="BQ450" s="171"/>
      <c r="BR450" s="171"/>
      <c r="BS450" s="171"/>
      <c r="BT450" s="171"/>
      <c r="BU450" s="171"/>
      <c r="BV450" s="171"/>
      <c r="BW450" s="171"/>
      <c r="BX450" s="171"/>
      <c r="BY450" s="171"/>
      <c r="BZ450" s="171">
        <v>1</v>
      </c>
      <c r="CA450" s="171">
        <v>1</v>
      </c>
      <c r="CB450" s="171">
        <v>1</v>
      </c>
      <c r="CC450" s="171">
        <v>1</v>
      </c>
      <c r="CD450" s="171"/>
      <c r="CE450" s="171">
        <v>1</v>
      </c>
      <c r="CF450" s="171"/>
      <c r="CG450" s="171">
        <v>1</v>
      </c>
      <c r="CH450" s="171">
        <v>1</v>
      </c>
      <c r="CI450" s="171"/>
      <c r="CJ450" s="171"/>
      <c r="CK450" s="171"/>
      <c r="CL450" s="171"/>
    </row>
    <row r="451" spans="1:91">
      <c r="A451" s="171">
        <v>15</v>
      </c>
      <c r="B451" s="171" t="s">
        <v>1851</v>
      </c>
      <c r="C451" s="171">
        <v>19</v>
      </c>
      <c r="D451" s="171" t="str">
        <f t="shared" si="49"/>
        <v>CN SBT</v>
      </c>
      <c r="E451" s="171" t="s">
        <v>7335</v>
      </c>
      <c r="F451" s="174">
        <v>45474</v>
      </c>
      <c r="G451" s="171" t="s">
        <v>7223</v>
      </c>
      <c r="H451" s="173">
        <v>34214.400000000001</v>
      </c>
      <c r="I451" s="171"/>
      <c r="J451" s="171" t="s">
        <v>4476</v>
      </c>
      <c r="K451" s="171" t="s">
        <v>207</v>
      </c>
      <c r="L451" s="171" t="s">
        <v>1994</v>
      </c>
      <c r="M451" s="171" t="s">
        <v>5032</v>
      </c>
      <c r="N451" s="171"/>
      <c r="O451" s="171"/>
      <c r="P451" s="171" t="s">
        <v>4174</v>
      </c>
      <c r="Q451" s="171" t="s">
        <v>22</v>
      </c>
      <c r="R451" s="171" t="s">
        <v>7262</v>
      </c>
      <c r="S451" s="171">
        <v>2030</v>
      </c>
      <c r="T451" s="171" t="s">
        <v>1</v>
      </c>
      <c r="U451" s="171"/>
      <c r="V451" s="172">
        <v>44866</v>
      </c>
      <c r="W451" s="171">
        <v>2022</v>
      </c>
      <c r="X451" s="171" t="s">
        <v>4172</v>
      </c>
      <c r="Y451" s="171" t="s">
        <v>7334</v>
      </c>
      <c r="Z451" s="171" t="s">
        <v>7225</v>
      </c>
      <c r="AA451" s="171" t="s">
        <v>4172</v>
      </c>
      <c r="AB451" s="171">
        <v>2050</v>
      </c>
      <c r="AC451" s="171">
        <v>2024</v>
      </c>
      <c r="AD451" s="171"/>
      <c r="AE451" s="171"/>
      <c r="AF451" s="171"/>
      <c r="AG451" s="171" t="s">
        <v>4174</v>
      </c>
      <c r="AH451" s="171">
        <v>2024</v>
      </c>
      <c r="AI451" s="171" t="s">
        <v>4174</v>
      </c>
      <c r="AJ451" s="171" t="s">
        <v>7333</v>
      </c>
      <c r="AK451" s="171"/>
      <c r="AL451" s="171" t="s">
        <v>7333</v>
      </c>
      <c r="AM451" s="171" t="s">
        <v>7332</v>
      </c>
      <c r="AN451" s="171" t="s">
        <v>5032</v>
      </c>
      <c r="AO451" s="171"/>
      <c r="AP451" s="171"/>
      <c r="AQ451" s="171" t="s">
        <v>5032</v>
      </c>
      <c r="AR451" s="171"/>
      <c r="AS451" s="171"/>
      <c r="AT451" s="171"/>
      <c r="AU451" s="171"/>
      <c r="AV451" s="171"/>
      <c r="AW451" s="171"/>
      <c r="AX451" s="171"/>
      <c r="AY451" s="171"/>
      <c r="AZ451" s="171"/>
      <c r="BA451" s="171"/>
      <c r="BB451" s="171"/>
      <c r="BC451" s="171"/>
      <c r="BD451" s="171"/>
      <c r="BE451" s="171"/>
      <c r="BF451" s="225"/>
      <c r="BG451" s="171"/>
      <c r="BH451" s="171" t="s">
        <v>7331</v>
      </c>
      <c r="BI451" s="171"/>
      <c r="BJ451" s="171"/>
      <c r="BK451" s="171"/>
      <c r="BL451" s="171">
        <v>1</v>
      </c>
      <c r="BM451" s="171">
        <v>1</v>
      </c>
      <c r="BN451" s="171"/>
      <c r="BO451" s="171"/>
      <c r="BP451" s="171"/>
      <c r="BQ451" s="171"/>
      <c r="BR451" s="171"/>
      <c r="BS451" s="171">
        <v>1</v>
      </c>
      <c r="BT451" s="171"/>
      <c r="BU451" s="171">
        <v>1</v>
      </c>
      <c r="BV451" s="171"/>
      <c r="BW451" s="171"/>
      <c r="BX451" s="171"/>
      <c r="BY451" s="171"/>
      <c r="BZ451" s="171">
        <v>1</v>
      </c>
      <c r="CA451" s="171"/>
      <c r="CB451" s="171">
        <v>1</v>
      </c>
      <c r="CC451" s="171">
        <v>1</v>
      </c>
      <c r="CD451" s="171"/>
      <c r="CE451" s="171">
        <v>1</v>
      </c>
      <c r="CF451" s="171"/>
      <c r="CG451" s="171">
        <v>1</v>
      </c>
      <c r="CH451" s="171">
        <v>1</v>
      </c>
      <c r="CI451" s="171"/>
      <c r="CJ451" s="171"/>
      <c r="CK451" s="171"/>
      <c r="CL451" s="171"/>
    </row>
    <row r="452" spans="1:91">
      <c r="A452" s="171">
        <v>184</v>
      </c>
      <c r="B452" s="171" t="s">
        <v>1289</v>
      </c>
      <c r="C452" s="171">
        <v>176</v>
      </c>
      <c r="D452" s="171" t="str">
        <f t="shared" si="49"/>
        <v xml:space="preserve"> NZ SBT</v>
      </c>
      <c r="E452" s="171" t="s">
        <v>7223</v>
      </c>
      <c r="F452" s="174">
        <v>45476</v>
      </c>
      <c r="G452" s="171" t="s">
        <v>7220</v>
      </c>
      <c r="H452" s="173">
        <v>2293.3000000000002</v>
      </c>
      <c r="I452" s="171"/>
      <c r="J452" s="171" t="s">
        <v>4465</v>
      </c>
      <c r="K452" s="171" t="s">
        <v>207</v>
      </c>
      <c r="L452" s="171" t="s">
        <v>1994</v>
      </c>
      <c r="M452" s="171" t="s">
        <v>5032</v>
      </c>
      <c r="N452" s="171"/>
      <c r="O452" s="171"/>
      <c r="P452" s="171" t="s">
        <v>5032</v>
      </c>
      <c r="Q452" s="171" t="s">
        <v>165</v>
      </c>
      <c r="R452" s="171"/>
      <c r="S452" s="171">
        <v>2030</v>
      </c>
      <c r="T452" s="171" t="s">
        <v>1</v>
      </c>
      <c r="U452" s="171"/>
      <c r="V452" s="172">
        <v>45170</v>
      </c>
      <c r="W452" s="171">
        <v>2023</v>
      </c>
      <c r="X452" s="171" t="s">
        <v>7229</v>
      </c>
      <c r="Y452" s="171"/>
      <c r="Z452" s="171"/>
      <c r="AA452" s="171" t="s">
        <v>7229</v>
      </c>
      <c r="AB452" s="171"/>
      <c r="AC452" s="171"/>
      <c r="AD452" s="171"/>
      <c r="AE452" s="171"/>
      <c r="AF452" s="171"/>
      <c r="AG452" s="171"/>
      <c r="AH452" s="171"/>
      <c r="AI452" s="171"/>
      <c r="AJ452" s="171"/>
      <c r="AK452" s="171"/>
      <c r="AL452" s="171"/>
      <c r="AM452" s="171"/>
      <c r="AN452" s="171" t="s">
        <v>1957</v>
      </c>
      <c r="AO452" s="171" t="s">
        <v>3793</v>
      </c>
      <c r="AP452" s="171" t="s">
        <v>7330</v>
      </c>
      <c r="AQ452" s="171" t="s">
        <v>1957</v>
      </c>
      <c r="AR452" s="171">
        <v>2050</v>
      </c>
      <c r="AS452" s="171">
        <v>2021</v>
      </c>
      <c r="AT452" s="171"/>
      <c r="AU452" s="171"/>
      <c r="AV452" s="171"/>
      <c r="AW452" s="171" t="s">
        <v>7247</v>
      </c>
      <c r="AX452" s="171" t="s">
        <v>7329</v>
      </c>
      <c r="AY452" s="171"/>
      <c r="AZ452" s="171"/>
      <c r="BA452" s="171"/>
      <c r="BB452" s="171"/>
      <c r="BC452" s="171" t="s">
        <v>7328</v>
      </c>
      <c r="BD452" s="171" t="s">
        <v>4174</v>
      </c>
      <c r="BE452" s="171" t="s">
        <v>7327</v>
      </c>
      <c r="BF452" s="225" t="s">
        <v>5032</v>
      </c>
      <c r="BG452" s="171"/>
      <c r="BH452" s="171"/>
      <c r="BI452" s="171" t="s">
        <v>7326</v>
      </c>
      <c r="BJ452" s="171"/>
      <c r="BK452" s="171"/>
      <c r="BL452" s="171"/>
      <c r="BM452" s="171"/>
      <c r="BN452" s="171"/>
      <c r="BO452" s="171"/>
      <c r="BP452" s="171">
        <v>1</v>
      </c>
      <c r="BQ452" s="171">
        <v>1</v>
      </c>
      <c r="BR452" s="171"/>
      <c r="BS452" s="171">
        <v>1</v>
      </c>
      <c r="BT452" s="171"/>
      <c r="BU452" s="171">
        <v>1</v>
      </c>
      <c r="BV452" s="171"/>
      <c r="BW452" s="171"/>
      <c r="BX452" s="171"/>
      <c r="BY452" s="171"/>
      <c r="BZ452" s="171">
        <v>1</v>
      </c>
      <c r="CA452" s="171"/>
      <c r="CB452" s="171">
        <v>1</v>
      </c>
      <c r="CC452" s="171">
        <v>1</v>
      </c>
      <c r="CD452" s="171"/>
      <c r="CE452" s="171">
        <v>1</v>
      </c>
      <c r="CF452" s="171"/>
      <c r="CG452" s="171">
        <v>1</v>
      </c>
      <c r="CH452" s="171">
        <v>1</v>
      </c>
      <c r="CI452" s="171"/>
      <c r="CJ452" s="171"/>
      <c r="CK452" s="171"/>
      <c r="CL452" s="171"/>
      <c r="CM452">
        <f t="shared" ref="CM451:CM507" si="50">MAX(U452,AR452)</f>
        <v>2050</v>
      </c>
    </row>
    <row r="453" spans="1:91">
      <c r="A453" s="171">
        <v>19</v>
      </c>
      <c r="B453" s="171" t="s">
        <v>1810</v>
      </c>
      <c r="C453" s="171">
        <v>12</v>
      </c>
      <c r="D453" s="171" t="str">
        <f t="shared" si="49"/>
        <v>CN</v>
      </c>
      <c r="E453" s="171" t="s">
        <v>7255</v>
      </c>
      <c r="F453" s="174">
        <v>45474</v>
      </c>
      <c r="G453" s="171" t="s">
        <v>7223</v>
      </c>
      <c r="H453" s="173">
        <v>7393.2</v>
      </c>
      <c r="I453" s="171"/>
      <c r="J453" s="171" t="s">
        <v>4465</v>
      </c>
      <c r="K453" s="171" t="s">
        <v>183</v>
      </c>
      <c r="L453" s="171" t="s">
        <v>1994</v>
      </c>
      <c r="M453" s="171" t="s">
        <v>5032</v>
      </c>
      <c r="N453" s="171"/>
      <c r="O453" s="171"/>
      <c r="P453" s="171" t="s">
        <v>5032</v>
      </c>
      <c r="Q453" s="171"/>
      <c r="R453" s="171"/>
      <c r="S453" s="171"/>
      <c r="T453" s="171"/>
      <c r="U453" s="171"/>
      <c r="V453" s="175"/>
      <c r="W453" s="171"/>
      <c r="X453" s="171" t="s">
        <v>1957</v>
      </c>
      <c r="Y453" s="171" t="s">
        <v>7325</v>
      </c>
      <c r="Z453" s="171" t="s">
        <v>7225</v>
      </c>
      <c r="AA453" s="171" t="s">
        <v>1957</v>
      </c>
      <c r="AB453" s="171">
        <v>2050</v>
      </c>
      <c r="AC453" s="171">
        <v>2022</v>
      </c>
      <c r="AD453" s="171"/>
      <c r="AE453" s="171"/>
      <c r="AF453" s="171"/>
      <c r="AG453" s="171" t="s">
        <v>4174</v>
      </c>
      <c r="AH453" s="171">
        <v>2023</v>
      </c>
      <c r="AI453" s="171" t="s">
        <v>4174</v>
      </c>
      <c r="AJ453" s="171" t="s">
        <v>7324</v>
      </c>
      <c r="AK453" s="171"/>
      <c r="AL453" s="171" t="s">
        <v>7324</v>
      </c>
      <c r="AM453" s="171" t="s">
        <v>7323</v>
      </c>
      <c r="AN453" s="171" t="s">
        <v>5032</v>
      </c>
      <c r="AO453" s="171"/>
      <c r="AP453" s="171"/>
      <c r="AQ453" s="171" t="s">
        <v>5032</v>
      </c>
      <c r="AR453" s="171"/>
      <c r="AS453" s="171"/>
      <c r="AT453" s="171"/>
      <c r="AU453" s="171"/>
      <c r="AV453" s="171"/>
      <c r="AW453" s="171"/>
      <c r="AX453" s="171"/>
      <c r="AY453" s="171"/>
      <c r="AZ453" s="171"/>
      <c r="BA453" s="171"/>
      <c r="BB453" s="171"/>
      <c r="BC453" s="171"/>
      <c r="BD453" s="171"/>
      <c r="BE453" s="171"/>
      <c r="BF453" s="225"/>
      <c r="BG453" s="171"/>
      <c r="BH453" s="171"/>
      <c r="BI453" s="171"/>
      <c r="BJ453" s="171"/>
      <c r="BK453" s="171"/>
      <c r="BL453" s="171">
        <v>1</v>
      </c>
      <c r="BM453" s="171">
        <v>1</v>
      </c>
      <c r="BN453" s="171"/>
      <c r="BO453" s="171"/>
      <c r="BP453" s="171"/>
      <c r="BQ453" s="171"/>
      <c r="BR453" s="171"/>
      <c r="BS453" s="171"/>
      <c r="BT453" s="171"/>
      <c r="BU453" s="171"/>
      <c r="BV453" s="171"/>
      <c r="BW453" s="171"/>
      <c r="BX453" s="171"/>
      <c r="BY453" s="171"/>
      <c r="BZ453" s="171">
        <v>1</v>
      </c>
      <c r="CA453" s="171"/>
      <c r="CB453" s="171">
        <v>1</v>
      </c>
      <c r="CC453" s="171">
        <v>1</v>
      </c>
      <c r="CD453" s="171"/>
      <c r="CE453" s="171">
        <v>1</v>
      </c>
      <c r="CF453" s="171"/>
      <c r="CG453" s="171"/>
      <c r="CH453" s="171">
        <v>1</v>
      </c>
      <c r="CI453" s="171"/>
      <c r="CJ453" s="171"/>
      <c r="CK453" s="171"/>
      <c r="CL453" s="171"/>
    </row>
    <row r="454" spans="1:91">
      <c r="A454" s="171">
        <v>365</v>
      </c>
      <c r="B454" s="171" t="s">
        <v>2193</v>
      </c>
      <c r="C454" s="171">
        <v>409</v>
      </c>
      <c r="D454" s="171" t="str">
        <f t="shared" si="49"/>
        <v>CN</v>
      </c>
      <c r="E454" s="171" t="s">
        <v>7223</v>
      </c>
      <c r="F454" s="174">
        <v>45512</v>
      </c>
      <c r="G454" s="171" t="s">
        <v>7223</v>
      </c>
      <c r="H454" s="173">
        <v>2991</v>
      </c>
      <c r="I454" s="171"/>
      <c r="J454" s="171" t="s">
        <v>4465</v>
      </c>
      <c r="K454" s="171" t="s">
        <v>4457</v>
      </c>
      <c r="L454" s="171" t="s">
        <v>2029</v>
      </c>
      <c r="M454" s="171" t="s">
        <v>5032</v>
      </c>
      <c r="N454" s="171"/>
      <c r="O454" s="171"/>
      <c r="P454" s="171" t="s">
        <v>5032</v>
      </c>
      <c r="Q454" s="171"/>
      <c r="R454" s="171"/>
      <c r="S454" s="171"/>
      <c r="T454" s="171"/>
      <c r="U454" s="171"/>
      <c r="V454" s="175"/>
      <c r="W454" s="171"/>
      <c r="X454" s="171" t="s">
        <v>1957</v>
      </c>
      <c r="Y454" s="171" t="s">
        <v>7322</v>
      </c>
      <c r="Z454" s="171" t="s">
        <v>3283</v>
      </c>
      <c r="AA454" s="171" t="s">
        <v>1957</v>
      </c>
      <c r="AB454" s="171">
        <v>2030</v>
      </c>
      <c r="AC454" s="171">
        <v>2021</v>
      </c>
      <c r="AD454" s="171"/>
      <c r="AE454" s="171"/>
      <c r="AF454" s="171"/>
      <c r="AG454" s="171" t="s">
        <v>4174</v>
      </c>
      <c r="AH454" s="171">
        <v>2023</v>
      </c>
      <c r="AI454" s="171" t="s">
        <v>4174</v>
      </c>
      <c r="AJ454" s="176" t="s">
        <v>7321</v>
      </c>
      <c r="AK454" s="171"/>
      <c r="AL454" s="176" t="s">
        <v>7321</v>
      </c>
      <c r="AM454" s="171"/>
      <c r="AN454" s="171" t="s">
        <v>5032</v>
      </c>
      <c r="AO454" s="171"/>
      <c r="AP454" s="171"/>
      <c r="AQ454" s="171" t="s">
        <v>5032</v>
      </c>
      <c r="AR454" s="171"/>
      <c r="AS454" s="171"/>
      <c r="AT454" s="171"/>
      <c r="AU454" s="171"/>
      <c r="AV454" s="171"/>
      <c r="AW454" s="171"/>
      <c r="AX454" s="171"/>
      <c r="AY454" s="171"/>
      <c r="AZ454" s="171"/>
      <c r="BA454" s="171"/>
      <c r="BB454" s="171"/>
      <c r="BC454" s="171"/>
      <c r="BD454" s="171"/>
      <c r="BE454" s="171"/>
      <c r="BF454" s="225"/>
      <c r="BG454" s="171"/>
      <c r="BH454" s="171"/>
      <c r="BI454" s="171"/>
      <c r="BJ454" s="171"/>
      <c r="BK454" s="171">
        <v>1</v>
      </c>
      <c r="BL454" s="171"/>
      <c r="BM454" s="171">
        <v>1</v>
      </c>
      <c r="BN454" s="171"/>
      <c r="BO454" s="171"/>
      <c r="BP454" s="171"/>
      <c r="BQ454" s="171"/>
      <c r="BR454" s="171"/>
      <c r="BS454" s="171"/>
      <c r="BT454" s="171"/>
      <c r="BU454" s="171"/>
      <c r="BV454" s="171"/>
      <c r="BW454" s="171"/>
      <c r="BX454" s="171"/>
      <c r="BY454" s="171"/>
      <c r="BZ454" s="171">
        <v>1</v>
      </c>
      <c r="CA454" s="171">
        <v>1</v>
      </c>
      <c r="CB454" s="171">
        <v>1</v>
      </c>
      <c r="CC454" s="171">
        <v>1</v>
      </c>
      <c r="CD454" s="171"/>
      <c r="CE454" s="171">
        <v>1</v>
      </c>
      <c r="CF454" s="171"/>
      <c r="CG454" s="171">
        <v>1</v>
      </c>
      <c r="CH454" s="171">
        <v>1</v>
      </c>
      <c r="CI454" s="171"/>
      <c r="CJ454" s="171"/>
      <c r="CK454" s="171"/>
      <c r="CL454" s="171"/>
    </row>
    <row r="455" spans="1:91">
      <c r="A455" s="171">
        <v>477</v>
      </c>
      <c r="B455" s="171" t="s">
        <v>4209</v>
      </c>
      <c r="C455" s="171"/>
      <c r="D455" s="171" t="str">
        <f t="shared" si="49"/>
        <v xml:space="preserve"> NZ</v>
      </c>
      <c r="E455" s="171" t="s">
        <v>7259</v>
      </c>
      <c r="F455" s="174">
        <v>45511</v>
      </c>
      <c r="G455" s="171"/>
      <c r="H455" s="173">
        <v>-1091</v>
      </c>
      <c r="I455" s="171"/>
      <c r="J455" s="171" t="s">
        <v>4465</v>
      </c>
      <c r="K455" s="171" t="s">
        <v>4457</v>
      </c>
      <c r="L455" s="171" t="s">
        <v>2029</v>
      </c>
      <c r="M455" s="171" t="s">
        <v>5032</v>
      </c>
      <c r="N455" s="171"/>
      <c r="O455" s="171"/>
      <c r="P455" s="171" t="s">
        <v>5032</v>
      </c>
      <c r="Q455" s="171"/>
      <c r="R455" s="171"/>
      <c r="S455" s="171"/>
      <c r="T455" s="171"/>
      <c r="U455" s="171"/>
      <c r="V455" s="175"/>
      <c r="W455" s="171"/>
      <c r="X455" s="171" t="s">
        <v>5032</v>
      </c>
      <c r="Y455" s="171"/>
      <c r="Z455" s="171"/>
      <c r="AA455" s="171" t="s">
        <v>5032</v>
      </c>
      <c r="AB455" s="171"/>
      <c r="AC455" s="171"/>
      <c r="AD455" s="171"/>
      <c r="AE455" s="171"/>
      <c r="AF455" s="171"/>
      <c r="AG455" s="171"/>
      <c r="AH455" s="171"/>
      <c r="AI455" s="171"/>
      <c r="AJ455" s="171"/>
      <c r="AK455" s="171"/>
      <c r="AL455" s="171"/>
      <c r="AM455" s="171"/>
      <c r="AN455" s="171" t="s">
        <v>4172</v>
      </c>
      <c r="AO455" s="171" t="s">
        <v>2760</v>
      </c>
      <c r="AP455" s="171" t="s">
        <v>2072</v>
      </c>
      <c r="AQ455" s="171" t="s">
        <v>4172</v>
      </c>
      <c r="AR455" s="171">
        <v>2050</v>
      </c>
      <c r="AS455" s="171">
        <v>2022</v>
      </c>
      <c r="AT455" s="171"/>
      <c r="AU455" s="171"/>
      <c r="AV455" s="171"/>
      <c r="AW455" s="171" t="s">
        <v>7320</v>
      </c>
      <c r="AX455" s="171" t="s">
        <v>7319</v>
      </c>
      <c r="AY455" s="171"/>
      <c r="AZ455" s="171"/>
      <c r="BA455" s="171"/>
      <c r="BB455" s="171"/>
      <c r="BC455" s="171"/>
      <c r="BD455" s="171"/>
      <c r="BE455" s="171"/>
      <c r="BF455" s="225"/>
      <c r="BG455" s="171"/>
      <c r="BH455" s="171"/>
      <c r="BI455" s="171"/>
      <c r="BJ455" s="171"/>
      <c r="BK455" s="171"/>
      <c r="BL455" s="171"/>
      <c r="BM455" s="171"/>
      <c r="BN455" s="171"/>
      <c r="BO455" s="171"/>
      <c r="BP455" s="171">
        <v>1</v>
      </c>
      <c r="BQ455" s="171">
        <v>1</v>
      </c>
      <c r="BR455" s="171"/>
      <c r="BS455" s="171"/>
      <c r="BT455" s="171"/>
      <c r="BU455" s="171"/>
      <c r="BV455" s="171"/>
      <c r="BW455" s="171"/>
      <c r="BX455" s="171"/>
      <c r="BY455" s="171"/>
      <c r="BZ455" s="171">
        <v>1</v>
      </c>
      <c r="CA455" s="171"/>
      <c r="CB455" s="171">
        <v>1</v>
      </c>
      <c r="CC455" s="171"/>
      <c r="CD455" s="171"/>
      <c r="CE455" s="171">
        <v>1</v>
      </c>
      <c r="CF455" s="171"/>
      <c r="CG455" s="171"/>
      <c r="CH455" s="171">
        <v>1</v>
      </c>
      <c r="CI455" s="171"/>
      <c r="CJ455" s="171"/>
      <c r="CK455" s="171">
        <v>1</v>
      </c>
      <c r="CL455" s="171">
        <v>1</v>
      </c>
      <c r="CM455">
        <f t="shared" si="50"/>
        <v>2050</v>
      </c>
    </row>
    <row r="456" spans="1:91">
      <c r="A456" s="171">
        <v>265</v>
      </c>
      <c r="B456" s="171" t="s">
        <v>632</v>
      </c>
      <c r="C456" s="171">
        <v>257</v>
      </c>
      <c r="D456" s="171" t="str">
        <f t="shared" si="49"/>
        <v/>
      </c>
      <c r="E456" s="171" t="s">
        <v>7223</v>
      </c>
      <c r="F456" s="174">
        <v>45477</v>
      </c>
      <c r="G456" s="171" t="s">
        <v>7223</v>
      </c>
      <c r="H456" s="173">
        <v>1554.2</v>
      </c>
      <c r="I456" s="171"/>
      <c r="J456" s="171" t="s">
        <v>4494</v>
      </c>
      <c r="K456" s="171" t="s">
        <v>73</v>
      </c>
      <c r="L456" s="171" t="s">
        <v>1994</v>
      </c>
      <c r="M456" s="171" t="s">
        <v>5032</v>
      </c>
      <c r="N456" s="171"/>
      <c r="O456" s="171"/>
      <c r="P456" s="171" t="s">
        <v>5032</v>
      </c>
      <c r="Q456" s="171"/>
      <c r="R456" s="171"/>
      <c r="S456" s="171"/>
      <c r="T456" s="171"/>
      <c r="U456" s="171"/>
      <c r="V456" s="175"/>
      <c r="W456" s="171"/>
      <c r="X456" s="171" t="s">
        <v>5032</v>
      </c>
      <c r="Y456" s="171"/>
      <c r="Z456" s="171"/>
      <c r="AA456" s="171" t="s">
        <v>5032</v>
      </c>
      <c r="AB456" s="171"/>
      <c r="AC456" s="171"/>
      <c r="AD456" s="171"/>
      <c r="AE456" s="171"/>
      <c r="AF456" s="171"/>
      <c r="AG456" s="171"/>
      <c r="AH456" s="171"/>
      <c r="AI456" s="171"/>
      <c r="AJ456" s="171"/>
      <c r="AK456" s="171"/>
      <c r="AL456" s="171"/>
      <c r="AM456" s="171"/>
      <c r="AN456" s="171" t="s">
        <v>5032</v>
      </c>
      <c r="AO456" s="171"/>
      <c r="AP456" s="171"/>
      <c r="AQ456" s="171" t="s">
        <v>5032</v>
      </c>
      <c r="AR456" s="171"/>
      <c r="AS456" s="171"/>
      <c r="AT456" s="171"/>
      <c r="AU456" s="171"/>
      <c r="AV456" s="171"/>
      <c r="AW456" s="171"/>
      <c r="AX456" s="171"/>
      <c r="AY456" s="171"/>
      <c r="AZ456" s="171"/>
      <c r="BA456" s="171"/>
      <c r="BB456" s="171"/>
      <c r="BC456" s="171" t="s">
        <v>7318</v>
      </c>
      <c r="BD456" s="171"/>
      <c r="BE456" s="171"/>
      <c r="BF456" s="225"/>
      <c r="BG456" s="171"/>
      <c r="BH456" s="171"/>
      <c r="BI456" s="171"/>
      <c r="BJ456" s="171"/>
      <c r="BK456" s="171"/>
      <c r="BL456" s="171"/>
      <c r="BM456" s="171"/>
      <c r="BN456" s="171"/>
      <c r="BO456" s="171"/>
      <c r="BP456" s="171"/>
      <c r="BQ456" s="171"/>
      <c r="BR456" s="171"/>
      <c r="BS456" s="171"/>
      <c r="BT456" s="171"/>
      <c r="BU456" s="171"/>
      <c r="BV456" s="171"/>
      <c r="BW456" s="171"/>
      <c r="BX456" s="171"/>
      <c r="BY456" s="171"/>
      <c r="BZ456" s="171"/>
      <c r="CA456" s="171"/>
      <c r="CB456" s="171"/>
      <c r="CC456" s="171"/>
      <c r="CD456" s="171"/>
      <c r="CE456" s="171"/>
      <c r="CF456" s="171"/>
      <c r="CG456" s="171"/>
      <c r="CH456" s="171"/>
      <c r="CI456" s="171"/>
      <c r="CJ456" s="171"/>
      <c r="CK456" s="171"/>
      <c r="CL456" s="171"/>
    </row>
    <row r="457" spans="1:91">
      <c r="A457" s="171">
        <v>276</v>
      </c>
      <c r="B457" s="171" t="s">
        <v>805</v>
      </c>
      <c r="C457" s="171">
        <v>266</v>
      </c>
      <c r="D457" s="171" t="str">
        <f t="shared" si="49"/>
        <v xml:space="preserve"> NZ SBT</v>
      </c>
      <c r="E457" s="171" t="s">
        <v>7228</v>
      </c>
      <c r="F457" s="174">
        <v>45477</v>
      </c>
      <c r="G457" s="171" t="s">
        <v>7223</v>
      </c>
      <c r="H457" s="173">
        <v>-648</v>
      </c>
      <c r="I457" s="171"/>
      <c r="J457" s="171" t="s">
        <v>4455</v>
      </c>
      <c r="K457" s="171" t="s">
        <v>4457</v>
      </c>
      <c r="L457" s="171" t="s">
        <v>2029</v>
      </c>
      <c r="M457" s="171" t="s">
        <v>5032</v>
      </c>
      <c r="N457" s="171"/>
      <c r="O457" s="171"/>
      <c r="P457" s="171" t="s">
        <v>4174</v>
      </c>
      <c r="Q457" s="171" t="s">
        <v>22</v>
      </c>
      <c r="R457" s="171" t="s">
        <v>7317</v>
      </c>
      <c r="S457" s="171">
        <v>2030</v>
      </c>
      <c r="T457" s="171" t="s">
        <v>1</v>
      </c>
      <c r="U457" s="171"/>
      <c r="V457" s="172">
        <v>43344</v>
      </c>
      <c r="W457" s="171">
        <v>2018</v>
      </c>
      <c r="X457" s="171" t="s">
        <v>5032</v>
      </c>
      <c r="Y457" s="171"/>
      <c r="Z457" s="171"/>
      <c r="AA457" s="171" t="s">
        <v>5032</v>
      </c>
      <c r="AB457" s="171"/>
      <c r="AC457" s="171"/>
      <c r="AD457" s="171"/>
      <c r="AE457" s="171"/>
      <c r="AF457" s="171"/>
      <c r="AG457" s="171"/>
      <c r="AH457" s="171"/>
      <c r="AI457" s="171"/>
      <c r="AJ457" s="171"/>
      <c r="AK457" s="171"/>
      <c r="AL457" s="171"/>
      <c r="AM457" s="171"/>
      <c r="AN457" s="171" t="s">
        <v>4172</v>
      </c>
      <c r="AO457" s="171" t="s">
        <v>1970</v>
      </c>
      <c r="AP457" s="171" t="s">
        <v>7316</v>
      </c>
      <c r="AQ457" s="171" t="s">
        <v>4172</v>
      </c>
      <c r="AR457" s="171">
        <v>2050</v>
      </c>
      <c r="AS457" s="171">
        <v>2021</v>
      </c>
      <c r="AT457" s="171"/>
      <c r="AU457" s="171"/>
      <c r="AV457" s="171"/>
      <c r="AW457" s="171" t="s">
        <v>2082</v>
      </c>
      <c r="AX457" s="171" t="s">
        <v>7315</v>
      </c>
      <c r="AY457" s="171"/>
      <c r="AZ457" s="171"/>
      <c r="BA457" s="171"/>
      <c r="BB457" s="171"/>
      <c r="BC457" s="171" t="s">
        <v>7314</v>
      </c>
      <c r="BD457" s="171"/>
      <c r="BE457" s="171"/>
      <c r="BF457" s="225"/>
      <c r="BG457" s="171"/>
      <c r="BH457" s="171"/>
      <c r="BI457" s="171" t="s">
        <v>7313</v>
      </c>
      <c r="BJ457" s="171"/>
      <c r="BK457" s="171"/>
      <c r="BL457" s="171"/>
      <c r="BM457" s="171"/>
      <c r="BN457" s="171"/>
      <c r="BO457" s="171"/>
      <c r="BP457" s="171">
        <v>1</v>
      </c>
      <c r="BQ457" s="171">
        <v>1</v>
      </c>
      <c r="BR457" s="171"/>
      <c r="BS457" s="171">
        <v>1</v>
      </c>
      <c r="BT457" s="171"/>
      <c r="BU457" s="171">
        <v>1</v>
      </c>
      <c r="BV457" s="171"/>
      <c r="BW457" s="171"/>
      <c r="BX457" s="171"/>
      <c r="BY457" s="171"/>
      <c r="BZ457" s="171">
        <v>1</v>
      </c>
      <c r="CA457" s="171"/>
      <c r="CB457" s="171">
        <v>1</v>
      </c>
      <c r="CC457" s="171"/>
      <c r="CD457" s="171"/>
      <c r="CE457" s="171">
        <v>1</v>
      </c>
      <c r="CF457" s="171"/>
      <c r="CG457" s="171">
        <v>1</v>
      </c>
      <c r="CH457" s="171">
        <v>1</v>
      </c>
      <c r="CI457" s="171"/>
      <c r="CJ457" s="171"/>
      <c r="CK457" s="171">
        <v>1</v>
      </c>
      <c r="CL457" s="171">
        <v>1</v>
      </c>
      <c r="CM457">
        <f t="shared" si="50"/>
        <v>2050</v>
      </c>
    </row>
    <row r="458" spans="1:91">
      <c r="A458" s="171">
        <v>373</v>
      </c>
      <c r="B458" s="171" t="s">
        <v>131</v>
      </c>
      <c r="C458" s="171"/>
      <c r="D458" s="171" t="str">
        <f t="shared" si="49"/>
        <v xml:space="preserve"> NZ</v>
      </c>
      <c r="E458" s="171" t="s">
        <v>7259</v>
      </c>
      <c r="F458" s="174">
        <v>45511</v>
      </c>
      <c r="G458" s="171"/>
      <c r="H458" s="173">
        <v>5429</v>
      </c>
      <c r="I458" s="171"/>
      <c r="J458" s="171" t="s">
        <v>4465</v>
      </c>
      <c r="K458" s="171" t="s">
        <v>4457</v>
      </c>
      <c r="L458" s="171" t="s">
        <v>2029</v>
      </c>
      <c r="M458" s="171" t="s">
        <v>5032</v>
      </c>
      <c r="N458" s="171"/>
      <c r="O458" s="171"/>
      <c r="P458" s="171" t="s">
        <v>5032</v>
      </c>
      <c r="Q458" s="171"/>
      <c r="R458" s="171"/>
      <c r="S458" s="171"/>
      <c r="T458" s="171"/>
      <c r="U458" s="171"/>
      <c r="V458" s="175"/>
      <c r="W458" s="171"/>
      <c r="X458" s="171" t="s">
        <v>5032</v>
      </c>
      <c r="Y458" s="171"/>
      <c r="Z458" s="171"/>
      <c r="AA458" s="171" t="s">
        <v>5032</v>
      </c>
      <c r="AB458" s="171"/>
      <c r="AC458" s="171"/>
      <c r="AD458" s="171"/>
      <c r="AE458" s="171"/>
      <c r="AF458" s="171"/>
      <c r="AG458" s="171"/>
      <c r="AH458" s="171"/>
      <c r="AI458" s="171"/>
      <c r="AJ458" s="171"/>
      <c r="AK458" s="171"/>
      <c r="AL458" s="171"/>
      <c r="AM458" s="171"/>
      <c r="AN458" s="171" t="s">
        <v>1957</v>
      </c>
      <c r="AO458" s="171" t="s">
        <v>7312</v>
      </c>
      <c r="AP458" s="171" t="s">
        <v>2072</v>
      </c>
      <c r="AQ458" s="171" t="s">
        <v>1957</v>
      </c>
      <c r="AR458" s="171">
        <v>2050</v>
      </c>
      <c r="AS458" s="171">
        <v>2021</v>
      </c>
      <c r="AT458" s="171"/>
      <c r="AU458" s="171"/>
      <c r="AV458" s="171"/>
      <c r="AW458" s="171" t="s">
        <v>4174</v>
      </c>
      <c r="AX458" s="171" t="s">
        <v>7311</v>
      </c>
      <c r="AY458" s="171"/>
      <c r="AZ458" s="171"/>
      <c r="BA458" s="171"/>
      <c r="BB458" s="171"/>
      <c r="BC458" s="171"/>
      <c r="BD458" s="171"/>
      <c r="BE458" s="171"/>
      <c r="BF458" s="225"/>
      <c r="BG458" s="171"/>
      <c r="BH458" s="171"/>
      <c r="BI458" s="171"/>
      <c r="BJ458" s="171"/>
      <c r="BK458" s="171"/>
      <c r="BL458" s="171"/>
      <c r="BM458" s="171"/>
      <c r="BN458" s="171"/>
      <c r="BO458" s="171"/>
      <c r="BP458" s="171">
        <v>1</v>
      </c>
      <c r="BQ458" s="171">
        <v>1</v>
      </c>
      <c r="BR458" s="171"/>
      <c r="BS458" s="171"/>
      <c r="BT458" s="171"/>
      <c r="BU458" s="171"/>
      <c r="BV458" s="171"/>
      <c r="BW458" s="171"/>
      <c r="BX458" s="171"/>
      <c r="BY458" s="171"/>
      <c r="BZ458" s="171">
        <v>1</v>
      </c>
      <c r="CA458" s="171"/>
      <c r="CB458" s="171">
        <v>1</v>
      </c>
      <c r="CC458" s="171">
        <v>1</v>
      </c>
      <c r="CD458" s="171"/>
      <c r="CE458" s="171">
        <v>1</v>
      </c>
      <c r="CF458" s="171"/>
      <c r="CG458" s="171"/>
      <c r="CH458" s="171">
        <v>1</v>
      </c>
      <c r="CI458" s="171"/>
      <c r="CJ458" s="171"/>
      <c r="CK458" s="171"/>
      <c r="CL458" s="171"/>
      <c r="CM458">
        <f t="shared" si="50"/>
        <v>2050</v>
      </c>
    </row>
    <row r="459" spans="1:91">
      <c r="A459" s="171">
        <v>156</v>
      </c>
      <c r="B459" s="171" t="s">
        <v>1375</v>
      </c>
      <c r="C459" s="171">
        <v>159</v>
      </c>
      <c r="D459" s="171" t="str">
        <f t="shared" si="49"/>
        <v/>
      </c>
      <c r="E459" s="171" t="s">
        <v>7220</v>
      </c>
      <c r="F459" s="174">
        <v>45476</v>
      </c>
      <c r="G459" s="171" t="s">
        <v>7223</v>
      </c>
      <c r="H459" s="173">
        <v>-6478</v>
      </c>
      <c r="I459" s="171"/>
      <c r="J459" s="171" t="s">
        <v>4179</v>
      </c>
      <c r="K459" s="171" t="s">
        <v>4457</v>
      </c>
      <c r="L459" s="171" t="s">
        <v>2029</v>
      </c>
      <c r="M459" s="171" t="s">
        <v>5032</v>
      </c>
      <c r="N459" s="171"/>
      <c r="O459" s="171"/>
      <c r="P459" s="171" t="s">
        <v>5032</v>
      </c>
      <c r="Q459" s="171"/>
      <c r="R459" s="171"/>
      <c r="S459" s="171"/>
      <c r="T459" s="171"/>
      <c r="U459" s="171"/>
      <c r="V459" s="175"/>
      <c r="W459" s="171"/>
      <c r="X459" s="171" t="s">
        <v>5032</v>
      </c>
      <c r="Y459" s="171"/>
      <c r="Z459" s="171"/>
      <c r="AA459" s="171" t="s">
        <v>5032</v>
      </c>
      <c r="AB459" s="171"/>
      <c r="AC459" s="171"/>
      <c r="AD459" s="171"/>
      <c r="AE459" s="171"/>
      <c r="AF459" s="171"/>
      <c r="AG459" s="171"/>
      <c r="AH459" s="171"/>
      <c r="AI459" s="171"/>
      <c r="AJ459" s="171"/>
      <c r="AK459" s="171"/>
      <c r="AL459" s="171"/>
      <c r="AM459" s="171"/>
      <c r="AN459" s="171" t="s">
        <v>5032</v>
      </c>
      <c r="AO459" s="171"/>
      <c r="AP459" s="171"/>
      <c r="AQ459" s="171" t="s">
        <v>5032</v>
      </c>
      <c r="AR459" s="171"/>
      <c r="AS459" s="171"/>
      <c r="AT459" s="171"/>
      <c r="AU459" s="171"/>
      <c r="AV459" s="171"/>
      <c r="AW459" s="171"/>
      <c r="AX459" s="171" t="s">
        <v>7310</v>
      </c>
      <c r="AY459" s="171"/>
      <c r="AZ459" s="171"/>
      <c r="BA459" s="171"/>
      <c r="BB459" s="171"/>
      <c r="BC459" s="171" t="s">
        <v>7309</v>
      </c>
      <c r="BD459" s="171"/>
      <c r="BE459" s="171"/>
      <c r="BF459" s="225"/>
      <c r="BG459" s="171"/>
      <c r="BH459" s="171"/>
      <c r="BI459" s="171"/>
      <c r="BJ459" s="171"/>
      <c r="BK459" s="171"/>
      <c r="BL459" s="171"/>
      <c r="BM459" s="171"/>
      <c r="BN459" s="171"/>
      <c r="BO459" s="171"/>
      <c r="BP459" s="171"/>
      <c r="BQ459" s="171"/>
      <c r="BR459" s="171"/>
      <c r="BS459" s="171"/>
      <c r="BT459" s="171"/>
      <c r="BU459" s="171"/>
      <c r="BV459" s="171"/>
      <c r="BW459" s="171"/>
      <c r="BX459" s="171"/>
      <c r="BY459" s="171"/>
      <c r="BZ459" s="171"/>
      <c r="CA459" s="171"/>
      <c r="CB459" s="171"/>
      <c r="CC459" s="171"/>
      <c r="CD459" s="171"/>
      <c r="CE459" s="171"/>
      <c r="CF459" s="171"/>
      <c r="CG459" s="171"/>
      <c r="CH459" s="171"/>
      <c r="CI459" s="171"/>
      <c r="CJ459" s="171"/>
      <c r="CK459" s="171"/>
      <c r="CL459" s="171"/>
    </row>
    <row r="460" spans="1:91">
      <c r="A460" s="171">
        <v>403</v>
      </c>
      <c r="B460" s="171" t="s">
        <v>5139</v>
      </c>
      <c r="C460" s="171">
        <v>477</v>
      </c>
      <c r="D460" s="171" t="str">
        <f t="shared" si="49"/>
        <v xml:space="preserve"> NZ SBT</v>
      </c>
      <c r="E460" s="171" t="s">
        <v>7223</v>
      </c>
      <c r="F460" s="174">
        <v>45511</v>
      </c>
      <c r="G460" s="171" t="s">
        <v>7223</v>
      </c>
      <c r="H460" s="173">
        <v>1887</v>
      </c>
      <c r="I460" s="171"/>
      <c r="J460" s="171" t="s">
        <v>186</v>
      </c>
      <c r="K460" s="171" t="s">
        <v>4457</v>
      </c>
      <c r="L460" s="171" t="s">
        <v>2029</v>
      </c>
      <c r="M460" s="171" t="s">
        <v>5032</v>
      </c>
      <c r="N460" s="171"/>
      <c r="O460" s="171"/>
      <c r="P460" s="171" t="s">
        <v>4174</v>
      </c>
      <c r="Q460" s="171" t="s">
        <v>22</v>
      </c>
      <c r="R460" s="171" t="s">
        <v>7233</v>
      </c>
      <c r="S460" s="171">
        <v>2030</v>
      </c>
      <c r="T460" s="171" t="s">
        <v>361</v>
      </c>
      <c r="U460" s="171">
        <v>2040</v>
      </c>
      <c r="V460" s="172">
        <v>45017</v>
      </c>
      <c r="W460" s="171">
        <v>2023</v>
      </c>
      <c r="X460" s="171" t="s">
        <v>5032</v>
      </c>
      <c r="Y460" s="171"/>
      <c r="Z460" s="171"/>
      <c r="AA460" s="171" t="s">
        <v>5032</v>
      </c>
      <c r="AB460" s="171"/>
      <c r="AC460" s="171"/>
      <c r="AD460" s="171"/>
      <c r="AE460" s="171"/>
      <c r="AF460" s="171"/>
      <c r="AG460" s="171"/>
      <c r="AH460" s="171"/>
      <c r="AI460" s="171"/>
      <c r="AJ460" s="171"/>
      <c r="AK460" s="171"/>
      <c r="AL460" s="171"/>
      <c r="AM460" s="171"/>
      <c r="AN460" s="171" t="s">
        <v>7227</v>
      </c>
      <c r="AO460" s="171" t="s">
        <v>7270</v>
      </c>
      <c r="AP460" s="171" t="s">
        <v>2072</v>
      </c>
      <c r="AQ460" s="171" t="s">
        <v>1957</v>
      </c>
      <c r="AR460" s="171">
        <v>2030</v>
      </c>
      <c r="AS460" s="171">
        <v>2020</v>
      </c>
      <c r="AT460" s="171" t="s">
        <v>4172</v>
      </c>
      <c r="AU460" s="171">
        <v>2040</v>
      </c>
      <c r="AV460" s="171">
        <v>2020</v>
      </c>
      <c r="AW460" s="171" t="s">
        <v>2082</v>
      </c>
      <c r="AX460" s="176" t="s">
        <v>7308</v>
      </c>
      <c r="AY460" s="171">
        <v>2024</v>
      </c>
      <c r="AZ460" s="171" t="s">
        <v>4174</v>
      </c>
      <c r="BA460" s="176" t="s">
        <v>7308</v>
      </c>
      <c r="BB460" s="171"/>
      <c r="BC460" s="171"/>
      <c r="BD460" s="171"/>
      <c r="BE460" s="171"/>
      <c r="BF460" s="225"/>
      <c r="BG460" s="171"/>
      <c r="BH460" s="171"/>
      <c r="BI460" s="171"/>
      <c r="BJ460" s="171"/>
      <c r="BK460" s="171"/>
      <c r="BL460" s="171"/>
      <c r="BM460" s="171"/>
      <c r="BN460" s="171"/>
      <c r="BO460" s="171">
        <v>1</v>
      </c>
      <c r="BP460" s="171"/>
      <c r="BQ460" s="171">
        <v>1</v>
      </c>
      <c r="BR460" s="171"/>
      <c r="BS460" s="171">
        <v>1</v>
      </c>
      <c r="BT460" s="171"/>
      <c r="BU460" s="171">
        <v>1</v>
      </c>
      <c r="BV460" s="171"/>
      <c r="BW460" s="171"/>
      <c r="BX460" s="171"/>
      <c r="BY460" s="171"/>
      <c r="BZ460" s="171">
        <v>1</v>
      </c>
      <c r="CA460" s="171">
        <v>1</v>
      </c>
      <c r="CB460" s="171">
        <v>1</v>
      </c>
      <c r="CC460" s="171"/>
      <c r="CD460" s="171"/>
      <c r="CE460" s="171">
        <v>1</v>
      </c>
      <c r="CF460" s="171"/>
      <c r="CG460" s="171">
        <v>1</v>
      </c>
      <c r="CH460" s="171">
        <v>1</v>
      </c>
      <c r="CI460" s="171"/>
      <c r="CJ460" s="171"/>
      <c r="CK460" s="171">
        <v>1</v>
      </c>
      <c r="CL460" s="171">
        <v>1</v>
      </c>
      <c r="CM460">
        <f t="shared" si="50"/>
        <v>2040</v>
      </c>
    </row>
    <row r="461" spans="1:91">
      <c r="A461" s="171">
        <v>182</v>
      </c>
      <c r="B461" s="171" t="s">
        <v>919</v>
      </c>
      <c r="C461" s="171">
        <v>347</v>
      </c>
      <c r="D461" s="171" t="str">
        <f t="shared" si="49"/>
        <v xml:space="preserve"> NZ RE100</v>
      </c>
      <c r="E461" s="171" t="s">
        <v>7228</v>
      </c>
      <c r="F461" s="174">
        <v>45482</v>
      </c>
      <c r="G461" s="171" t="s">
        <v>7220</v>
      </c>
      <c r="H461" s="173">
        <v>27849</v>
      </c>
      <c r="I461" s="171"/>
      <c r="J461" s="171" t="s">
        <v>4465</v>
      </c>
      <c r="K461" s="171" t="s">
        <v>287</v>
      </c>
      <c r="L461" s="171" t="s">
        <v>1951</v>
      </c>
      <c r="M461" s="171" t="s">
        <v>4174</v>
      </c>
      <c r="N461" s="171">
        <v>2015</v>
      </c>
      <c r="O461" s="171">
        <v>2025</v>
      </c>
      <c r="P461" s="171" t="s">
        <v>5032</v>
      </c>
      <c r="Q461" s="171"/>
      <c r="R461" s="171"/>
      <c r="S461" s="171"/>
      <c r="T461" s="171"/>
      <c r="U461" s="171"/>
      <c r="V461" s="175"/>
      <c r="W461" s="171"/>
      <c r="X461" s="171" t="s">
        <v>5032</v>
      </c>
      <c r="Y461" s="171"/>
      <c r="Z461" s="171"/>
      <c r="AA461" s="171" t="s">
        <v>5032</v>
      </c>
      <c r="AB461" s="171"/>
      <c r="AC461" s="171"/>
      <c r="AD461" s="171"/>
      <c r="AE461" s="171"/>
      <c r="AF461" s="171"/>
      <c r="AG461" s="171"/>
      <c r="AH461" s="171"/>
      <c r="AI461" s="171"/>
      <c r="AJ461" s="171"/>
      <c r="AK461" s="171"/>
      <c r="AL461" s="171"/>
      <c r="AM461" s="171"/>
      <c r="AN461" s="171" t="s">
        <v>1957</v>
      </c>
      <c r="AO461" s="171" t="s">
        <v>7307</v>
      </c>
      <c r="AP461" s="171" t="s">
        <v>2072</v>
      </c>
      <c r="AQ461" s="171" t="s">
        <v>1957</v>
      </c>
      <c r="AR461" s="171">
        <v>2050</v>
      </c>
      <c r="AS461" s="171">
        <v>2022</v>
      </c>
      <c r="AT461" s="171"/>
      <c r="AU461" s="171"/>
      <c r="AV461" s="171"/>
      <c r="AW461" s="171" t="s">
        <v>4174</v>
      </c>
      <c r="AX461" s="171" t="s">
        <v>7306</v>
      </c>
      <c r="AY461" s="171"/>
      <c r="AZ461" s="171"/>
      <c r="BA461" s="171"/>
      <c r="BB461" s="171"/>
      <c r="BC461" s="171" t="s">
        <v>7305</v>
      </c>
      <c r="BD461" s="171"/>
      <c r="BE461" s="171"/>
      <c r="BF461" s="225"/>
      <c r="BG461" s="171"/>
      <c r="BH461" s="171"/>
      <c r="BI461" s="171"/>
      <c r="BJ461" s="171"/>
      <c r="BK461" s="171"/>
      <c r="BL461" s="171"/>
      <c r="BM461" s="171"/>
      <c r="BN461" s="171"/>
      <c r="BO461" s="171"/>
      <c r="BP461" s="171">
        <v>1</v>
      </c>
      <c r="BQ461" s="171">
        <v>1</v>
      </c>
      <c r="BR461" s="171"/>
      <c r="BS461" s="171"/>
      <c r="BT461" s="171"/>
      <c r="BU461" s="171"/>
      <c r="BV461" s="171"/>
      <c r="BW461" s="171">
        <v>1</v>
      </c>
      <c r="BX461" s="171"/>
      <c r="BY461" s="171">
        <v>1</v>
      </c>
      <c r="BZ461" s="171">
        <v>1</v>
      </c>
      <c r="CA461" s="171"/>
      <c r="CB461" s="171">
        <v>1</v>
      </c>
      <c r="CC461" s="171">
        <v>1</v>
      </c>
      <c r="CD461" s="171"/>
      <c r="CE461" s="171">
        <v>1</v>
      </c>
      <c r="CF461" s="171"/>
      <c r="CG461" s="171">
        <v>1</v>
      </c>
      <c r="CH461" s="171">
        <v>1</v>
      </c>
      <c r="CI461" s="171"/>
      <c r="CJ461" s="171"/>
      <c r="CK461" s="171"/>
      <c r="CL461" s="171"/>
      <c r="CM461">
        <f t="shared" si="50"/>
        <v>2050</v>
      </c>
    </row>
    <row r="462" spans="1:91">
      <c r="A462" s="171">
        <v>315</v>
      </c>
      <c r="B462" s="171" t="s">
        <v>373</v>
      </c>
      <c r="C462" s="171"/>
      <c r="D462" s="171" t="str">
        <f t="shared" si="49"/>
        <v xml:space="preserve"> NZ</v>
      </c>
      <c r="E462" s="171" t="s">
        <v>7259</v>
      </c>
      <c r="F462" s="174">
        <v>45511</v>
      </c>
      <c r="G462" s="171"/>
      <c r="H462" s="173">
        <v>10277.6</v>
      </c>
      <c r="I462" s="171"/>
      <c r="J462" s="171" t="s">
        <v>4465</v>
      </c>
      <c r="K462" s="171" t="s">
        <v>376</v>
      </c>
      <c r="L462" s="171" t="s">
        <v>1951</v>
      </c>
      <c r="M462" s="171" t="s">
        <v>5032</v>
      </c>
      <c r="N462" s="171"/>
      <c r="O462" s="171"/>
      <c r="P462" s="171" t="s">
        <v>5032</v>
      </c>
      <c r="Q462" s="171"/>
      <c r="R462" s="171"/>
      <c r="S462" s="171"/>
      <c r="T462" s="171"/>
      <c r="U462" s="171"/>
      <c r="V462" s="175"/>
      <c r="W462" s="171"/>
      <c r="X462" s="171" t="s">
        <v>5032</v>
      </c>
      <c r="Y462" s="171"/>
      <c r="Z462" s="171"/>
      <c r="AA462" s="171" t="s">
        <v>5032</v>
      </c>
      <c r="AB462" s="171"/>
      <c r="AC462" s="171"/>
      <c r="AD462" s="171"/>
      <c r="AE462" s="171"/>
      <c r="AF462" s="171"/>
      <c r="AG462" s="171"/>
      <c r="AH462" s="171"/>
      <c r="AI462" s="171"/>
      <c r="AJ462" s="171"/>
      <c r="AK462" s="171"/>
      <c r="AL462" s="171"/>
      <c r="AM462" s="171"/>
      <c r="AN462" s="171" t="s">
        <v>7218</v>
      </c>
      <c r="AO462" s="171" t="s">
        <v>4274</v>
      </c>
      <c r="AP462" s="171" t="s">
        <v>2072</v>
      </c>
      <c r="AQ462" s="171" t="s">
        <v>1957</v>
      </c>
      <c r="AR462" s="171">
        <v>2030</v>
      </c>
      <c r="AS462" s="171">
        <v>2021</v>
      </c>
      <c r="AT462" s="171" t="s">
        <v>5050</v>
      </c>
      <c r="AU462" s="171">
        <v>2050</v>
      </c>
      <c r="AV462" s="171">
        <v>2021</v>
      </c>
      <c r="AW462" s="171" t="s">
        <v>4174</v>
      </c>
      <c r="AX462" s="171" t="s">
        <v>7304</v>
      </c>
      <c r="AY462" s="171"/>
      <c r="AZ462" s="171"/>
      <c r="BA462" s="171"/>
      <c r="BB462" s="171"/>
      <c r="BC462" s="171"/>
      <c r="BD462" s="171"/>
      <c r="BE462" s="171"/>
      <c r="BF462" s="225"/>
      <c r="BG462" s="171"/>
      <c r="BH462" s="171"/>
      <c r="BI462" s="171"/>
      <c r="BJ462" s="171"/>
      <c r="BK462" s="171"/>
      <c r="BL462" s="171"/>
      <c r="BM462" s="171"/>
      <c r="BN462" s="171"/>
      <c r="BO462" s="171">
        <v>1</v>
      </c>
      <c r="BP462" s="171"/>
      <c r="BQ462" s="171">
        <v>1</v>
      </c>
      <c r="BR462" s="171"/>
      <c r="BS462" s="171"/>
      <c r="BT462" s="171"/>
      <c r="BU462" s="171"/>
      <c r="BV462" s="171"/>
      <c r="BW462" s="171"/>
      <c r="BX462" s="171"/>
      <c r="BY462" s="171"/>
      <c r="BZ462" s="171">
        <v>1</v>
      </c>
      <c r="CA462" s="171">
        <v>1</v>
      </c>
      <c r="CB462" s="171">
        <v>1</v>
      </c>
      <c r="CC462" s="171">
        <v>1</v>
      </c>
      <c r="CD462" s="171"/>
      <c r="CE462" s="171">
        <v>1</v>
      </c>
      <c r="CF462" s="171"/>
      <c r="CG462" s="171">
        <v>1</v>
      </c>
      <c r="CH462" s="171">
        <v>1</v>
      </c>
      <c r="CI462" s="171"/>
      <c r="CJ462" s="171"/>
      <c r="CK462" s="171">
        <v>1</v>
      </c>
      <c r="CL462" s="171">
        <v>1</v>
      </c>
      <c r="CM462">
        <f t="shared" si="50"/>
        <v>2030</v>
      </c>
    </row>
    <row r="463" spans="1:91">
      <c r="A463" s="171">
        <v>210</v>
      </c>
      <c r="B463" s="171" t="s">
        <v>1273</v>
      </c>
      <c r="C463" s="171">
        <v>210</v>
      </c>
      <c r="D463" s="171" t="str">
        <f t="shared" si="49"/>
        <v xml:space="preserve"> NZ SBT RE100</v>
      </c>
      <c r="E463" s="171" t="s">
        <v>7228</v>
      </c>
      <c r="F463" s="174">
        <v>45477</v>
      </c>
      <c r="G463" s="171" t="s">
        <v>7220</v>
      </c>
      <c r="H463" s="173">
        <v>7012.8</v>
      </c>
      <c r="I463" s="171"/>
      <c r="J463" s="171" t="s">
        <v>4643</v>
      </c>
      <c r="K463" s="171" t="s">
        <v>4195</v>
      </c>
      <c r="L463" s="171" t="s">
        <v>1951</v>
      </c>
      <c r="M463" s="171" t="s">
        <v>4174</v>
      </c>
      <c r="N463" s="171">
        <v>2015</v>
      </c>
      <c r="O463" s="171">
        <v>2030</v>
      </c>
      <c r="P463" s="171" t="s">
        <v>4174</v>
      </c>
      <c r="Q463" s="171" t="s">
        <v>22</v>
      </c>
      <c r="R463" s="171" t="s">
        <v>7233</v>
      </c>
      <c r="S463" s="171">
        <v>2030</v>
      </c>
      <c r="T463" s="171" t="s">
        <v>1</v>
      </c>
      <c r="U463" s="171"/>
      <c r="V463" s="172">
        <v>45383</v>
      </c>
      <c r="W463" s="171">
        <v>2024</v>
      </c>
      <c r="X463" s="171" t="s">
        <v>5032</v>
      </c>
      <c r="Y463" s="171"/>
      <c r="Z463" s="171"/>
      <c r="AA463" s="171" t="s">
        <v>5032</v>
      </c>
      <c r="AB463" s="171"/>
      <c r="AC463" s="171"/>
      <c r="AD463" s="171"/>
      <c r="AE463" s="171"/>
      <c r="AF463" s="171"/>
      <c r="AG463" s="171"/>
      <c r="AH463" s="171"/>
      <c r="AI463" s="171"/>
      <c r="AJ463" s="171"/>
      <c r="AK463" s="171"/>
      <c r="AL463" s="171"/>
      <c r="AM463" s="171"/>
      <c r="AN463" s="171" t="s">
        <v>4172</v>
      </c>
      <c r="AO463" s="171" t="s">
        <v>2760</v>
      </c>
      <c r="AP463" s="171" t="s">
        <v>7303</v>
      </c>
      <c r="AQ463" s="171" t="s">
        <v>4172</v>
      </c>
      <c r="AR463" s="171">
        <v>2039</v>
      </c>
      <c r="AS463" s="171">
        <v>2022</v>
      </c>
      <c r="AT463" s="171"/>
      <c r="AU463" s="171"/>
      <c r="AV463" s="171"/>
      <c r="AW463" s="171" t="s">
        <v>5032</v>
      </c>
      <c r="AX463" s="171" t="s">
        <v>7302</v>
      </c>
      <c r="AY463" s="171"/>
      <c r="AZ463" s="171"/>
      <c r="BA463" s="171"/>
      <c r="BB463" s="171"/>
      <c r="BC463" s="171"/>
      <c r="BD463" s="171"/>
      <c r="BE463" s="171"/>
      <c r="BF463" s="225" t="s">
        <v>4174</v>
      </c>
      <c r="BG463" s="171" t="s">
        <v>7301</v>
      </c>
      <c r="BH463" s="171"/>
      <c r="BI463" s="171"/>
      <c r="BJ463" s="171"/>
      <c r="BK463" s="171"/>
      <c r="BL463" s="171"/>
      <c r="BM463" s="171"/>
      <c r="BN463" s="171"/>
      <c r="BO463" s="171"/>
      <c r="BP463" s="171">
        <v>1</v>
      </c>
      <c r="BQ463" s="171">
        <v>1</v>
      </c>
      <c r="BR463" s="171"/>
      <c r="BS463" s="171">
        <v>1</v>
      </c>
      <c r="BT463" s="171"/>
      <c r="BU463" s="171">
        <v>1</v>
      </c>
      <c r="BV463" s="171"/>
      <c r="BW463" s="171">
        <v>1</v>
      </c>
      <c r="BX463" s="171"/>
      <c r="BY463" s="171">
        <v>1</v>
      </c>
      <c r="BZ463" s="171">
        <v>1</v>
      </c>
      <c r="CA463" s="171"/>
      <c r="CB463" s="171">
        <v>1</v>
      </c>
      <c r="CC463" s="171"/>
      <c r="CD463" s="171">
        <v>1</v>
      </c>
      <c r="CE463" s="171">
        <v>1</v>
      </c>
      <c r="CF463" s="171"/>
      <c r="CG463" s="171">
        <v>1</v>
      </c>
      <c r="CH463" s="171">
        <v>1</v>
      </c>
      <c r="CI463" s="171"/>
      <c r="CJ463" s="171"/>
      <c r="CK463" s="171">
        <v>1</v>
      </c>
      <c r="CL463" s="171">
        <v>1</v>
      </c>
      <c r="CM463">
        <f t="shared" si="50"/>
        <v>2039</v>
      </c>
    </row>
    <row r="464" spans="1:91">
      <c r="A464" s="171">
        <v>79</v>
      </c>
      <c r="B464" s="171" t="s">
        <v>1629</v>
      </c>
      <c r="C464" s="171">
        <v>16</v>
      </c>
      <c r="D464" s="171" t="str">
        <f t="shared" si="49"/>
        <v>CN</v>
      </c>
      <c r="E464" s="171" t="s">
        <v>7221</v>
      </c>
      <c r="F464" s="174">
        <v>45475</v>
      </c>
      <c r="G464" s="171" t="s">
        <v>7223</v>
      </c>
      <c r="H464" s="173">
        <v>6819.3</v>
      </c>
      <c r="I464" s="171"/>
      <c r="J464" s="171" t="s">
        <v>4199</v>
      </c>
      <c r="K464" s="171" t="s">
        <v>146</v>
      </c>
      <c r="L464" s="171" t="s">
        <v>1951</v>
      </c>
      <c r="M464" s="171" t="s">
        <v>5032</v>
      </c>
      <c r="N464" s="171"/>
      <c r="O464" s="171"/>
      <c r="P464" s="171" t="s">
        <v>5032</v>
      </c>
      <c r="Q464" s="171"/>
      <c r="R464" s="171"/>
      <c r="S464" s="171"/>
      <c r="T464" s="171"/>
      <c r="U464" s="171"/>
      <c r="V464" s="175"/>
      <c r="W464" s="171"/>
      <c r="X464" s="171" t="s">
        <v>7227</v>
      </c>
      <c r="Y464" s="171" t="s">
        <v>5329</v>
      </c>
      <c r="Z464" s="171" t="s">
        <v>7225</v>
      </c>
      <c r="AA464" s="171" t="s">
        <v>1957</v>
      </c>
      <c r="AB464" s="171">
        <v>2035</v>
      </c>
      <c r="AC464" s="171">
        <v>2023</v>
      </c>
      <c r="AD464" s="171" t="s">
        <v>4172</v>
      </c>
      <c r="AE464" s="171">
        <v>2040</v>
      </c>
      <c r="AF464" s="171">
        <v>2023</v>
      </c>
      <c r="AG464" s="171" t="s">
        <v>4174</v>
      </c>
      <c r="AH464" s="171">
        <v>2023</v>
      </c>
      <c r="AI464" s="171" t="s">
        <v>4174</v>
      </c>
      <c r="AJ464" s="171" t="s">
        <v>7300</v>
      </c>
      <c r="AK464" s="171"/>
      <c r="AL464" s="171" t="s">
        <v>7300</v>
      </c>
      <c r="AM464" s="171"/>
      <c r="AN464" s="171" t="s">
        <v>5032</v>
      </c>
      <c r="AO464" s="171"/>
      <c r="AP464" s="171"/>
      <c r="AQ464" s="171" t="s">
        <v>5032</v>
      </c>
      <c r="AR464" s="171"/>
      <c r="AS464" s="171"/>
      <c r="AT464" s="171"/>
      <c r="AU464" s="171"/>
      <c r="AV464" s="171"/>
      <c r="AW464" s="171"/>
      <c r="AX464" s="171"/>
      <c r="AY464" s="171"/>
      <c r="AZ464" s="171"/>
      <c r="BA464" s="171"/>
      <c r="BB464" s="171"/>
      <c r="BC464" s="171"/>
      <c r="BD464" s="171"/>
      <c r="BE464" s="171"/>
      <c r="BF464" s="225"/>
      <c r="BG464" s="171"/>
      <c r="BH464" s="171"/>
      <c r="BI464" s="171"/>
      <c r="BJ464" s="171"/>
      <c r="BK464" s="171"/>
      <c r="BL464" s="171">
        <v>1</v>
      </c>
      <c r="BM464" s="171">
        <v>1</v>
      </c>
      <c r="BN464" s="171"/>
      <c r="BO464" s="171"/>
      <c r="BP464" s="171"/>
      <c r="BQ464" s="171"/>
      <c r="BR464" s="171"/>
      <c r="BS464" s="171"/>
      <c r="BT464" s="171"/>
      <c r="BU464" s="171"/>
      <c r="BV464" s="171"/>
      <c r="BW464" s="171"/>
      <c r="BX464" s="171"/>
      <c r="BY464" s="171"/>
      <c r="BZ464" s="171">
        <v>1</v>
      </c>
      <c r="CA464" s="171"/>
      <c r="CB464" s="171">
        <v>1</v>
      </c>
      <c r="CC464" s="171">
        <v>1</v>
      </c>
      <c r="CD464" s="171"/>
      <c r="CE464" s="171">
        <v>1</v>
      </c>
      <c r="CF464" s="171"/>
      <c r="CG464" s="171"/>
      <c r="CH464" s="171">
        <v>1</v>
      </c>
      <c r="CI464" s="171"/>
      <c r="CJ464" s="171"/>
      <c r="CK464" s="171"/>
      <c r="CL464" s="171"/>
    </row>
    <row r="465" spans="1:91">
      <c r="A465" s="171">
        <v>270</v>
      </c>
      <c r="B465" s="171" t="s">
        <v>865</v>
      </c>
      <c r="C465" s="171">
        <v>326</v>
      </c>
      <c r="D465" s="171" t="str">
        <f t="shared" si="49"/>
        <v xml:space="preserve"> NZ SBT</v>
      </c>
      <c r="E465" s="171" t="s">
        <v>7228</v>
      </c>
      <c r="F465" s="174">
        <v>45481</v>
      </c>
      <c r="G465" s="171" t="s">
        <v>7220</v>
      </c>
      <c r="H465" s="173">
        <v>2618</v>
      </c>
      <c r="I465" s="171"/>
      <c r="J465" s="171" t="s">
        <v>4179</v>
      </c>
      <c r="K465" s="171" t="s">
        <v>4457</v>
      </c>
      <c r="L465" s="171" t="s">
        <v>2029</v>
      </c>
      <c r="M465" s="171" t="s">
        <v>5032</v>
      </c>
      <c r="N465" s="171"/>
      <c r="O465" s="171"/>
      <c r="P465" s="171" t="s">
        <v>4174</v>
      </c>
      <c r="Q465" s="171" t="s">
        <v>22</v>
      </c>
      <c r="R465" s="171" t="s">
        <v>7277</v>
      </c>
      <c r="S465" s="171">
        <v>2035</v>
      </c>
      <c r="T465" s="171" t="s">
        <v>1</v>
      </c>
      <c r="U465" s="171"/>
      <c r="V465" s="172">
        <v>45078</v>
      </c>
      <c r="W465" s="171">
        <v>2023</v>
      </c>
      <c r="X465" s="171" t="s">
        <v>5032</v>
      </c>
      <c r="Y465" s="171"/>
      <c r="Z465" s="171"/>
      <c r="AA465" s="171" t="s">
        <v>5032</v>
      </c>
      <c r="AB465" s="171"/>
      <c r="AC465" s="171"/>
      <c r="AD465" s="171"/>
      <c r="AE465" s="171"/>
      <c r="AF465" s="171"/>
      <c r="AG465" s="171"/>
      <c r="AH465" s="171"/>
      <c r="AI465" s="171"/>
      <c r="AJ465" s="171"/>
      <c r="AK465" s="171"/>
      <c r="AL465" s="171"/>
      <c r="AM465" s="171"/>
      <c r="AN465" s="171" t="s">
        <v>4172</v>
      </c>
      <c r="AO465" s="171" t="s">
        <v>4302</v>
      </c>
      <c r="AP465" s="171" t="s">
        <v>7299</v>
      </c>
      <c r="AQ465" s="171" t="s">
        <v>4172</v>
      </c>
      <c r="AR465" s="171">
        <v>2050</v>
      </c>
      <c r="AS465" s="171">
        <v>2020</v>
      </c>
      <c r="AT465" s="171"/>
      <c r="AU465" s="171"/>
      <c r="AV465" s="171"/>
      <c r="AW465" s="171" t="s">
        <v>5032</v>
      </c>
      <c r="AX465" s="171" t="s">
        <v>7298</v>
      </c>
      <c r="AY465" s="171">
        <v>2023</v>
      </c>
      <c r="AZ465" s="171" t="s">
        <v>4174</v>
      </c>
      <c r="BA465" s="171" t="s">
        <v>7297</v>
      </c>
      <c r="BB465" s="171"/>
      <c r="BC465" s="171" t="s">
        <v>7296</v>
      </c>
      <c r="BD465" s="171"/>
      <c r="BE465" s="171"/>
      <c r="BF465" s="225"/>
      <c r="BG465" s="171"/>
      <c r="BH465" s="171"/>
      <c r="BI465" s="171"/>
      <c r="BJ465" s="171"/>
      <c r="BK465" s="171"/>
      <c r="BL465" s="171"/>
      <c r="BM465" s="171"/>
      <c r="BN465" s="171"/>
      <c r="BO465" s="171"/>
      <c r="BP465" s="171">
        <v>1</v>
      </c>
      <c r="BQ465" s="171">
        <v>1</v>
      </c>
      <c r="BR465" s="171"/>
      <c r="BS465" s="171"/>
      <c r="BT465" s="171">
        <v>1</v>
      </c>
      <c r="BU465" s="171">
        <v>1</v>
      </c>
      <c r="BV465" s="171"/>
      <c r="BW465" s="171"/>
      <c r="BX465" s="171"/>
      <c r="BY465" s="171"/>
      <c r="BZ465" s="171">
        <v>1</v>
      </c>
      <c r="CA465" s="171"/>
      <c r="CB465" s="171">
        <v>1</v>
      </c>
      <c r="CC465" s="171"/>
      <c r="CD465" s="171">
        <v>1</v>
      </c>
      <c r="CE465" s="171">
        <v>1</v>
      </c>
      <c r="CF465" s="171"/>
      <c r="CG465" s="171"/>
      <c r="CH465" s="171">
        <v>1</v>
      </c>
      <c r="CI465" s="171"/>
      <c r="CJ465" s="171"/>
      <c r="CK465" s="171">
        <v>1</v>
      </c>
      <c r="CL465" s="171">
        <v>1</v>
      </c>
      <c r="CM465">
        <f t="shared" si="50"/>
        <v>2050</v>
      </c>
    </row>
    <row r="466" spans="1:91">
      <c r="A466" s="171">
        <v>124</v>
      </c>
      <c r="B466" s="171" t="s">
        <v>1386</v>
      </c>
      <c r="C466" s="171">
        <v>101</v>
      </c>
      <c r="D466" s="171" t="str">
        <f t="shared" si="49"/>
        <v>CN</v>
      </c>
      <c r="E466" s="171" t="s">
        <v>7228</v>
      </c>
      <c r="F466" s="174">
        <v>45475</v>
      </c>
      <c r="G466" s="171" t="s">
        <v>7220</v>
      </c>
      <c r="H466" s="173">
        <v>6708</v>
      </c>
      <c r="I466" s="171"/>
      <c r="J466" s="171" t="s">
        <v>4179</v>
      </c>
      <c r="K466" s="171" t="s">
        <v>4457</v>
      </c>
      <c r="L466" s="171" t="s">
        <v>2029</v>
      </c>
      <c r="M466" s="171" t="s">
        <v>5032</v>
      </c>
      <c r="N466" s="171"/>
      <c r="O466" s="171"/>
      <c r="P466" s="171" t="s">
        <v>5032</v>
      </c>
      <c r="Q466" s="171"/>
      <c r="R466" s="171"/>
      <c r="S466" s="171"/>
      <c r="T466" s="171"/>
      <c r="U466" s="171"/>
      <c r="V466" s="175"/>
      <c r="W466" s="171"/>
      <c r="X466" s="171" t="s">
        <v>4172</v>
      </c>
      <c r="Y466" s="171" t="s">
        <v>7295</v>
      </c>
      <c r="Z466" s="171" t="s">
        <v>7225</v>
      </c>
      <c r="AA466" s="171" t="s">
        <v>4172</v>
      </c>
      <c r="AB466" s="171">
        <v>2050</v>
      </c>
      <c r="AC466" s="171">
        <v>2021</v>
      </c>
      <c r="AD466" s="171"/>
      <c r="AE466" s="171"/>
      <c r="AF466" s="171"/>
      <c r="AG466" s="171" t="s">
        <v>4174</v>
      </c>
      <c r="AH466" s="171"/>
      <c r="AI466" s="171" t="s">
        <v>4174</v>
      </c>
      <c r="AJ466" s="171"/>
      <c r="AK466" s="171"/>
      <c r="AL466" s="171" t="s">
        <v>7294</v>
      </c>
      <c r="AM466" s="171" t="s">
        <v>7293</v>
      </c>
      <c r="AN466" s="171" t="s">
        <v>5032</v>
      </c>
      <c r="AO466" s="171"/>
      <c r="AP466" s="171"/>
      <c r="AQ466" s="171" t="s">
        <v>5032</v>
      </c>
      <c r="AR466" s="171"/>
      <c r="AS466" s="171"/>
      <c r="AT466" s="171"/>
      <c r="AU466" s="171"/>
      <c r="AV466" s="171"/>
      <c r="AW466" s="171"/>
      <c r="AX466" s="171"/>
      <c r="AY466" s="171"/>
      <c r="AZ466" s="171"/>
      <c r="BA466" s="171"/>
      <c r="BB466" s="171"/>
      <c r="BC466" s="171"/>
      <c r="BD466" s="171"/>
      <c r="BE466" s="171"/>
      <c r="BF466" s="225"/>
      <c r="BG466" s="171"/>
      <c r="BH466" s="171"/>
      <c r="BI466" s="171"/>
      <c r="BJ466" s="171"/>
      <c r="BK466" s="171"/>
      <c r="BL466" s="171">
        <v>1</v>
      </c>
      <c r="BM466" s="171">
        <v>1</v>
      </c>
      <c r="BN466" s="171"/>
      <c r="BO466" s="171"/>
      <c r="BP466" s="171"/>
      <c r="BQ466" s="171"/>
      <c r="BR466" s="171"/>
      <c r="BS466" s="171"/>
      <c r="BT466" s="171"/>
      <c r="BU466" s="171"/>
      <c r="BV466" s="171"/>
      <c r="BW466" s="171"/>
      <c r="BX466" s="171"/>
      <c r="BY466" s="171"/>
      <c r="BZ466" s="171">
        <v>1</v>
      </c>
      <c r="CA466" s="171"/>
      <c r="CB466" s="171">
        <v>1</v>
      </c>
      <c r="CC466" s="171">
        <v>1</v>
      </c>
      <c r="CD466" s="171"/>
      <c r="CE466" s="171">
        <v>1</v>
      </c>
      <c r="CF466" s="171"/>
      <c r="CG466" s="171"/>
      <c r="CH466" s="171">
        <v>1</v>
      </c>
      <c r="CI466" s="171"/>
      <c r="CJ466" s="171"/>
      <c r="CK466" s="171"/>
      <c r="CL466" s="171"/>
    </row>
    <row r="467" spans="1:91">
      <c r="A467" s="171">
        <v>8</v>
      </c>
      <c r="B467" s="171" t="s">
        <v>1835</v>
      </c>
      <c r="C467" s="171">
        <v>10</v>
      </c>
      <c r="D467" s="171" t="str">
        <f t="shared" si="49"/>
        <v xml:space="preserve"> NZ SBT</v>
      </c>
      <c r="E467" s="171" t="s">
        <v>7255</v>
      </c>
      <c r="F467" s="174">
        <v>45474</v>
      </c>
      <c r="G467" s="171" t="s">
        <v>7223</v>
      </c>
      <c r="H467" s="173">
        <v>22381</v>
      </c>
      <c r="I467" s="171"/>
      <c r="J467" s="171" t="s">
        <v>4201</v>
      </c>
      <c r="K467" s="171" t="s">
        <v>4457</v>
      </c>
      <c r="L467" s="171" t="s">
        <v>2029</v>
      </c>
      <c r="M467" s="171" t="s">
        <v>5032</v>
      </c>
      <c r="N467" s="171"/>
      <c r="O467" s="171"/>
      <c r="P467" s="171" t="s">
        <v>5032</v>
      </c>
      <c r="Q467" s="171" t="s">
        <v>165</v>
      </c>
      <c r="R467" s="171"/>
      <c r="S467" s="171">
        <v>2030</v>
      </c>
      <c r="T467" s="171" t="s">
        <v>361</v>
      </c>
      <c r="U467" s="171"/>
      <c r="V467" s="172">
        <v>44713</v>
      </c>
      <c r="W467" s="171">
        <v>2022</v>
      </c>
      <c r="X467" s="171" t="s">
        <v>5032</v>
      </c>
      <c r="Y467" s="171"/>
      <c r="Z467" s="171"/>
      <c r="AA467" s="171" t="s">
        <v>5032</v>
      </c>
      <c r="AB467" s="171"/>
      <c r="AC467" s="171"/>
      <c r="AD467" s="171"/>
      <c r="AE467" s="171"/>
      <c r="AF467" s="171"/>
      <c r="AG467" s="171"/>
      <c r="AH467" s="171"/>
      <c r="AI467" s="171"/>
      <c r="AJ467" s="171"/>
      <c r="AK467" s="171"/>
      <c r="AL467" s="171"/>
      <c r="AM467" s="171"/>
      <c r="AN467" s="171" t="s">
        <v>1957</v>
      </c>
      <c r="AO467" s="171" t="s">
        <v>4832</v>
      </c>
      <c r="AP467" s="171" t="s">
        <v>2072</v>
      </c>
      <c r="AQ467" s="171" t="s">
        <v>1957</v>
      </c>
      <c r="AR467" s="171">
        <v>2035</v>
      </c>
      <c r="AS467" s="171">
        <v>2022</v>
      </c>
      <c r="AT467" s="171"/>
      <c r="AU467" s="171"/>
      <c r="AV467" s="171"/>
      <c r="AW467" s="171" t="s">
        <v>4174</v>
      </c>
      <c r="AX467" s="171" t="s">
        <v>7292</v>
      </c>
      <c r="AY467" s="171">
        <v>2023</v>
      </c>
      <c r="AZ467" s="171" t="s">
        <v>4174</v>
      </c>
      <c r="BA467" s="171" t="s">
        <v>7292</v>
      </c>
      <c r="BB467" s="171"/>
      <c r="BC467" s="171" t="s">
        <v>7291</v>
      </c>
      <c r="BD467" s="171"/>
      <c r="BE467" s="171"/>
      <c r="BF467" s="225"/>
      <c r="BG467" s="171"/>
      <c r="BH467" s="171"/>
      <c r="BI467" s="171"/>
      <c r="BJ467" s="171"/>
      <c r="BK467" s="171"/>
      <c r="BL467" s="171"/>
      <c r="BM467" s="171"/>
      <c r="BN467" s="171"/>
      <c r="BO467" s="171"/>
      <c r="BP467" s="171">
        <v>1</v>
      </c>
      <c r="BQ467" s="171">
        <v>1</v>
      </c>
      <c r="BR467" s="171"/>
      <c r="BS467" s="171">
        <v>1</v>
      </c>
      <c r="BT467" s="171"/>
      <c r="BU467" s="171">
        <v>1</v>
      </c>
      <c r="BV467" s="171"/>
      <c r="BW467" s="171"/>
      <c r="BX467" s="171"/>
      <c r="BY467" s="171"/>
      <c r="BZ467" s="171">
        <v>1</v>
      </c>
      <c r="CA467" s="171"/>
      <c r="CB467" s="171">
        <v>1</v>
      </c>
      <c r="CC467" s="171">
        <v>1</v>
      </c>
      <c r="CD467" s="171"/>
      <c r="CE467" s="171">
        <v>1</v>
      </c>
      <c r="CF467" s="171"/>
      <c r="CG467" s="171">
        <v>1</v>
      </c>
      <c r="CH467" s="171">
        <v>1</v>
      </c>
      <c r="CI467" s="171"/>
      <c r="CJ467" s="171"/>
      <c r="CK467" s="171"/>
      <c r="CL467" s="171"/>
      <c r="CM467">
        <f t="shared" si="50"/>
        <v>2035</v>
      </c>
    </row>
    <row r="468" spans="1:91">
      <c r="A468" s="171">
        <v>430</v>
      </c>
      <c r="B468" s="171" t="s">
        <v>2132</v>
      </c>
      <c r="C468" s="171">
        <v>446</v>
      </c>
      <c r="D468" s="171" t="str">
        <f t="shared" si="49"/>
        <v xml:space="preserve"> SBT</v>
      </c>
      <c r="E468" s="171" t="s">
        <v>7223</v>
      </c>
      <c r="F468" s="174">
        <v>45512</v>
      </c>
      <c r="G468" s="171" t="s">
        <v>7223</v>
      </c>
      <c r="H468" s="173">
        <v>506</v>
      </c>
      <c r="I468" s="171"/>
      <c r="J468" s="171" t="s">
        <v>4467</v>
      </c>
      <c r="K468" s="171" t="s">
        <v>4457</v>
      </c>
      <c r="L468" s="171" t="s">
        <v>2029</v>
      </c>
      <c r="M468" s="171" t="s">
        <v>5032</v>
      </c>
      <c r="N468" s="171"/>
      <c r="O468" s="171"/>
      <c r="P468" s="171" t="s">
        <v>4174</v>
      </c>
      <c r="Q468" s="171" t="s">
        <v>22</v>
      </c>
      <c r="R468" s="171" t="s">
        <v>7277</v>
      </c>
      <c r="S468" s="171">
        <v>2032</v>
      </c>
      <c r="T468" s="171" t="s">
        <v>1</v>
      </c>
      <c r="U468" s="171"/>
      <c r="V468" s="172">
        <v>44927</v>
      </c>
      <c r="W468" s="171">
        <v>2023</v>
      </c>
      <c r="X468" s="171" t="s">
        <v>5032</v>
      </c>
      <c r="Y468" s="171"/>
      <c r="Z468" s="171"/>
      <c r="AA468" s="171" t="s">
        <v>5032</v>
      </c>
      <c r="AB468" s="171"/>
      <c r="AC468" s="171"/>
      <c r="AD468" s="171"/>
      <c r="AE468" s="171"/>
      <c r="AF468" s="171"/>
      <c r="AG468" s="171"/>
      <c r="AH468" s="171"/>
      <c r="AI468" s="171"/>
      <c r="AJ468" s="171"/>
      <c r="AK468" s="171"/>
      <c r="AL468" s="171"/>
      <c r="AM468" s="171"/>
      <c r="AN468" s="171" t="s">
        <v>5032</v>
      </c>
      <c r="AO468" s="171"/>
      <c r="AP468" s="171"/>
      <c r="AQ468" s="171" t="s">
        <v>5032</v>
      </c>
      <c r="AR468" s="171"/>
      <c r="AS468" s="171"/>
      <c r="AT468" s="171"/>
      <c r="AU468" s="171"/>
      <c r="AV468" s="171"/>
      <c r="AW468" s="171"/>
      <c r="AX468" s="171"/>
      <c r="AY468" s="171"/>
      <c r="AZ468" s="171"/>
      <c r="BA468" s="171"/>
      <c r="BB468" s="171"/>
      <c r="BC468" s="171"/>
      <c r="BD468" s="171"/>
      <c r="BE468" s="171"/>
      <c r="BF468" s="225"/>
      <c r="BG468" s="171"/>
      <c r="BH468" s="171"/>
      <c r="BI468" s="171"/>
      <c r="BJ468" s="171"/>
      <c r="BK468" s="171"/>
      <c r="BL468" s="171"/>
      <c r="BM468" s="171"/>
      <c r="BN468" s="171"/>
      <c r="BO468" s="171"/>
      <c r="BP468" s="171"/>
      <c r="BQ468" s="171"/>
      <c r="BR468" s="171"/>
      <c r="BS468" s="171"/>
      <c r="BT468" s="171">
        <v>1</v>
      </c>
      <c r="BU468" s="171">
        <v>1</v>
      </c>
      <c r="BV468" s="171"/>
      <c r="BW468" s="171"/>
      <c r="BX468" s="171"/>
      <c r="BY468" s="171"/>
      <c r="BZ468" s="171"/>
      <c r="CA468" s="171"/>
      <c r="CB468" s="171"/>
      <c r="CC468" s="171"/>
      <c r="CD468" s="171"/>
      <c r="CE468" s="171">
        <v>1</v>
      </c>
      <c r="CF468" s="171"/>
      <c r="CG468" s="171"/>
      <c r="CH468" s="171">
        <v>1</v>
      </c>
      <c r="CI468" s="171"/>
      <c r="CJ468" s="171"/>
      <c r="CK468" s="171"/>
      <c r="CL468" s="171"/>
    </row>
    <row r="469" spans="1:91">
      <c r="A469" s="171">
        <v>360</v>
      </c>
      <c r="B469" s="171" t="s">
        <v>489</v>
      </c>
      <c r="C469" s="171">
        <v>417</v>
      </c>
      <c r="D469" s="171" t="str">
        <f t="shared" si="49"/>
        <v/>
      </c>
      <c r="E469" s="171" t="s">
        <v>7223</v>
      </c>
      <c r="F469" s="174">
        <v>45512</v>
      </c>
      <c r="G469" s="171" t="s">
        <v>7223</v>
      </c>
      <c r="H469" s="173">
        <v>1213.5</v>
      </c>
      <c r="I469" s="171"/>
      <c r="J469" s="171" t="s">
        <v>4465</v>
      </c>
      <c r="K469" s="171" t="s">
        <v>4457</v>
      </c>
      <c r="L469" s="171" t="s">
        <v>2029</v>
      </c>
      <c r="M469" s="171" t="s">
        <v>5032</v>
      </c>
      <c r="N469" s="171"/>
      <c r="O469" s="171"/>
      <c r="P469" s="171" t="s">
        <v>5032</v>
      </c>
      <c r="Q469" s="171"/>
      <c r="R469" s="171"/>
      <c r="S469" s="171"/>
      <c r="T469" s="171"/>
      <c r="U469" s="171"/>
      <c r="V469" s="175"/>
      <c r="W469" s="171"/>
      <c r="X469" s="171" t="s">
        <v>5032</v>
      </c>
      <c r="Y469" s="171"/>
      <c r="Z469" s="171"/>
      <c r="AA469" s="171" t="s">
        <v>5032</v>
      </c>
      <c r="AB469" s="171"/>
      <c r="AC469" s="171"/>
      <c r="AD469" s="171"/>
      <c r="AE469" s="171"/>
      <c r="AF469" s="171"/>
      <c r="AG469" s="171"/>
      <c r="AH469" s="171"/>
      <c r="AI469" s="171"/>
      <c r="AJ469" s="171"/>
      <c r="AK469" s="171"/>
      <c r="AL469" s="171"/>
      <c r="AM469" s="171"/>
      <c r="AN469" s="171" t="s">
        <v>5032</v>
      </c>
      <c r="AO469" s="171"/>
      <c r="AP469" s="171"/>
      <c r="AQ469" s="171" t="s">
        <v>5032</v>
      </c>
      <c r="AR469" s="171"/>
      <c r="AS469" s="171"/>
      <c r="AT469" s="171"/>
      <c r="AU469" s="171"/>
      <c r="AV469" s="171"/>
      <c r="AW469" s="171"/>
      <c r="AX469" s="171"/>
      <c r="AY469" s="171"/>
      <c r="AZ469" s="171"/>
      <c r="BA469" s="171"/>
      <c r="BB469" s="171"/>
      <c r="BC469" s="171"/>
      <c r="BD469" s="171"/>
      <c r="BE469" s="171"/>
      <c r="BF469" s="225"/>
      <c r="BG469" s="171"/>
      <c r="BH469" s="171"/>
      <c r="BI469" s="171"/>
      <c r="BJ469" s="171"/>
      <c r="BK469" s="171"/>
      <c r="BL469" s="171"/>
      <c r="BM469" s="171"/>
      <c r="BN469" s="171"/>
      <c r="BO469" s="171"/>
      <c r="BP469" s="171"/>
      <c r="BQ469" s="171"/>
      <c r="BR469" s="171"/>
      <c r="BS469" s="171"/>
      <c r="BT469" s="171"/>
      <c r="BU469" s="171"/>
      <c r="BV469" s="171"/>
      <c r="BW469" s="171"/>
      <c r="BX469" s="171"/>
      <c r="BY469" s="171"/>
      <c r="BZ469" s="171"/>
      <c r="CA469" s="171"/>
      <c r="CB469" s="171"/>
      <c r="CC469" s="171"/>
      <c r="CD469" s="171"/>
      <c r="CE469" s="171"/>
      <c r="CF469" s="171"/>
      <c r="CG469" s="171"/>
      <c r="CH469" s="171"/>
      <c r="CI469" s="171"/>
      <c r="CJ469" s="171"/>
      <c r="CK469" s="171"/>
      <c r="CL469" s="171"/>
    </row>
    <row r="470" spans="1:91">
      <c r="A470" s="171">
        <v>363</v>
      </c>
      <c r="B470" s="171" t="s">
        <v>705</v>
      </c>
      <c r="C470" s="171">
        <v>332</v>
      </c>
      <c r="D470" s="171" t="str">
        <f t="shared" si="49"/>
        <v xml:space="preserve"> NZ</v>
      </c>
      <c r="E470" s="171" t="s">
        <v>7228</v>
      </c>
      <c r="F470" s="174">
        <v>45482</v>
      </c>
      <c r="G470" s="171" t="s">
        <v>7220</v>
      </c>
      <c r="H470" s="173">
        <v>7983</v>
      </c>
      <c r="I470" s="171"/>
      <c r="J470" s="171" t="s">
        <v>4494</v>
      </c>
      <c r="K470" s="171" t="s">
        <v>68</v>
      </c>
      <c r="L470" s="171" t="s">
        <v>8320</v>
      </c>
      <c r="M470" s="171" t="s">
        <v>5032</v>
      </c>
      <c r="N470" s="171"/>
      <c r="O470" s="171"/>
      <c r="P470" s="171" t="s">
        <v>5032</v>
      </c>
      <c r="Q470" s="171" t="s">
        <v>7290</v>
      </c>
      <c r="R470" s="171"/>
      <c r="S470" s="171"/>
      <c r="T470" s="171" t="s">
        <v>1</v>
      </c>
      <c r="U470" s="171"/>
      <c r="V470" s="172">
        <v>43800</v>
      </c>
      <c r="W470" s="171">
        <v>2019</v>
      </c>
      <c r="X470" s="171" t="s">
        <v>5032</v>
      </c>
      <c r="Y470" s="171"/>
      <c r="Z470" s="171"/>
      <c r="AA470" s="171" t="s">
        <v>5032</v>
      </c>
      <c r="AB470" s="171"/>
      <c r="AC470" s="171"/>
      <c r="AD470" s="171"/>
      <c r="AE470" s="171"/>
      <c r="AF470" s="171"/>
      <c r="AG470" s="171"/>
      <c r="AH470" s="171"/>
      <c r="AI470" s="171"/>
      <c r="AJ470" s="171"/>
      <c r="AK470" s="171"/>
      <c r="AL470" s="171"/>
      <c r="AM470" s="171"/>
      <c r="AN470" s="171" t="s">
        <v>1957</v>
      </c>
      <c r="AO470" s="171" t="s">
        <v>5131</v>
      </c>
      <c r="AP470" s="171" t="s">
        <v>2072</v>
      </c>
      <c r="AQ470" s="171" t="s">
        <v>1957</v>
      </c>
      <c r="AR470" s="171">
        <v>2050</v>
      </c>
      <c r="AS470" s="171">
        <v>2021</v>
      </c>
      <c r="AT470" s="171"/>
      <c r="AU470" s="171"/>
      <c r="AV470" s="171"/>
      <c r="AW470" s="171" t="s">
        <v>2082</v>
      </c>
      <c r="AX470" s="176" t="s">
        <v>7284</v>
      </c>
      <c r="AY470" s="171"/>
      <c r="AZ470" s="171"/>
      <c r="BA470" s="171"/>
      <c r="BB470" s="171"/>
      <c r="BC470" s="171" t="s">
        <v>7289</v>
      </c>
      <c r="BD470" s="171"/>
      <c r="BE470" s="171"/>
      <c r="BF470" s="225"/>
      <c r="BG470" s="171"/>
      <c r="BH470" s="171"/>
      <c r="BI470" s="171"/>
      <c r="BJ470" s="171"/>
      <c r="BK470" s="171"/>
      <c r="BL470" s="171"/>
      <c r="BM470" s="171"/>
      <c r="BN470" s="171"/>
      <c r="BO470" s="171"/>
      <c r="BP470" s="171">
        <v>1</v>
      </c>
      <c r="BQ470" s="171">
        <v>1</v>
      </c>
      <c r="BR470" s="171"/>
      <c r="BS470" s="171"/>
      <c r="BT470" s="171"/>
      <c r="BU470" s="171"/>
      <c r="BV470" s="171"/>
      <c r="BW470" s="171"/>
      <c r="BX470" s="171"/>
      <c r="BY470" s="171"/>
      <c r="BZ470" s="171">
        <v>1</v>
      </c>
      <c r="CA470" s="171"/>
      <c r="CB470" s="171">
        <v>1</v>
      </c>
      <c r="CC470" s="171"/>
      <c r="CD470" s="171"/>
      <c r="CE470" s="171">
        <v>1</v>
      </c>
      <c r="CF470" s="171"/>
      <c r="CG470" s="171"/>
      <c r="CH470" s="171">
        <v>1</v>
      </c>
      <c r="CI470" s="171"/>
      <c r="CJ470" s="171"/>
      <c r="CK470" s="171"/>
      <c r="CL470" s="171"/>
      <c r="CM470">
        <f t="shared" si="50"/>
        <v>2050</v>
      </c>
    </row>
    <row r="471" spans="1:91">
      <c r="A471" s="171">
        <v>61</v>
      </c>
      <c r="B471" s="171" t="s">
        <v>1698</v>
      </c>
      <c r="C471" s="171">
        <v>40</v>
      </c>
      <c r="D471" s="171" t="str">
        <f t="shared" si="49"/>
        <v>CN</v>
      </c>
      <c r="E471" s="171" t="s">
        <v>7288</v>
      </c>
      <c r="F471" s="174">
        <v>45474</v>
      </c>
      <c r="G471" s="171" t="s">
        <v>7220</v>
      </c>
      <c r="H471" s="173">
        <v>8835</v>
      </c>
      <c r="I471" s="171"/>
      <c r="J471" s="171" t="s">
        <v>3498</v>
      </c>
      <c r="K471" s="171" t="s">
        <v>4457</v>
      </c>
      <c r="L471" s="171" t="s">
        <v>2029</v>
      </c>
      <c r="M471" s="171" t="s">
        <v>5032</v>
      </c>
      <c r="N471" s="171"/>
      <c r="O471" s="171"/>
      <c r="P471" s="171" t="s">
        <v>5032</v>
      </c>
      <c r="Q471" s="171"/>
      <c r="R471" s="171"/>
      <c r="S471" s="171"/>
      <c r="T471" s="171"/>
      <c r="U471" s="171"/>
      <c r="V471" s="175"/>
      <c r="W471" s="171"/>
      <c r="X471" s="171" t="s">
        <v>7227</v>
      </c>
      <c r="Y471" s="171" t="s">
        <v>7287</v>
      </c>
      <c r="Z471" s="171" t="s">
        <v>7286</v>
      </c>
      <c r="AA471" s="171" t="s">
        <v>1957</v>
      </c>
      <c r="AB471" s="171">
        <v>2035</v>
      </c>
      <c r="AC471" s="171">
        <v>2020</v>
      </c>
      <c r="AD471" s="171" t="s">
        <v>4172</v>
      </c>
      <c r="AE471" s="171">
        <v>2050</v>
      </c>
      <c r="AF471" s="171">
        <v>2021</v>
      </c>
      <c r="AG471" s="171" t="s">
        <v>4174</v>
      </c>
      <c r="AH471" s="171">
        <v>2022</v>
      </c>
      <c r="AI471" s="171" t="s">
        <v>5032</v>
      </c>
      <c r="AJ471" s="171" t="s">
        <v>6995</v>
      </c>
      <c r="AK471" s="171"/>
      <c r="AL471" s="171" t="s">
        <v>6995</v>
      </c>
      <c r="AM471" s="171" t="s">
        <v>7285</v>
      </c>
      <c r="AN471" s="171" t="s">
        <v>7229</v>
      </c>
      <c r="AO471" s="171"/>
      <c r="AP471" s="171"/>
      <c r="AQ471" s="171" t="s">
        <v>7229</v>
      </c>
      <c r="AR471" s="171"/>
      <c r="AS471" s="171"/>
      <c r="AT471" s="171"/>
      <c r="AU471" s="171"/>
      <c r="AV471" s="171"/>
      <c r="AW471" s="171"/>
      <c r="AX471" s="171"/>
      <c r="AY471" s="171"/>
      <c r="AZ471" s="171"/>
      <c r="BA471" s="171"/>
      <c r="BB471" s="171"/>
      <c r="BC471" s="171"/>
      <c r="BD471" s="171" t="s">
        <v>4174</v>
      </c>
      <c r="BE471" s="171" t="s">
        <v>7284</v>
      </c>
      <c r="BF471" s="225" t="s">
        <v>5032</v>
      </c>
      <c r="BG471" s="171"/>
      <c r="BH471" s="171" t="s">
        <v>7283</v>
      </c>
      <c r="BI471" s="171"/>
      <c r="BJ471" s="171"/>
      <c r="BK471" s="171"/>
      <c r="BL471" s="171">
        <v>1</v>
      </c>
      <c r="BM471" s="171">
        <v>1</v>
      </c>
      <c r="BN471" s="171"/>
      <c r="BO471" s="171"/>
      <c r="BP471" s="171"/>
      <c r="BQ471" s="171"/>
      <c r="BR471" s="171"/>
      <c r="BS471" s="171"/>
      <c r="BT471" s="171"/>
      <c r="BU471" s="171"/>
      <c r="BV471" s="171"/>
      <c r="BW471" s="171"/>
      <c r="BX471" s="171"/>
      <c r="BY471" s="171"/>
      <c r="BZ471" s="171">
        <v>1</v>
      </c>
      <c r="CA471" s="171"/>
      <c r="CB471" s="171">
        <v>1</v>
      </c>
      <c r="CC471" s="171">
        <v>1</v>
      </c>
      <c r="CD471" s="171"/>
      <c r="CE471" s="171">
        <v>1</v>
      </c>
      <c r="CF471" s="171"/>
      <c r="CG471" s="171"/>
      <c r="CH471" s="171">
        <v>1</v>
      </c>
      <c r="CI471" s="171"/>
      <c r="CJ471" s="171"/>
      <c r="CK471" s="171"/>
      <c r="CL471" s="171"/>
    </row>
    <row r="472" spans="1:91">
      <c r="A472" s="171">
        <v>308</v>
      </c>
      <c r="B472" s="171" t="s">
        <v>447</v>
      </c>
      <c r="C472" s="171">
        <v>324</v>
      </c>
      <c r="D472" s="171" t="str">
        <f t="shared" si="49"/>
        <v xml:space="preserve"> NZ SBT</v>
      </c>
      <c r="E472" s="171" t="s">
        <v>7228</v>
      </c>
      <c r="F472" s="174">
        <v>45481</v>
      </c>
      <c r="G472" s="171" t="s">
        <v>7220</v>
      </c>
      <c r="H472" s="173">
        <v>1013</v>
      </c>
      <c r="I472" s="171"/>
      <c r="J472" s="171" t="s">
        <v>4199</v>
      </c>
      <c r="K472" s="171" t="s">
        <v>63</v>
      </c>
      <c r="L472" s="171" t="s">
        <v>1951</v>
      </c>
      <c r="M472" s="171" t="s">
        <v>5032</v>
      </c>
      <c r="N472" s="171"/>
      <c r="O472" s="171"/>
      <c r="P472" s="171" t="s">
        <v>4174</v>
      </c>
      <c r="Q472" s="171" t="s">
        <v>22</v>
      </c>
      <c r="R472" s="171" t="s">
        <v>7277</v>
      </c>
      <c r="S472" s="171">
        <v>2034</v>
      </c>
      <c r="T472" s="171" t="s">
        <v>361</v>
      </c>
      <c r="U472" s="171"/>
      <c r="V472" s="172">
        <v>44531</v>
      </c>
      <c r="W472" s="171">
        <v>2021</v>
      </c>
      <c r="X472" s="171" t="s">
        <v>5032</v>
      </c>
      <c r="Y472" s="171"/>
      <c r="Z472" s="171"/>
      <c r="AA472" s="171" t="s">
        <v>5032</v>
      </c>
      <c r="AB472" s="171"/>
      <c r="AC472" s="171"/>
      <c r="AD472" s="171"/>
      <c r="AE472" s="171"/>
      <c r="AF472" s="171"/>
      <c r="AG472" s="171"/>
      <c r="AH472" s="171"/>
      <c r="AI472" s="171"/>
      <c r="AJ472" s="171"/>
      <c r="AK472" s="171"/>
      <c r="AL472" s="171"/>
      <c r="AM472" s="171"/>
      <c r="AN472" s="171" t="s">
        <v>4172</v>
      </c>
      <c r="AO472" s="171" t="s">
        <v>4302</v>
      </c>
      <c r="AP472" s="171" t="s">
        <v>2555</v>
      </c>
      <c r="AQ472" s="171" t="s">
        <v>4172</v>
      </c>
      <c r="AR472" s="171">
        <v>2050</v>
      </c>
      <c r="AS472" s="171">
        <v>2021</v>
      </c>
      <c r="AT472" s="171"/>
      <c r="AU472" s="171"/>
      <c r="AV472" s="171"/>
      <c r="AW472" s="171" t="s">
        <v>4174</v>
      </c>
      <c r="AX472" s="171" t="s">
        <v>7282</v>
      </c>
      <c r="AY472" s="171"/>
      <c r="AZ472" s="171"/>
      <c r="BA472" s="171"/>
      <c r="BB472" s="171"/>
      <c r="BC472" s="171" t="s">
        <v>7281</v>
      </c>
      <c r="BD472" s="171"/>
      <c r="BE472" s="171"/>
      <c r="BF472" s="225"/>
      <c r="BG472" s="171"/>
      <c r="BH472" s="171"/>
      <c r="BI472" s="171"/>
      <c r="BJ472" s="171"/>
      <c r="BK472" s="171"/>
      <c r="BL472" s="171"/>
      <c r="BM472" s="171"/>
      <c r="BN472" s="171"/>
      <c r="BO472" s="171"/>
      <c r="BP472" s="171">
        <v>1</v>
      </c>
      <c r="BQ472" s="171">
        <v>1</v>
      </c>
      <c r="BR472" s="171"/>
      <c r="BS472" s="171"/>
      <c r="BT472" s="171">
        <v>1</v>
      </c>
      <c r="BU472" s="171">
        <v>1</v>
      </c>
      <c r="BV472" s="171"/>
      <c r="BW472" s="171"/>
      <c r="BX472" s="171"/>
      <c r="BY472" s="171"/>
      <c r="BZ472" s="171">
        <v>1</v>
      </c>
      <c r="CA472" s="171"/>
      <c r="CB472" s="171">
        <v>1</v>
      </c>
      <c r="CC472" s="171">
        <v>1</v>
      </c>
      <c r="CD472" s="171"/>
      <c r="CE472" s="171">
        <v>1</v>
      </c>
      <c r="CF472" s="171"/>
      <c r="CG472" s="171"/>
      <c r="CH472" s="171">
        <v>1</v>
      </c>
      <c r="CI472" s="171"/>
      <c r="CJ472" s="171"/>
      <c r="CK472" s="171">
        <v>1</v>
      </c>
      <c r="CL472" s="171">
        <v>1</v>
      </c>
      <c r="CM472">
        <f t="shared" si="50"/>
        <v>2050</v>
      </c>
    </row>
    <row r="473" spans="1:91">
      <c r="A473" s="171">
        <v>68</v>
      </c>
      <c r="B473" s="171" t="s">
        <v>1742</v>
      </c>
      <c r="C473" s="171">
        <v>64</v>
      </c>
      <c r="D473" s="171" t="str">
        <f t="shared" si="49"/>
        <v xml:space="preserve"> NZ SBT RE100</v>
      </c>
      <c r="E473" s="171" t="s">
        <v>7220</v>
      </c>
      <c r="F473" s="174">
        <v>45475</v>
      </c>
      <c r="G473" s="171" t="s">
        <v>7220</v>
      </c>
      <c r="H473" s="173">
        <v>11614</v>
      </c>
      <c r="I473" s="171"/>
      <c r="J473" s="171" t="s">
        <v>4190</v>
      </c>
      <c r="K473" s="171" t="s">
        <v>4457</v>
      </c>
      <c r="L473" s="171" t="s">
        <v>2029</v>
      </c>
      <c r="M473" s="171" t="s">
        <v>4174</v>
      </c>
      <c r="N473" s="171">
        <v>2024</v>
      </c>
      <c r="O473" s="171">
        <v>2030</v>
      </c>
      <c r="P473" s="171" t="s">
        <v>4174</v>
      </c>
      <c r="Q473" s="171" t="s">
        <v>22</v>
      </c>
      <c r="R473" s="171" t="s">
        <v>7233</v>
      </c>
      <c r="S473" s="171">
        <v>2035</v>
      </c>
      <c r="T473" s="171" t="s">
        <v>1</v>
      </c>
      <c r="U473" s="171"/>
      <c r="V473" s="172">
        <v>44287</v>
      </c>
      <c r="W473" s="171">
        <v>2021</v>
      </c>
      <c r="X473" s="171" t="s">
        <v>5032</v>
      </c>
      <c r="Y473" s="171"/>
      <c r="Z473" s="171"/>
      <c r="AA473" s="171" t="s">
        <v>5032</v>
      </c>
      <c r="AB473" s="171"/>
      <c r="AC473" s="171"/>
      <c r="AD473" s="171"/>
      <c r="AE473" s="171"/>
      <c r="AF473" s="171"/>
      <c r="AG473" s="171"/>
      <c r="AH473" s="171"/>
      <c r="AI473" s="171"/>
      <c r="AJ473" s="171"/>
      <c r="AK473" s="171"/>
      <c r="AL473" s="171"/>
      <c r="AM473" s="171"/>
      <c r="AN473" s="171" t="s">
        <v>1957</v>
      </c>
      <c r="AO473" s="171" t="s">
        <v>109</v>
      </c>
      <c r="AP473" s="171" t="s">
        <v>2072</v>
      </c>
      <c r="AQ473" s="171" t="s">
        <v>1957</v>
      </c>
      <c r="AR473" s="171">
        <v>2035</v>
      </c>
      <c r="AS473" s="171">
        <v>2019</v>
      </c>
      <c r="AT473" s="171"/>
      <c r="AU473" s="171"/>
      <c r="AV473" s="171"/>
      <c r="AW473" s="171" t="s">
        <v>2082</v>
      </c>
      <c r="AX473" s="171" t="s">
        <v>7280</v>
      </c>
      <c r="AY473" s="171"/>
      <c r="AZ473" s="171"/>
      <c r="BA473" s="171"/>
      <c r="BB473" s="171"/>
      <c r="BC473" s="171"/>
      <c r="BD473" s="171"/>
      <c r="BE473" s="171"/>
      <c r="BF473" s="225"/>
      <c r="BG473" s="171"/>
      <c r="BH473" s="171"/>
      <c r="BI473" s="171"/>
      <c r="BJ473" s="171"/>
      <c r="BK473" s="171"/>
      <c r="BL473" s="171"/>
      <c r="BM473" s="171"/>
      <c r="BN473" s="171"/>
      <c r="BO473" s="171"/>
      <c r="BP473" s="171">
        <v>1</v>
      </c>
      <c r="BQ473" s="171">
        <v>1</v>
      </c>
      <c r="BR473" s="171"/>
      <c r="BS473" s="171"/>
      <c r="BT473" s="171">
        <v>1</v>
      </c>
      <c r="BU473" s="171">
        <v>1</v>
      </c>
      <c r="BV473" s="171"/>
      <c r="BW473" s="171">
        <v>1</v>
      </c>
      <c r="BX473" s="171"/>
      <c r="BY473" s="171">
        <v>1</v>
      </c>
      <c r="BZ473" s="171">
        <v>1</v>
      </c>
      <c r="CA473" s="171"/>
      <c r="CB473" s="171">
        <v>1</v>
      </c>
      <c r="CC473" s="171"/>
      <c r="CD473" s="171"/>
      <c r="CE473" s="171">
        <v>1</v>
      </c>
      <c r="CF473" s="171"/>
      <c r="CG473" s="171">
        <v>1</v>
      </c>
      <c r="CH473" s="171">
        <v>1</v>
      </c>
      <c r="CI473" s="171"/>
      <c r="CJ473" s="171"/>
      <c r="CK473" s="171"/>
      <c r="CL473" s="171"/>
      <c r="CM473">
        <f t="shared" si="50"/>
        <v>2035</v>
      </c>
    </row>
    <row r="474" spans="1:91">
      <c r="A474" s="171">
        <v>493</v>
      </c>
      <c r="B474" s="171" t="s">
        <v>5331</v>
      </c>
      <c r="C474" s="171">
        <v>429</v>
      </c>
      <c r="D474" s="171" t="str">
        <f t="shared" si="49"/>
        <v>CN</v>
      </c>
      <c r="E474" s="171" t="s">
        <v>7259</v>
      </c>
      <c r="F474" s="174">
        <v>45511</v>
      </c>
      <c r="G474" s="171" t="s">
        <v>7220</v>
      </c>
      <c r="H474" s="173">
        <v>954.5</v>
      </c>
      <c r="I474" s="171"/>
      <c r="J474" s="171" t="s">
        <v>3498</v>
      </c>
      <c r="K474" s="171" t="s">
        <v>68</v>
      </c>
      <c r="L474" s="171" t="s">
        <v>8320</v>
      </c>
      <c r="M474" s="171" t="s">
        <v>5032</v>
      </c>
      <c r="N474" s="171"/>
      <c r="O474" s="171"/>
      <c r="P474" s="171" t="s">
        <v>5032</v>
      </c>
      <c r="Q474" s="171"/>
      <c r="R474" s="171"/>
      <c r="S474" s="171"/>
      <c r="T474" s="171"/>
      <c r="U474" s="171"/>
      <c r="V474" s="175"/>
      <c r="W474" s="171"/>
      <c r="X474" s="171" t="s">
        <v>7227</v>
      </c>
      <c r="Y474" s="171" t="s">
        <v>7270</v>
      </c>
      <c r="Z474" s="171" t="s">
        <v>7279</v>
      </c>
      <c r="AA474" s="171" t="s">
        <v>1957</v>
      </c>
      <c r="AB474" s="171">
        <v>2025</v>
      </c>
      <c r="AC474" s="171">
        <v>2021</v>
      </c>
      <c r="AD474" s="171" t="s">
        <v>4172</v>
      </c>
      <c r="AE474" s="171">
        <v>2050</v>
      </c>
      <c r="AF474" s="171">
        <v>2021</v>
      </c>
      <c r="AG474" s="171" t="s">
        <v>4174</v>
      </c>
      <c r="AH474" s="171">
        <v>2024</v>
      </c>
      <c r="AI474" s="171" t="s">
        <v>4174</v>
      </c>
      <c r="AJ474" s="176" t="s">
        <v>7278</v>
      </c>
      <c r="AK474" s="171"/>
      <c r="AL474" s="171" t="s">
        <v>5326</v>
      </c>
      <c r="AM474" s="171"/>
      <c r="AN474" s="171" t="s">
        <v>5032</v>
      </c>
      <c r="AO474" s="171"/>
      <c r="AP474" s="171"/>
      <c r="AQ474" s="171" t="s">
        <v>5032</v>
      </c>
      <c r="AR474" s="171"/>
      <c r="AS474" s="171"/>
      <c r="AT474" s="171"/>
      <c r="AU474" s="171"/>
      <c r="AV474" s="171"/>
      <c r="AW474" s="171"/>
      <c r="AX474" s="171"/>
      <c r="AY474" s="171"/>
      <c r="AZ474" s="171"/>
      <c r="BA474" s="171"/>
      <c r="BB474" s="171"/>
      <c r="BC474" s="171"/>
      <c r="BD474" s="171"/>
      <c r="BE474" s="171"/>
      <c r="BF474" s="225"/>
      <c r="BG474" s="171"/>
      <c r="BH474" s="171"/>
      <c r="BI474" s="171"/>
      <c r="BJ474" s="171"/>
      <c r="BK474" s="171">
        <v>1</v>
      </c>
      <c r="BL474" s="171"/>
      <c r="BM474" s="171">
        <v>1</v>
      </c>
      <c r="BN474" s="171"/>
      <c r="BO474" s="171"/>
      <c r="BP474" s="171"/>
      <c r="BQ474" s="171"/>
      <c r="BR474" s="171"/>
      <c r="BS474" s="171"/>
      <c r="BT474" s="171"/>
      <c r="BU474" s="171"/>
      <c r="BV474" s="171"/>
      <c r="BW474" s="171"/>
      <c r="BX474" s="171"/>
      <c r="BY474" s="171"/>
      <c r="BZ474" s="171">
        <v>1</v>
      </c>
      <c r="CA474" s="171">
        <v>1</v>
      </c>
      <c r="CB474" s="171">
        <v>1</v>
      </c>
      <c r="CC474" s="171">
        <v>1</v>
      </c>
      <c r="CD474" s="171"/>
      <c r="CE474" s="171">
        <v>1</v>
      </c>
      <c r="CF474" s="171"/>
      <c r="CG474" s="171">
        <v>1</v>
      </c>
      <c r="CH474" s="171">
        <v>1</v>
      </c>
      <c r="CI474" s="171"/>
      <c r="CJ474" s="171"/>
      <c r="CK474" s="171"/>
      <c r="CL474" s="171"/>
    </row>
    <row r="475" spans="1:91">
      <c r="A475" s="171">
        <v>166</v>
      </c>
      <c r="B475" s="171" t="s">
        <v>1141</v>
      </c>
      <c r="C475" s="171">
        <v>202</v>
      </c>
      <c r="D475" s="171" t="str">
        <f t="shared" si="49"/>
        <v>CN SBT</v>
      </c>
      <c r="E475" s="171" t="s">
        <v>7228</v>
      </c>
      <c r="F475" s="174">
        <v>45477</v>
      </c>
      <c r="G475" s="171" t="s">
        <v>7220</v>
      </c>
      <c r="H475" s="173">
        <v>5083.1000000000004</v>
      </c>
      <c r="I475" s="171"/>
      <c r="J475" s="171" t="s">
        <v>4197</v>
      </c>
      <c r="K475" s="171" t="s">
        <v>63</v>
      </c>
      <c r="L475" s="171" t="s">
        <v>1951</v>
      </c>
      <c r="M475" s="171" t="s">
        <v>5032</v>
      </c>
      <c r="N475" s="171"/>
      <c r="O475" s="171"/>
      <c r="P475" s="171" t="s">
        <v>4174</v>
      </c>
      <c r="Q475" s="171" t="s">
        <v>22</v>
      </c>
      <c r="R475" s="171" t="s">
        <v>7277</v>
      </c>
      <c r="S475" s="171">
        <v>2030</v>
      </c>
      <c r="T475" s="171" t="s">
        <v>1</v>
      </c>
      <c r="U475" s="171"/>
      <c r="V475" s="172">
        <v>44652</v>
      </c>
      <c r="W475" s="171">
        <v>2022</v>
      </c>
      <c r="X475" s="171" t="s">
        <v>1957</v>
      </c>
      <c r="Y475" s="171" t="s">
        <v>7276</v>
      </c>
      <c r="Z475" s="171" t="s">
        <v>7225</v>
      </c>
      <c r="AA475" s="171" t="s">
        <v>1957</v>
      </c>
      <c r="AB475" s="171">
        <v>2050</v>
      </c>
      <c r="AC475" s="171">
        <v>2020</v>
      </c>
      <c r="AD475" s="171"/>
      <c r="AE475" s="171"/>
      <c r="AF475" s="171"/>
      <c r="AG475" s="171" t="s">
        <v>4174</v>
      </c>
      <c r="AH475" s="171"/>
      <c r="AI475" s="171" t="s">
        <v>4174</v>
      </c>
      <c r="AJ475" s="171"/>
      <c r="AK475" s="171"/>
      <c r="AL475" s="176" t="s">
        <v>6309</v>
      </c>
      <c r="AM475" s="171"/>
      <c r="AN475" s="171" t="s">
        <v>5032</v>
      </c>
      <c r="AO475" s="171"/>
      <c r="AP475" s="171"/>
      <c r="AQ475" s="171" t="s">
        <v>5032</v>
      </c>
      <c r="AR475" s="171"/>
      <c r="AS475" s="171"/>
      <c r="AT475" s="171"/>
      <c r="AU475" s="171"/>
      <c r="AV475" s="171"/>
      <c r="AW475" s="171"/>
      <c r="AX475" s="171" t="s">
        <v>7275</v>
      </c>
      <c r="AY475" s="171"/>
      <c r="AZ475" s="171"/>
      <c r="BA475" s="171"/>
      <c r="BB475" s="171"/>
      <c r="BC475" s="171"/>
      <c r="BD475" s="171"/>
      <c r="BE475" s="171"/>
      <c r="BF475" s="225"/>
      <c r="BG475" s="171"/>
      <c r="BH475" s="171"/>
      <c r="BI475" s="171"/>
      <c r="BJ475" s="171"/>
      <c r="BK475" s="171"/>
      <c r="BL475" s="171">
        <v>1</v>
      </c>
      <c r="BM475" s="171">
        <v>1</v>
      </c>
      <c r="BN475" s="171"/>
      <c r="BO475" s="171"/>
      <c r="BP475" s="171"/>
      <c r="BQ475" s="171"/>
      <c r="BR475" s="171"/>
      <c r="BS475" s="171">
        <v>1</v>
      </c>
      <c r="BT475" s="171"/>
      <c r="BU475" s="171">
        <v>1</v>
      </c>
      <c r="BV475" s="171"/>
      <c r="BW475" s="171"/>
      <c r="BX475" s="171"/>
      <c r="BY475" s="171"/>
      <c r="BZ475" s="171">
        <v>1</v>
      </c>
      <c r="CA475" s="171"/>
      <c r="CB475" s="171">
        <v>1</v>
      </c>
      <c r="CC475" s="171">
        <v>1</v>
      </c>
      <c r="CD475" s="171"/>
      <c r="CE475" s="171">
        <v>1</v>
      </c>
      <c r="CF475" s="171"/>
      <c r="CG475" s="171">
        <v>1</v>
      </c>
      <c r="CH475" s="171">
        <v>1</v>
      </c>
      <c r="CI475" s="171"/>
      <c r="CJ475" s="171"/>
      <c r="CK475" s="171"/>
      <c r="CL475" s="171"/>
    </row>
    <row r="476" spans="1:91">
      <c r="A476" s="171">
        <v>490</v>
      </c>
      <c r="B476" s="171" t="s">
        <v>7274</v>
      </c>
      <c r="C476" s="171"/>
      <c r="D476" s="171" t="str">
        <f t="shared" si="49"/>
        <v>CN SBT RE100</v>
      </c>
      <c r="E476" s="171" t="s">
        <v>7259</v>
      </c>
      <c r="F476" s="174">
        <v>45511</v>
      </c>
      <c r="G476" s="171"/>
      <c r="H476" s="173">
        <v>17273</v>
      </c>
      <c r="I476" s="171"/>
      <c r="J476" s="171" t="s">
        <v>4465</v>
      </c>
      <c r="K476" s="171" t="s">
        <v>4457</v>
      </c>
      <c r="L476" s="171" t="s">
        <v>2029</v>
      </c>
      <c r="M476" s="171" t="s">
        <v>4174</v>
      </c>
      <c r="N476" s="171">
        <v>2018</v>
      </c>
      <c r="O476" s="171">
        <v>2019</v>
      </c>
      <c r="P476" s="171" t="s">
        <v>4174</v>
      </c>
      <c r="Q476" s="171" t="s">
        <v>22</v>
      </c>
      <c r="R476" s="171" t="s">
        <v>2499</v>
      </c>
      <c r="S476" s="171">
        <v>2030</v>
      </c>
      <c r="T476" s="171" t="s">
        <v>361</v>
      </c>
      <c r="U476" s="171"/>
      <c r="V476" s="175" t="s">
        <v>7273</v>
      </c>
      <c r="W476" s="171">
        <v>2022</v>
      </c>
      <c r="X476" s="171" t="s">
        <v>1957</v>
      </c>
      <c r="Y476" s="171" t="s">
        <v>1659</v>
      </c>
      <c r="Z476" s="171" t="s">
        <v>3283</v>
      </c>
      <c r="AA476" s="171" t="s">
        <v>1957</v>
      </c>
      <c r="AB476" s="171">
        <v>2020</v>
      </c>
      <c r="AC476" s="171">
        <v>2021</v>
      </c>
      <c r="AD476" s="171"/>
      <c r="AE476" s="171"/>
      <c r="AF476" s="171"/>
      <c r="AG476" s="171" t="s">
        <v>4174</v>
      </c>
      <c r="AH476" s="171">
        <v>2023</v>
      </c>
      <c r="AI476" s="171" t="s">
        <v>4174</v>
      </c>
      <c r="AJ476" s="176" t="s">
        <v>7272</v>
      </c>
      <c r="AK476" s="171"/>
      <c r="AL476" s="171" t="s">
        <v>7271</v>
      </c>
      <c r="AM476" s="171"/>
      <c r="AN476" s="171" t="s">
        <v>5032</v>
      </c>
      <c r="AO476" s="171"/>
      <c r="AP476" s="171"/>
      <c r="AQ476" s="171" t="s">
        <v>5032</v>
      </c>
      <c r="AR476" s="171"/>
      <c r="AS476" s="171"/>
      <c r="AT476" s="171"/>
      <c r="AU476" s="171"/>
      <c r="AV476" s="171"/>
      <c r="AW476" s="171"/>
      <c r="AX476" s="171"/>
      <c r="AY476" s="171"/>
      <c r="AZ476" s="171"/>
      <c r="BA476" s="171"/>
      <c r="BB476" s="171"/>
      <c r="BC476" s="171"/>
      <c r="BD476" s="171"/>
      <c r="BE476" s="171"/>
      <c r="BF476" s="225"/>
      <c r="BG476" s="171"/>
      <c r="BH476" s="171"/>
      <c r="BI476" s="171"/>
      <c r="BJ476" s="171">
        <v>1</v>
      </c>
      <c r="BK476" s="171"/>
      <c r="BL476" s="171"/>
      <c r="BM476" s="171">
        <v>1</v>
      </c>
      <c r="BN476" s="171"/>
      <c r="BO476" s="171"/>
      <c r="BP476" s="171"/>
      <c r="BQ476" s="171"/>
      <c r="BR476" s="171"/>
      <c r="BS476" s="171">
        <v>1</v>
      </c>
      <c r="BT476" s="171"/>
      <c r="BU476" s="171">
        <v>1</v>
      </c>
      <c r="BV476" s="171">
        <v>1</v>
      </c>
      <c r="BW476" s="171"/>
      <c r="BX476" s="171"/>
      <c r="BY476" s="171">
        <v>1</v>
      </c>
      <c r="BZ476" s="171">
        <v>1</v>
      </c>
      <c r="CA476" s="171">
        <v>1</v>
      </c>
      <c r="CB476" s="171">
        <v>1</v>
      </c>
      <c r="CC476" s="171">
        <v>1</v>
      </c>
      <c r="CD476" s="171"/>
      <c r="CE476" s="171">
        <v>1</v>
      </c>
      <c r="CF476" s="171">
        <v>1</v>
      </c>
      <c r="CG476" s="171">
        <v>1</v>
      </c>
      <c r="CH476" s="171">
        <v>1</v>
      </c>
      <c r="CI476" s="171"/>
      <c r="CJ476" s="171"/>
      <c r="CK476" s="171"/>
      <c r="CL476" s="171"/>
    </row>
    <row r="477" spans="1:91">
      <c r="A477" s="171">
        <v>310</v>
      </c>
      <c r="B477" s="171" t="s">
        <v>1111</v>
      </c>
      <c r="C477" s="171">
        <v>302</v>
      </c>
      <c r="D477" s="171" t="str">
        <f t="shared" si="49"/>
        <v xml:space="preserve"> NZ SBT RE100</v>
      </c>
      <c r="E477" s="171" t="s">
        <v>7220</v>
      </c>
      <c r="F477" s="174">
        <v>45478</v>
      </c>
      <c r="G477" s="171" t="s">
        <v>7223</v>
      </c>
      <c r="H477" s="173">
        <v>1236.2</v>
      </c>
      <c r="I477" s="171"/>
      <c r="J477" s="171" t="s">
        <v>4190</v>
      </c>
      <c r="K477" s="171" t="s">
        <v>4195</v>
      </c>
      <c r="L477" s="171" t="s">
        <v>1951</v>
      </c>
      <c r="M477" s="171" t="s">
        <v>4174</v>
      </c>
      <c r="N477" s="171">
        <v>2018</v>
      </c>
      <c r="O477" s="171">
        <v>2025</v>
      </c>
      <c r="P477" s="171" t="s">
        <v>4174</v>
      </c>
      <c r="Q477" s="171" t="s">
        <v>22</v>
      </c>
      <c r="R477" s="171" t="s">
        <v>7233</v>
      </c>
      <c r="S477" s="171">
        <v>2030</v>
      </c>
      <c r="T477" s="171" t="s">
        <v>361</v>
      </c>
      <c r="U477" s="171">
        <v>2040</v>
      </c>
      <c r="V477" s="172">
        <v>45413</v>
      </c>
      <c r="W477" s="171">
        <v>2024</v>
      </c>
      <c r="X477" s="171" t="s">
        <v>5032</v>
      </c>
      <c r="Y477" s="171"/>
      <c r="Z477" s="171"/>
      <c r="AA477" s="171" t="s">
        <v>5032</v>
      </c>
      <c r="AB477" s="171"/>
      <c r="AC477" s="171"/>
      <c r="AD477" s="171"/>
      <c r="AE477" s="171"/>
      <c r="AF477" s="171"/>
      <c r="AG477" s="171"/>
      <c r="AH477" s="171"/>
      <c r="AI477" s="171"/>
      <c r="AJ477" s="171"/>
      <c r="AK477" s="171"/>
      <c r="AL477" s="171"/>
      <c r="AM477" s="171"/>
      <c r="AN477" s="171" t="s">
        <v>7227</v>
      </c>
      <c r="AO477" s="171" t="s">
        <v>7270</v>
      </c>
      <c r="AP477" s="171" t="s">
        <v>2072</v>
      </c>
      <c r="AQ477" s="171" t="s">
        <v>1957</v>
      </c>
      <c r="AR477" s="171">
        <v>2030</v>
      </c>
      <c r="AS477" s="171">
        <v>2020</v>
      </c>
      <c r="AT477" s="171" t="s">
        <v>4172</v>
      </c>
      <c r="AU477" s="171">
        <v>2045</v>
      </c>
      <c r="AV477" s="171">
        <v>2020</v>
      </c>
      <c r="AW477" s="171" t="s">
        <v>2082</v>
      </c>
      <c r="AX477" s="171" t="s">
        <v>7269</v>
      </c>
      <c r="AY477" s="171"/>
      <c r="AZ477" s="171"/>
      <c r="BA477" s="171"/>
      <c r="BB477" s="171"/>
      <c r="BC477" s="171"/>
      <c r="BD477" s="171"/>
      <c r="BE477" s="171"/>
      <c r="BF477" s="225"/>
      <c r="BG477" s="171"/>
      <c r="BH477" s="171"/>
      <c r="BI477" s="171"/>
      <c r="BJ477" s="171"/>
      <c r="BK477" s="171"/>
      <c r="BL477" s="171"/>
      <c r="BM477" s="171"/>
      <c r="BN477" s="171"/>
      <c r="BO477" s="171">
        <v>1</v>
      </c>
      <c r="BP477" s="171"/>
      <c r="BQ477" s="171">
        <v>1</v>
      </c>
      <c r="BR477" s="171"/>
      <c r="BS477" s="171">
        <v>1</v>
      </c>
      <c r="BT477" s="171"/>
      <c r="BU477" s="171">
        <v>1</v>
      </c>
      <c r="BV477" s="171"/>
      <c r="BW477" s="171">
        <v>1</v>
      </c>
      <c r="BX477" s="171"/>
      <c r="BY477" s="171">
        <v>1</v>
      </c>
      <c r="BZ477" s="171">
        <v>1</v>
      </c>
      <c r="CA477" s="171">
        <v>1</v>
      </c>
      <c r="CB477" s="171">
        <v>1</v>
      </c>
      <c r="CC477" s="171"/>
      <c r="CD477" s="171"/>
      <c r="CE477" s="171">
        <v>1</v>
      </c>
      <c r="CF477" s="171"/>
      <c r="CG477" s="171">
        <v>1</v>
      </c>
      <c r="CH477" s="171">
        <v>1</v>
      </c>
      <c r="CI477" s="171"/>
      <c r="CJ477" s="171"/>
      <c r="CK477" s="171">
        <v>1</v>
      </c>
      <c r="CL477" s="171">
        <v>1</v>
      </c>
      <c r="CM477">
        <f t="shared" si="50"/>
        <v>2040</v>
      </c>
    </row>
    <row r="478" spans="1:91">
      <c r="A478" s="171">
        <v>11</v>
      </c>
      <c r="B478" s="171" t="s">
        <v>1863</v>
      </c>
      <c r="C478" s="171">
        <v>15</v>
      </c>
      <c r="D478" s="171" t="str">
        <f t="shared" si="49"/>
        <v>CN SBT</v>
      </c>
      <c r="E478" s="171" t="s">
        <v>7220</v>
      </c>
      <c r="F478" s="174">
        <v>45475</v>
      </c>
      <c r="G478" s="171" t="s">
        <v>7223</v>
      </c>
      <c r="H478" s="173">
        <v>17944.5</v>
      </c>
      <c r="I478" s="171"/>
      <c r="J478" s="171" t="s">
        <v>4476</v>
      </c>
      <c r="K478" s="171" t="s">
        <v>146</v>
      </c>
      <c r="L478" s="171" t="s">
        <v>1951</v>
      </c>
      <c r="M478" s="171" t="s">
        <v>5032</v>
      </c>
      <c r="N478" s="171"/>
      <c r="O478" s="171"/>
      <c r="P478" s="171" t="s">
        <v>4174</v>
      </c>
      <c r="Q478" s="171" t="s">
        <v>22</v>
      </c>
      <c r="R478" s="171" t="s">
        <v>7268</v>
      </c>
      <c r="S478" s="171">
        <v>2025</v>
      </c>
      <c r="T478" s="171" t="s">
        <v>1</v>
      </c>
      <c r="U478" s="171"/>
      <c r="V478" s="172">
        <v>44652</v>
      </c>
      <c r="W478" s="171">
        <v>2022</v>
      </c>
      <c r="X478" s="171" t="s">
        <v>1957</v>
      </c>
      <c r="Y478" s="171" t="s">
        <v>7267</v>
      </c>
      <c r="Z478" s="171" t="s">
        <v>7266</v>
      </c>
      <c r="AA478" s="171" t="s">
        <v>1957</v>
      </c>
      <c r="AB478" s="171">
        <v>2050</v>
      </c>
      <c r="AC478" s="171">
        <v>2021</v>
      </c>
      <c r="AD478" s="171"/>
      <c r="AE478" s="171"/>
      <c r="AF478" s="171"/>
      <c r="AG478" s="171" t="s">
        <v>4174</v>
      </c>
      <c r="AH478" s="171">
        <v>2023</v>
      </c>
      <c r="AI478" s="171" t="s">
        <v>4174</v>
      </c>
      <c r="AJ478" s="171" t="s">
        <v>7265</v>
      </c>
      <c r="AK478" s="171"/>
      <c r="AL478" s="171" t="s">
        <v>7264</v>
      </c>
      <c r="AM478" s="171" t="s">
        <v>7263</v>
      </c>
      <c r="AN478" s="171" t="s">
        <v>5032</v>
      </c>
      <c r="AO478" s="171"/>
      <c r="AP478" s="171"/>
      <c r="AQ478" s="171" t="s">
        <v>5032</v>
      </c>
      <c r="AR478" s="171"/>
      <c r="AS478" s="171"/>
      <c r="AT478" s="171"/>
      <c r="AU478" s="171"/>
      <c r="AV478" s="171"/>
      <c r="AW478" s="171"/>
      <c r="AX478" s="171"/>
      <c r="AY478" s="171"/>
      <c r="AZ478" s="171"/>
      <c r="BA478" s="171"/>
      <c r="BB478" s="171"/>
      <c r="BC478" s="171"/>
      <c r="BD478" s="171"/>
      <c r="BE478" s="171"/>
      <c r="BF478" s="225"/>
      <c r="BG478" s="171"/>
      <c r="BH478" s="171"/>
      <c r="BI478" s="171"/>
      <c r="BJ478" s="171"/>
      <c r="BK478" s="171"/>
      <c r="BL478" s="171">
        <v>1</v>
      </c>
      <c r="BM478" s="171">
        <v>1</v>
      </c>
      <c r="BN478" s="171"/>
      <c r="BO478" s="171"/>
      <c r="BP478" s="171"/>
      <c r="BQ478" s="171"/>
      <c r="BR478" s="171"/>
      <c r="BS478" s="171">
        <v>1</v>
      </c>
      <c r="BT478" s="171"/>
      <c r="BU478" s="171">
        <v>1</v>
      </c>
      <c r="BV478" s="171"/>
      <c r="BW478" s="171"/>
      <c r="BX478" s="171"/>
      <c r="BY478" s="171"/>
      <c r="BZ478" s="171">
        <v>1</v>
      </c>
      <c r="CA478" s="171"/>
      <c r="CB478" s="171">
        <v>1</v>
      </c>
      <c r="CC478" s="171">
        <v>1</v>
      </c>
      <c r="CD478" s="171"/>
      <c r="CE478" s="171">
        <v>1</v>
      </c>
      <c r="CF478" s="171"/>
      <c r="CG478" s="171">
        <v>1</v>
      </c>
      <c r="CH478" s="171">
        <v>1</v>
      </c>
      <c r="CI478" s="171"/>
      <c r="CJ478" s="171"/>
      <c r="CK478" s="171"/>
      <c r="CL478" s="171"/>
    </row>
    <row r="479" spans="1:91">
      <c r="A479" s="171">
        <v>282</v>
      </c>
      <c r="B479" s="171" t="s">
        <v>977</v>
      </c>
      <c r="C479" s="171">
        <v>307</v>
      </c>
      <c r="D479" s="171" t="str">
        <f t="shared" si="49"/>
        <v>CN SBT</v>
      </c>
      <c r="E479" s="171" t="s">
        <v>7220</v>
      </c>
      <c r="F479" s="174">
        <v>45478</v>
      </c>
      <c r="G479" s="171" t="s">
        <v>7223</v>
      </c>
      <c r="H479" s="173">
        <v>4696.3</v>
      </c>
      <c r="I479" s="171"/>
      <c r="J479" s="171" t="s">
        <v>4476</v>
      </c>
      <c r="K479" s="171" t="s">
        <v>980</v>
      </c>
      <c r="L479" s="171" t="s">
        <v>1951</v>
      </c>
      <c r="M479" s="171" t="s">
        <v>5032</v>
      </c>
      <c r="N479" s="171"/>
      <c r="O479" s="171"/>
      <c r="P479" s="171" t="s">
        <v>4174</v>
      </c>
      <c r="Q479" s="171" t="s">
        <v>22</v>
      </c>
      <c r="R479" s="171" t="s">
        <v>7262</v>
      </c>
      <c r="S479" s="171">
        <v>2030</v>
      </c>
      <c r="T479" s="171" t="s">
        <v>1</v>
      </c>
      <c r="U479" s="171"/>
      <c r="V479" s="172">
        <v>44075</v>
      </c>
      <c r="W479" s="171">
        <v>2020</v>
      </c>
      <c r="X479" s="171" t="s">
        <v>1957</v>
      </c>
      <c r="Y479" s="171" t="s">
        <v>418</v>
      </c>
      <c r="Z479" s="171" t="s">
        <v>4081</v>
      </c>
      <c r="AA479" s="171" t="s">
        <v>1957</v>
      </c>
      <c r="AB479" s="171">
        <v>2040</v>
      </c>
      <c r="AC479" s="171">
        <v>2020</v>
      </c>
      <c r="AD479" s="171"/>
      <c r="AE479" s="171"/>
      <c r="AF479" s="171"/>
      <c r="AG479" s="171" t="s">
        <v>2082</v>
      </c>
      <c r="AH479" s="171"/>
      <c r="AI479" s="171" t="s">
        <v>4174</v>
      </c>
      <c r="AJ479" s="171"/>
      <c r="AK479" s="171"/>
      <c r="AL479" s="171" t="s">
        <v>7261</v>
      </c>
      <c r="AM479" s="171"/>
      <c r="AN479" s="171" t="s">
        <v>7229</v>
      </c>
      <c r="AO479" s="171"/>
      <c r="AP479" s="171"/>
      <c r="AQ479" s="171" t="s">
        <v>7229</v>
      </c>
      <c r="AR479" s="171"/>
      <c r="AS479" s="171"/>
      <c r="AT479" s="171"/>
      <c r="AU479" s="171"/>
      <c r="AV479" s="171"/>
      <c r="AW479" s="171"/>
      <c r="AX479" s="171"/>
      <c r="AY479" s="171"/>
      <c r="AZ479" s="171"/>
      <c r="BA479" s="171"/>
      <c r="BB479" s="171"/>
      <c r="BC479" s="171"/>
      <c r="BD479" s="171"/>
      <c r="BE479" s="171"/>
      <c r="BF479" s="225"/>
      <c r="BG479" s="171"/>
      <c r="BH479" s="171"/>
      <c r="BI479" s="171"/>
      <c r="BJ479" s="171"/>
      <c r="BK479" s="171"/>
      <c r="BL479" s="171">
        <v>1</v>
      </c>
      <c r="BM479" s="171">
        <v>1</v>
      </c>
      <c r="BN479" s="171"/>
      <c r="BO479" s="171"/>
      <c r="BP479" s="171"/>
      <c r="BQ479" s="171"/>
      <c r="BR479" s="171"/>
      <c r="BS479" s="171">
        <v>1</v>
      </c>
      <c r="BT479" s="171"/>
      <c r="BU479" s="171">
        <v>1</v>
      </c>
      <c r="BV479" s="171"/>
      <c r="BW479" s="171"/>
      <c r="BX479" s="171"/>
      <c r="BY479" s="171"/>
      <c r="BZ479" s="171">
        <v>1</v>
      </c>
      <c r="CA479" s="171"/>
      <c r="CB479" s="171">
        <v>1</v>
      </c>
      <c r="CC479" s="171"/>
      <c r="CD479" s="171"/>
      <c r="CE479" s="171">
        <v>1</v>
      </c>
      <c r="CF479" s="171"/>
      <c r="CG479" s="171">
        <v>1</v>
      </c>
      <c r="CH479" s="171">
        <v>1</v>
      </c>
      <c r="CI479" s="171"/>
      <c r="CJ479" s="171"/>
      <c r="CK479" s="171"/>
      <c r="CL479" s="171"/>
    </row>
    <row r="480" spans="1:91">
      <c r="A480" s="171">
        <v>473</v>
      </c>
      <c r="B480" s="171" t="s">
        <v>7260</v>
      </c>
      <c r="C480" s="171"/>
      <c r="D480" s="171" t="str">
        <f t="shared" si="49"/>
        <v/>
      </c>
      <c r="E480" s="171" t="s">
        <v>7259</v>
      </c>
      <c r="F480" s="174">
        <v>45511</v>
      </c>
      <c r="G480" s="171"/>
      <c r="H480" s="173">
        <v>4936.3999999999996</v>
      </c>
      <c r="I480" s="171"/>
      <c r="J480" s="171" t="s">
        <v>4465</v>
      </c>
      <c r="K480" s="171" t="s">
        <v>972</v>
      </c>
      <c r="L480" s="171" t="s">
        <v>1994</v>
      </c>
      <c r="M480" s="171" t="s">
        <v>5032</v>
      </c>
      <c r="N480" s="171"/>
      <c r="O480" s="171"/>
      <c r="P480" s="171" t="s">
        <v>5032</v>
      </c>
      <c r="Q480" s="171"/>
      <c r="R480" s="171"/>
      <c r="S480" s="171"/>
      <c r="T480" s="171"/>
      <c r="U480" s="171"/>
      <c r="V480" s="175"/>
      <c r="W480" s="171"/>
      <c r="X480" s="171" t="s">
        <v>5032</v>
      </c>
      <c r="Y480" s="171"/>
      <c r="Z480" s="171"/>
      <c r="AA480" s="171" t="s">
        <v>5032</v>
      </c>
      <c r="AB480" s="171"/>
      <c r="AC480" s="171"/>
      <c r="AD480" s="171"/>
      <c r="AE480" s="171"/>
      <c r="AF480" s="171"/>
      <c r="AG480" s="171"/>
      <c r="AH480" s="171"/>
      <c r="AI480" s="171"/>
      <c r="AJ480" s="171"/>
      <c r="AK480" s="171"/>
      <c r="AL480" s="171"/>
      <c r="AM480" s="171"/>
      <c r="AN480" s="171" t="s">
        <v>5032</v>
      </c>
      <c r="AO480" s="171"/>
      <c r="AP480" s="171"/>
      <c r="AQ480" s="171" t="s">
        <v>5032</v>
      </c>
      <c r="AR480" s="171"/>
      <c r="AS480" s="171"/>
      <c r="AT480" s="171"/>
      <c r="AU480" s="171"/>
      <c r="AV480" s="171"/>
      <c r="AW480" s="171"/>
      <c r="AX480" s="171"/>
      <c r="AY480" s="171"/>
      <c r="AZ480" s="171"/>
      <c r="BA480" s="171"/>
      <c r="BB480" s="171"/>
      <c r="BC480" s="171"/>
      <c r="BD480" s="171"/>
      <c r="BE480" s="171"/>
      <c r="BF480" s="225"/>
      <c r="BG480" s="171"/>
      <c r="BH480" s="171"/>
      <c r="BI480" s="171"/>
      <c r="BJ480" s="171"/>
      <c r="BK480" s="171"/>
      <c r="BL480" s="171"/>
      <c r="BM480" s="171"/>
      <c r="BN480" s="171"/>
      <c r="BO480" s="171"/>
      <c r="BP480" s="171"/>
      <c r="BQ480" s="171"/>
      <c r="BR480" s="171"/>
      <c r="BS480" s="171"/>
      <c r="BT480" s="171"/>
      <c r="BU480" s="171"/>
      <c r="BV480" s="171"/>
      <c r="BW480" s="171"/>
      <c r="BX480" s="171"/>
      <c r="BY480" s="171"/>
      <c r="BZ480" s="171"/>
      <c r="CA480" s="171"/>
      <c r="CB480" s="171"/>
      <c r="CC480" s="171"/>
      <c r="CD480" s="171"/>
      <c r="CE480" s="171"/>
      <c r="CF480" s="171"/>
      <c r="CG480" s="171"/>
      <c r="CH480" s="171"/>
      <c r="CI480" s="171"/>
      <c r="CJ480" s="171"/>
      <c r="CK480" s="171"/>
      <c r="CL480" s="171"/>
    </row>
    <row r="481" spans="1:91">
      <c r="A481" s="171">
        <v>60</v>
      </c>
      <c r="B481" s="171" t="s">
        <v>1753</v>
      </c>
      <c r="C481" s="171">
        <v>66</v>
      </c>
      <c r="D481" s="171" t="str">
        <f t="shared" si="49"/>
        <v xml:space="preserve"> NZ</v>
      </c>
      <c r="E481" s="171" t="s">
        <v>7220</v>
      </c>
      <c r="F481" s="174">
        <v>45475</v>
      </c>
      <c r="G481" s="171" t="s">
        <v>7220</v>
      </c>
      <c r="H481" s="173">
        <v>-3080</v>
      </c>
      <c r="I481" s="171"/>
      <c r="J481" s="171" t="s">
        <v>4467</v>
      </c>
      <c r="K481" s="171" t="s">
        <v>4457</v>
      </c>
      <c r="L481" s="171" t="s">
        <v>2029</v>
      </c>
      <c r="M481" s="171" t="s">
        <v>5032</v>
      </c>
      <c r="N481" s="171"/>
      <c r="O481" s="171"/>
      <c r="P481" s="171" t="s">
        <v>5032</v>
      </c>
      <c r="Q481" s="171"/>
      <c r="R481" s="171"/>
      <c r="S481" s="171"/>
      <c r="T481" s="171"/>
      <c r="U481" s="171"/>
      <c r="V481" s="175"/>
      <c r="W481" s="171"/>
      <c r="X481" s="171" t="s">
        <v>5032</v>
      </c>
      <c r="Y481" s="171"/>
      <c r="Z481" s="171"/>
      <c r="AA481" s="171" t="s">
        <v>5032</v>
      </c>
      <c r="AB481" s="171"/>
      <c r="AC481" s="171"/>
      <c r="AD481" s="171"/>
      <c r="AE481" s="171"/>
      <c r="AF481" s="171"/>
      <c r="AG481" s="171"/>
      <c r="AH481" s="171"/>
      <c r="AI481" s="171"/>
      <c r="AJ481" s="171"/>
      <c r="AK481" s="171"/>
      <c r="AL481" s="171"/>
      <c r="AM481" s="171"/>
      <c r="AN481" s="171" t="s">
        <v>7227</v>
      </c>
      <c r="AO481" s="171" t="s">
        <v>7258</v>
      </c>
      <c r="AP481" s="171" t="s">
        <v>2072</v>
      </c>
      <c r="AQ481" s="171" t="s">
        <v>1957</v>
      </c>
      <c r="AR481" s="171">
        <v>2035</v>
      </c>
      <c r="AS481" s="171">
        <v>2021</v>
      </c>
      <c r="AT481" s="171" t="s">
        <v>4172</v>
      </c>
      <c r="AU481" s="171">
        <v>2040</v>
      </c>
      <c r="AV481" s="171">
        <v>2021</v>
      </c>
      <c r="AW481" s="171" t="s">
        <v>2082</v>
      </c>
      <c r="AX481" s="171" t="s">
        <v>7257</v>
      </c>
      <c r="AY481" s="171"/>
      <c r="AZ481" s="171"/>
      <c r="BA481" s="171"/>
      <c r="BB481" s="171"/>
      <c r="BC481" s="171" t="s">
        <v>7256</v>
      </c>
      <c r="BD481" s="171"/>
      <c r="BE481" s="171"/>
      <c r="BF481" s="225"/>
      <c r="BG481" s="171"/>
      <c r="BH481" s="171"/>
      <c r="BI481" s="171"/>
      <c r="BJ481" s="171"/>
      <c r="BK481" s="171"/>
      <c r="BL481" s="171"/>
      <c r="BM481" s="171"/>
      <c r="BN481" s="171"/>
      <c r="BO481" s="171"/>
      <c r="BP481" s="171">
        <v>1</v>
      </c>
      <c r="BQ481" s="171">
        <v>1</v>
      </c>
      <c r="BR481" s="171"/>
      <c r="BS481" s="171"/>
      <c r="BT481" s="171"/>
      <c r="BU481" s="171"/>
      <c r="BV481" s="171"/>
      <c r="BW481" s="171"/>
      <c r="BX481" s="171"/>
      <c r="BY481" s="171"/>
      <c r="BZ481" s="171">
        <v>1</v>
      </c>
      <c r="CA481" s="171"/>
      <c r="CB481" s="171">
        <v>1</v>
      </c>
      <c r="CC481" s="171"/>
      <c r="CD481" s="171"/>
      <c r="CE481" s="171">
        <v>1</v>
      </c>
      <c r="CF481" s="171"/>
      <c r="CG481" s="171"/>
      <c r="CH481" s="171">
        <v>1</v>
      </c>
      <c r="CI481" s="171"/>
      <c r="CJ481" s="171"/>
      <c r="CK481" s="171">
        <v>1</v>
      </c>
      <c r="CL481" s="171">
        <v>1</v>
      </c>
      <c r="CM481">
        <f t="shared" si="50"/>
        <v>2035</v>
      </c>
    </row>
    <row r="482" spans="1:91">
      <c r="A482" s="171">
        <v>1</v>
      </c>
      <c r="B482" s="171" t="s">
        <v>1889</v>
      </c>
      <c r="C482" s="171">
        <v>1</v>
      </c>
      <c r="D482" s="171" t="str">
        <f t="shared" si="49"/>
        <v xml:space="preserve"> NZ SBT RE100</v>
      </c>
      <c r="E482" s="171" t="s">
        <v>7255</v>
      </c>
      <c r="F482" s="174">
        <v>45474</v>
      </c>
      <c r="G482" s="171" t="s">
        <v>7223</v>
      </c>
      <c r="H482" s="173">
        <v>15511</v>
      </c>
      <c r="I482" s="171"/>
      <c r="J482" s="171" t="s">
        <v>4467</v>
      </c>
      <c r="K482" s="171" t="s">
        <v>4457</v>
      </c>
      <c r="L482" s="171" t="s">
        <v>2029</v>
      </c>
      <c r="M482" s="171" t="s">
        <v>4174</v>
      </c>
      <c r="N482" s="171">
        <v>2015</v>
      </c>
      <c r="O482" s="171">
        <v>2035</v>
      </c>
      <c r="P482" s="171" t="s">
        <v>4174</v>
      </c>
      <c r="Q482" s="171" t="s">
        <v>22</v>
      </c>
      <c r="R482" s="171" t="s">
        <v>7233</v>
      </c>
      <c r="S482" s="171">
        <v>2025</v>
      </c>
      <c r="T482" s="171" t="s">
        <v>1</v>
      </c>
      <c r="U482" s="171"/>
      <c r="V482" s="172">
        <v>42675</v>
      </c>
      <c r="W482" s="171">
        <v>2016</v>
      </c>
      <c r="X482" s="171" t="s">
        <v>5032</v>
      </c>
      <c r="Y482" s="171"/>
      <c r="Z482" s="171"/>
      <c r="AA482" s="171" t="s">
        <v>5032</v>
      </c>
      <c r="AB482" s="171"/>
      <c r="AC482" s="171"/>
      <c r="AD482" s="171"/>
      <c r="AE482" s="171"/>
      <c r="AF482" s="171"/>
      <c r="AG482" s="171"/>
      <c r="AH482" s="171"/>
      <c r="AI482" s="171"/>
      <c r="AJ482" s="171"/>
      <c r="AK482" s="171"/>
      <c r="AL482" s="171"/>
      <c r="AM482" s="171"/>
      <c r="AN482" s="171" t="s">
        <v>1957</v>
      </c>
      <c r="AO482" s="171" t="s">
        <v>1659</v>
      </c>
      <c r="AP482" s="171" t="s">
        <v>7254</v>
      </c>
      <c r="AQ482" s="171" t="s">
        <v>1957</v>
      </c>
      <c r="AR482" s="171">
        <v>2050</v>
      </c>
      <c r="AS482" s="171">
        <v>2020</v>
      </c>
      <c r="AT482" s="171"/>
      <c r="AU482" s="171"/>
      <c r="AV482" s="171"/>
      <c r="AW482" s="171" t="s">
        <v>5032</v>
      </c>
      <c r="AX482" s="171" t="s">
        <v>7253</v>
      </c>
      <c r="AY482" s="171">
        <v>2022</v>
      </c>
      <c r="AZ482" s="171" t="s">
        <v>4174</v>
      </c>
      <c r="BA482" s="171" t="s">
        <v>7252</v>
      </c>
      <c r="BB482" s="171"/>
      <c r="BC482" s="171" t="s">
        <v>7251</v>
      </c>
      <c r="BD482" s="171"/>
      <c r="BE482" s="171"/>
      <c r="BF482" s="225"/>
      <c r="BG482" s="171"/>
      <c r="BH482" s="171"/>
      <c r="BI482" s="171"/>
      <c r="BJ482" s="171"/>
      <c r="BK482" s="171"/>
      <c r="BL482" s="171"/>
      <c r="BM482" s="171"/>
      <c r="BN482" s="171"/>
      <c r="BO482" s="171"/>
      <c r="BP482" s="171">
        <v>1</v>
      </c>
      <c r="BQ482" s="171">
        <v>1</v>
      </c>
      <c r="BR482" s="171"/>
      <c r="BS482" s="171">
        <v>1</v>
      </c>
      <c r="BT482" s="171"/>
      <c r="BU482" s="171">
        <v>1</v>
      </c>
      <c r="BV482" s="171"/>
      <c r="BW482" s="171"/>
      <c r="BX482" s="171">
        <v>1</v>
      </c>
      <c r="BY482" s="171">
        <v>1</v>
      </c>
      <c r="BZ482" s="171">
        <v>1</v>
      </c>
      <c r="CA482" s="171"/>
      <c r="CB482" s="171">
        <v>1</v>
      </c>
      <c r="CC482" s="171"/>
      <c r="CD482" s="171">
        <v>1</v>
      </c>
      <c r="CE482" s="171">
        <v>1</v>
      </c>
      <c r="CF482" s="171"/>
      <c r="CG482" s="171">
        <v>1</v>
      </c>
      <c r="CH482" s="171">
        <v>1</v>
      </c>
      <c r="CI482" s="171"/>
      <c r="CJ482" s="171"/>
      <c r="CK482" s="171"/>
      <c r="CL482" s="171"/>
      <c r="CM482">
        <f t="shared" si="50"/>
        <v>2050</v>
      </c>
    </row>
    <row r="483" spans="1:91">
      <c r="A483" s="171">
        <v>131</v>
      </c>
      <c r="B483" s="171" t="s">
        <v>1263</v>
      </c>
      <c r="C483" s="171">
        <v>145</v>
      </c>
      <c r="D483" s="171" t="str">
        <f t="shared" si="49"/>
        <v xml:space="preserve"> NZ SBT</v>
      </c>
      <c r="E483" s="171" t="s">
        <v>7220</v>
      </c>
      <c r="F483" s="174">
        <v>45476</v>
      </c>
      <c r="G483" s="171" t="s">
        <v>7223</v>
      </c>
      <c r="H483" s="173">
        <v>2354</v>
      </c>
      <c r="I483" s="171"/>
      <c r="J483" s="171" t="s">
        <v>4190</v>
      </c>
      <c r="K483" s="171" t="s">
        <v>4457</v>
      </c>
      <c r="L483" s="171" t="s">
        <v>2029</v>
      </c>
      <c r="M483" s="171" t="s">
        <v>5032</v>
      </c>
      <c r="N483" s="171"/>
      <c r="O483" s="171"/>
      <c r="P483" s="171" t="s">
        <v>4174</v>
      </c>
      <c r="Q483" s="171" t="s">
        <v>22</v>
      </c>
      <c r="R483" s="171" t="s">
        <v>7233</v>
      </c>
      <c r="S483" s="171">
        <v>2030</v>
      </c>
      <c r="T483" s="171" t="s">
        <v>1</v>
      </c>
      <c r="U483" s="171"/>
      <c r="V483" s="172">
        <v>45231</v>
      </c>
      <c r="W483" s="171">
        <v>2023</v>
      </c>
      <c r="X483" s="171" t="s">
        <v>5032</v>
      </c>
      <c r="Y483" s="171"/>
      <c r="Z483" s="171"/>
      <c r="AA483" s="171" t="s">
        <v>5032</v>
      </c>
      <c r="AB483" s="171"/>
      <c r="AC483" s="171"/>
      <c r="AD483" s="171"/>
      <c r="AE483" s="171"/>
      <c r="AF483" s="171"/>
      <c r="AG483" s="171"/>
      <c r="AH483" s="171"/>
      <c r="AI483" s="171"/>
      <c r="AJ483" s="171"/>
      <c r="AK483" s="171"/>
      <c r="AL483" s="171"/>
      <c r="AM483" s="171"/>
      <c r="AN483" s="171" t="s">
        <v>7236</v>
      </c>
      <c r="AO483" s="171" t="s">
        <v>109</v>
      </c>
      <c r="AP483" s="171" t="s">
        <v>2072</v>
      </c>
      <c r="AQ483" s="171" t="s">
        <v>7236</v>
      </c>
      <c r="AR483" s="171">
        <v>2030</v>
      </c>
      <c r="AS483" s="171">
        <v>2022</v>
      </c>
      <c r="AT483" s="171"/>
      <c r="AU483" s="171"/>
      <c r="AV483" s="171"/>
      <c r="AW483" s="171" t="s">
        <v>4174</v>
      </c>
      <c r="AX483" s="171" t="s">
        <v>7250</v>
      </c>
      <c r="AY483" s="171"/>
      <c r="AZ483" s="171"/>
      <c r="BA483" s="171"/>
      <c r="BB483" s="171"/>
      <c r="BC483" s="171"/>
      <c r="BD483" s="171"/>
      <c r="BE483" s="171"/>
      <c r="BF483" s="225"/>
      <c r="BG483" s="171"/>
      <c r="BH483" s="171"/>
      <c r="BI483" s="171"/>
      <c r="BJ483" s="171"/>
      <c r="BK483" s="171"/>
      <c r="BL483" s="171"/>
      <c r="BM483" s="171"/>
      <c r="BN483" s="171"/>
      <c r="BO483" s="171">
        <v>1</v>
      </c>
      <c r="BP483" s="171"/>
      <c r="BQ483" s="171">
        <v>1</v>
      </c>
      <c r="BR483" s="171"/>
      <c r="BS483" s="171">
        <v>1</v>
      </c>
      <c r="BT483" s="171"/>
      <c r="BU483" s="171">
        <v>1</v>
      </c>
      <c r="BV483" s="171"/>
      <c r="BW483" s="171"/>
      <c r="BX483" s="171"/>
      <c r="BY483" s="171"/>
      <c r="BZ483" s="171">
        <v>1</v>
      </c>
      <c r="CA483" s="171">
        <v>1</v>
      </c>
      <c r="CB483" s="171">
        <v>1</v>
      </c>
      <c r="CC483" s="171">
        <v>1</v>
      </c>
      <c r="CD483" s="171"/>
      <c r="CE483" s="171">
        <v>1</v>
      </c>
      <c r="CF483" s="171"/>
      <c r="CG483" s="171">
        <v>1</v>
      </c>
      <c r="CH483" s="171">
        <v>1</v>
      </c>
      <c r="CI483" s="171"/>
      <c r="CJ483" s="171"/>
      <c r="CK483" s="171"/>
      <c r="CL483" s="171"/>
      <c r="CM483">
        <f t="shared" si="50"/>
        <v>2030</v>
      </c>
    </row>
    <row r="484" spans="1:91">
      <c r="A484" s="171">
        <v>366</v>
      </c>
      <c r="B484" s="171" t="s">
        <v>5250</v>
      </c>
      <c r="C484" s="171">
        <v>449</v>
      </c>
      <c r="D484" s="171" t="str">
        <f t="shared" si="49"/>
        <v/>
      </c>
      <c r="E484" s="171" t="s">
        <v>7223</v>
      </c>
      <c r="F484" s="174">
        <v>45511</v>
      </c>
      <c r="G484" s="171" t="s">
        <v>7223</v>
      </c>
      <c r="H484" s="173">
        <v>-3126</v>
      </c>
      <c r="I484" s="171"/>
      <c r="J484" s="171" t="s">
        <v>4190</v>
      </c>
      <c r="K484" s="171" t="s">
        <v>4457</v>
      </c>
      <c r="L484" s="171" t="s">
        <v>2029</v>
      </c>
      <c r="M484" s="171" t="s">
        <v>5032</v>
      </c>
      <c r="N484" s="171"/>
      <c r="O484" s="171"/>
      <c r="P484" s="171" t="s">
        <v>5032</v>
      </c>
      <c r="Q484" s="171"/>
      <c r="R484" s="171"/>
      <c r="S484" s="171"/>
      <c r="T484" s="171"/>
      <c r="U484" s="171"/>
      <c r="V484" s="175"/>
      <c r="W484" s="171"/>
      <c r="X484" s="171" t="s">
        <v>5032</v>
      </c>
      <c r="Y484" s="171"/>
      <c r="Z484" s="171"/>
      <c r="AA484" s="171" t="s">
        <v>5032</v>
      </c>
      <c r="AB484" s="171"/>
      <c r="AC484" s="171"/>
      <c r="AD484" s="171"/>
      <c r="AE484" s="171"/>
      <c r="AF484" s="171"/>
      <c r="AG484" s="171"/>
      <c r="AH484" s="171"/>
      <c r="AI484" s="171"/>
      <c r="AJ484" s="171"/>
      <c r="AK484" s="171"/>
      <c r="AL484" s="171"/>
      <c r="AM484" s="171"/>
      <c r="AN484" s="171" t="s">
        <v>5032</v>
      </c>
      <c r="AO484" s="171"/>
      <c r="AP484" s="171"/>
      <c r="AQ484" s="171" t="s">
        <v>5032</v>
      </c>
      <c r="AR484" s="171"/>
      <c r="AS484" s="171"/>
      <c r="AT484" s="171"/>
      <c r="AU484" s="171"/>
      <c r="AV484" s="171"/>
      <c r="AW484" s="171"/>
      <c r="AX484" s="171"/>
      <c r="AY484" s="171"/>
      <c r="AZ484" s="171"/>
      <c r="BA484" s="171"/>
      <c r="BB484" s="171"/>
      <c r="BC484" s="171"/>
      <c r="BD484" s="171"/>
      <c r="BE484" s="171"/>
      <c r="BF484" s="225"/>
      <c r="BG484" s="171"/>
      <c r="BH484" s="171"/>
      <c r="BI484" s="171"/>
      <c r="BJ484" s="171"/>
      <c r="BK484" s="171"/>
      <c r="BL484" s="171"/>
      <c r="BM484" s="171"/>
      <c r="BN484" s="171"/>
      <c r="BO484" s="171"/>
      <c r="BP484" s="171"/>
      <c r="BQ484" s="171"/>
      <c r="BR484" s="171"/>
      <c r="BS484" s="171"/>
      <c r="BT484" s="171"/>
      <c r="BU484" s="171"/>
      <c r="BV484" s="171"/>
      <c r="BW484" s="171"/>
      <c r="BX484" s="171"/>
      <c r="BY484" s="171"/>
      <c r="BZ484" s="171"/>
      <c r="CA484" s="171"/>
      <c r="CB484" s="171"/>
      <c r="CC484" s="171"/>
      <c r="CD484" s="171"/>
      <c r="CE484" s="171"/>
      <c r="CF484" s="171"/>
      <c r="CG484" s="171"/>
      <c r="CH484" s="171"/>
      <c r="CI484" s="171"/>
      <c r="CJ484" s="171"/>
      <c r="CK484" s="171"/>
      <c r="CL484" s="171"/>
    </row>
    <row r="485" spans="1:91">
      <c r="A485" s="171">
        <v>80</v>
      </c>
      <c r="B485" s="171" t="s">
        <v>1661</v>
      </c>
      <c r="C485" s="171">
        <v>144</v>
      </c>
      <c r="D485" s="171" t="str">
        <f t="shared" si="49"/>
        <v>CN NZ</v>
      </c>
      <c r="E485" s="171" t="s">
        <v>7220</v>
      </c>
      <c r="F485" s="174">
        <v>45476</v>
      </c>
      <c r="G485" s="171" t="s">
        <v>7223</v>
      </c>
      <c r="H485" s="173">
        <v>19142</v>
      </c>
      <c r="I485" s="171"/>
      <c r="J485" s="171" t="s">
        <v>4465</v>
      </c>
      <c r="K485" s="171" t="s">
        <v>4457</v>
      </c>
      <c r="L485" s="171" t="s">
        <v>2029</v>
      </c>
      <c r="M485" s="171" t="s">
        <v>5032</v>
      </c>
      <c r="N485" s="171"/>
      <c r="O485" s="171"/>
      <c r="P485" s="171" t="s">
        <v>5032</v>
      </c>
      <c r="Q485" s="171"/>
      <c r="R485" s="171"/>
      <c r="S485" s="171"/>
      <c r="T485" s="171"/>
      <c r="U485" s="171"/>
      <c r="V485" s="175"/>
      <c r="W485" s="171"/>
      <c r="X485" s="171" t="s">
        <v>1957</v>
      </c>
      <c r="Y485" s="171" t="s">
        <v>7249</v>
      </c>
      <c r="Z485" s="171" t="s">
        <v>7248</v>
      </c>
      <c r="AA485" s="171" t="s">
        <v>1957</v>
      </c>
      <c r="AB485" s="171">
        <v>2019</v>
      </c>
      <c r="AC485" s="171">
        <v>2019</v>
      </c>
      <c r="AD485" s="171"/>
      <c r="AE485" s="171"/>
      <c r="AF485" s="171"/>
      <c r="AG485" s="171" t="s">
        <v>7247</v>
      </c>
      <c r="AH485" s="171">
        <v>2023</v>
      </c>
      <c r="AI485" s="171" t="s">
        <v>4174</v>
      </c>
      <c r="AJ485" s="171" t="s">
        <v>7246</v>
      </c>
      <c r="AK485" s="171"/>
      <c r="AL485" s="176" t="s">
        <v>7246</v>
      </c>
      <c r="AM485" s="171"/>
      <c r="AN485" s="171" t="s">
        <v>1957</v>
      </c>
      <c r="AO485" s="171" t="s">
        <v>109</v>
      </c>
      <c r="AP485" s="171" t="s">
        <v>2072</v>
      </c>
      <c r="AQ485" s="171" t="s">
        <v>1957</v>
      </c>
      <c r="AR485" s="171">
        <v>2050</v>
      </c>
      <c r="AS485" s="171">
        <v>2021</v>
      </c>
      <c r="AT485" s="171"/>
      <c r="AU485" s="171"/>
      <c r="AV485" s="171"/>
      <c r="AW485" s="171" t="s">
        <v>4174</v>
      </c>
      <c r="AX485" s="171" t="s">
        <v>7245</v>
      </c>
      <c r="AY485" s="171"/>
      <c r="AZ485" s="171"/>
      <c r="BA485" s="171"/>
      <c r="BB485" s="171"/>
      <c r="BC485" s="171"/>
      <c r="BD485" s="171"/>
      <c r="BE485" s="171"/>
      <c r="BF485" s="225"/>
      <c r="BG485" s="171"/>
      <c r="BH485" s="171"/>
      <c r="BI485" s="171"/>
      <c r="BJ485" s="171">
        <v>1</v>
      </c>
      <c r="BK485" s="171"/>
      <c r="BL485" s="171"/>
      <c r="BM485" s="171">
        <v>1</v>
      </c>
      <c r="BN485" s="171"/>
      <c r="BO485" s="171"/>
      <c r="BP485" s="171">
        <v>1</v>
      </c>
      <c r="BQ485" s="171">
        <v>1</v>
      </c>
      <c r="BR485" s="171"/>
      <c r="BS485" s="171"/>
      <c r="BT485" s="171"/>
      <c r="BU485" s="171"/>
      <c r="BV485" s="171"/>
      <c r="BW485" s="171"/>
      <c r="BX485" s="171"/>
      <c r="BY485" s="171"/>
      <c r="BZ485" s="171">
        <v>1</v>
      </c>
      <c r="CA485" s="171">
        <v>1</v>
      </c>
      <c r="CB485" s="171">
        <v>1</v>
      </c>
      <c r="CC485" s="171">
        <v>1</v>
      </c>
      <c r="CD485" s="171"/>
      <c r="CE485" s="171">
        <v>1</v>
      </c>
      <c r="CF485" s="171">
        <v>1</v>
      </c>
      <c r="CG485" s="171">
        <v>1</v>
      </c>
      <c r="CH485" s="171">
        <v>1</v>
      </c>
      <c r="CI485" s="171"/>
      <c r="CJ485" s="171"/>
      <c r="CK485" s="171"/>
      <c r="CL485" s="171"/>
      <c r="CM485">
        <f t="shared" si="50"/>
        <v>2050</v>
      </c>
    </row>
    <row r="486" spans="1:91">
      <c r="A486" s="171">
        <v>198</v>
      </c>
      <c r="B486" s="171" t="s">
        <v>962</v>
      </c>
      <c r="C486" s="171">
        <v>174</v>
      </c>
      <c r="D486" s="171" t="str">
        <f t="shared" si="49"/>
        <v xml:space="preserve"> SBT</v>
      </c>
      <c r="E486" s="171" t="s">
        <v>7223</v>
      </c>
      <c r="F486" s="174">
        <v>45476</v>
      </c>
      <c r="G486" s="171" t="s">
        <v>7220</v>
      </c>
      <c r="H486" s="173">
        <v>1524.8</v>
      </c>
      <c r="I486" s="171"/>
      <c r="J486" s="171" t="s">
        <v>4455</v>
      </c>
      <c r="K486" s="171" t="s">
        <v>183</v>
      </c>
      <c r="L486" s="171" t="s">
        <v>1994</v>
      </c>
      <c r="M486" s="171" t="s">
        <v>5032</v>
      </c>
      <c r="N486" s="171"/>
      <c r="O486" s="171"/>
      <c r="P486" s="171" t="s">
        <v>5032</v>
      </c>
      <c r="Q486" s="171" t="s">
        <v>165</v>
      </c>
      <c r="R486" s="171"/>
      <c r="S486" s="171">
        <v>2030</v>
      </c>
      <c r="T486" s="171" t="s">
        <v>361</v>
      </c>
      <c r="U486" s="171"/>
      <c r="V486" s="172">
        <v>44835</v>
      </c>
      <c r="W486" s="171">
        <v>2022</v>
      </c>
      <c r="X486" s="171" t="s">
        <v>5032</v>
      </c>
      <c r="Y486" s="171"/>
      <c r="Z486" s="171"/>
      <c r="AA486" s="171" t="s">
        <v>5032</v>
      </c>
      <c r="AB486" s="171"/>
      <c r="AC486" s="171"/>
      <c r="AD486" s="171"/>
      <c r="AE486" s="171"/>
      <c r="AF486" s="171"/>
      <c r="AG486" s="171"/>
      <c r="AH486" s="171"/>
      <c r="AI486" s="171"/>
      <c r="AJ486" s="171"/>
      <c r="AK486" s="171"/>
      <c r="AL486" s="171"/>
      <c r="AM486" s="171"/>
      <c r="AN486" s="171" t="s">
        <v>5032</v>
      </c>
      <c r="AO486" s="171"/>
      <c r="AP486" s="171"/>
      <c r="AQ486" s="171" t="s">
        <v>5032</v>
      </c>
      <c r="AR486" s="171"/>
      <c r="AS486" s="171"/>
      <c r="AT486" s="171"/>
      <c r="AU486" s="171"/>
      <c r="AV486" s="171"/>
      <c r="AW486" s="171"/>
      <c r="AX486" s="171" t="s">
        <v>7244</v>
      </c>
      <c r="AY486" s="171"/>
      <c r="AZ486" s="171"/>
      <c r="BA486" s="171"/>
      <c r="BB486" s="171"/>
      <c r="BC486" s="171" t="s">
        <v>7243</v>
      </c>
      <c r="BD486" s="171" t="s">
        <v>5032</v>
      </c>
      <c r="BE486" s="171"/>
      <c r="BF486" s="225" t="s">
        <v>5032</v>
      </c>
      <c r="BG486" s="171"/>
      <c r="BH486" s="171"/>
      <c r="BI486" s="171"/>
      <c r="BJ486" s="171"/>
      <c r="BK486" s="171"/>
      <c r="BL486" s="171"/>
      <c r="BM486" s="171"/>
      <c r="BN486" s="171"/>
      <c r="BO486" s="171"/>
      <c r="BP486" s="171"/>
      <c r="BQ486" s="171"/>
      <c r="BR486" s="171"/>
      <c r="BS486" s="171">
        <v>1</v>
      </c>
      <c r="BT486" s="171"/>
      <c r="BU486" s="171">
        <v>1</v>
      </c>
      <c r="BV486" s="171"/>
      <c r="BW486" s="171"/>
      <c r="BX486" s="171"/>
      <c r="BY486" s="171"/>
      <c r="BZ486" s="171"/>
      <c r="CA486" s="171"/>
      <c r="CB486" s="171"/>
      <c r="CC486" s="171"/>
      <c r="CD486" s="171"/>
      <c r="CE486" s="171">
        <v>1</v>
      </c>
      <c r="CF486" s="171"/>
      <c r="CG486" s="171">
        <v>1</v>
      </c>
      <c r="CH486" s="171">
        <v>1</v>
      </c>
      <c r="CI486" s="171"/>
      <c r="CJ486" s="171"/>
      <c r="CK486" s="171"/>
      <c r="CL486" s="171"/>
    </row>
    <row r="487" spans="1:91">
      <c r="A487" s="171">
        <v>353</v>
      </c>
      <c r="B487" s="171" t="s">
        <v>1051</v>
      </c>
      <c r="C487" s="171">
        <v>335</v>
      </c>
      <c r="D487" s="171" t="str">
        <f t="shared" si="49"/>
        <v xml:space="preserve"> NZ SBT RE100</v>
      </c>
      <c r="E487" s="171" t="s">
        <v>7228</v>
      </c>
      <c r="F487" s="174">
        <v>45482</v>
      </c>
      <c r="G487" s="171" t="s">
        <v>7220</v>
      </c>
      <c r="H487" s="173">
        <v>1088.5999999999999</v>
      </c>
      <c r="I487" s="171"/>
      <c r="J487" s="171" t="s">
        <v>4467</v>
      </c>
      <c r="K487" s="171" t="s">
        <v>161</v>
      </c>
      <c r="L487" s="171" t="s">
        <v>8320</v>
      </c>
      <c r="M487" s="171" t="s">
        <v>4174</v>
      </c>
      <c r="N487" s="171">
        <v>2020</v>
      </c>
      <c r="O487" s="171">
        <v>2025</v>
      </c>
      <c r="P487" s="171" t="s">
        <v>4174</v>
      </c>
      <c r="Q487" s="171" t="s">
        <v>22</v>
      </c>
      <c r="R487" s="171" t="s">
        <v>7233</v>
      </c>
      <c r="S487" s="171">
        <v>2030</v>
      </c>
      <c r="T487" s="171" t="s">
        <v>361</v>
      </c>
      <c r="U487" s="171"/>
      <c r="V487" s="172">
        <v>44075</v>
      </c>
      <c r="W487" s="171">
        <v>2020</v>
      </c>
      <c r="X487" s="171" t="s">
        <v>5032</v>
      </c>
      <c r="Y487" s="171"/>
      <c r="Z487" s="171"/>
      <c r="AA487" s="171" t="s">
        <v>5032</v>
      </c>
      <c r="AB487" s="171"/>
      <c r="AC487" s="171"/>
      <c r="AD487" s="171"/>
      <c r="AE487" s="171"/>
      <c r="AF487" s="171"/>
      <c r="AG487" s="171"/>
      <c r="AH487" s="171"/>
      <c r="AI487" s="171"/>
      <c r="AJ487" s="171"/>
      <c r="AK487" s="171"/>
      <c r="AL487" s="171"/>
      <c r="AM487" s="171"/>
      <c r="AN487" s="171" t="s">
        <v>1957</v>
      </c>
      <c r="AO487" s="171" t="s">
        <v>4511</v>
      </c>
      <c r="AP487" s="171" t="s">
        <v>7242</v>
      </c>
      <c r="AQ487" s="171" t="s">
        <v>1957</v>
      </c>
      <c r="AR487" s="171">
        <v>2050</v>
      </c>
      <c r="AS487" s="171">
        <v>2020</v>
      </c>
      <c r="AT487" s="171"/>
      <c r="AU487" s="171"/>
      <c r="AV487" s="171"/>
      <c r="AW487" s="171" t="s">
        <v>4174</v>
      </c>
      <c r="AX487" s="176" t="s">
        <v>5729</v>
      </c>
      <c r="AY487" s="171"/>
      <c r="AZ487" s="171"/>
      <c r="BA487" s="171"/>
      <c r="BB487" s="171"/>
      <c r="BC487" s="171" t="s">
        <v>7241</v>
      </c>
      <c r="BD487" s="171"/>
      <c r="BE487" s="171"/>
      <c r="BF487" s="225"/>
      <c r="BG487" s="171"/>
      <c r="BH487" s="171"/>
      <c r="BI487" s="171"/>
      <c r="BJ487" s="171"/>
      <c r="BK487" s="171"/>
      <c r="BL487" s="171"/>
      <c r="BM487" s="171"/>
      <c r="BN487" s="171"/>
      <c r="BO487" s="171"/>
      <c r="BP487" s="171">
        <v>1</v>
      </c>
      <c r="BQ487" s="171">
        <v>1</v>
      </c>
      <c r="BR487" s="171"/>
      <c r="BS487" s="171">
        <v>1</v>
      </c>
      <c r="BT487" s="171"/>
      <c r="BU487" s="171">
        <v>1</v>
      </c>
      <c r="BV487" s="171"/>
      <c r="BW487" s="171">
        <v>1</v>
      </c>
      <c r="BX487" s="171"/>
      <c r="BY487" s="171">
        <v>1</v>
      </c>
      <c r="BZ487" s="171">
        <v>1</v>
      </c>
      <c r="CA487" s="171"/>
      <c r="CB487" s="171">
        <v>1</v>
      </c>
      <c r="CC487" s="171">
        <v>1</v>
      </c>
      <c r="CD487" s="171"/>
      <c r="CE487" s="171">
        <v>1</v>
      </c>
      <c r="CF487" s="171"/>
      <c r="CG487" s="171">
        <v>1</v>
      </c>
      <c r="CH487" s="171">
        <v>1</v>
      </c>
      <c r="CI487" s="171"/>
      <c r="CJ487" s="171"/>
      <c r="CK487" s="171"/>
      <c r="CL487" s="171"/>
      <c r="CM487">
        <f t="shared" si="50"/>
        <v>2050</v>
      </c>
    </row>
    <row r="488" spans="1:91">
      <c r="A488" s="171">
        <v>319</v>
      </c>
      <c r="B488" s="171" t="s">
        <v>6178</v>
      </c>
      <c r="C488" s="171">
        <v>234</v>
      </c>
      <c r="D488" s="171" t="str">
        <f t="shared" si="49"/>
        <v/>
      </c>
      <c r="E488" s="171" t="s">
        <v>7221</v>
      </c>
      <c r="F488" s="174">
        <v>45477</v>
      </c>
      <c r="G488" s="171" t="s">
        <v>7220</v>
      </c>
      <c r="H488" s="173">
        <v>52.9</v>
      </c>
      <c r="I488" s="171"/>
      <c r="J488" s="171" t="s">
        <v>4199</v>
      </c>
      <c r="K488" s="171" t="s">
        <v>4457</v>
      </c>
      <c r="L488" s="171" t="s">
        <v>2029</v>
      </c>
      <c r="M488" s="171" t="s">
        <v>5032</v>
      </c>
      <c r="N488" s="171"/>
      <c r="O488" s="171"/>
      <c r="P488" s="171" t="s">
        <v>5032</v>
      </c>
      <c r="Q488" s="171"/>
      <c r="R488" s="171"/>
      <c r="S488" s="171"/>
      <c r="T488" s="171"/>
      <c r="U488" s="171"/>
      <c r="V488" s="175"/>
      <c r="W488" s="171"/>
      <c r="X488" s="171" t="s">
        <v>5032</v>
      </c>
      <c r="Y488" s="171"/>
      <c r="Z488" s="171"/>
      <c r="AA488" s="171" t="s">
        <v>5032</v>
      </c>
      <c r="AB488" s="171"/>
      <c r="AC488" s="171"/>
      <c r="AD488" s="171"/>
      <c r="AE488" s="171"/>
      <c r="AF488" s="171"/>
      <c r="AG488" s="171"/>
      <c r="AH488" s="171"/>
      <c r="AI488" s="171"/>
      <c r="AJ488" s="171"/>
      <c r="AK488" s="171"/>
      <c r="AL488" s="171"/>
      <c r="AM488" s="171"/>
      <c r="AN488" s="171" t="s">
        <v>5032</v>
      </c>
      <c r="AO488" s="171"/>
      <c r="AP488" s="171"/>
      <c r="AQ488" s="171" t="s">
        <v>5032</v>
      </c>
      <c r="AR488" s="171"/>
      <c r="AS488" s="171"/>
      <c r="AT488" s="171"/>
      <c r="AU488" s="171"/>
      <c r="AV488" s="171"/>
      <c r="AW488" s="171"/>
      <c r="AX488" s="171"/>
      <c r="AY488" s="171"/>
      <c r="AZ488" s="171"/>
      <c r="BA488" s="171"/>
      <c r="BB488" s="171"/>
      <c r="BC488" s="171" t="s">
        <v>7240</v>
      </c>
      <c r="BD488" s="171"/>
      <c r="BE488" s="171"/>
      <c r="BF488" s="225"/>
      <c r="BG488" s="171"/>
      <c r="BH488" s="171"/>
      <c r="BI488" s="171"/>
      <c r="BJ488" s="171"/>
      <c r="BK488" s="171"/>
      <c r="BL488" s="171"/>
      <c r="BM488" s="171"/>
      <c r="BN488" s="171"/>
      <c r="BO488" s="171"/>
      <c r="BP488" s="171"/>
      <c r="BQ488" s="171"/>
      <c r="BR488" s="171"/>
      <c r="BS488" s="171"/>
      <c r="BT488" s="171"/>
      <c r="BU488" s="171"/>
      <c r="BV488" s="171"/>
      <c r="BW488" s="171"/>
      <c r="BX488" s="171"/>
      <c r="BY488" s="171"/>
      <c r="BZ488" s="171"/>
      <c r="CA488" s="171"/>
      <c r="CB488" s="171"/>
      <c r="CC488" s="171"/>
      <c r="CD488" s="171"/>
      <c r="CE488" s="171"/>
      <c r="CF488" s="171"/>
      <c r="CG488" s="171"/>
      <c r="CH488" s="171"/>
      <c r="CI488" s="171"/>
      <c r="CJ488" s="171"/>
      <c r="CK488" s="171"/>
      <c r="CL488" s="171"/>
    </row>
    <row r="489" spans="1:91">
      <c r="A489" s="171">
        <v>150</v>
      </c>
      <c r="B489" s="171" t="s">
        <v>991</v>
      </c>
      <c r="C489" s="171">
        <v>138</v>
      </c>
      <c r="D489" s="171" t="str">
        <f t="shared" si="49"/>
        <v/>
      </c>
      <c r="E489" s="171" t="s">
        <v>7220</v>
      </c>
      <c r="F489" s="174">
        <v>45476</v>
      </c>
      <c r="G489" s="171" t="s">
        <v>7223</v>
      </c>
      <c r="H489" s="173">
        <v>510.9</v>
      </c>
      <c r="I489" s="171"/>
      <c r="J489" s="171" t="s">
        <v>4465</v>
      </c>
      <c r="K489" s="171" t="s">
        <v>73</v>
      </c>
      <c r="L489" s="171" t="s">
        <v>1994</v>
      </c>
      <c r="M489" s="171" t="s">
        <v>5032</v>
      </c>
      <c r="N489" s="171"/>
      <c r="O489" s="171"/>
      <c r="P489" s="171" t="s">
        <v>5032</v>
      </c>
      <c r="Q489" s="171"/>
      <c r="R489" s="171"/>
      <c r="S489" s="171"/>
      <c r="T489" s="171"/>
      <c r="U489" s="171"/>
      <c r="V489" s="175"/>
      <c r="W489" s="171"/>
      <c r="X489" s="171" t="s">
        <v>5032</v>
      </c>
      <c r="Y489" s="171"/>
      <c r="Z489" s="171"/>
      <c r="AA489" s="171" t="s">
        <v>5032</v>
      </c>
      <c r="AB489" s="171"/>
      <c r="AC489" s="171"/>
      <c r="AD489" s="171"/>
      <c r="AE489" s="171"/>
      <c r="AF489" s="171"/>
      <c r="AG489" s="171"/>
      <c r="AH489" s="171"/>
      <c r="AI489" s="171"/>
      <c r="AJ489" s="171"/>
      <c r="AK489" s="171"/>
      <c r="AL489" s="171"/>
      <c r="AM489" s="171"/>
      <c r="AN489" s="171" t="s">
        <v>5032</v>
      </c>
      <c r="AO489" s="171"/>
      <c r="AP489" s="171"/>
      <c r="AQ489" s="171" t="s">
        <v>5032</v>
      </c>
      <c r="AR489" s="171"/>
      <c r="AS489" s="171"/>
      <c r="AT489" s="171"/>
      <c r="AU489" s="171"/>
      <c r="AV489" s="171"/>
      <c r="AW489" s="171"/>
      <c r="AX489" s="171"/>
      <c r="AY489" s="171"/>
      <c r="AZ489" s="171"/>
      <c r="BA489" s="171"/>
      <c r="BB489" s="171"/>
      <c r="BC489" s="171"/>
      <c r="BD489" s="171"/>
      <c r="BE489" s="171"/>
      <c r="BF489" s="225"/>
      <c r="BG489" s="171"/>
      <c r="BH489" s="171"/>
      <c r="BI489" s="171"/>
      <c r="BJ489" s="171"/>
      <c r="BK489" s="171"/>
      <c r="BL489" s="171"/>
      <c r="BM489" s="171"/>
      <c r="BN489" s="171"/>
      <c r="BO489" s="171"/>
      <c r="BP489" s="171"/>
      <c r="BQ489" s="171"/>
      <c r="BR489" s="171"/>
      <c r="BS489" s="171"/>
      <c r="BT489" s="171"/>
      <c r="BU489" s="171"/>
      <c r="BV489" s="171"/>
      <c r="BW489" s="171"/>
      <c r="BX489" s="171"/>
      <c r="BY489" s="171"/>
      <c r="BZ489" s="171"/>
      <c r="CA489" s="171"/>
      <c r="CB489" s="171"/>
      <c r="CC489" s="171"/>
      <c r="CD489" s="171"/>
      <c r="CE489" s="171"/>
      <c r="CF489" s="171"/>
      <c r="CG489" s="171"/>
      <c r="CH489" s="171"/>
      <c r="CI489" s="171"/>
      <c r="CJ489" s="171"/>
      <c r="CK489" s="171"/>
      <c r="CL489" s="171"/>
    </row>
    <row r="490" spans="1:91">
      <c r="A490" s="171">
        <v>408</v>
      </c>
      <c r="B490" s="171" t="s">
        <v>2001</v>
      </c>
      <c r="C490" s="171">
        <v>398</v>
      </c>
      <c r="D490" s="171" t="str">
        <f t="shared" si="49"/>
        <v xml:space="preserve"> SBT</v>
      </c>
      <c r="E490" s="171" t="s">
        <v>7220</v>
      </c>
      <c r="F490" s="174">
        <v>45482</v>
      </c>
      <c r="G490" s="171" t="s">
        <v>7220</v>
      </c>
      <c r="H490" s="173">
        <v>918.8</v>
      </c>
      <c r="I490" s="171"/>
      <c r="J490" s="171" t="s">
        <v>4467</v>
      </c>
      <c r="K490" s="171" t="s">
        <v>972</v>
      </c>
      <c r="L490" s="171" t="s">
        <v>1994</v>
      </c>
      <c r="M490" s="171" t="s">
        <v>5032</v>
      </c>
      <c r="N490" s="171"/>
      <c r="O490" s="171"/>
      <c r="P490" s="171" t="s">
        <v>5032</v>
      </c>
      <c r="Q490" s="171" t="s">
        <v>165</v>
      </c>
      <c r="R490" s="171"/>
      <c r="S490" s="171">
        <v>2030</v>
      </c>
      <c r="T490" s="171" t="s">
        <v>1</v>
      </c>
      <c r="U490" s="171"/>
      <c r="V490" s="172">
        <v>44136</v>
      </c>
      <c r="W490" s="171">
        <v>2020</v>
      </c>
      <c r="X490" s="171" t="s">
        <v>5032</v>
      </c>
      <c r="Y490" s="171"/>
      <c r="Z490" s="171"/>
      <c r="AA490" s="171" t="s">
        <v>5032</v>
      </c>
      <c r="AB490" s="171"/>
      <c r="AC490" s="171"/>
      <c r="AD490" s="171"/>
      <c r="AE490" s="171"/>
      <c r="AF490" s="171"/>
      <c r="AG490" s="171"/>
      <c r="AH490" s="171"/>
      <c r="AI490" s="171"/>
      <c r="AJ490" s="171"/>
      <c r="AK490" s="171"/>
      <c r="AL490" s="171"/>
      <c r="AM490" s="171"/>
      <c r="AN490" s="171" t="s">
        <v>5032</v>
      </c>
      <c r="AO490" s="171"/>
      <c r="AP490" s="171"/>
      <c r="AQ490" s="171" t="s">
        <v>5032</v>
      </c>
      <c r="AR490" s="171"/>
      <c r="AS490" s="171"/>
      <c r="AT490" s="171"/>
      <c r="AU490" s="171"/>
      <c r="AV490" s="171"/>
      <c r="AW490" s="171"/>
      <c r="AX490" s="171"/>
      <c r="AY490" s="171"/>
      <c r="AZ490" s="171"/>
      <c r="BA490" s="171"/>
      <c r="BB490" s="171"/>
      <c r="BC490" s="171"/>
      <c r="BD490" s="171" t="s">
        <v>1957</v>
      </c>
      <c r="BE490" s="171" t="s">
        <v>7239</v>
      </c>
      <c r="BF490" s="225"/>
      <c r="BG490" s="171"/>
      <c r="BH490" s="171"/>
      <c r="BI490" s="171"/>
      <c r="BJ490" s="171"/>
      <c r="BK490" s="171"/>
      <c r="BL490" s="171"/>
      <c r="BM490" s="171"/>
      <c r="BN490" s="171"/>
      <c r="BO490" s="171"/>
      <c r="BP490" s="171"/>
      <c r="BQ490" s="171"/>
      <c r="BR490" s="171"/>
      <c r="BS490" s="171">
        <v>1</v>
      </c>
      <c r="BT490" s="171"/>
      <c r="BU490" s="171">
        <v>1</v>
      </c>
      <c r="BV490" s="171"/>
      <c r="BW490" s="171"/>
      <c r="BX490" s="171"/>
      <c r="BY490" s="171"/>
      <c r="BZ490" s="171"/>
      <c r="CA490" s="171"/>
      <c r="CB490" s="171"/>
      <c r="CC490" s="171"/>
      <c r="CD490" s="171"/>
      <c r="CE490" s="171">
        <v>1</v>
      </c>
      <c r="CF490" s="171"/>
      <c r="CG490" s="171">
        <v>1</v>
      </c>
      <c r="CH490" s="171">
        <v>1</v>
      </c>
      <c r="CI490" s="171"/>
      <c r="CJ490" s="171"/>
      <c r="CK490" s="171"/>
      <c r="CL490" s="171"/>
    </row>
    <row r="491" spans="1:91" ht="14.65" customHeight="1">
      <c r="A491" s="171">
        <v>85</v>
      </c>
      <c r="B491" s="171" t="s">
        <v>911</v>
      </c>
      <c r="C491" s="171">
        <v>69</v>
      </c>
      <c r="D491" s="171" t="str">
        <f t="shared" si="49"/>
        <v/>
      </c>
      <c r="E491" s="171" t="s">
        <v>7220</v>
      </c>
      <c r="F491" s="174">
        <v>45475</v>
      </c>
      <c r="G491" s="171" t="s">
        <v>7220</v>
      </c>
      <c r="H491" s="173">
        <v>1057.5999999999999</v>
      </c>
      <c r="I491" s="171"/>
      <c r="J491" s="171" t="s">
        <v>4465</v>
      </c>
      <c r="K491" s="171" t="s">
        <v>73</v>
      </c>
      <c r="L491" s="171" t="s">
        <v>1994</v>
      </c>
      <c r="M491" s="171" t="s">
        <v>5032</v>
      </c>
      <c r="N491" s="171"/>
      <c r="O491" s="171"/>
      <c r="P491" s="171" t="s">
        <v>5032</v>
      </c>
      <c r="Q491" s="171"/>
      <c r="R491" s="171"/>
      <c r="S491" s="171"/>
      <c r="T491" s="171"/>
      <c r="U491" s="171"/>
      <c r="V491" s="175"/>
      <c r="W491" s="171"/>
      <c r="X491" s="171" t="s">
        <v>5032</v>
      </c>
      <c r="Y491" s="171"/>
      <c r="Z491" s="171"/>
      <c r="AA491" s="171" t="s">
        <v>5032</v>
      </c>
      <c r="AB491" s="171"/>
      <c r="AC491" s="171"/>
      <c r="AD491" s="171"/>
      <c r="AE491" s="171"/>
      <c r="AF491" s="171"/>
      <c r="AG491" s="171"/>
      <c r="AH491" s="171"/>
      <c r="AI491" s="171"/>
      <c r="AJ491" s="171"/>
      <c r="AK491" s="171"/>
      <c r="AL491" s="171"/>
      <c r="AM491" s="171"/>
      <c r="AN491" s="171" t="s">
        <v>5032</v>
      </c>
      <c r="AO491" s="171"/>
      <c r="AP491" s="171"/>
      <c r="AQ491" s="171" t="s">
        <v>5032</v>
      </c>
      <c r="AR491" s="171"/>
      <c r="AS491" s="171"/>
      <c r="AT491" s="171"/>
      <c r="AU491" s="171"/>
      <c r="AV491" s="171"/>
      <c r="AW491" s="171"/>
      <c r="AX491" s="171"/>
      <c r="AY491" s="171"/>
      <c r="AZ491" s="171"/>
      <c r="BA491" s="171"/>
      <c r="BB491" s="171"/>
      <c r="BC491" s="171"/>
      <c r="BD491" s="171"/>
      <c r="BE491" s="171"/>
      <c r="BF491" s="225"/>
      <c r="BG491" s="171"/>
      <c r="BH491" s="171"/>
      <c r="BI491" s="171"/>
      <c r="BJ491" s="171"/>
      <c r="BK491" s="171"/>
      <c r="BL491" s="171"/>
      <c r="BM491" s="171"/>
      <c r="BN491" s="171"/>
      <c r="BO491" s="171"/>
      <c r="BP491" s="171"/>
      <c r="BQ491" s="171"/>
      <c r="BR491" s="171"/>
      <c r="BS491" s="171"/>
      <c r="BT491" s="171"/>
      <c r="BU491" s="171"/>
      <c r="BV491" s="171"/>
      <c r="BW491" s="171"/>
      <c r="BX491" s="171"/>
      <c r="BY491" s="171"/>
      <c r="BZ491" s="171"/>
      <c r="CA491" s="171"/>
      <c r="CB491" s="171"/>
      <c r="CC491" s="171"/>
      <c r="CD491" s="171"/>
      <c r="CE491" s="171"/>
      <c r="CF491" s="171"/>
      <c r="CG491" s="171"/>
      <c r="CH491" s="171"/>
      <c r="CI491" s="171"/>
      <c r="CJ491" s="171"/>
      <c r="CK491" s="171"/>
      <c r="CL491" s="171"/>
    </row>
    <row r="492" spans="1:91">
      <c r="A492" s="171">
        <v>142</v>
      </c>
      <c r="B492" s="171" t="s">
        <v>873</v>
      </c>
      <c r="C492" s="171">
        <v>95</v>
      </c>
      <c r="D492" s="171" t="str">
        <f t="shared" si="49"/>
        <v/>
      </c>
      <c r="E492" s="171" t="s">
        <v>7228</v>
      </c>
      <c r="F492" s="174">
        <v>45475</v>
      </c>
      <c r="G492" s="171" t="s">
        <v>7220</v>
      </c>
      <c r="H492" s="173">
        <v>178.9</v>
      </c>
      <c r="I492" s="171"/>
      <c r="J492" s="171" t="s">
        <v>4465</v>
      </c>
      <c r="K492" s="171" t="s">
        <v>73</v>
      </c>
      <c r="L492" s="171" t="s">
        <v>1994</v>
      </c>
      <c r="M492" s="171" t="s">
        <v>5032</v>
      </c>
      <c r="N492" s="171"/>
      <c r="O492" s="171"/>
      <c r="P492" s="171" t="s">
        <v>5032</v>
      </c>
      <c r="Q492" s="171"/>
      <c r="R492" s="171"/>
      <c r="S492" s="171"/>
      <c r="T492" s="171"/>
      <c r="U492" s="171"/>
      <c r="V492" s="175"/>
      <c r="W492" s="171"/>
      <c r="X492" s="171" t="s">
        <v>4519</v>
      </c>
      <c r="Y492" s="171" t="s">
        <v>5131</v>
      </c>
      <c r="Z492" s="171" t="s">
        <v>7238</v>
      </c>
      <c r="AA492" s="171" t="s">
        <v>4519</v>
      </c>
      <c r="AB492" s="171">
        <v>2060</v>
      </c>
      <c r="AC492" s="171">
        <v>2021</v>
      </c>
      <c r="AD492" s="171"/>
      <c r="AE492" s="171"/>
      <c r="AF492" s="171"/>
      <c r="AG492" s="171"/>
      <c r="AH492" s="171"/>
      <c r="AI492" s="171"/>
      <c r="AJ492" s="171"/>
      <c r="AK492" s="171"/>
      <c r="AL492" s="171" t="s">
        <v>7237</v>
      </c>
      <c r="AM492" s="171"/>
      <c r="AN492" s="171" t="s">
        <v>7229</v>
      </c>
      <c r="AO492" s="171"/>
      <c r="AP492" s="171"/>
      <c r="AQ492" s="171" t="s">
        <v>7229</v>
      </c>
      <c r="AR492" s="171"/>
      <c r="AS492" s="171"/>
      <c r="AT492" s="171"/>
      <c r="AU492" s="171"/>
      <c r="AV492" s="171"/>
      <c r="AW492" s="171"/>
      <c r="AX492" s="171"/>
      <c r="AY492" s="171"/>
      <c r="AZ492" s="171"/>
      <c r="BA492" s="171"/>
      <c r="BB492" s="171"/>
      <c r="BC492" s="171"/>
      <c r="BD492" s="171"/>
      <c r="BE492" s="171"/>
      <c r="BF492" s="225"/>
      <c r="BG492" s="171"/>
      <c r="BH492" s="171"/>
      <c r="BI492" s="171"/>
      <c r="BJ492" s="171"/>
      <c r="BK492" s="171"/>
      <c r="BL492" s="171"/>
      <c r="BM492" s="171"/>
      <c r="BN492" s="171"/>
      <c r="BO492" s="171"/>
      <c r="BP492" s="171"/>
      <c r="BQ492" s="171"/>
      <c r="BR492" s="171"/>
      <c r="BS492" s="171"/>
      <c r="BT492" s="171"/>
      <c r="BU492" s="171"/>
      <c r="BV492" s="171"/>
      <c r="BW492" s="171"/>
      <c r="BX492" s="171"/>
      <c r="BY492" s="171"/>
      <c r="BZ492" s="171"/>
      <c r="CA492" s="171"/>
      <c r="CB492" s="171"/>
      <c r="CC492" s="171"/>
      <c r="CD492" s="171"/>
      <c r="CE492" s="171"/>
      <c r="CF492" s="171"/>
      <c r="CG492" s="171"/>
      <c r="CH492" s="171"/>
      <c r="CI492" s="171"/>
      <c r="CJ492" s="171"/>
      <c r="CK492" s="171"/>
      <c r="CL492" s="171"/>
    </row>
    <row r="493" spans="1:91">
      <c r="A493" s="171">
        <v>397</v>
      </c>
      <c r="B493" s="171" t="s">
        <v>213</v>
      </c>
      <c r="C493" s="171">
        <v>360</v>
      </c>
      <c r="D493" s="171" t="str">
        <f t="shared" si="49"/>
        <v>CN</v>
      </c>
      <c r="E493" s="171" t="s">
        <v>7221</v>
      </c>
      <c r="F493" s="174">
        <v>45481</v>
      </c>
      <c r="G493" s="171" t="s">
        <v>7220</v>
      </c>
      <c r="H493" s="173">
        <v>2468.5</v>
      </c>
      <c r="I493" s="171"/>
      <c r="J493" s="171" t="s">
        <v>4459</v>
      </c>
      <c r="K493" s="171" t="s">
        <v>73</v>
      </c>
      <c r="L493" s="171" t="s">
        <v>1994</v>
      </c>
      <c r="M493" s="171" t="s">
        <v>5032</v>
      </c>
      <c r="N493" s="171"/>
      <c r="O493" s="171"/>
      <c r="P493" s="171" t="s">
        <v>5032</v>
      </c>
      <c r="Q493" s="171"/>
      <c r="R493" s="171"/>
      <c r="S493" s="171"/>
      <c r="T493" s="171"/>
      <c r="U493" s="171"/>
      <c r="V493" s="175"/>
      <c r="W493" s="171"/>
      <c r="X493" s="171" t="s">
        <v>7236</v>
      </c>
      <c r="Y493" s="171" t="s">
        <v>5131</v>
      </c>
      <c r="Z493" s="171" t="s">
        <v>4451</v>
      </c>
      <c r="AA493" s="171" t="s">
        <v>7236</v>
      </c>
      <c r="AB493" s="171">
        <v>2040</v>
      </c>
      <c r="AC493" s="171">
        <v>2023</v>
      </c>
      <c r="AD493" s="171"/>
      <c r="AE493" s="171"/>
      <c r="AF493" s="171"/>
      <c r="AG493" s="171" t="s">
        <v>4174</v>
      </c>
      <c r="AH493" s="171"/>
      <c r="AI493" s="171" t="s">
        <v>4174</v>
      </c>
      <c r="AJ493" s="171"/>
      <c r="AK493" s="171"/>
      <c r="AL493" s="171" t="s">
        <v>7235</v>
      </c>
      <c r="AM493" s="171"/>
      <c r="AN493" s="171" t="s">
        <v>5032</v>
      </c>
      <c r="AO493" s="171"/>
      <c r="AP493" s="171"/>
      <c r="AQ493" s="171" t="s">
        <v>5032</v>
      </c>
      <c r="AR493" s="171"/>
      <c r="AS493" s="171"/>
      <c r="AT493" s="171"/>
      <c r="AU493" s="171"/>
      <c r="AV493" s="171"/>
      <c r="AW493" s="171"/>
      <c r="AX493" s="171" t="s">
        <v>5624</v>
      </c>
      <c r="AY493" s="171"/>
      <c r="AZ493" s="171"/>
      <c r="BA493" s="171"/>
      <c r="BB493" s="171"/>
      <c r="BC493" s="171" t="s">
        <v>7234</v>
      </c>
      <c r="BD493" s="171"/>
      <c r="BE493" s="171"/>
      <c r="BF493" s="225"/>
      <c r="BG493" s="171"/>
      <c r="BH493" s="171"/>
      <c r="BI493" s="171"/>
      <c r="BJ493" s="171"/>
      <c r="BK493" s="171"/>
      <c r="BL493" s="171">
        <v>1</v>
      </c>
      <c r="BM493" s="171">
        <v>1</v>
      </c>
      <c r="BN493" s="171"/>
      <c r="BO493" s="171"/>
      <c r="BP493" s="171"/>
      <c r="BQ493" s="171"/>
      <c r="BR493" s="171"/>
      <c r="BS493" s="171"/>
      <c r="BT493" s="171"/>
      <c r="BU493" s="171"/>
      <c r="BV493" s="171"/>
      <c r="BW493" s="171"/>
      <c r="BX493" s="171"/>
      <c r="BY493" s="171"/>
      <c r="BZ493" s="171">
        <v>1</v>
      </c>
      <c r="CA493" s="171"/>
      <c r="CB493" s="171">
        <v>1</v>
      </c>
      <c r="CC493" s="171">
        <v>1</v>
      </c>
      <c r="CD493" s="171"/>
      <c r="CE493" s="171">
        <v>1</v>
      </c>
      <c r="CF493" s="171"/>
      <c r="CG493" s="171"/>
      <c r="CH493" s="171">
        <v>1</v>
      </c>
      <c r="CI493" s="171"/>
      <c r="CJ493" s="171"/>
      <c r="CK493" s="171"/>
      <c r="CL493" s="171"/>
    </row>
    <row r="494" spans="1:91">
      <c r="A494" s="171">
        <v>187</v>
      </c>
      <c r="B494" s="171" t="s">
        <v>702</v>
      </c>
      <c r="C494" s="171">
        <v>142</v>
      </c>
      <c r="D494" s="171" t="str">
        <f t="shared" si="49"/>
        <v/>
      </c>
      <c r="E494" s="171" t="s">
        <v>7220</v>
      </c>
      <c r="F494" s="174">
        <v>45476</v>
      </c>
      <c r="G494" s="171" t="s">
        <v>7223</v>
      </c>
      <c r="H494" s="173">
        <v>14.5</v>
      </c>
      <c r="I494" s="171"/>
      <c r="J494" s="171" t="s">
        <v>4465</v>
      </c>
      <c r="K494" s="171" t="s">
        <v>73</v>
      </c>
      <c r="L494" s="171" t="s">
        <v>1994</v>
      </c>
      <c r="M494" s="171" t="s">
        <v>5032</v>
      </c>
      <c r="N494" s="171"/>
      <c r="O494" s="171"/>
      <c r="P494" s="171" t="s">
        <v>5032</v>
      </c>
      <c r="Q494" s="171"/>
      <c r="R494" s="171"/>
      <c r="S494" s="171"/>
      <c r="T494" s="171"/>
      <c r="U494" s="171"/>
      <c r="V494" s="175"/>
      <c r="W494" s="171"/>
      <c r="X494" s="171" t="s">
        <v>5032</v>
      </c>
      <c r="Y494" s="171"/>
      <c r="Z494" s="171"/>
      <c r="AA494" s="171" t="s">
        <v>5032</v>
      </c>
      <c r="AB494" s="171"/>
      <c r="AC494" s="171"/>
      <c r="AD494" s="171"/>
      <c r="AE494" s="171"/>
      <c r="AF494" s="171"/>
      <c r="AG494" s="171"/>
      <c r="AH494" s="171"/>
      <c r="AI494" s="171"/>
      <c r="AJ494" s="171"/>
      <c r="AK494" s="171"/>
      <c r="AL494" s="171"/>
      <c r="AM494" s="171"/>
      <c r="AN494" s="171" t="s">
        <v>5032</v>
      </c>
      <c r="AO494" s="171"/>
      <c r="AP494" s="171"/>
      <c r="AQ494" s="171" t="s">
        <v>5032</v>
      </c>
      <c r="AR494" s="171"/>
      <c r="AS494" s="171"/>
      <c r="AT494" s="171"/>
      <c r="AU494" s="171"/>
      <c r="AV494" s="171"/>
      <c r="AW494" s="171"/>
      <c r="AX494" s="171"/>
      <c r="AY494" s="171"/>
      <c r="AZ494" s="171"/>
      <c r="BA494" s="171"/>
      <c r="BB494" s="171"/>
      <c r="BC494" s="171"/>
      <c r="BD494" s="171"/>
      <c r="BE494" s="171"/>
      <c r="BF494" s="225"/>
      <c r="BG494" s="171"/>
      <c r="BH494" s="171"/>
      <c r="BI494" s="171"/>
      <c r="BJ494" s="171"/>
      <c r="BK494" s="171"/>
      <c r="BL494" s="171"/>
      <c r="BM494" s="171"/>
      <c r="BN494" s="171"/>
      <c r="BO494" s="171"/>
      <c r="BP494" s="171"/>
      <c r="BQ494" s="171"/>
      <c r="BR494" s="171"/>
      <c r="BS494" s="171"/>
      <c r="BT494" s="171"/>
      <c r="BU494" s="171"/>
      <c r="BV494" s="171"/>
      <c r="BW494" s="171"/>
      <c r="BX494" s="171"/>
      <c r="BY494" s="171"/>
      <c r="BZ494" s="171"/>
      <c r="CA494" s="171"/>
      <c r="CB494" s="171"/>
      <c r="CC494" s="171"/>
      <c r="CD494" s="171"/>
      <c r="CE494" s="171"/>
      <c r="CF494" s="171"/>
      <c r="CG494" s="171"/>
      <c r="CH494" s="171"/>
      <c r="CI494" s="171"/>
      <c r="CJ494" s="171"/>
      <c r="CK494" s="171"/>
      <c r="CL494" s="171"/>
    </row>
    <row r="495" spans="1:91">
      <c r="A495" s="171">
        <v>295</v>
      </c>
      <c r="B495" s="171" t="s">
        <v>944</v>
      </c>
      <c r="C495" s="171">
        <v>315</v>
      </c>
      <c r="D495" s="171" t="str">
        <f t="shared" si="49"/>
        <v>CN SBT</v>
      </c>
      <c r="E495" s="171" t="s">
        <v>7228</v>
      </c>
      <c r="F495" s="174">
        <v>45481</v>
      </c>
      <c r="G495" s="171" t="s">
        <v>7223</v>
      </c>
      <c r="H495" s="173">
        <v>-33.5</v>
      </c>
      <c r="I495" s="171"/>
      <c r="J495" s="171" t="s">
        <v>4476</v>
      </c>
      <c r="K495" s="171" t="s">
        <v>146</v>
      </c>
      <c r="L495" s="171" t="s">
        <v>1951</v>
      </c>
      <c r="M495" s="171" t="s">
        <v>5032</v>
      </c>
      <c r="N495" s="171"/>
      <c r="O495" s="171"/>
      <c r="P495" s="171" t="s">
        <v>4174</v>
      </c>
      <c r="Q495" s="171" t="s">
        <v>22</v>
      </c>
      <c r="R495" s="171" t="s">
        <v>7233</v>
      </c>
      <c r="S495" s="171">
        <v>2030</v>
      </c>
      <c r="T495" s="171" t="s">
        <v>1</v>
      </c>
      <c r="U495" s="171"/>
      <c r="V495" s="172">
        <v>44593</v>
      </c>
      <c r="W495" s="171">
        <v>2022</v>
      </c>
      <c r="X495" s="171" t="s">
        <v>4172</v>
      </c>
      <c r="Y495" s="171" t="s">
        <v>7232</v>
      </c>
      <c r="Z495" s="171" t="s">
        <v>3283</v>
      </c>
      <c r="AA495" s="171" t="s">
        <v>4172</v>
      </c>
      <c r="AB495" s="171">
        <v>2040</v>
      </c>
      <c r="AC495" s="171">
        <v>2022</v>
      </c>
      <c r="AD495" s="171"/>
      <c r="AE495" s="171"/>
      <c r="AF495" s="171"/>
      <c r="AG495" s="171" t="s">
        <v>2082</v>
      </c>
      <c r="AH495" s="171"/>
      <c r="AI495" s="171" t="s">
        <v>4174</v>
      </c>
      <c r="AJ495" s="171"/>
      <c r="AK495" s="171"/>
      <c r="AL495" s="171" t="s">
        <v>7231</v>
      </c>
      <c r="AM495" s="171" t="s">
        <v>7230</v>
      </c>
      <c r="AN495" s="171" t="s">
        <v>7229</v>
      </c>
      <c r="AO495" s="171"/>
      <c r="AP495" s="171"/>
      <c r="AQ495" s="171" t="s">
        <v>7229</v>
      </c>
      <c r="AR495" s="171"/>
      <c r="AS495" s="171"/>
      <c r="AT495" s="171"/>
      <c r="AU495" s="171"/>
      <c r="AV495" s="171"/>
      <c r="AW495" s="171"/>
      <c r="AX495" s="171"/>
      <c r="AY495" s="171"/>
      <c r="AZ495" s="171"/>
      <c r="BA495" s="171"/>
      <c r="BB495" s="171"/>
      <c r="BC495" s="171"/>
      <c r="BD495" s="171"/>
      <c r="BE495" s="171"/>
      <c r="BF495" s="225"/>
      <c r="BG495" s="171"/>
      <c r="BH495" s="171"/>
      <c r="BI495" s="171"/>
      <c r="BJ495" s="171"/>
      <c r="BK495" s="171"/>
      <c r="BL495" s="171">
        <v>1</v>
      </c>
      <c r="BM495" s="171">
        <v>1</v>
      </c>
      <c r="BN495" s="171"/>
      <c r="BO495" s="171"/>
      <c r="BP495" s="171"/>
      <c r="BQ495" s="171"/>
      <c r="BR495" s="171"/>
      <c r="BS495" s="171">
        <v>1</v>
      </c>
      <c r="BT495" s="171"/>
      <c r="BU495" s="171">
        <v>1</v>
      </c>
      <c r="BV495" s="171"/>
      <c r="BW495" s="171"/>
      <c r="BX495" s="171"/>
      <c r="BY495" s="171"/>
      <c r="BZ495" s="171">
        <v>1</v>
      </c>
      <c r="CA495" s="171"/>
      <c r="CB495" s="171">
        <v>1</v>
      </c>
      <c r="CC495" s="171"/>
      <c r="CD495" s="171"/>
      <c r="CE495" s="171">
        <v>1</v>
      </c>
      <c r="CF495" s="171"/>
      <c r="CG495" s="171">
        <v>1</v>
      </c>
      <c r="CH495" s="171">
        <v>1</v>
      </c>
      <c r="CI495" s="171"/>
      <c r="CJ495" s="171"/>
      <c r="CK495" s="171"/>
      <c r="CL495" s="171"/>
    </row>
    <row r="496" spans="1:91">
      <c r="A496" s="171">
        <v>330</v>
      </c>
      <c r="B496" s="171" t="s">
        <v>4180</v>
      </c>
      <c r="C496" s="171">
        <v>310</v>
      </c>
      <c r="D496" s="171" t="str">
        <f t="shared" si="49"/>
        <v/>
      </c>
      <c r="E496" s="171" t="s">
        <v>7228</v>
      </c>
      <c r="F496" s="174">
        <v>45481</v>
      </c>
      <c r="G496" s="171" t="s">
        <v>7223</v>
      </c>
      <c r="H496" s="173">
        <v>763.6</v>
      </c>
      <c r="I496" s="171"/>
      <c r="J496" s="171" t="s">
        <v>4179</v>
      </c>
      <c r="K496" s="171" t="s">
        <v>73</v>
      </c>
      <c r="L496" s="171" t="s">
        <v>1994</v>
      </c>
      <c r="M496" s="171" t="s">
        <v>5032</v>
      </c>
      <c r="N496" s="171"/>
      <c r="O496" s="171"/>
      <c r="P496" s="171" t="s">
        <v>5032</v>
      </c>
      <c r="Q496" s="171"/>
      <c r="R496" s="171"/>
      <c r="S496" s="171"/>
      <c r="T496" s="171"/>
      <c r="U496" s="171"/>
      <c r="V496" s="175"/>
      <c r="W496" s="171"/>
      <c r="X496" s="171" t="s">
        <v>5032</v>
      </c>
      <c r="Y496" s="171"/>
      <c r="Z496" s="171"/>
      <c r="AA496" s="171" t="s">
        <v>5032</v>
      </c>
      <c r="AB496" s="171"/>
      <c r="AC496" s="171"/>
      <c r="AD496" s="171"/>
      <c r="AE496" s="171"/>
      <c r="AF496" s="171"/>
      <c r="AG496" s="171"/>
      <c r="AH496" s="171"/>
      <c r="AI496" s="171"/>
      <c r="AJ496" s="171"/>
      <c r="AK496" s="171"/>
      <c r="AL496" s="171"/>
      <c r="AM496" s="171"/>
      <c r="AN496" s="171" t="s">
        <v>5032</v>
      </c>
      <c r="AO496" s="171"/>
      <c r="AP496" s="171"/>
      <c r="AQ496" s="171" t="s">
        <v>5032</v>
      </c>
      <c r="AR496" s="171"/>
      <c r="AS496" s="171"/>
      <c r="AT496" s="171"/>
      <c r="AU496" s="171"/>
      <c r="AV496" s="171"/>
      <c r="AW496" s="171"/>
      <c r="AX496" s="171"/>
      <c r="AY496" s="171"/>
      <c r="AZ496" s="171"/>
      <c r="BA496" s="171"/>
      <c r="BB496" s="171"/>
      <c r="BC496" s="171"/>
      <c r="BD496" s="171"/>
      <c r="BE496" s="171"/>
      <c r="BF496" s="225"/>
      <c r="BG496" s="171"/>
      <c r="BH496" s="171"/>
      <c r="BI496" s="171"/>
      <c r="BJ496" s="171"/>
      <c r="BK496" s="171"/>
      <c r="BL496" s="171"/>
      <c r="BM496" s="171"/>
      <c r="BN496" s="171"/>
      <c r="BO496" s="171"/>
      <c r="BP496" s="171"/>
      <c r="BQ496" s="171"/>
      <c r="BR496" s="171"/>
      <c r="BS496" s="171"/>
      <c r="BT496" s="171"/>
      <c r="BU496" s="171"/>
      <c r="BV496" s="171"/>
      <c r="BW496" s="171"/>
      <c r="BX496" s="171"/>
      <c r="BY496" s="171"/>
      <c r="BZ496" s="171"/>
      <c r="CA496" s="171"/>
      <c r="CB496" s="171"/>
      <c r="CC496" s="171"/>
      <c r="CD496" s="171"/>
      <c r="CE496" s="171"/>
      <c r="CF496" s="171"/>
      <c r="CG496" s="171"/>
      <c r="CH496" s="171"/>
      <c r="CI496" s="171"/>
      <c r="CJ496" s="171"/>
      <c r="CK496" s="171"/>
      <c r="CL496" s="171"/>
    </row>
    <row r="497" spans="1:91">
      <c r="A497" s="171">
        <v>185</v>
      </c>
      <c r="B497" s="171" t="s">
        <v>1102</v>
      </c>
      <c r="C497" s="171">
        <v>225</v>
      </c>
      <c r="D497" s="171" t="str">
        <f t="shared" si="49"/>
        <v>CN</v>
      </c>
      <c r="E497" s="171" t="s">
        <v>7220</v>
      </c>
      <c r="F497" s="174">
        <v>45477</v>
      </c>
      <c r="G497" s="171" t="s">
        <v>7220</v>
      </c>
      <c r="H497" s="173">
        <v>812.6</v>
      </c>
      <c r="I497" s="171"/>
      <c r="J497" s="171" t="s">
        <v>4476</v>
      </c>
      <c r="K497" s="171" t="s">
        <v>73</v>
      </c>
      <c r="L497" s="171" t="s">
        <v>1994</v>
      </c>
      <c r="M497" s="171" t="s">
        <v>5032</v>
      </c>
      <c r="N497" s="171"/>
      <c r="O497" s="171"/>
      <c r="P497" s="171" t="s">
        <v>5032</v>
      </c>
      <c r="Q497" s="171"/>
      <c r="R497" s="171"/>
      <c r="S497" s="171"/>
      <c r="T497" s="171"/>
      <c r="U497" s="171"/>
      <c r="V497" s="175"/>
      <c r="W497" s="171"/>
      <c r="X497" s="171" t="s">
        <v>7227</v>
      </c>
      <c r="Y497" s="171" t="s">
        <v>7226</v>
      </c>
      <c r="Z497" s="171" t="s">
        <v>7225</v>
      </c>
      <c r="AA497" s="171" t="s">
        <v>1957</v>
      </c>
      <c r="AB497" s="171">
        <v>2030</v>
      </c>
      <c r="AC497" s="171">
        <v>2021</v>
      </c>
      <c r="AD497" s="171" t="s">
        <v>4172</v>
      </c>
      <c r="AE497" s="171">
        <v>2045</v>
      </c>
      <c r="AF497" s="171">
        <v>2021</v>
      </c>
      <c r="AG497" s="171" t="s">
        <v>2082</v>
      </c>
      <c r="AH497" s="171">
        <v>2024</v>
      </c>
      <c r="AI497" s="171" t="s">
        <v>4174</v>
      </c>
      <c r="AJ497" s="171" t="s">
        <v>7224</v>
      </c>
      <c r="AK497" s="171"/>
      <c r="AL497" s="176" t="s">
        <v>6212</v>
      </c>
      <c r="AM497" s="171"/>
      <c r="AN497" s="171" t="s">
        <v>5032</v>
      </c>
      <c r="AO497" s="171"/>
      <c r="AP497" s="171"/>
      <c r="AQ497" s="171" t="s">
        <v>5032</v>
      </c>
      <c r="AR497" s="171"/>
      <c r="AS497" s="171"/>
      <c r="AT497" s="171"/>
      <c r="AU497" s="171"/>
      <c r="AV497" s="171"/>
      <c r="AW497" s="171"/>
      <c r="AX497" s="171"/>
      <c r="AY497" s="171"/>
      <c r="AZ497" s="171"/>
      <c r="BA497" s="171"/>
      <c r="BB497" s="171"/>
      <c r="BC497" s="171"/>
      <c r="BD497" s="171"/>
      <c r="BE497" s="171"/>
      <c r="BF497" s="225"/>
      <c r="BG497" s="171"/>
      <c r="BH497" s="171"/>
      <c r="BI497" s="171"/>
      <c r="BJ497" s="171"/>
      <c r="BK497" s="171">
        <v>1</v>
      </c>
      <c r="BL497" s="171"/>
      <c r="BM497" s="171">
        <v>1</v>
      </c>
      <c r="BN497" s="171"/>
      <c r="BO497" s="171"/>
      <c r="BP497" s="171"/>
      <c r="BQ497" s="171"/>
      <c r="BR497" s="171"/>
      <c r="BS497" s="171"/>
      <c r="BT497" s="171"/>
      <c r="BU497" s="171"/>
      <c r="BV497" s="171"/>
      <c r="BW497" s="171"/>
      <c r="BX497" s="171"/>
      <c r="BY497" s="171"/>
      <c r="BZ497" s="171">
        <v>1</v>
      </c>
      <c r="CA497" s="171">
        <v>1</v>
      </c>
      <c r="CB497" s="171">
        <v>1</v>
      </c>
      <c r="CC497" s="171"/>
      <c r="CD497" s="171"/>
      <c r="CE497" s="171">
        <v>1</v>
      </c>
      <c r="CF497" s="171"/>
      <c r="CG497" s="171">
        <v>1</v>
      </c>
      <c r="CH497" s="171">
        <v>1</v>
      </c>
      <c r="CI497" s="171"/>
      <c r="CJ497" s="171"/>
      <c r="CK497" s="171"/>
      <c r="CL497" s="171"/>
    </row>
    <row r="498" spans="1:91">
      <c r="A498" s="171">
        <v>243</v>
      </c>
      <c r="B498" s="171" t="s">
        <v>4178</v>
      </c>
      <c r="C498" s="171">
        <v>244</v>
      </c>
      <c r="D498" s="171" t="str">
        <f t="shared" si="49"/>
        <v/>
      </c>
      <c r="E498" s="171" t="s">
        <v>7220</v>
      </c>
      <c r="F498" s="174">
        <v>45477</v>
      </c>
      <c r="G498" s="171" t="s">
        <v>7223</v>
      </c>
      <c r="H498" s="173">
        <v>23.5</v>
      </c>
      <c r="I498" s="171"/>
      <c r="J498" s="171" t="s">
        <v>66</v>
      </c>
      <c r="K498" s="171" t="s">
        <v>73</v>
      </c>
      <c r="L498" s="171" t="s">
        <v>1994</v>
      </c>
      <c r="M498" s="171" t="s">
        <v>5032</v>
      </c>
      <c r="N498" s="171"/>
      <c r="O498" s="171"/>
      <c r="P498" s="171" t="s">
        <v>5032</v>
      </c>
      <c r="Q498" s="171"/>
      <c r="R498" s="171"/>
      <c r="S498" s="171"/>
      <c r="T498" s="171"/>
      <c r="U498" s="171"/>
      <c r="V498" s="175"/>
      <c r="W498" s="171"/>
      <c r="X498" s="171" t="s">
        <v>5032</v>
      </c>
      <c r="Y498" s="171"/>
      <c r="Z498" s="171"/>
      <c r="AA498" s="171" t="s">
        <v>5032</v>
      </c>
      <c r="AB498" s="171"/>
      <c r="AC498" s="171"/>
      <c r="AD498" s="171"/>
      <c r="AE498" s="171"/>
      <c r="AF498" s="171"/>
      <c r="AG498" s="171"/>
      <c r="AH498" s="171"/>
      <c r="AI498" s="171"/>
      <c r="AJ498" s="171"/>
      <c r="AK498" s="171"/>
      <c r="AL498" s="171"/>
      <c r="AM498" s="171"/>
      <c r="AN498" s="171" t="s">
        <v>5032</v>
      </c>
      <c r="AO498" s="171"/>
      <c r="AP498" s="171"/>
      <c r="AQ498" s="171" t="s">
        <v>5032</v>
      </c>
      <c r="AR498" s="171"/>
      <c r="AS498" s="171"/>
      <c r="AT498" s="171"/>
      <c r="AU498" s="171"/>
      <c r="AV498" s="171"/>
      <c r="AW498" s="171"/>
      <c r="AX498" s="171"/>
      <c r="AY498" s="171"/>
      <c r="AZ498" s="171"/>
      <c r="BA498" s="171"/>
      <c r="BB498" s="171"/>
      <c r="BC498" s="171"/>
      <c r="BD498" s="171"/>
      <c r="BE498" s="171"/>
      <c r="BF498" s="225"/>
      <c r="BG498" s="171"/>
      <c r="BH498" s="171"/>
      <c r="BI498" s="171"/>
      <c r="BJ498" s="171"/>
      <c r="BK498" s="171"/>
      <c r="BL498" s="171"/>
      <c r="BM498" s="171"/>
      <c r="BN498" s="171"/>
      <c r="BO498" s="171"/>
      <c r="BP498" s="171"/>
      <c r="BQ498" s="171"/>
      <c r="BR498" s="171"/>
      <c r="BS498" s="171"/>
      <c r="BT498" s="171"/>
      <c r="BU498" s="171"/>
      <c r="BV498" s="171"/>
      <c r="BW498" s="171"/>
      <c r="BX498" s="171"/>
      <c r="BY498" s="171"/>
      <c r="BZ498" s="171"/>
      <c r="CA498" s="171"/>
      <c r="CB498" s="171"/>
      <c r="CC498" s="171"/>
      <c r="CD498" s="171"/>
      <c r="CE498" s="171"/>
      <c r="CF498" s="171"/>
      <c r="CG498" s="171"/>
      <c r="CH498" s="171"/>
      <c r="CI498" s="171"/>
      <c r="CJ498" s="171"/>
      <c r="CK498" s="171"/>
      <c r="CL498" s="171"/>
    </row>
    <row r="499" spans="1:91">
      <c r="A499" s="171">
        <v>138</v>
      </c>
      <c r="B499" s="171" t="s">
        <v>4177</v>
      </c>
      <c r="C499" s="171">
        <v>136</v>
      </c>
      <c r="D499" s="171" t="str">
        <f t="shared" si="49"/>
        <v/>
      </c>
      <c r="E499" s="171" t="s">
        <v>7223</v>
      </c>
      <c r="F499" s="174">
        <v>45476</v>
      </c>
      <c r="G499" s="171" t="s">
        <v>7223</v>
      </c>
      <c r="H499" s="173">
        <v>74.599999999999994</v>
      </c>
      <c r="I499" s="171"/>
      <c r="J499" s="171" t="s">
        <v>66</v>
      </c>
      <c r="K499" s="171" t="s">
        <v>73</v>
      </c>
      <c r="L499" s="171" t="s">
        <v>1994</v>
      </c>
      <c r="M499" s="171" t="s">
        <v>5032</v>
      </c>
      <c r="N499" s="171"/>
      <c r="O499" s="171"/>
      <c r="P499" s="171" t="s">
        <v>5032</v>
      </c>
      <c r="Q499" s="171"/>
      <c r="R499" s="171"/>
      <c r="S499" s="171"/>
      <c r="T499" s="171"/>
      <c r="U499" s="171"/>
      <c r="V499" s="175"/>
      <c r="W499" s="171"/>
      <c r="X499" s="171" t="s">
        <v>5032</v>
      </c>
      <c r="Y499" s="171"/>
      <c r="Z499" s="171"/>
      <c r="AA499" s="171" t="s">
        <v>5032</v>
      </c>
      <c r="AB499" s="171"/>
      <c r="AC499" s="171"/>
      <c r="AD499" s="171"/>
      <c r="AE499" s="171"/>
      <c r="AF499" s="171"/>
      <c r="AG499" s="171"/>
      <c r="AH499" s="171"/>
      <c r="AI499" s="171"/>
      <c r="AJ499" s="171"/>
      <c r="AK499" s="171"/>
      <c r="AL499" s="171"/>
      <c r="AM499" s="171"/>
      <c r="AN499" s="171" t="s">
        <v>5032</v>
      </c>
      <c r="AO499" s="171"/>
      <c r="AP499" s="171"/>
      <c r="AQ499" s="171" t="s">
        <v>5032</v>
      </c>
      <c r="AR499" s="171"/>
      <c r="AS499" s="171"/>
      <c r="AT499" s="171"/>
      <c r="AU499" s="171"/>
      <c r="AV499" s="171"/>
      <c r="AW499" s="171"/>
      <c r="AX499" s="171"/>
      <c r="AY499" s="171"/>
      <c r="AZ499" s="171"/>
      <c r="BA499" s="171"/>
      <c r="BB499" s="171"/>
      <c r="BC499" s="171"/>
      <c r="BD499" s="171" t="s">
        <v>5032</v>
      </c>
      <c r="BE499" s="171"/>
      <c r="BF499" s="225" t="s">
        <v>5032</v>
      </c>
      <c r="BG499" s="171"/>
      <c r="BH499" s="171"/>
      <c r="BI499" s="171"/>
      <c r="BJ499" s="171"/>
      <c r="BK499" s="171"/>
      <c r="BL499" s="171"/>
      <c r="BM499" s="171"/>
      <c r="BN499" s="171"/>
      <c r="BO499" s="171"/>
      <c r="BP499" s="171"/>
      <c r="BQ499" s="171"/>
      <c r="BR499" s="171"/>
      <c r="BS499" s="171"/>
      <c r="BT499" s="171"/>
      <c r="BU499" s="171"/>
      <c r="BV499" s="171"/>
      <c r="BW499" s="171"/>
      <c r="BX499" s="171"/>
      <c r="BY499" s="171"/>
      <c r="BZ499" s="171"/>
      <c r="CA499" s="171"/>
      <c r="CB499" s="171"/>
      <c r="CC499" s="171"/>
      <c r="CD499" s="171"/>
      <c r="CE499" s="171"/>
      <c r="CF499" s="171"/>
      <c r="CG499" s="171"/>
      <c r="CH499" s="171"/>
      <c r="CI499" s="171"/>
      <c r="CJ499" s="171"/>
      <c r="CK499" s="171"/>
      <c r="CL499" s="171"/>
    </row>
    <row r="500" spans="1:91">
      <c r="A500" s="171">
        <v>364</v>
      </c>
      <c r="B500" s="171" t="s">
        <v>4176</v>
      </c>
      <c r="C500" s="171">
        <v>373</v>
      </c>
      <c r="D500" s="171" t="str">
        <f t="shared" si="49"/>
        <v>CN</v>
      </c>
      <c r="E500" s="171" t="s">
        <v>7220</v>
      </c>
      <c r="F500" s="174">
        <v>45481</v>
      </c>
      <c r="G500" s="171" t="s">
        <v>7220</v>
      </c>
      <c r="H500" s="173">
        <v>2983.3</v>
      </c>
      <c r="I500" s="171"/>
      <c r="J500" s="171" t="s">
        <v>4494</v>
      </c>
      <c r="K500" s="171" t="s">
        <v>73</v>
      </c>
      <c r="L500" s="171" t="s">
        <v>1994</v>
      </c>
      <c r="M500" s="171" t="s">
        <v>5032</v>
      </c>
      <c r="N500" s="171"/>
      <c r="O500" s="171"/>
      <c r="P500" s="171" t="s">
        <v>5032</v>
      </c>
      <c r="Q500" s="171"/>
      <c r="R500" s="171"/>
      <c r="S500" s="171"/>
      <c r="T500" s="171"/>
      <c r="U500" s="171"/>
      <c r="V500" s="175"/>
      <c r="W500" s="171"/>
      <c r="X500" s="171" t="s">
        <v>4172</v>
      </c>
      <c r="Y500" s="171" t="s">
        <v>2760</v>
      </c>
      <c r="Z500" s="171" t="s">
        <v>3283</v>
      </c>
      <c r="AA500" s="171" t="s">
        <v>4172</v>
      </c>
      <c r="AB500" s="171">
        <v>2050</v>
      </c>
      <c r="AC500" s="171">
        <v>2023</v>
      </c>
      <c r="AD500" s="171"/>
      <c r="AE500" s="171"/>
      <c r="AF500" s="171"/>
      <c r="AG500" s="171" t="s">
        <v>4174</v>
      </c>
      <c r="AH500" s="171"/>
      <c r="AI500" s="171" t="s">
        <v>4174</v>
      </c>
      <c r="AJ500" s="171"/>
      <c r="AK500" s="171"/>
      <c r="AL500" s="171" t="s">
        <v>7222</v>
      </c>
      <c r="AM500" s="171"/>
      <c r="AN500" s="171" t="s">
        <v>5032</v>
      </c>
      <c r="AO500" s="171"/>
      <c r="AP500" s="171"/>
      <c r="AQ500" s="171" t="s">
        <v>5032</v>
      </c>
      <c r="AR500" s="171"/>
      <c r="AS500" s="171"/>
      <c r="AT500" s="171"/>
      <c r="AU500" s="171"/>
      <c r="AV500" s="171"/>
      <c r="AW500" s="171"/>
      <c r="AX500" s="171"/>
      <c r="AY500" s="171"/>
      <c r="AZ500" s="171"/>
      <c r="BA500" s="171"/>
      <c r="BB500" s="171"/>
      <c r="BC500" s="171"/>
      <c r="BD500" s="171"/>
      <c r="BE500" s="171"/>
      <c r="BF500" s="225"/>
      <c r="BG500" s="171"/>
      <c r="BH500" s="171"/>
      <c r="BI500" s="171"/>
      <c r="BJ500" s="171"/>
      <c r="BK500" s="171"/>
      <c r="BL500" s="171">
        <v>1</v>
      </c>
      <c r="BM500" s="171">
        <v>1</v>
      </c>
      <c r="BN500" s="171"/>
      <c r="BO500" s="171"/>
      <c r="BP500" s="171"/>
      <c r="BQ500" s="171"/>
      <c r="BR500" s="171"/>
      <c r="BS500" s="171"/>
      <c r="BT500" s="171"/>
      <c r="BU500" s="171"/>
      <c r="BV500" s="171"/>
      <c r="BW500" s="171"/>
      <c r="BX500" s="171"/>
      <c r="BY500" s="171"/>
      <c r="BZ500" s="171">
        <v>1</v>
      </c>
      <c r="CA500" s="171"/>
      <c r="CB500" s="171">
        <v>1</v>
      </c>
      <c r="CC500" s="171">
        <v>1</v>
      </c>
      <c r="CD500" s="171"/>
      <c r="CE500" s="171">
        <v>1</v>
      </c>
      <c r="CF500" s="171"/>
      <c r="CG500" s="171"/>
      <c r="CH500" s="171">
        <v>1</v>
      </c>
      <c r="CI500" s="171"/>
      <c r="CJ500" s="171"/>
      <c r="CK500" s="171"/>
      <c r="CL500" s="171"/>
    </row>
    <row r="501" spans="1:91">
      <c r="A501" s="171">
        <v>224</v>
      </c>
      <c r="B501" s="171" t="s">
        <v>1027</v>
      </c>
      <c r="C501" s="171">
        <v>358</v>
      </c>
      <c r="D501" s="171" t="str">
        <f t="shared" si="49"/>
        <v>CN NZ SBT RE100</v>
      </c>
      <c r="E501" s="171" t="s">
        <v>7221</v>
      </c>
      <c r="F501" s="174">
        <v>45481</v>
      </c>
      <c r="G501" s="171" t="s">
        <v>7220</v>
      </c>
      <c r="H501" s="173">
        <v>4351</v>
      </c>
      <c r="I501" s="171"/>
      <c r="J501" s="171" t="s">
        <v>4465</v>
      </c>
      <c r="K501" s="171" t="s">
        <v>287</v>
      </c>
      <c r="L501" s="171" t="s">
        <v>1951</v>
      </c>
      <c r="M501" s="171" t="s">
        <v>4174</v>
      </c>
      <c r="N501" s="171">
        <v>2019</v>
      </c>
      <c r="O501" s="171">
        <v>2022</v>
      </c>
      <c r="P501" s="171" t="s">
        <v>5032</v>
      </c>
      <c r="Q501" s="171" t="s">
        <v>165</v>
      </c>
      <c r="R501" s="171"/>
      <c r="S501" s="171">
        <v>2030</v>
      </c>
      <c r="T501" s="171" t="s">
        <v>1</v>
      </c>
      <c r="U501" s="171"/>
      <c r="V501" s="172">
        <v>43647</v>
      </c>
      <c r="W501" s="171">
        <v>2019</v>
      </c>
      <c r="X501" s="171" t="s">
        <v>1957</v>
      </c>
      <c r="Y501" s="171" t="s">
        <v>1659</v>
      </c>
      <c r="Z501" s="171" t="s">
        <v>3283</v>
      </c>
      <c r="AA501" s="171" t="s">
        <v>1957</v>
      </c>
      <c r="AB501" s="171">
        <v>2014</v>
      </c>
      <c r="AC501" s="171">
        <v>2014</v>
      </c>
      <c r="AD501" s="171"/>
      <c r="AE501" s="171"/>
      <c r="AF501" s="171"/>
      <c r="AG501" s="171" t="s">
        <v>4174</v>
      </c>
      <c r="AH501" s="171">
        <v>2023</v>
      </c>
      <c r="AI501" s="171" t="s">
        <v>4174</v>
      </c>
      <c r="AJ501" s="171" t="s">
        <v>7219</v>
      </c>
      <c r="AK501" s="171"/>
      <c r="AL501" s="171" t="s">
        <v>7219</v>
      </c>
      <c r="AM501" s="171"/>
      <c r="AN501" s="171" t="s">
        <v>7218</v>
      </c>
      <c r="AO501" s="171" t="s">
        <v>7217</v>
      </c>
      <c r="AP501" s="171" t="s">
        <v>2072</v>
      </c>
      <c r="AQ501" s="171" t="s">
        <v>1957</v>
      </c>
      <c r="AR501" s="171">
        <v>2030</v>
      </c>
      <c r="AS501" s="171">
        <v>2021</v>
      </c>
      <c r="AT501" s="171" t="s">
        <v>5050</v>
      </c>
      <c r="AU501" s="171">
        <v>2050</v>
      </c>
      <c r="AV501" s="171">
        <v>2021</v>
      </c>
      <c r="AW501" s="171" t="s">
        <v>2082</v>
      </c>
      <c r="AX501" s="171" t="s">
        <v>7216</v>
      </c>
      <c r="AY501" s="171"/>
      <c r="AZ501" s="171"/>
      <c r="BA501" s="171"/>
      <c r="BB501" s="171"/>
      <c r="BC501" s="171" t="s">
        <v>7215</v>
      </c>
      <c r="BD501" s="171"/>
      <c r="BE501" s="171"/>
      <c r="BF501" s="225"/>
      <c r="BG501" s="171"/>
      <c r="BH501" s="171"/>
      <c r="BI501" s="171"/>
      <c r="BJ501" s="171">
        <v>1</v>
      </c>
      <c r="BK501" s="171"/>
      <c r="BL501" s="171"/>
      <c r="BM501" s="171">
        <v>1</v>
      </c>
      <c r="BN501" s="171"/>
      <c r="BO501" s="171">
        <v>1</v>
      </c>
      <c r="BP501" s="171"/>
      <c r="BQ501" s="171">
        <v>1</v>
      </c>
      <c r="BR501" s="171"/>
      <c r="BS501" s="171">
        <v>1</v>
      </c>
      <c r="BT501" s="171"/>
      <c r="BU501" s="171">
        <v>1</v>
      </c>
      <c r="BV501" s="171">
        <v>1</v>
      </c>
      <c r="BW501" s="171"/>
      <c r="BX501" s="171"/>
      <c r="BY501" s="171">
        <v>1</v>
      </c>
      <c r="BZ501" s="171">
        <v>1</v>
      </c>
      <c r="CA501" s="171">
        <v>1</v>
      </c>
      <c r="CB501" s="171">
        <v>1</v>
      </c>
      <c r="CC501" s="171">
        <v>1</v>
      </c>
      <c r="CD501" s="171"/>
      <c r="CE501" s="171">
        <v>1</v>
      </c>
      <c r="CF501" s="171">
        <v>1</v>
      </c>
      <c r="CG501" s="171">
        <v>1</v>
      </c>
      <c r="CH501" s="171">
        <v>1</v>
      </c>
      <c r="CI501" s="171"/>
      <c r="CJ501" s="171"/>
      <c r="CK501" s="171">
        <v>1</v>
      </c>
      <c r="CL501" s="171">
        <v>1</v>
      </c>
      <c r="CM501">
        <f t="shared" si="50"/>
        <v>2030</v>
      </c>
    </row>
    <row r="502" spans="1:91">
      <c r="BM502">
        <f>SUM(BM2:BM501)</f>
        <v>169</v>
      </c>
      <c r="BQ502">
        <f>SUM(BQ2:BQ501)</f>
        <v>225</v>
      </c>
      <c r="BU502">
        <f>SUM(BU2:BU501)</f>
        <v>173</v>
      </c>
      <c r="CC502">
        <f>SUM(CC2:CC501)</f>
        <v>208</v>
      </c>
      <c r="CD502">
        <f>SUM(CD2:CD501)</f>
        <v>8</v>
      </c>
    </row>
    <row r="503" spans="1:91">
      <c r="BM503" s="170">
        <f>BM502/500</f>
        <v>0.33800000000000002</v>
      </c>
      <c r="BU503" s="170">
        <f>BU502/500</f>
        <v>0.34599999999999997</v>
      </c>
      <c r="CC503">
        <f>CC502/500</f>
        <v>0.41599999999999998</v>
      </c>
      <c r="CD503">
        <f>CD502/500</f>
        <v>1.6E-2</v>
      </c>
    </row>
    <row r="504" spans="1:91">
      <c r="BL504" t="s">
        <v>1994</v>
      </c>
      <c r="BM504" s="170">
        <f>COUNTIFS(L2:L501, BL504,BM2:BM501,1)/500</f>
        <v>0.104</v>
      </c>
      <c r="BT504" t="s">
        <v>1994</v>
      </c>
      <c r="BU504" s="170">
        <f>COUNTIFS(L2:L501, BT504,BU2:BU501,1)/500</f>
        <v>6.8000000000000005E-2</v>
      </c>
    </row>
    <row r="505" spans="1:91">
      <c r="J505" s="5"/>
      <c r="BL505" t="s">
        <v>1951</v>
      </c>
      <c r="BM505" s="170">
        <f>COUNTIFS(L2:L501, BL505,BM2:BM501,1)/500</f>
        <v>0.12</v>
      </c>
      <c r="BQ505" s="5"/>
      <c r="BT505" t="s">
        <v>1951</v>
      </c>
      <c r="BU505" s="170">
        <f>COUNTIFS(L2:L501, BT505,BU2:BU501,1)/500</f>
        <v>0.14000000000000001</v>
      </c>
    </row>
    <row r="506" spans="1:91">
      <c r="BL506" t="s">
        <v>2029</v>
      </c>
      <c r="BM506" s="170">
        <f>COUNTIFS(L2:L501,BL506,BM2:BM501,1)/500</f>
        <v>0.10199999999999999</v>
      </c>
      <c r="BS506" s="5"/>
      <c r="BT506" t="s">
        <v>2029</v>
      </c>
      <c r="BU506" s="170">
        <f>COUNTIFS(L2:L501,BT506,BU2:BU501,1)/500</f>
        <v>0.13400000000000001</v>
      </c>
    </row>
    <row r="507" spans="1:91">
      <c r="BL507" t="s">
        <v>7214</v>
      </c>
      <c r="BM507" s="170">
        <f>COUNTIFS(L2:L501,"&lt;&gt;Asia", L2:L501, "&lt;&gt;Europe", L2:L501, "&lt;&gt;North America",BM2:BM501,1)/500</f>
        <v>1.2E-2</v>
      </c>
      <c r="BT507" t="s">
        <v>7214</v>
      </c>
      <c r="BU507" s="170">
        <f>COUNTIFS(L2:L501,"&lt;&gt;Asia", L2:L501, "&lt;&gt;Europe",L2:L501, "&lt;&gt;North America",BU2:BU501,1)/500</f>
        <v>4.0000000000000001E-3</v>
      </c>
    </row>
    <row r="508" spans="1:91">
      <c r="BL508" t="s">
        <v>7213</v>
      </c>
      <c r="BM508" s="170">
        <f>SUM(BM504:BM507)</f>
        <v>0.33799999999999997</v>
      </c>
      <c r="BT508" t="s">
        <v>7213</v>
      </c>
      <c r="BU508" s="170">
        <f>SUM(BU504:BU507)</f>
        <v>0.34600000000000003</v>
      </c>
    </row>
  </sheetData>
  <autoFilter ref="A1:CL508" xr:uid="{C48A4F34-23DB-4B1A-871A-34352262CE53}"/>
  <mergeCells count="8">
    <mergeCell ref="CR3:CT3"/>
    <mergeCell ref="CU3:CW3"/>
    <mergeCell ref="CX3:CZ3"/>
    <mergeCell ref="DA3:DC3"/>
    <mergeCell ref="CR23:CT23"/>
    <mergeCell ref="CU23:CW23"/>
    <mergeCell ref="CX23:CZ23"/>
    <mergeCell ref="DA23:DC23"/>
  </mergeCells>
  <hyperlinks>
    <hyperlink ref="AX65" r:id="rId1" location=":~:text=In%202021%2C%20BAT%20signed%2Dup,by%202050%20at%20the%20latest._x000a_" display="https://www.bat.com/sustainability-and-esg/environment-and-climate/climate-change#:~:text=In%202021%2C%20BAT%20signed%2Dup,by%202050%20at%20the%20latest._x000a_" xr:uid="{AAAAA5A6-10D6-439F-93D2-91FD9185C900}"/>
    <hyperlink ref="AX28" r:id="rId2" xr:uid="{D4AC55C8-F2B6-491E-9F44-2C5CAAC09F0B}"/>
    <hyperlink ref="BA28" r:id="rId3" xr:uid="{7F7B3555-0873-4A99-9E11-AAFAC782AF9B}"/>
    <hyperlink ref="AX46" r:id="rId4" xr:uid="{0732724D-D26C-4E2E-B5D0-C9BACDE8DA54}"/>
    <hyperlink ref="BA46" r:id="rId5" xr:uid="{65D337EE-7444-4B3B-8E2A-6032E51DFF87}"/>
    <hyperlink ref="AX48" r:id="rId6" xr:uid="{3D7953D2-9810-48AE-B8CB-53C1451B38A6}"/>
    <hyperlink ref="BA48" r:id="rId7" xr:uid="{0C415888-E491-4152-A7BC-B5B361D357D8}"/>
    <hyperlink ref="AX71" r:id="rId8" xr:uid="{D63EDF89-5E63-4190-BB0A-073C796CB181}"/>
    <hyperlink ref="BA71" r:id="rId9" xr:uid="{41BA2E13-EAAC-441E-997E-91B4ADE41741}"/>
    <hyperlink ref="AX132" r:id="rId10" display="https://www.compass-group.com/content/dam/compass-group/corporate/sustainability/net-zero/Planet_Promise_Roadmap_1021.pdf" xr:uid="{1BD6FF62-1E90-4EB7-ADC3-0ECBDD932DB8}"/>
    <hyperlink ref="BA132" r:id="rId11" xr:uid="{8EA72934-BD76-417B-9F63-A013C8F66B1D}"/>
    <hyperlink ref="AX136" r:id="rId12" xr:uid="{04039622-A1B8-4C09-B72A-7E5A607E1F52}"/>
    <hyperlink ref="BA136" r:id="rId13" xr:uid="{698C2B97-BD63-4D47-AD3F-077D2C98151C}"/>
    <hyperlink ref="AX141" r:id="rId14" xr:uid="{021462A6-94AC-4392-B903-20568CD8C7F3}"/>
    <hyperlink ref="BA141" r:id="rId15" xr:uid="{76C9B883-7846-49DE-8F1E-FCD65F96B6E9}"/>
    <hyperlink ref="AX157" r:id="rId16" xr:uid="{A27135FA-BA19-4426-9B97-F7F91DF58D40}"/>
    <hyperlink ref="BA157" r:id="rId17" xr:uid="{89A4F33E-E38A-482E-8E03-18072BE8A983}"/>
    <hyperlink ref="AX231" r:id="rId18" xr:uid="{CABD2311-F781-4416-80DC-1943EFB8728D}"/>
    <hyperlink ref="BA231" r:id="rId19" xr:uid="{9D59E155-5F83-4197-B862-523587796462}"/>
    <hyperlink ref="AX262" r:id="rId20" xr:uid="{E5BAF87D-8F82-4123-A008-DBFD58032E17}"/>
    <hyperlink ref="BA262" r:id="rId21" xr:uid="{821E9BD1-E4B3-48B8-AD70-C05ACFEC57BE}"/>
    <hyperlink ref="AX460" r:id="rId22" xr:uid="{AD2ED664-EB87-4891-8CB6-99D59052C269}"/>
    <hyperlink ref="BA460" r:id="rId23" xr:uid="{AB0603FA-E5B5-47DE-BBFE-715DCAE74A49}"/>
    <hyperlink ref="AX127" r:id="rId24" xr:uid="{5C4BD5B8-69C8-4544-9D29-68D745E069C9}"/>
    <hyperlink ref="BA127" r:id="rId25" xr:uid="{092711E1-ABA5-41BB-A497-677B41BF2676}"/>
    <hyperlink ref="AX142" r:id="rId26" xr:uid="{53191A2E-359C-4A61-8AFC-7550E48156E2}"/>
    <hyperlink ref="BA142" r:id="rId27" display="https://www.crh.com/media/5157/crh-sustainability-report-2023_interactive_vhr.pdf" xr:uid="{1773B6C2-1EAF-4137-ACA8-71DAA88FE077}"/>
    <hyperlink ref="AX298" r:id="rId28" location="upstream-and-downstream-value-chain-scope-3" xr:uid="{80674FEB-7DFA-47F4-A548-2E9BE96DFD82}"/>
    <hyperlink ref="BA298" r:id="rId29" xr:uid="{9779EA42-3271-4A94-AD8A-B5A3D45505F8}"/>
    <hyperlink ref="AX347" r:id="rId30" xr:uid="{FC2C126C-7B72-4947-AC14-A2EA4E900789}"/>
    <hyperlink ref="BA347" r:id="rId31" xr:uid="{9C525F3F-7956-4063-B3D4-237529D4D61B}"/>
    <hyperlink ref="AX377" r:id="rId32" xr:uid="{EB9687D8-16EA-4D9B-AFE7-DA2DEE79DBA9}"/>
    <hyperlink ref="BA377" r:id="rId33" xr:uid="{DBE2D5FC-E5D1-4FC6-906B-73FBE78C8841}"/>
    <hyperlink ref="BA381" r:id="rId34" xr:uid="{3CB4DF09-67DE-470B-B0A2-B7688B98EB91}"/>
    <hyperlink ref="AX381" r:id="rId35" xr:uid="{7B135A98-8688-4302-B538-1AB494F8267A}"/>
    <hyperlink ref="AX10" r:id="rId36" xr:uid="{CC67FFA8-B75B-4617-AEE1-5C084E5E9900}"/>
    <hyperlink ref="BA10" r:id="rId37" xr:uid="{C534D67C-EB2A-407E-B6AC-C15FD224D89E}"/>
    <hyperlink ref="AX79" r:id="rId38" xr:uid="{057356FE-6184-4E13-862C-289A1AAD2F25}"/>
    <hyperlink ref="BA79" r:id="rId39" xr:uid="{0CAE3E22-A92D-45B8-8A71-D7BDA1CDC1E3}"/>
    <hyperlink ref="AX131" r:id="rId40" xr:uid="{A11F7F32-1FF0-4E88-85F8-360FCD30CFE2}"/>
    <hyperlink ref="BA131" r:id="rId41" location="page=4" xr:uid="{0B73437B-CA0B-4343-ACC3-9861505BDF97}"/>
    <hyperlink ref="AX144" r:id="rId42" xr:uid="{17D1BA8D-44FA-43D5-8BD3-0E33F7ADAC51}"/>
    <hyperlink ref="BA144" r:id="rId43" xr:uid="{05117A4C-89CC-41B5-8461-CC12C5781E67}"/>
    <hyperlink ref="AX246" r:id="rId44" xr:uid="{5B9FE0AF-B109-468F-9C6D-AF49556570E1}"/>
    <hyperlink ref="BA246" r:id="rId45" xr:uid="{5B6CCD31-29E9-430C-AA5F-FEF1A63FC046}"/>
    <hyperlink ref="AX413" r:id="rId46" display="https://www.sompo-hd.com/-/media/hd/en/files/csr/communications/pdf/2023/e_report2023.pdf?la=ja-JP" xr:uid="{FB14EB73-EE6A-48F1-A93D-D8B121D909A5}"/>
    <hyperlink ref="BA413" r:id="rId47" xr:uid="{49F84102-2CAD-4C77-930C-DE52CE5DED57}"/>
    <hyperlink ref="AX12" r:id="rId48" xr:uid="{91353AEE-8EB5-4353-B73C-8555421DA2A2}"/>
    <hyperlink ref="BA12" r:id="rId49" xr:uid="{5D6D1564-EA6F-4909-A19A-9AF61CE5F5BE}"/>
    <hyperlink ref="AX3" r:id="rId50" xr:uid="{C8DB2914-EBE3-46CF-865E-3BEB1FEA36C0}"/>
    <hyperlink ref="BA3" r:id="rId51" xr:uid="{67DEAE67-FE14-418D-8422-3F7DE07720AE}"/>
    <hyperlink ref="AX487" r:id="rId52" xr:uid="{8467AEF7-C3F5-44E3-93ED-A54C82A9D559}"/>
    <hyperlink ref="AX155" r:id="rId53" xr:uid="{098AEA3F-818E-443C-98E8-70EDCF120B75}"/>
    <hyperlink ref="AX330" r:id="rId54" xr:uid="{821A9097-4A87-485B-9423-C5B8C2CCE3D5}"/>
    <hyperlink ref="AX176" r:id="rId55" xr:uid="{14CD40A4-6A88-4935-AD85-37979BE567AD}"/>
    <hyperlink ref="AX257" r:id="rId56" xr:uid="{D30F145B-AB57-4D84-B35A-506277641B01}"/>
    <hyperlink ref="BA257" r:id="rId57" xr:uid="{EA8C7A27-AF74-451D-8C74-173493733755}"/>
    <hyperlink ref="AX356" r:id="rId58" xr:uid="{1530F37C-3772-4106-BC7E-C1D5DCB2D7D2}"/>
    <hyperlink ref="AX304" r:id="rId59" xr:uid="{BBDBD2E8-01E6-43FB-BA5A-83C302E638D9}"/>
    <hyperlink ref="AX368" r:id="rId60" xr:uid="{40F6B381-DEF2-4646-AD5D-5C3914CB922D}"/>
    <hyperlink ref="AX280" r:id="rId61" xr:uid="{1A54939C-8654-4521-A872-88C9E4920280}"/>
    <hyperlink ref="BC255" r:id="rId62" xr:uid="{AD9C9634-28DD-423A-A763-102F3B1D0706}"/>
    <hyperlink ref="AX255" r:id="rId63" xr:uid="{0CEB4C47-F98B-42EE-BCAA-ED7549B6E8B4}"/>
    <hyperlink ref="AX263" r:id="rId64" xr:uid="{2AC6B2AB-9858-4E2A-A69E-7ECD65F552E7}"/>
    <hyperlink ref="AX437" r:id="rId65" xr:uid="{550E3CDD-BF3B-4BDE-832E-8B39595C4637}"/>
    <hyperlink ref="AX470" r:id="rId66" xr:uid="{41626430-E3B2-4D8C-8742-F1BC80E0F1E2}"/>
    <hyperlink ref="AX416" r:id="rId67" xr:uid="{62F281F3-6B96-43F9-A192-E4D3F7E19751}"/>
    <hyperlink ref="AJ30" r:id="rId68" xr:uid="{211DB4C6-6137-4C6A-BD66-6C4C42663F8F}"/>
    <hyperlink ref="AL58" r:id="rId69" xr:uid="{75DCC9BA-D832-4DED-A63E-7839C9C9C8AF}"/>
    <hyperlink ref="AL405" r:id="rId70" xr:uid="{8B8CDF05-515D-4033-BB38-095F11573BF4}"/>
    <hyperlink ref="AL42" r:id="rId71" xr:uid="{302DA42D-7083-4C70-A4E6-6A8FD1924428}"/>
    <hyperlink ref="AL59" r:id="rId72" xr:uid="{6F02E3BD-C7FE-4361-BC09-05300B8C1052}"/>
    <hyperlink ref="AL156" r:id="rId73" xr:uid="{9F0F0B34-0945-498F-82FE-4AADC7518728}"/>
    <hyperlink ref="AL409" r:id="rId74" xr:uid="{637F5264-99CC-4D4C-B958-6284733F0726}"/>
    <hyperlink ref="AL355" r:id="rId75" xr:uid="{CEEE371E-BABC-4785-9BB8-CB5AD7161C5B}"/>
    <hyperlink ref="AM172" r:id="rId76" xr:uid="{C32DD1F3-3576-4FF9-9169-82440A67D678}"/>
    <hyperlink ref="AL475" r:id="rId77" xr:uid="{D2B7C51F-3F56-4EA4-ACE4-23066690D731}"/>
    <hyperlink ref="AL195" r:id="rId78" xr:uid="{64D37CCF-7E19-4778-B5B6-957C35235291}"/>
    <hyperlink ref="AL497" r:id="rId79" xr:uid="{A1C94F71-8657-46BE-B4FE-6DDD2D298975}"/>
    <hyperlink ref="BA238" r:id="rId80" xr:uid="{281EDC8D-8BEF-44A7-9203-07972461A190}"/>
    <hyperlink ref="AL310" r:id="rId81" xr:uid="{A89CD5EB-AAD6-4FBE-8D17-F40C75E5449E}"/>
    <hyperlink ref="AL7" r:id="rId82" xr:uid="{8D88EAA4-BAB9-4ABF-8E94-5BAA9CBACAAB}"/>
    <hyperlink ref="AJ7" r:id="rId83" xr:uid="{B98B502F-FEF0-49F9-B580-5F78F1FA80CF}"/>
    <hyperlink ref="AJ46" r:id="rId84" xr:uid="{471F40FE-65A5-4A73-BB42-E15871753BC9}"/>
    <hyperlink ref="AL46" r:id="rId85" xr:uid="{A49E169D-DFBE-42AD-BB66-D6A7D309470C}"/>
    <hyperlink ref="AJ48" r:id="rId86" xr:uid="{5E456F85-2EAE-467F-AA0C-B1DE65B3A472}"/>
    <hyperlink ref="AL48" r:id="rId87" xr:uid="{4561B3E5-F186-4210-9B65-E824A8530F59}"/>
    <hyperlink ref="AL71" r:id="rId88" xr:uid="{77EBD020-4E17-4C7A-8AEE-45F0A6CF0FAC}"/>
    <hyperlink ref="AJ71" r:id="rId89" xr:uid="{6A85C859-E4B6-4430-A0D3-0E78143325F8}"/>
    <hyperlink ref="AL295" r:id="rId90" xr:uid="{269BC1C8-2CF1-4EB9-BC44-8862AED481F6}"/>
    <hyperlink ref="AL132" r:id="rId91" display="https://www.compass-group.com/content/dam/compass-group/corporate/sustainability/net-zero/Planet_Promise_Roadmap_1021.pdf" xr:uid="{D62FC816-B000-4387-9C9A-8ED8FF9B2F03}"/>
    <hyperlink ref="AJ132" r:id="rId92" xr:uid="{2AB15CE7-042D-4804-A6B5-FBEEFF17FDD5}"/>
    <hyperlink ref="AJ161" r:id="rId93" xr:uid="{C4E9DD49-2530-4E90-BA1E-ABA905A34989}"/>
    <hyperlink ref="AL204" r:id="rId94" xr:uid="{0A846190-4643-48FA-8C54-9E74EC13923B}"/>
    <hyperlink ref="AL276" r:id="rId95" xr:uid="{0896D342-4A55-4822-9A9A-B9E3B1A41943}"/>
    <hyperlink ref="AJ276" r:id="rId96" xr:uid="{E01BA9CF-8143-4BE4-9B08-117FD9F7770D}"/>
    <hyperlink ref="AL289" r:id="rId97" xr:uid="{701454D3-8432-4B8C-85D9-0749C9A6AC51}"/>
    <hyperlink ref="AJ143" r:id="rId98" xr:uid="{CBDB874F-C394-432B-A3F0-0B6B3D46A751}"/>
    <hyperlink ref="AL143" r:id="rId99" xr:uid="{CE7C8358-44E0-4D82-A7E8-E29C44BE3C26}"/>
    <hyperlink ref="AJ241" r:id="rId100" xr:uid="{724C1466-F8A0-40BC-BC2E-051044937FD9}"/>
    <hyperlink ref="AL298" r:id="rId101" xr:uid="{A2CDF661-7D74-47E9-89FA-7ED082309F86}"/>
    <hyperlink ref="AK298" r:id="rId102" location=":~:text=Climate%2Dneutral%20operations%20from%202022,level%20of%20the%20orange%20M." xr:uid="{C2C1F906-670C-4FF4-86D6-AA70906C62F2}"/>
    <hyperlink ref="AL347" r:id="rId103" xr:uid="{9F0E20F5-AC69-4D03-9470-F8C64D02DA78}"/>
    <hyperlink ref="AJ347" r:id="rId104" xr:uid="{E73F7A4F-463C-48CC-888A-DCF0CFDF9B01}"/>
    <hyperlink ref="AL381" r:id="rId105" xr:uid="{5DF4A9AF-7467-4D09-A797-FF09E7CE0B51}"/>
    <hyperlink ref="AJ381" r:id="rId106" xr:uid="{9308E15C-47F1-42CD-9204-63D21E167B90}"/>
    <hyperlink ref="AJ29" r:id="rId107" xr:uid="{4C8D191F-5CCD-41E2-BAC3-21103D739D97}"/>
    <hyperlink ref="AL29" r:id="rId108" xr:uid="{B63182A3-F335-4E42-9BC7-1638C9A3435C}"/>
    <hyperlink ref="AL47" r:id="rId109" xr:uid="{756B7C83-23D3-48EB-9FFB-AB0EB49A7B0A}"/>
    <hyperlink ref="AJ47" r:id="rId110" xr:uid="{6B99306C-B8C0-426D-B00E-F920F18BB051}"/>
    <hyperlink ref="AJ131" r:id="rId111" location="page=4" xr:uid="{CA915433-428E-4B46-AA48-588CA9EE73C9}"/>
    <hyperlink ref="AL131" r:id="rId112" location="page=4" xr:uid="{551045AA-B449-4E55-A4E2-2C28E31358AC}"/>
    <hyperlink ref="AJ167" r:id="rId113" xr:uid="{F3FAD80A-8483-4277-82F1-C05AD53A14CA}"/>
    <hyperlink ref="AL213" r:id="rId114" xr:uid="{1CFD63C1-C907-4BC4-AD45-309CADB0A93D}"/>
    <hyperlink ref="AJ213" r:id="rId115" xr:uid="{73960E04-3DAB-4C8E-A538-73C39D09A1BE}"/>
    <hyperlink ref="AJ286" r:id="rId116" xr:uid="{85BFEA39-64FE-46E3-9E08-0644FA329C84}"/>
    <hyperlink ref="AJ413" r:id="rId117" xr:uid="{4B9DA8FF-A92D-4658-AB91-63AB614C7313}"/>
    <hyperlink ref="AL413" r:id="rId118" xr:uid="{4E2AD3EB-131D-462D-A275-5EF5618304A3}"/>
    <hyperlink ref="AK413" r:id="rId119" xr:uid="{7912CEDB-2CD4-4EA7-9794-D2A6F0665893}"/>
    <hyperlink ref="AJ454" r:id="rId120" xr:uid="{ACEBB4B0-2703-462C-9430-38D14342A6AF}"/>
    <hyperlink ref="AL454" r:id="rId121" xr:uid="{5EE8CFD4-5B48-43C6-B3B9-3E9257191653}"/>
    <hyperlink ref="AL352" r:id="rId122" xr:uid="{1310864F-9678-479B-B58C-F3CD572723D6}"/>
    <hyperlink ref="AL220" r:id="rId123" location=":~:text=Carbon%20emissions%20and%20circularity,by%202030%2C%20compared%20to%202019." xr:uid="{0C56EF6F-84CF-4607-B50A-4D9DD949AAF8}"/>
    <hyperlink ref="AL429" r:id="rId124" xr:uid="{82EB71CC-02F7-4381-931A-5DE54611041B}"/>
    <hyperlink ref="AL263" r:id="rId125" xr:uid="{A30BCD98-F178-44F9-881C-81EDED3615AB}"/>
    <hyperlink ref="AL166" r:id="rId126" xr:uid="{EAF8F57C-74C0-4ACB-885F-610138F5E305}"/>
    <hyperlink ref="AJ42" r:id="rId127" xr:uid="{45102527-E082-4F5F-9413-94F5C6EE17DA}"/>
    <hyperlink ref="AL16" r:id="rId128" xr:uid="{AD709A96-58F0-4C91-A168-2398F34C9FC6}"/>
    <hyperlink ref="AL485" r:id="rId129" xr:uid="{D80F3CC2-0657-4CCA-9BEB-BA90356BC92F}"/>
    <hyperlink ref="AL307" r:id="rId130" xr:uid="{9494877B-3258-4769-A236-F45A961193D0}"/>
    <hyperlink ref="AJ307" r:id="rId131" xr:uid="{E12DFC7D-412F-4521-93B6-382E437901F7}"/>
    <hyperlink ref="AL253" r:id="rId132" xr:uid="{56A44DFC-8103-4976-B7D7-35AFF251DA9F}"/>
    <hyperlink ref="AL38" r:id="rId133" xr:uid="{F6ABDA81-8A7D-4FC8-9268-9792C8C5FF2C}"/>
    <hyperlink ref="AL372" r:id="rId134" xr:uid="{B2B7351D-60D4-452B-89DA-EDA70C1A7774}"/>
    <hyperlink ref="AL403" r:id="rId135" xr:uid="{5D4D63DA-45F0-4999-B4B0-A94BC1BDE8F0}"/>
    <hyperlink ref="AK355" r:id="rId136" xr:uid="{248B4F6D-3BBB-47D6-B4B7-C287E321C87A}"/>
    <hyperlink ref="AL17" r:id="rId137" xr:uid="{0C2BA497-50D9-4EFA-B116-F47550FC1989}"/>
    <hyperlink ref="AL189" r:id="rId138" xr:uid="{9D947B87-FB0B-4476-BBAE-ED62BFBDFE14}"/>
    <hyperlink ref="AL25" r:id="rId139" xr:uid="{53D946B1-2288-434E-B922-D8CB21ED16BE}"/>
    <hyperlink ref="AL215" r:id="rId140" xr:uid="{219F4264-3D59-4720-92A7-B72B85BEFD6B}"/>
    <hyperlink ref="AL39" r:id="rId141" location=":~:text=These%20interim%20targets%20make%20up,scope%201%20and%202%20emissions." xr:uid="{88D8E3C7-9545-49C3-93CE-8E2C24B6051A}"/>
    <hyperlink ref="AL309" r:id="rId142" xr:uid="{9F1D0030-C497-43EC-8F79-DA78C88A3EB8}"/>
    <hyperlink ref="AL383" r:id="rId143" xr:uid="{28100CA3-45DC-402B-9B4A-42F75DF9E9DE}"/>
    <hyperlink ref="AL41" r:id="rId144" xr:uid="{621F603F-C566-4908-A3B4-F62F07904873}"/>
    <hyperlink ref="AL234" r:id="rId145" xr:uid="{392CD5EC-C202-47E4-B541-1B8FC6B11B06}"/>
    <hyperlink ref="AJ346" r:id="rId146" xr:uid="{78C766C6-160E-4C8E-9CE0-E755ECB44B6F}"/>
    <hyperlink ref="AJ152" r:id="rId147" xr:uid="{119E3287-3AC9-425E-A77F-FEC072BE7E06}"/>
    <hyperlink ref="AJ134" r:id="rId148" xr:uid="{1B10962E-CD4D-40B0-86C4-52B8ADB50E09}"/>
    <hyperlink ref="AJ40" r:id="rId149" xr:uid="{29288778-5B3E-4CDF-80D2-57E30F4A868E}"/>
    <hyperlink ref="AJ311" r:id="rId150" xr:uid="{527B4D31-C020-4646-966C-0B68AA053FF9}"/>
    <hyperlink ref="AJ323" r:id="rId151" xr:uid="{ACCAC50E-88BB-4AA8-BA8B-6A6EBC4B646C}"/>
    <hyperlink ref="AJ357" r:id="rId152" xr:uid="{0F9B0A19-7A37-4B05-A79C-44ED3DF148F1}"/>
    <hyperlink ref="AL357" r:id="rId153" xr:uid="{32180206-4062-4A9A-A614-607ED644A7BC}"/>
    <hyperlink ref="AX357" r:id="rId154" xr:uid="{C0138101-D889-43E6-9858-DBC7DA8A5755}"/>
    <hyperlink ref="AJ227" r:id="rId155" xr:uid="{C6AD9492-F3D5-4180-875D-1DF8B9CAF35A}"/>
    <hyperlink ref="AJ237" r:id="rId156" xr:uid="{68A20B06-831A-4F12-A936-793B6159EDC7}"/>
    <hyperlink ref="AJ51" r:id="rId157" xr:uid="{CFE15905-BF14-4D9D-A7D8-7F67E5EA9A7D}"/>
    <hyperlink ref="AJ445" r:id="rId158" xr:uid="{6A1B8DB5-BCA7-4229-BFDC-65B1B7A35AC4}"/>
    <hyperlink ref="AJ72" r:id="rId159" xr:uid="{79072373-22EB-49D9-996D-F9DEBC72CFA8}"/>
    <hyperlink ref="AJ153" r:id="rId160" xr:uid="{19F04CFB-2C65-4624-B9A0-28EE7866767A}"/>
    <hyperlink ref="AJ179" r:id="rId161" xr:uid="{FA1F6AF3-B5C5-47FE-9795-C71717827CDE}"/>
    <hyperlink ref="AJ235" r:id="rId162" xr:uid="{E388DD46-90A8-42E8-BEDC-005E23F145E7}"/>
    <hyperlink ref="AJ412" r:id="rId163" xr:uid="{DC92BD26-C279-42D3-BD6D-10093F407F74}"/>
    <hyperlink ref="AJ433" r:id="rId164" xr:uid="{98B353C6-9482-4987-BDE5-D5B659DFA0F2}"/>
    <hyperlink ref="AK273" r:id="rId165" xr:uid="{2AA4F023-313E-4E05-AFCA-0E353499E9D5}"/>
    <hyperlink ref="AJ266" r:id="rId166" xr:uid="{1C409177-8B6F-4257-AFC6-E18677F46EEE}"/>
    <hyperlink ref="AJ256" r:id="rId167" xr:uid="{D5CF1DEE-60C1-4A40-B775-BFC0755FB98A}"/>
    <hyperlink ref="AJ385" r:id="rId168" xr:uid="{D8F91B41-05AB-4A17-9EFD-D58D91752BCD}"/>
    <hyperlink ref="AJ310" r:id="rId169" xr:uid="{1CC650A7-9693-4EDC-BB7E-72B5CC4FDDE1}"/>
    <hyperlink ref="AJ14" r:id="rId170" xr:uid="{E8FD9EDC-BDA4-4072-A971-9D241CA933CA}"/>
    <hyperlink ref="AJ448" r:id="rId171" xr:uid="{0C074259-FF59-465F-8F56-85AFFF4CEADE}"/>
    <hyperlink ref="AJ404" r:id="rId172" xr:uid="{2871B624-2FD8-4AD6-A62B-E51D336A85A4}"/>
    <hyperlink ref="AL404" r:id="rId173" xr:uid="{38A63874-9939-4B6A-B8D7-516355BC269D}"/>
    <hyperlink ref="AJ476" r:id="rId174" xr:uid="{AE7FF1A9-AF65-4F9C-A2D7-D614AE38D7EB}"/>
    <hyperlink ref="AJ474" r:id="rId175" xr:uid="{AB7E24FA-EC27-4FB9-BEAF-6760C97F193B}"/>
    <hyperlink ref="AL448" r:id="rId176" xr:uid="{1EB208C5-F2DE-4801-BF63-489A1A6FDBC9}"/>
    <hyperlink ref="AL196" r:id="rId177" xr:uid="{77DE5251-FB03-4F53-83BC-0E3D020DBFF8}"/>
    <hyperlink ref="AL172" r:id="rId178" xr:uid="{92DC9DFE-27CC-426A-987B-59C5917852EF}"/>
    <hyperlink ref="AX392" r:id="rId179" xr:uid="{12F66724-0224-446A-8350-4210262E3031}"/>
    <hyperlink ref="AL344" r:id="rId180" xr:uid="{09BD5CB3-E1FD-43A6-9952-E224330CC652}"/>
    <hyperlink ref="AL437" r:id="rId181" xr:uid="{E7404D25-52B6-4C0C-8A4A-500A29FFAD03}"/>
    <hyperlink ref="AJ254" r:id="rId182" xr:uid="{F7AF0921-1189-4532-A72F-4AD3E2159573}"/>
    <hyperlink ref="AX410" r:id="rId183" xr:uid="{56685CB2-015B-4816-A71A-817B691EFDC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1C6AD-F2F5-4105-B30F-10D8184C3D15}">
  <sheetPr>
    <tabColor theme="9" tint="0.79998168889431442"/>
  </sheetPr>
  <dimension ref="A1:BH508"/>
  <sheetViews>
    <sheetView topLeftCell="AO1" zoomScale="55" workbookViewId="0">
      <selection activeCell="AU17" sqref="AU17"/>
    </sheetView>
  </sheetViews>
  <sheetFormatPr defaultRowHeight="18" customHeight="1"/>
  <cols>
    <col min="1" max="9" width="10.453125" customWidth="1"/>
    <col min="10" max="45" width="11.453125" customWidth="1"/>
  </cols>
  <sheetData>
    <row r="1" spans="1:60" ht="18" customHeight="1">
      <c r="A1" s="166" t="s">
        <v>8295</v>
      </c>
      <c r="B1" s="49" t="s">
        <v>8296</v>
      </c>
      <c r="C1" s="49" t="s">
        <v>8297</v>
      </c>
      <c r="D1" s="165" t="s">
        <v>8298</v>
      </c>
      <c r="E1" s="49" t="s">
        <v>8299</v>
      </c>
      <c r="F1" s="7" t="s">
        <v>8300</v>
      </c>
      <c r="G1" s="163" t="s">
        <v>8301</v>
      </c>
      <c r="H1" s="162" t="s">
        <v>8302</v>
      </c>
      <c r="I1" s="159" t="s">
        <v>8303</v>
      </c>
      <c r="J1" s="163" t="s">
        <v>8304</v>
      </c>
      <c r="K1" s="162" t="s">
        <v>8305</v>
      </c>
      <c r="L1" s="164" t="s">
        <v>8306</v>
      </c>
      <c r="M1" s="163" t="s">
        <v>8307</v>
      </c>
      <c r="N1" s="162" t="s">
        <v>8308</v>
      </c>
      <c r="O1" s="162" t="s">
        <v>8309</v>
      </c>
      <c r="P1" s="162" t="s">
        <v>8357</v>
      </c>
      <c r="Q1" s="162" t="s">
        <v>8310</v>
      </c>
      <c r="R1" s="161" t="s">
        <v>8321</v>
      </c>
      <c r="S1" s="160" t="s">
        <v>8331</v>
      </c>
      <c r="T1" s="159" t="s">
        <v>8332</v>
      </c>
      <c r="U1" s="159" t="s">
        <v>8333</v>
      </c>
      <c r="V1" s="159" t="s">
        <v>8359</v>
      </c>
      <c r="W1" s="159" t="s">
        <v>8334</v>
      </c>
      <c r="X1" s="159" t="s">
        <v>8335</v>
      </c>
      <c r="Y1" s="158" t="s">
        <v>8336</v>
      </c>
      <c r="Z1" s="157" t="s">
        <v>8337</v>
      </c>
      <c r="AA1" s="156" t="s">
        <v>8338</v>
      </c>
      <c r="AB1" s="7" t="s">
        <v>8339</v>
      </c>
      <c r="AC1" s="7" t="s">
        <v>8340</v>
      </c>
      <c r="AD1" s="7" t="s">
        <v>8341</v>
      </c>
      <c r="AE1" s="7" t="s">
        <v>8342</v>
      </c>
      <c r="AF1" s="7" t="s">
        <v>8343</v>
      </c>
      <c r="AG1" s="7" t="s">
        <v>8344</v>
      </c>
      <c r="AH1" s="7" t="s">
        <v>8345</v>
      </c>
      <c r="AI1" s="7" t="s">
        <v>8346</v>
      </c>
      <c r="AJ1" s="7" t="s">
        <v>8347</v>
      </c>
      <c r="AK1" s="7" t="s">
        <v>8348</v>
      </c>
      <c r="AL1" s="7" t="s">
        <v>8349</v>
      </c>
      <c r="AM1" s="7" t="s">
        <v>8350</v>
      </c>
      <c r="AN1" s="7" t="s">
        <v>8351</v>
      </c>
      <c r="AO1" s="7" t="s">
        <v>8352</v>
      </c>
      <c r="AP1" s="7" t="s">
        <v>8353</v>
      </c>
      <c r="AQ1" s="7" t="s">
        <v>8354</v>
      </c>
      <c r="AR1" t="s">
        <v>8355</v>
      </c>
      <c r="AS1" t="s">
        <v>8356</v>
      </c>
    </row>
    <row r="2" spans="1:60" ht="18" customHeight="1">
      <c r="A2" s="166" t="s">
        <v>7212</v>
      </c>
      <c r="B2" s="49"/>
      <c r="C2" s="49"/>
      <c r="D2" s="165"/>
      <c r="E2" s="49"/>
      <c r="F2" s="7"/>
      <c r="G2" s="163" t="s">
        <v>7211</v>
      </c>
      <c r="H2" s="162"/>
      <c r="I2" s="159"/>
      <c r="J2" s="163" t="s">
        <v>7210</v>
      </c>
      <c r="K2" s="162"/>
      <c r="L2" s="164"/>
      <c r="M2" s="163" t="s">
        <v>7209</v>
      </c>
      <c r="N2" s="162"/>
      <c r="O2" s="162"/>
      <c r="P2" s="162" t="str" cm="1">
        <f t="array" ref="P2">IF(O2="", "", IFERROR(MAX(--_xlfn.TEXTSPLIT(O2,"+")), O2))</f>
        <v/>
      </c>
      <c r="Q2" s="162"/>
      <c r="R2" s="161"/>
      <c r="S2" s="160" t="s">
        <v>7208</v>
      </c>
      <c r="T2" s="159"/>
      <c r="U2" s="159"/>
      <c r="V2" s="159" t="str" cm="1">
        <f t="array" ref="V2">IF(U2="", "", IFERROR(MAX(--_xlfn.TEXTSPLIT(U2,"+")), U2))</f>
        <v/>
      </c>
      <c r="W2" s="159"/>
      <c r="X2" s="159"/>
      <c r="Y2" s="158" t="s">
        <v>7207</v>
      </c>
      <c r="Z2" s="157"/>
      <c r="AA2" s="156"/>
      <c r="AB2" s="7" t="s">
        <v>7206</v>
      </c>
      <c r="AC2" s="7"/>
      <c r="AD2" s="7"/>
      <c r="AE2" s="7"/>
      <c r="AF2" s="7"/>
      <c r="AG2" s="7"/>
      <c r="AH2" s="7"/>
      <c r="AI2" s="7"/>
      <c r="AJ2" s="7"/>
      <c r="AK2" s="7"/>
      <c r="AL2" s="7"/>
      <c r="AM2" s="7"/>
      <c r="AN2" s="7"/>
      <c r="AO2" s="7"/>
      <c r="AP2" s="7"/>
      <c r="AQ2" s="7"/>
    </row>
    <row r="3" spans="1:60" ht="18" customHeight="1">
      <c r="A3" s="154" t="s">
        <v>1944</v>
      </c>
      <c r="B3" s="153" t="s">
        <v>1943</v>
      </c>
      <c r="C3" s="153" t="s">
        <v>4449</v>
      </c>
      <c r="D3" s="153" t="s">
        <v>1915</v>
      </c>
      <c r="E3" s="153" t="s">
        <v>7205</v>
      </c>
      <c r="F3" s="150" t="s">
        <v>7204</v>
      </c>
      <c r="G3" s="154" t="s">
        <v>4448</v>
      </c>
      <c r="H3" s="153" t="s">
        <v>4443</v>
      </c>
      <c r="I3" s="153" t="s">
        <v>4163</v>
      </c>
      <c r="J3" s="154" t="s">
        <v>4447</v>
      </c>
      <c r="K3" s="153" t="s">
        <v>5026</v>
      </c>
      <c r="L3" s="155" t="s">
        <v>4163</v>
      </c>
      <c r="M3" s="154" t="s">
        <v>7203</v>
      </c>
      <c r="N3" s="153" t="s">
        <v>7202</v>
      </c>
      <c r="O3" s="153" t="s">
        <v>7201</v>
      </c>
      <c r="P3" s="153" t="s">
        <v>8358</v>
      </c>
      <c r="Q3" s="153" t="s">
        <v>4163</v>
      </c>
      <c r="R3" s="152" t="s">
        <v>1916</v>
      </c>
      <c r="S3" s="154" t="s">
        <v>7203</v>
      </c>
      <c r="T3" s="153" t="s">
        <v>7202</v>
      </c>
      <c r="U3" s="153" t="s">
        <v>7201</v>
      </c>
      <c r="V3" s="153" t="str" cm="1">
        <f t="array" ref="V3">IF(U3="", "", IFERROR(MAX(--_xlfn.TEXTSPLIT(U3,"+")), U3))</f>
        <v xml:space="preserve">From </v>
      </c>
      <c r="W3" s="153" t="s">
        <v>4163</v>
      </c>
      <c r="X3" s="152" t="s">
        <v>1916</v>
      </c>
      <c r="Y3" s="151" t="s">
        <v>7200</v>
      </c>
      <c r="Z3" s="150" t="s">
        <v>7199</v>
      </c>
      <c r="AA3" s="149" t="s">
        <v>1916</v>
      </c>
      <c r="AB3" s="148"/>
      <c r="AC3" s="147"/>
      <c r="AD3" s="147"/>
      <c r="AE3" s="147"/>
      <c r="AF3" s="147"/>
      <c r="AG3" s="147"/>
      <c r="AH3" s="147"/>
      <c r="AI3" s="147"/>
      <c r="AJ3" s="147"/>
      <c r="AK3" s="147"/>
      <c r="AL3" s="147"/>
      <c r="AM3" s="147"/>
      <c r="AN3" s="147"/>
      <c r="AO3" s="147"/>
      <c r="AP3" s="147"/>
      <c r="AQ3" s="146"/>
      <c r="AV3" s="216" t="s">
        <v>8311</v>
      </c>
      <c r="AW3" s="217"/>
      <c r="AX3" s="218"/>
      <c r="AY3" s="216" t="s">
        <v>3034</v>
      </c>
      <c r="AZ3" s="217"/>
      <c r="BA3" s="218"/>
      <c r="BB3" s="216" t="s">
        <v>32</v>
      </c>
      <c r="BC3" s="217"/>
      <c r="BD3" s="218"/>
      <c r="BE3" s="216" t="s">
        <v>2072</v>
      </c>
      <c r="BF3" s="217"/>
      <c r="BG3" s="218"/>
      <c r="BH3" s="200" t="s">
        <v>7213</v>
      </c>
    </row>
    <row r="4" spans="1:60" ht="18" customHeight="1">
      <c r="A4" s="145"/>
      <c r="B4" s="144"/>
      <c r="C4" s="144"/>
      <c r="D4" s="144"/>
      <c r="E4" s="144"/>
      <c r="F4" s="138"/>
      <c r="G4" s="145"/>
      <c r="H4" s="144"/>
      <c r="I4" s="144"/>
      <c r="J4" s="145"/>
      <c r="K4" s="144"/>
      <c r="L4" s="143"/>
      <c r="M4" s="142" t="s">
        <v>7198</v>
      </c>
      <c r="N4" s="141" t="s">
        <v>7196</v>
      </c>
      <c r="O4" s="141" t="s">
        <v>7195</v>
      </c>
      <c r="P4" s="141" t="str" cm="1">
        <f t="array" ref="P4">IF(O4="", "", IFERROR(MAX(--_xlfn.TEXTSPLIT(O4,"+")), O4))</f>
        <v>+ = the date of the later target</v>
      </c>
      <c r="Q4" s="141" t="s">
        <v>7195</v>
      </c>
      <c r="R4" s="140"/>
      <c r="S4" s="142" t="s">
        <v>7197</v>
      </c>
      <c r="T4" s="141" t="s">
        <v>7196</v>
      </c>
      <c r="U4" s="141" t="s">
        <v>7195</v>
      </c>
      <c r="V4" s="141" t="str" cm="1">
        <f t="array" ref="V4">IF(U4="", "", IFERROR(MAX(--_xlfn.TEXTSPLIT(U4,"+")), U4))</f>
        <v>+ = the date of the later target</v>
      </c>
      <c r="W4" s="141" t="s">
        <v>7195</v>
      </c>
      <c r="X4" s="140"/>
      <c r="Y4" s="139"/>
      <c r="Z4" s="138"/>
      <c r="AA4" s="137"/>
      <c r="AB4" s="121" t="s">
        <v>7194</v>
      </c>
      <c r="AC4" s="117" t="s">
        <v>7193</v>
      </c>
      <c r="AD4" s="117" t="s">
        <v>7192</v>
      </c>
      <c r="AE4" s="117" t="s">
        <v>7191</v>
      </c>
      <c r="AF4" s="117" t="s">
        <v>7190</v>
      </c>
      <c r="AG4" s="117" t="s">
        <v>7189</v>
      </c>
      <c r="AH4" s="117" t="s">
        <v>7188</v>
      </c>
      <c r="AI4" s="117" t="s">
        <v>7187</v>
      </c>
      <c r="AJ4" s="117" t="s">
        <v>7186</v>
      </c>
      <c r="AK4" s="117" t="s">
        <v>7185</v>
      </c>
      <c r="AL4" s="117" t="s">
        <v>7184</v>
      </c>
      <c r="AM4" s="117" t="s">
        <v>7183</v>
      </c>
      <c r="AN4" s="117" t="s">
        <v>7182</v>
      </c>
      <c r="AO4" s="117" t="s">
        <v>7181</v>
      </c>
      <c r="AP4" s="117" t="s">
        <v>7180</v>
      </c>
      <c r="AQ4" s="118" t="s">
        <v>7179</v>
      </c>
      <c r="AU4" s="200" t="s">
        <v>1915</v>
      </c>
      <c r="AV4" s="201" t="s">
        <v>8329</v>
      </c>
      <c r="AW4" s="201" t="s">
        <v>8330</v>
      </c>
      <c r="AX4" s="201" t="s">
        <v>8314</v>
      </c>
      <c r="AY4" s="201" t="s">
        <v>8329</v>
      </c>
      <c r="AZ4" s="201" t="s">
        <v>8330</v>
      </c>
      <c r="BA4" s="201" t="s">
        <v>8314</v>
      </c>
      <c r="BB4" s="201" t="s">
        <v>8329</v>
      </c>
      <c r="BC4" s="201" t="s">
        <v>8330</v>
      </c>
      <c r="BD4" s="201" t="s">
        <v>8314</v>
      </c>
      <c r="BE4" s="201" t="s">
        <v>8329</v>
      </c>
      <c r="BF4" s="201" t="s">
        <v>8330</v>
      </c>
      <c r="BG4" s="201" t="s">
        <v>8314</v>
      </c>
      <c r="BH4" s="201"/>
    </row>
    <row r="5" spans="1:60" ht="18" customHeight="1">
      <c r="A5" s="7">
        <v>1</v>
      </c>
      <c r="B5" s="7" t="s">
        <v>1889</v>
      </c>
      <c r="C5" s="7" t="s">
        <v>4457</v>
      </c>
      <c r="D5" s="7" t="s">
        <v>454</v>
      </c>
      <c r="E5" s="7" t="s">
        <v>7178</v>
      </c>
      <c r="F5" s="7" t="s">
        <v>7177</v>
      </c>
      <c r="G5" s="122" t="s">
        <v>4174</v>
      </c>
      <c r="H5" s="7">
        <v>2035</v>
      </c>
      <c r="I5" s="7">
        <v>2015</v>
      </c>
      <c r="J5" s="122" t="s">
        <v>4183</v>
      </c>
      <c r="K5" s="7">
        <v>2025</v>
      </c>
      <c r="L5" s="127">
        <v>2016</v>
      </c>
      <c r="M5" s="122"/>
      <c r="N5" s="7"/>
      <c r="O5" s="7"/>
      <c r="P5" s="7" t="str" cm="1">
        <f t="array" ref="P5">IF(O5="", "", IFERROR(MAX(--_xlfn.TEXTSPLIT(O5,"+")), O5))</f>
        <v/>
      </c>
      <c r="Q5" s="7"/>
      <c r="R5" s="109"/>
      <c r="S5" s="7" t="s">
        <v>1957</v>
      </c>
      <c r="T5" s="7" t="s">
        <v>160</v>
      </c>
      <c r="U5" s="7">
        <v>2040</v>
      </c>
      <c r="V5" s="7" cm="1">
        <f t="array" ref="V5">IF(U5="", "", IFERROR(MAX(--_xlfn.TEXTSPLIT(U5,"+")), U5))</f>
        <v>2040</v>
      </c>
      <c r="W5" s="7">
        <v>2015</v>
      </c>
      <c r="X5" s="7" t="s">
        <v>7176</v>
      </c>
      <c r="Y5" s="122" t="s">
        <v>4174</v>
      </c>
      <c r="Z5" s="7" t="s">
        <v>5037</v>
      </c>
      <c r="AA5" s="109" t="s">
        <v>7175</v>
      </c>
      <c r="AB5" s="7">
        <v>2021</v>
      </c>
      <c r="AC5" s="7">
        <f>7.37*1000000</f>
        <v>7370000</v>
      </c>
      <c r="AD5" s="7"/>
      <c r="AE5" s="7">
        <f>6.62*1000000</f>
        <v>6620000</v>
      </c>
      <c r="AF5" s="7"/>
      <c r="AG5" s="7" t="s">
        <v>5032</v>
      </c>
      <c r="AH5" s="7">
        <f>AC5+AE5</f>
        <v>13990000</v>
      </c>
      <c r="AI5" s="7">
        <f>AH5</f>
        <v>13990000</v>
      </c>
      <c r="AJ5" s="7">
        <v>2020</v>
      </c>
      <c r="AK5" s="7">
        <v>15930000</v>
      </c>
      <c r="AL5" s="7"/>
      <c r="AM5" s="7">
        <f>8.68*1000000</f>
        <v>8680000</v>
      </c>
      <c r="AN5" s="7"/>
      <c r="AO5" s="7">
        <f>AK5+AM5</f>
        <v>24610000</v>
      </c>
      <c r="AP5" s="7">
        <f>AO5</f>
        <v>24610000</v>
      </c>
      <c r="AQ5" s="7" t="s">
        <v>7174</v>
      </c>
      <c r="AR5" s="7" t="str">
        <f>_xlfn.XLOOKUP(C5,Sheet1!A:A,Sheet1!B:B, "Other")</f>
        <v>North America</v>
      </c>
      <c r="AS5" t="str">
        <f>_xlfn.XLOOKUP(D5,Sheet1!D:D,Sheet1!E:E)</f>
        <v>Retail</v>
      </c>
      <c r="AU5" s="202" t="s">
        <v>4260</v>
      </c>
      <c r="AV5" s="199">
        <f>COUNTIFS($AS$5:$AS$504,AU5,$K$5:$K$504,"&lt;=2023")</f>
        <v>0</v>
      </c>
      <c r="AW5" s="199">
        <f>COUNTIFS($AS$5:$AS$504,AU5,$K$5:$K$504,"&gt;=2024",$K$5:$K$504,"&lt;=2030")</f>
        <v>1</v>
      </c>
      <c r="AX5" s="199">
        <f>COUNTIFS($AS$5:$AS$504,AU5,$K$5:$K$504,"&gt;2030")</f>
        <v>0</v>
      </c>
      <c r="AY5" s="199">
        <f>COUNTIFS($AS$5:$AS$504,AU5,$H$5:$H$504,"&lt;=2023")</f>
        <v>1</v>
      </c>
      <c r="AZ5" s="199">
        <f>COUNTIFS($AS$5:$AS$504,AU5,$H$5:$H$504,"&gt;=2024",$H$5:$H$504,"&lt;=2030")</f>
        <v>0</v>
      </c>
      <c r="BA5" s="199">
        <f>COUNTIFS($AS$5:$AS$504,AU5,$H$5:$H$504,"&gt;2030")</f>
        <v>0</v>
      </c>
      <c r="BB5" s="199">
        <f>COUNTIFS($AS$5:$AS$504,AU5,$P$5:$P$504,"&lt;=2023")</f>
        <v>0</v>
      </c>
      <c r="BC5" s="199">
        <f>COUNTIFS($AS$5:$AS$504,AU5,$P$5:$P$504,"&gt;=2024",$P$5:$P$504,"&lt;=2030")</f>
        <v>0</v>
      </c>
      <c r="BD5" s="199">
        <f>COUNTIFS($AS$5:$AS$504,AU5,$P$5:$P$504,"&gt;2030")</f>
        <v>1</v>
      </c>
      <c r="BE5" s="199">
        <f>COUNTIFS($AS$5:$AS$504,AU5,$V$5:$V$504,"&lt;=2023")</f>
        <v>1</v>
      </c>
      <c r="BF5" s="199">
        <f>COUNTIFS($AS$5:$AS$504,AU5,$V$5:$V$504,"&gt;=2024",$V$5:$V$504,"&lt;=2030")</f>
        <v>0</v>
      </c>
      <c r="BG5" s="199">
        <f>COUNTIFS($AS$5:$AS$504,AU5,$V$5:$V$504,"&gt;2030")</f>
        <v>3</v>
      </c>
      <c r="BH5" s="199">
        <f>SUM(AV5:BG5)</f>
        <v>7</v>
      </c>
    </row>
    <row r="6" spans="1:60" ht="18" customHeight="1">
      <c r="A6" s="7">
        <v>2</v>
      </c>
      <c r="B6" s="7" t="s">
        <v>1875</v>
      </c>
      <c r="C6" s="7" t="s">
        <v>985</v>
      </c>
      <c r="D6" s="7" t="s">
        <v>71</v>
      </c>
      <c r="E6" s="7" t="s">
        <v>7173</v>
      </c>
      <c r="F6" s="7" t="s">
        <v>7172</v>
      </c>
      <c r="G6" s="122"/>
      <c r="H6" s="7"/>
      <c r="I6" s="7"/>
      <c r="J6" s="122" t="s">
        <v>1960</v>
      </c>
      <c r="K6" s="7"/>
      <c r="L6" s="127" t="s">
        <v>1960</v>
      </c>
      <c r="M6" s="122"/>
      <c r="N6" s="7"/>
      <c r="O6" s="7"/>
      <c r="P6" s="7" t="str" cm="1">
        <f t="array" ref="P6">IF(O6="", "", IFERROR(MAX(--_xlfn.TEXTSPLIT(O6,"+")), O6))</f>
        <v/>
      </c>
      <c r="Q6" s="7"/>
      <c r="R6" s="109"/>
      <c r="S6" s="7" t="s">
        <v>1957</v>
      </c>
      <c r="T6" s="7" t="s">
        <v>7171</v>
      </c>
      <c r="U6" s="7">
        <v>2050</v>
      </c>
      <c r="V6" s="7" cm="1">
        <f t="array" ref="V6">IF(U6="", "", IFERROR(MAX(--_xlfn.TEXTSPLIT(U6,"+")), U6))</f>
        <v>2050</v>
      </c>
      <c r="W6" s="7">
        <v>2021</v>
      </c>
      <c r="X6" s="7" t="s">
        <v>7169</v>
      </c>
      <c r="Y6" s="122" t="s">
        <v>4174</v>
      </c>
      <c r="Z6" s="7" t="s">
        <v>5037</v>
      </c>
      <c r="AA6" s="109" t="s">
        <v>7170</v>
      </c>
      <c r="AB6" s="7">
        <v>2022</v>
      </c>
      <c r="AC6" s="7">
        <v>55700000</v>
      </c>
      <c r="AD6" s="7"/>
      <c r="AE6" s="7">
        <v>16100000</v>
      </c>
      <c r="AF6" s="7"/>
      <c r="AG6" s="7" t="s">
        <v>5032</v>
      </c>
      <c r="AH6" s="7">
        <f>AC6+AE6</f>
        <v>71800000</v>
      </c>
      <c r="AI6" s="7">
        <f>AH6</f>
        <v>71800000</v>
      </c>
      <c r="AJ6" s="7">
        <v>2021</v>
      </c>
      <c r="AK6" s="7">
        <v>52300000</v>
      </c>
      <c r="AL6" s="7"/>
      <c r="AM6" s="7">
        <v>15500000</v>
      </c>
      <c r="AN6" s="7"/>
      <c r="AO6" s="7">
        <f>AK6+AM6</f>
        <v>67800000</v>
      </c>
      <c r="AP6" s="7">
        <f>AO6</f>
        <v>67800000</v>
      </c>
      <c r="AQ6" s="7" t="s">
        <v>7169</v>
      </c>
      <c r="AR6" s="7" t="str">
        <f>_xlfn.XLOOKUP(C6,Sheet1!A:A,Sheet1!B:B, "Other")</f>
        <v>Other</v>
      </c>
      <c r="AS6" t="str">
        <f>_xlfn.XLOOKUP(D6,Sheet1!D:D,Sheet1!E:E)</f>
        <v>Energy and utilities</v>
      </c>
      <c r="AU6" s="202" t="s">
        <v>4476</v>
      </c>
      <c r="AV6" s="199">
        <f t="shared" ref="AV6:AV21" si="0">COUNTIFS($AS$5:$AS$504,AU6,$K$5:$K$504,"&lt;=2023")</f>
        <v>0</v>
      </c>
      <c r="AW6" s="199">
        <f t="shared" ref="AW6:AW21" si="1">COUNTIFS($AS$5:$AS$504,AU6,$K$5:$K$504,"&gt;=2024",$K$5:$K$504,"&lt;=2030")</f>
        <v>8</v>
      </c>
      <c r="AX6" s="199">
        <f t="shared" ref="AX6:AX21" si="2">COUNTIFS($AS$5:$AS$504,AU6,$K$5:$K$504,"&gt;2030")</f>
        <v>3</v>
      </c>
      <c r="AY6" s="199">
        <f t="shared" ref="AY6:AY21" si="3">COUNTIFS($AS$5:$AS$504,AU6,$H$5:$H$504,"&lt;=2023")</f>
        <v>0</v>
      </c>
      <c r="AZ6" s="199">
        <f t="shared" ref="AZ6:AZ21" si="4">COUNTIFS($AS$5:$AS$504,AU6,$H$5:$H$504,"&gt;=2024",$H$5:$H$504,"&lt;=2030")</f>
        <v>1</v>
      </c>
      <c r="BA6" s="199">
        <f t="shared" ref="BA6:BA21" si="5">COUNTIFS($AS$5:$AS$504,AU6,$H$5:$H$504,"&gt;2030")</f>
        <v>6</v>
      </c>
      <c r="BB6" s="199">
        <f t="shared" ref="BB6:BB21" si="6">COUNTIFS($AS$5:$AS$504,AU6,$P$5:$P$504,"&lt;=2023")</f>
        <v>1</v>
      </c>
      <c r="BC6" s="199">
        <f t="shared" ref="BC6:BC21" si="7">COUNTIFS($AS$5:$AS$504,AU6,$P$5:$P$504,"&gt;=2024",$P$5:$P$504,"&lt;=2030")</f>
        <v>2</v>
      </c>
      <c r="BD6" s="199">
        <f t="shared" ref="BD6:BD21" si="8">COUNTIFS($AS$5:$AS$504,AU6,$P$5:$P$504,"&gt;2030")</f>
        <v>24</v>
      </c>
      <c r="BE6" s="199">
        <f t="shared" ref="BE6:BE21" si="9">COUNTIFS($AS$5:$AS$504,AU6,$V$5:$V$504,"&lt;=2023")</f>
        <v>0</v>
      </c>
      <c r="BF6" s="199">
        <f t="shared" ref="BF6:BF21" si="10">COUNTIFS($AS$5:$AS$504,AU6,$V$5:$V$504,"&gt;=2024",$V$5:$V$504,"&lt;=2030")</f>
        <v>0</v>
      </c>
      <c r="BG6" s="199">
        <f t="shared" ref="BG6:BG21" si="11">COUNTIFS($AS$5:$AS$504,AU6,$V$5:$V$504,"&gt;2030")</f>
        <v>6</v>
      </c>
      <c r="BH6" s="199">
        <f t="shared" ref="BH6:BH21" si="12">SUM(AV6:BG6)</f>
        <v>51</v>
      </c>
    </row>
    <row r="7" spans="1:60" ht="18" customHeight="1">
      <c r="A7" s="7">
        <v>3</v>
      </c>
      <c r="B7" s="7" t="s">
        <v>1877</v>
      </c>
      <c r="C7" s="7" t="s">
        <v>73</v>
      </c>
      <c r="D7" s="7" t="s">
        <v>71</v>
      </c>
      <c r="E7" s="7" t="s">
        <v>7168</v>
      </c>
      <c r="F7" s="7" t="s">
        <v>7167</v>
      </c>
      <c r="G7" s="122"/>
      <c r="H7" s="7"/>
      <c r="I7" s="7"/>
      <c r="J7" s="122" t="s">
        <v>1960</v>
      </c>
      <c r="K7" s="7"/>
      <c r="L7" s="127" t="s">
        <v>1960</v>
      </c>
      <c r="M7" s="122" t="s">
        <v>4519</v>
      </c>
      <c r="N7" s="7" t="s">
        <v>5131</v>
      </c>
      <c r="O7" s="7">
        <v>2060</v>
      </c>
      <c r="P7" s="7" cm="1">
        <f t="array" ref="P7">IF(O7="", "", IFERROR(MAX(--_xlfn.TEXTSPLIT(O7,"+")), O7))</f>
        <v>2060</v>
      </c>
      <c r="Q7" s="7">
        <v>2021</v>
      </c>
      <c r="R7" s="109" t="s">
        <v>7166</v>
      </c>
      <c r="S7" s="7"/>
      <c r="T7" s="7"/>
      <c r="U7" s="7"/>
      <c r="V7" s="7" t="str" cm="1">
        <f t="array" ref="V7">IF(U7="", "", IFERROR(MAX(--_xlfn.TEXTSPLIT(U7,"+")), U7))</f>
        <v/>
      </c>
      <c r="W7" s="7"/>
      <c r="X7" s="7"/>
      <c r="Y7" s="122"/>
      <c r="Z7" s="7"/>
      <c r="AA7" s="109"/>
      <c r="AB7" s="7">
        <v>2020</v>
      </c>
      <c r="AC7" s="7"/>
      <c r="AD7" s="7"/>
      <c r="AE7" s="7"/>
      <c r="AF7" s="7"/>
      <c r="AG7" s="7" t="s">
        <v>5032</v>
      </c>
      <c r="AH7" s="7">
        <v>5272000</v>
      </c>
      <c r="AI7" s="7">
        <f>AH7</f>
        <v>5272000</v>
      </c>
      <c r="AJ7" s="7">
        <v>2019</v>
      </c>
      <c r="AK7" s="7"/>
      <c r="AL7" s="7"/>
      <c r="AM7" s="7"/>
      <c r="AN7" s="7"/>
      <c r="AO7" s="7">
        <v>3877000</v>
      </c>
      <c r="AP7" s="7">
        <f>AO7</f>
        <v>3877000</v>
      </c>
      <c r="AQ7" s="7" t="s">
        <v>7166</v>
      </c>
      <c r="AR7" s="7" t="str">
        <f>_xlfn.XLOOKUP(C7,Sheet1!A:A,Sheet1!B:B, "Other")</f>
        <v>Asia</v>
      </c>
      <c r="AS7" t="str">
        <f>_xlfn.XLOOKUP(D7,Sheet1!D:D,Sheet1!E:E)</f>
        <v>Energy and utilities</v>
      </c>
      <c r="AU7" s="202" t="s">
        <v>66</v>
      </c>
      <c r="AV7" s="199">
        <f t="shared" si="0"/>
        <v>0</v>
      </c>
      <c r="AW7" s="199">
        <f t="shared" si="1"/>
        <v>0</v>
      </c>
      <c r="AX7" s="199">
        <f t="shared" si="2"/>
        <v>2</v>
      </c>
      <c r="AY7" s="199">
        <f t="shared" si="3"/>
        <v>0</v>
      </c>
      <c r="AZ7" s="199">
        <f t="shared" si="4"/>
        <v>0</v>
      </c>
      <c r="BA7" s="199">
        <f t="shared" si="5"/>
        <v>1</v>
      </c>
      <c r="BB7" s="199">
        <f t="shared" si="6"/>
        <v>0</v>
      </c>
      <c r="BC7" s="199">
        <f t="shared" si="7"/>
        <v>1</v>
      </c>
      <c r="BD7" s="199">
        <f t="shared" si="8"/>
        <v>7</v>
      </c>
      <c r="BE7" s="199">
        <f t="shared" si="9"/>
        <v>0</v>
      </c>
      <c r="BF7" s="199">
        <f t="shared" si="10"/>
        <v>0</v>
      </c>
      <c r="BG7" s="199">
        <f t="shared" si="11"/>
        <v>3</v>
      </c>
      <c r="BH7" s="199">
        <f t="shared" si="12"/>
        <v>14</v>
      </c>
    </row>
    <row r="8" spans="1:60" ht="18" customHeight="1">
      <c r="A8" s="7">
        <v>4</v>
      </c>
      <c r="B8" s="7" t="s">
        <v>3995</v>
      </c>
      <c r="C8" s="7" t="s">
        <v>4457</v>
      </c>
      <c r="D8" s="7" t="s">
        <v>454</v>
      </c>
      <c r="E8" s="7" t="s">
        <v>7165</v>
      </c>
      <c r="F8" s="7" t="s">
        <v>7164</v>
      </c>
      <c r="G8" s="122"/>
      <c r="H8" s="7"/>
      <c r="I8" s="7"/>
      <c r="J8" s="122"/>
      <c r="K8" s="7"/>
      <c r="L8" s="127"/>
      <c r="M8" s="122"/>
      <c r="N8" s="7"/>
      <c r="O8" s="7"/>
      <c r="P8" s="7" t="str" cm="1">
        <f t="array" ref="P8">IF(O8="", "", IFERROR(MAX(--_xlfn.TEXTSPLIT(O8,"+")), O8))</f>
        <v/>
      </c>
      <c r="Q8" s="7"/>
      <c r="R8" s="109"/>
      <c r="S8" s="7" t="s">
        <v>1957</v>
      </c>
      <c r="T8" s="7" t="s">
        <v>7163</v>
      </c>
      <c r="U8" s="7">
        <v>2040</v>
      </c>
      <c r="V8" s="7" cm="1">
        <f t="array" ref="V8">IF(U8="", "", IFERROR(MAX(--_xlfn.TEXTSPLIT(U8,"+")), U8))</f>
        <v>2040</v>
      </c>
      <c r="W8" s="7">
        <v>2019</v>
      </c>
      <c r="X8" s="7" t="s">
        <v>7162</v>
      </c>
      <c r="Y8" s="122" t="s">
        <v>4174</v>
      </c>
      <c r="Z8" s="7" t="s">
        <v>7161</v>
      </c>
      <c r="AA8" s="109" t="s">
        <v>7160</v>
      </c>
      <c r="AB8" s="7">
        <v>2022</v>
      </c>
      <c r="AC8" s="7">
        <v>13400000</v>
      </c>
      <c r="AD8" s="7"/>
      <c r="AE8" s="7">
        <v>2890000</v>
      </c>
      <c r="AF8" s="7">
        <v>54980000</v>
      </c>
      <c r="AG8" s="7" t="s">
        <v>4174</v>
      </c>
      <c r="AH8" s="7">
        <f>AC8+AE8</f>
        <v>16290000</v>
      </c>
      <c r="AI8" s="7">
        <f>AF8+AH8</f>
        <v>71270000</v>
      </c>
      <c r="AJ8" s="7">
        <v>2021</v>
      </c>
      <c r="AK8" s="7">
        <v>12110000</v>
      </c>
      <c r="AL8" s="7"/>
      <c r="AM8" s="7">
        <v>4070000</v>
      </c>
      <c r="AN8" s="7">
        <v>55360000</v>
      </c>
      <c r="AO8" s="7">
        <f>AM8+AK8</f>
        <v>16180000</v>
      </c>
      <c r="AP8" s="7">
        <f>AO8+AN8</f>
        <v>71540000</v>
      </c>
      <c r="AQ8" s="27" t="s">
        <v>7159</v>
      </c>
      <c r="AR8" s="7" t="str">
        <f>_xlfn.XLOOKUP(C8,Sheet1!A:A,Sheet1!B:B, "Other")</f>
        <v>North America</v>
      </c>
      <c r="AS8" t="str">
        <f>_xlfn.XLOOKUP(D8,Sheet1!D:D,Sheet1!E:E)</f>
        <v>Retail</v>
      </c>
      <c r="AU8" s="202" t="s">
        <v>4199</v>
      </c>
      <c r="AV8" s="199">
        <f t="shared" si="0"/>
        <v>0</v>
      </c>
      <c r="AW8" s="199">
        <f t="shared" si="1"/>
        <v>8</v>
      </c>
      <c r="AX8" s="199">
        <f t="shared" si="2"/>
        <v>2</v>
      </c>
      <c r="AY8" s="199">
        <f t="shared" si="3"/>
        <v>0</v>
      </c>
      <c r="AZ8" s="199">
        <f t="shared" si="4"/>
        <v>0</v>
      </c>
      <c r="BA8" s="199">
        <f t="shared" si="5"/>
        <v>0</v>
      </c>
      <c r="BB8" s="199">
        <f t="shared" si="6"/>
        <v>2</v>
      </c>
      <c r="BC8" s="199">
        <f t="shared" si="7"/>
        <v>3</v>
      </c>
      <c r="BD8" s="199">
        <f t="shared" si="8"/>
        <v>31</v>
      </c>
      <c r="BE8" s="199">
        <f t="shared" si="9"/>
        <v>0</v>
      </c>
      <c r="BF8" s="199">
        <f t="shared" si="10"/>
        <v>0</v>
      </c>
      <c r="BG8" s="199">
        <f t="shared" si="11"/>
        <v>33</v>
      </c>
      <c r="BH8" s="199">
        <f t="shared" si="12"/>
        <v>79</v>
      </c>
    </row>
    <row r="9" spans="1:60" ht="18" customHeight="1">
      <c r="A9" s="7">
        <v>5</v>
      </c>
      <c r="B9" s="7" t="s">
        <v>1880</v>
      </c>
      <c r="C9" s="7" t="s">
        <v>73</v>
      </c>
      <c r="D9" s="7" t="s">
        <v>105</v>
      </c>
      <c r="E9" s="7" t="s">
        <v>7158</v>
      </c>
      <c r="F9" s="7" t="s">
        <v>7157</v>
      </c>
      <c r="G9" s="122"/>
      <c r="H9" s="7"/>
      <c r="I9" s="7"/>
      <c r="J9" s="122" t="s">
        <v>1960</v>
      </c>
      <c r="K9" s="7"/>
      <c r="L9" s="127" t="s">
        <v>1960</v>
      </c>
      <c r="M9" s="122" t="s">
        <v>4519</v>
      </c>
      <c r="N9" s="7" t="s">
        <v>5131</v>
      </c>
      <c r="O9" s="7">
        <v>2060</v>
      </c>
      <c r="P9" s="7" cm="1">
        <f t="array" ref="P9">IF(O9="", "", IFERROR(MAX(--_xlfn.TEXTSPLIT(O9,"+")), O9))</f>
        <v>2060</v>
      </c>
      <c r="Q9" s="7">
        <v>2020</v>
      </c>
      <c r="R9" s="109" t="s">
        <v>7156</v>
      </c>
      <c r="S9" s="7"/>
      <c r="T9" s="7"/>
      <c r="U9" s="7"/>
      <c r="V9" s="7" t="str" cm="1">
        <f t="array" ref="V9">IF(U9="", "", IFERROR(MAX(--_xlfn.TEXTSPLIT(U9,"+")), U9))</f>
        <v/>
      </c>
      <c r="W9" s="7"/>
      <c r="X9" s="7"/>
      <c r="Y9" s="122"/>
      <c r="Z9" s="7"/>
      <c r="AA9" s="109"/>
      <c r="AB9" s="7">
        <v>2022</v>
      </c>
      <c r="AC9" s="7">
        <v>119680000</v>
      </c>
      <c r="AD9" s="7"/>
      <c r="AE9" s="7">
        <v>40880000</v>
      </c>
      <c r="AF9" s="7"/>
      <c r="AG9" s="7" t="s">
        <v>5032</v>
      </c>
      <c r="AH9" s="7">
        <f>AC9+AE9</f>
        <v>160560000</v>
      </c>
      <c r="AI9" s="7">
        <v>160560000</v>
      </c>
      <c r="AJ9" s="7">
        <v>2021</v>
      </c>
      <c r="AK9" s="7">
        <v>121390000</v>
      </c>
      <c r="AL9" s="7"/>
      <c r="AM9" s="7">
        <v>38150000</v>
      </c>
      <c r="AN9" s="7"/>
      <c r="AO9" s="7">
        <f>AM9+AK9</f>
        <v>159540000</v>
      </c>
      <c r="AP9" s="7">
        <f>AO9</f>
        <v>159540000</v>
      </c>
      <c r="AQ9" s="7" t="s">
        <v>7155</v>
      </c>
      <c r="AR9" s="7" t="str">
        <f>_xlfn.XLOOKUP(C9,Sheet1!A:A,Sheet1!B:B, "Other")</f>
        <v>Asia</v>
      </c>
      <c r="AS9" t="str">
        <f>_xlfn.XLOOKUP(D9,Sheet1!D:D,Sheet1!E:E)</f>
        <v>Oil and gas</v>
      </c>
      <c r="AU9" s="202" t="s">
        <v>4197</v>
      </c>
      <c r="AV9" s="199">
        <f t="shared" si="0"/>
        <v>0</v>
      </c>
      <c r="AW9" s="199">
        <f t="shared" si="1"/>
        <v>1</v>
      </c>
      <c r="AX9" s="199">
        <f t="shared" si="2"/>
        <v>1</v>
      </c>
      <c r="AY9" s="199">
        <f t="shared" si="3"/>
        <v>0</v>
      </c>
      <c r="AZ9" s="199">
        <f t="shared" si="4"/>
        <v>1</v>
      </c>
      <c r="BA9" s="199">
        <f t="shared" si="5"/>
        <v>0</v>
      </c>
      <c r="BB9" s="199">
        <f t="shared" si="6"/>
        <v>0</v>
      </c>
      <c r="BC9" s="199">
        <f t="shared" si="7"/>
        <v>0</v>
      </c>
      <c r="BD9" s="199">
        <f t="shared" si="8"/>
        <v>8</v>
      </c>
      <c r="BE9" s="199">
        <f t="shared" si="9"/>
        <v>0</v>
      </c>
      <c r="BF9" s="199">
        <f t="shared" si="10"/>
        <v>0</v>
      </c>
      <c r="BG9" s="199">
        <f t="shared" si="11"/>
        <v>1</v>
      </c>
      <c r="BH9" s="199">
        <f t="shared" si="12"/>
        <v>12</v>
      </c>
    </row>
    <row r="10" spans="1:60" ht="18" customHeight="1">
      <c r="A10" s="7">
        <v>6</v>
      </c>
      <c r="B10" s="7" t="s">
        <v>1887</v>
      </c>
      <c r="C10" s="7" t="s">
        <v>73</v>
      </c>
      <c r="D10" s="7" t="s">
        <v>71</v>
      </c>
      <c r="E10" s="7" t="s">
        <v>7154</v>
      </c>
      <c r="F10" s="7" t="s">
        <v>7153</v>
      </c>
      <c r="G10" s="122"/>
      <c r="H10" s="7"/>
      <c r="I10" s="7"/>
      <c r="J10" s="122" t="s">
        <v>1960</v>
      </c>
      <c r="K10" s="7"/>
      <c r="L10" s="127" t="s">
        <v>1960</v>
      </c>
      <c r="M10" s="122" t="s">
        <v>4519</v>
      </c>
      <c r="N10" s="7" t="s">
        <v>5131</v>
      </c>
      <c r="O10" s="7">
        <v>2060</v>
      </c>
      <c r="P10" s="7" cm="1">
        <f t="array" ref="P10">IF(O10="", "", IFERROR(MAX(--_xlfn.TEXTSPLIT(O10,"+")), O10))</f>
        <v>2060</v>
      </c>
      <c r="Q10" s="7">
        <v>2021</v>
      </c>
      <c r="R10" s="109" t="s">
        <v>7152</v>
      </c>
      <c r="S10" s="7"/>
      <c r="T10" s="7"/>
      <c r="U10" s="7"/>
      <c r="V10" s="7" t="str" cm="1">
        <f t="array" ref="V10">IF(U10="", "", IFERROR(MAX(--_xlfn.TEXTSPLIT(U10,"+")), U10))</f>
        <v/>
      </c>
      <c r="W10" s="7"/>
      <c r="X10" s="7"/>
      <c r="Y10" s="122"/>
      <c r="Z10" s="7"/>
      <c r="AA10" s="109"/>
      <c r="AB10" s="7">
        <v>2022</v>
      </c>
      <c r="AC10" s="7">
        <v>137720000</v>
      </c>
      <c r="AD10" s="7"/>
      <c r="AE10" s="7">
        <v>24070000</v>
      </c>
      <c r="AF10" s="7"/>
      <c r="AG10" s="7" t="s">
        <v>5032</v>
      </c>
      <c r="AH10" s="7">
        <f>AC10+AE10</f>
        <v>161790000</v>
      </c>
      <c r="AI10" s="7">
        <f>AH10+AF10</f>
        <v>161790000</v>
      </c>
      <c r="AJ10" s="7">
        <v>2021</v>
      </c>
      <c r="AK10" s="7">
        <f>148.38*1000000</f>
        <v>148380000</v>
      </c>
      <c r="AL10" s="7"/>
      <c r="AM10" s="7">
        <f>24.18*1000000</f>
        <v>24180000</v>
      </c>
      <c r="AN10" s="7"/>
      <c r="AO10" s="7">
        <f>AK10+AM10</f>
        <v>172560000</v>
      </c>
      <c r="AP10" s="7">
        <f>AO10</f>
        <v>172560000</v>
      </c>
      <c r="AQ10" s="7" t="s">
        <v>7151</v>
      </c>
      <c r="AR10" s="7" t="str">
        <f>_xlfn.XLOOKUP(C10,Sheet1!A:A,Sheet1!B:B, "Other")</f>
        <v>Asia</v>
      </c>
      <c r="AS10" t="str">
        <f>_xlfn.XLOOKUP(D10,Sheet1!D:D,Sheet1!E:E)</f>
        <v>Energy and utilities</v>
      </c>
      <c r="AU10" s="202" t="s">
        <v>4465</v>
      </c>
      <c r="AV10" s="199">
        <f t="shared" si="0"/>
        <v>0</v>
      </c>
      <c r="AW10" s="199">
        <f t="shared" si="1"/>
        <v>1</v>
      </c>
      <c r="AX10" s="199">
        <f t="shared" si="2"/>
        <v>0</v>
      </c>
      <c r="AY10" s="199">
        <f t="shared" si="3"/>
        <v>11</v>
      </c>
      <c r="AZ10" s="199">
        <f t="shared" si="4"/>
        <v>7</v>
      </c>
      <c r="BA10" s="199">
        <f t="shared" si="5"/>
        <v>2</v>
      </c>
      <c r="BB10" s="199">
        <f t="shared" si="6"/>
        <v>24</v>
      </c>
      <c r="BC10" s="199">
        <f t="shared" si="7"/>
        <v>13</v>
      </c>
      <c r="BD10" s="199">
        <f t="shared" si="8"/>
        <v>22</v>
      </c>
      <c r="BE10" s="199">
        <f t="shared" si="9"/>
        <v>1</v>
      </c>
      <c r="BF10" s="199">
        <f t="shared" si="10"/>
        <v>6</v>
      </c>
      <c r="BG10" s="199">
        <f t="shared" si="11"/>
        <v>44</v>
      </c>
      <c r="BH10" s="199">
        <f t="shared" si="12"/>
        <v>131</v>
      </c>
    </row>
    <row r="11" spans="1:60" ht="18" customHeight="1">
      <c r="A11" s="7">
        <v>7</v>
      </c>
      <c r="B11" s="7" t="s">
        <v>1868</v>
      </c>
      <c r="C11" s="7" t="s">
        <v>4457</v>
      </c>
      <c r="D11" s="7" t="s">
        <v>71</v>
      </c>
      <c r="E11" s="7" t="s">
        <v>7150</v>
      </c>
      <c r="F11" s="7" t="s">
        <v>7149</v>
      </c>
      <c r="G11" s="122"/>
      <c r="H11" s="7"/>
      <c r="I11" s="7"/>
      <c r="J11" s="122" t="s">
        <v>1960</v>
      </c>
      <c r="K11" s="7"/>
      <c r="L11" s="127" t="s">
        <v>1960</v>
      </c>
      <c r="M11" s="122"/>
      <c r="N11" s="7"/>
      <c r="O11" s="7"/>
      <c r="P11" s="7" t="str" cm="1">
        <f t="array" ref="P11">IF(O11="", "", IFERROR(MAX(--_xlfn.TEXTSPLIT(O11,"+")), O11))</f>
        <v/>
      </c>
      <c r="Q11" s="7"/>
      <c r="R11" s="109"/>
      <c r="S11" s="7" t="s">
        <v>1957</v>
      </c>
      <c r="T11" s="7" t="s">
        <v>5122</v>
      </c>
      <c r="U11" s="7">
        <v>2050</v>
      </c>
      <c r="V11" s="7" cm="1">
        <f t="array" ref="V11">IF(U11="", "", IFERROR(MAX(--_xlfn.TEXTSPLIT(U11,"+")), U11))</f>
        <v>2050</v>
      </c>
      <c r="W11" s="7">
        <v>2022</v>
      </c>
      <c r="X11" s="7" t="s">
        <v>7148</v>
      </c>
      <c r="Y11" s="122" t="s">
        <v>4174</v>
      </c>
      <c r="Z11" s="7" t="s">
        <v>7147</v>
      </c>
      <c r="AA11" s="109" t="s">
        <v>7146</v>
      </c>
      <c r="AB11" s="7">
        <v>2022</v>
      </c>
      <c r="AC11" s="7">
        <v>96000000</v>
      </c>
      <c r="AD11" s="7">
        <v>7000000</v>
      </c>
      <c r="AE11" s="7">
        <v>4000000</v>
      </c>
      <c r="AF11" s="7">
        <v>540000000</v>
      </c>
      <c r="AG11" s="7" t="s">
        <v>5032</v>
      </c>
      <c r="AH11" s="7">
        <f>AC11+AE11</f>
        <v>100000000</v>
      </c>
      <c r="AI11" s="7">
        <f>AH11+AF11</f>
        <v>640000000</v>
      </c>
      <c r="AJ11" s="7">
        <v>2021</v>
      </c>
      <c r="AK11" s="7">
        <v>96000000</v>
      </c>
      <c r="AL11" s="7">
        <v>7000000</v>
      </c>
      <c r="AM11" s="7">
        <v>7000000</v>
      </c>
      <c r="AN11" s="7"/>
      <c r="AO11" s="7">
        <f>AK11+AM11</f>
        <v>103000000</v>
      </c>
      <c r="AP11" s="7">
        <f>AO11</f>
        <v>103000000</v>
      </c>
      <c r="AQ11" s="7" t="s">
        <v>7145</v>
      </c>
      <c r="AR11" s="7" t="str">
        <f>_xlfn.XLOOKUP(C11,Sheet1!A:A,Sheet1!B:B, "Other")</f>
        <v>North America</v>
      </c>
      <c r="AS11" t="str">
        <f>_xlfn.XLOOKUP(D11,Sheet1!D:D,Sheet1!E:E)</f>
        <v>Energy and utilities</v>
      </c>
      <c r="AU11" s="202" t="s">
        <v>4455</v>
      </c>
      <c r="AV11" s="199">
        <f t="shared" si="0"/>
        <v>0</v>
      </c>
      <c r="AW11" s="199">
        <f t="shared" si="1"/>
        <v>18</v>
      </c>
      <c r="AX11" s="199">
        <f t="shared" si="2"/>
        <v>0</v>
      </c>
      <c r="AY11" s="199">
        <f t="shared" si="3"/>
        <v>0</v>
      </c>
      <c r="AZ11" s="199">
        <f t="shared" si="4"/>
        <v>6</v>
      </c>
      <c r="BA11" s="199">
        <f t="shared" si="5"/>
        <v>1</v>
      </c>
      <c r="BB11" s="199">
        <f t="shared" si="6"/>
        <v>1</v>
      </c>
      <c r="BC11" s="199">
        <f t="shared" si="7"/>
        <v>2</v>
      </c>
      <c r="BD11" s="199">
        <f t="shared" si="8"/>
        <v>4</v>
      </c>
      <c r="BE11" s="199">
        <f t="shared" si="9"/>
        <v>0</v>
      </c>
      <c r="BF11" s="199">
        <f t="shared" si="10"/>
        <v>0</v>
      </c>
      <c r="BG11" s="199">
        <f t="shared" si="11"/>
        <v>18</v>
      </c>
      <c r="BH11" s="199">
        <f t="shared" si="12"/>
        <v>50</v>
      </c>
    </row>
    <row r="12" spans="1:60" ht="18" customHeight="1">
      <c r="A12" s="7">
        <v>8</v>
      </c>
      <c r="B12" s="7" t="s">
        <v>1846</v>
      </c>
      <c r="C12" s="7" t="s">
        <v>4457</v>
      </c>
      <c r="D12" s="7" t="s">
        <v>186</v>
      </c>
      <c r="E12" s="7" t="s">
        <v>7144</v>
      </c>
      <c r="F12" s="7" t="s">
        <v>7143</v>
      </c>
      <c r="G12" s="122" t="s">
        <v>4174</v>
      </c>
      <c r="H12" s="7">
        <v>2021</v>
      </c>
      <c r="I12" s="7">
        <v>2016</v>
      </c>
      <c r="J12" s="122" t="s">
        <v>4183</v>
      </c>
      <c r="K12" s="7">
        <v>2030</v>
      </c>
      <c r="L12" s="127">
        <v>2021</v>
      </c>
      <c r="M12" s="122" t="s">
        <v>4504</v>
      </c>
      <c r="N12" s="7" t="s">
        <v>7142</v>
      </c>
      <c r="O12" s="7" t="s">
        <v>7141</v>
      </c>
      <c r="P12" s="7" cm="1">
        <f t="array" ref="P12">IF(O12="", "", IFERROR(MAX(--_xlfn.TEXTSPLIT(O12,"+")), O12))</f>
        <v>2030</v>
      </c>
      <c r="Q12" s="7">
        <v>2020</v>
      </c>
      <c r="R12" s="109" t="s">
        <v>7140</v>
      </c>
      <c r="S12" s="7"/>
      <c r="T12" s="7"/>
      <c r="U12" s="7"/>
      <c r="V12" s="7" t="str" cm="1">
        <f t="array" ref="V12">IF(U12="", "", IFERROR(MAX(--_xlfn.TEXTSPLIT(U12,"+")), U12))</f>
        <v/>
      </c>
      <c r="W12" s="7"/>
      <c r="X12" s="7"/>
      <c r="Y12" s="122" t="s">
        <v>4174</v>
      </c>
      <c r="Z12" s="7" t="s">
        <v>7139</v>
      </c>
      <c r="AA12" s="109" t="s">
        <v>7138</v>
      </c>
      <c r="AB12" s="7">
        <v>2022</v>
      </c>
      <c r="AC12" s="7">
        <v>55200</v>
      </c>
      <c r="AD12" s="7"/>
      <c r="AE12" s="7">
        <v>3000</v>
      </c>
      <c r="AF12" s="7">
        <f>265800+20280000</f>
        <v>20545800</v>
      </c>
      <c r="AG12" s="7" t="s">
        <v>4174</v>
      </c>
      <c r="AH12" s="7">
        <f>AC12+AE12</f>
        <v>58200</v>
      </c>
      <c r="AI12" s="7">
        <f>AH12+AF12</f>
        <v>20604000</v>
      </c>
      <c r="AJ12" s="7">
        <v>2021</v>
      </c>
      <c r="AK12" s="7">
        <v>55200</v>
      </c>
      <c r="AL12" s="7"/>
      <c r="AM12" s="7">
        <v>2780</v>
      </c>
      <c r="AN12" s="7">
        <v>23128400</v>
      </c>
      <c r="AO12" s="7">
        <f>AK12+AM12</f>
        <v>57980</v>
      </c>
      <c r="AP12" s="7">
        <f>AO12+AN12</f>
        <v>23186380</v>
      </c>
      <c r="AQ12" s="7" t="s">
        <v>7138</v>
      </c>
      <c r="AR12" s="7" t="str">
        <f>_xlfn.XLOOKUP(C12,Sheet1!A:A,Sheet1!B:B, "Other")</f>
        <v>North America</v>
      </c>
      <c r="AS12" t="str">
        <f>_xlfn.XLOOKUP(D12,Sheet1!D:D,Sheet1!E:E)</f>
        <v>Technology</v>
      </c>
      <c r="AU12" s="202" t="s">
        <v>4201</v>
      </c>
      <c r="AV12" s="199">
        <f t="shared" si="0"/>
        <v>0</v>
      </c>
      <c r="AW12" s="199">
        <f t="shared" si="1"/>
        <v>12</v>
      </c>
      <c r="AX12" s="199">
        <f t="shared" si="2"/>
        <v>2</v>
      </c>
      <c r="AY12" s="199">
        <f t="shared" si="3"/>
        <v>0</v>
      </c>
      <c r="AZ12" s="199">
        <f t="shared" si="4"/>
        <v>8</v>
      </c>
      <c r="BA12" s="199">
        <f t="shared" si="5"/>
        <v>0</v>
      </c>
      <c r="BB12" s="199">
        <f t="shared" si="6"/>
        <v>1</v>
      </c>
      <c r="BC12" s="199">
        <f t="shared" si="7"/>
        <v>9</v>
      </c>
      <c r="BD12" s="199">
        <f t="shared" si="8"/>
        <v>6</v>
      </c>
      <c r="BE12" s="199">
        <f t="shared" si="9"/>
        <v>0</v>
      </c>
      <c r="BF12" s="199">
        <f t="shared" si="10"/>
        <v>0</v>
      </c>
      <c r="BG12" s="199">
        <f t="shared" si="11"/>
        <v>13</v>
      </c>
      <c r="BH12" s="199">
        <f t="shared" si="12"/>
        <v>51</v>
      </c>
    </row>
    <row r="13" spans="1:60" ht="18" customHeight="1">
      <c r="A13" s="7">
        <v>9</v>
      </c>
      <c r="B13" s="7" t="s">
        <v>5006</v>
      </c>
      <c r="C13" s="7" t="s">
        <v>96</v>
      </c>
      <c r="D13" s="7" t="s">
        <v>71</v>
      </c>
      <c r="E13" s="7" t="s">
        <v>7137</v>
      </c>
      <c r="F13" s="7" t="s">
        <v>7136</v>
      </c>
      <c r="G13" s="122"/>
      <c r="H13" s="7"/>
      <c r="I13" s="7"/>
      <c r="J13" s="122" t="s">
        <v>1960</v>
      </c>
      <c r="K13" s="7"/>
      <c r="L13" s="127" t="s">
        <v>1960</v>
      </c>
      <c r="M13" s="122"/>
      <c r="N13" s="7"/>
      <c r="O13" s="7"/>
      <c r="P13" s="7" t="str" cm="1">
        <f t="array" ref="P13">IF(O13="", "", IFERROR(MAX(--_xlfn.TEXTSPLIT(O13,"+")), O13))</f>
        <v/>
      </c>
      <c r="Q13" s="7"/>
      <c r="R13" s="109"/>
      <c r="S13" s="7" t="s">
        <v>1957</v>
      </c>
      <c r="T13" s="7" t="s">
        <v>4492</v>
      </c>
      <c r="U13" s="7">
        <v>2050</v>
      </c>
      <c r="V13" s="7" cm="1">
        <f t="array" ref="V13">IF(U13="", "", IFERROR(MAX(--_xlfn.TEXTSPLIT(U13,"+")), U13))</f>
        <v>2050</v>
      </c>
      <c r="W13" s="7">
        <v>2021</v>
      </c>
      <c r="X13" s="125" t="s">
        <v>7135</v>
      </c>
      <c r="Y13" s="122"/>
      <c r="Z13" s="7"/>
      <c r="AA13" s="109"/>
      <c r="AB13" s="7">
        <v>2022</v>
      </c>
      <c r="AC13" s="7">
        <v>51000000</v>
      </c>
      <c r="AD13" s="7">
        <v>8000000</v>
      </c>
      <c r="AE13" s="7">
        <v>7000000</v>
      </c>
      <c r="AF13" s="7">
        <v>2084000000</v>
      </c>
      <c r="AG13" s="7" t="s">
        <v>5032</v>
      </c>
      <c r="AH13" s="7">
        <f>AE13+AC13</f>
        <v>58000000</v>
      </c>
      <c r="AI13" s="136">
        <f>AH13+AF13</f>
        <v>2142000000</v>
      </c>
      <c r="AJ13" s="7">
        <v>2021</v>
      </c>
      <c r="AK13" s="7">
        <v>60000000</v>
      </c>
      <c r="AL13" s="7">
        <v>9000000</v>
      </c>
      <c r="AM13" s="7">
        <v>8000000</v>
      </c>
      <c r="AN13" s="7">
        <v>2309000000</v>
      </c>
      <c r="AO13" s="7">
        <f>AM13+AK13</f>
        <v>68000000</v>
      </c>
      <c r="AP13" s="135">
        <f>AO13+AN13</f>
        <v>2377000000</v>
      </c>
      <c r="AQ13" s="7" t="s">
        <v>7134</v>
      </c>
      <c r="AR13" s="7" t="str">
        <f>_xlfn.XLOOKUP(C13,Sheet1!A:A,Sheet1!B:B, "Other")</f>
        <v>Europe</v>
      </c>
      <c r="AS13" t="str">
        <f>_xlfn.XLOOKUP(D13,Sheet1!D:D,Sheet1!E:E)</f>
        <v>Energy and utilities</v>
      </c>
      <c r="AU13" s="202" t="s">
        <v>4643</v>
      </c>
      <c r="AV13" s="199">
        <f t="shared" si="0"/>
        <v>0</v>
      </c>
      <c r="AW13" s="199">
        <f t="shared" si="1"/>
        <v>3</v>
      </c>
      <c r="AX13" s="199">
        <f t="shared" si="2"/>
        <v>0</v>
      </c>
      <c r="AY13" s="199">
        <f t="shared" si="3"/>
        <v>0</v>
      </c>
      <c r="AZ13" s="199">
        <f t="shared" si="4"/>
        <v>2</v>
      </c>
      <c r="BA13" s="199">
        <f t="shared" si="5"/>
        <v>0</v>
      </c>
      <c r="BB13" s="199">
        <f t="shared" si="6"/>
        <v>1</v>
      </c>
      <c r="BC13" s="199">
        <f t="shared" si="7"/>
        <v>1</v>
      </c>
      <c r="BD13" s="199">
        <f t="shared" si="8"/>
        <v>0</v>
      </c>
      <c r="BE13" s="199">
        <f t="shared" si="9"/>
        <v>0</v>
      </c>
      <c r="BF13" s="199">
        <f t="shared" si="10"/>
        <v>0</v>
      </c>
      <c r="BG13" s="199">
        <f t="shared" si="11"/>
        <v>3</v>
      </c>
      <c r="BH13" s="199">
        <f t="shared" si="12"/>
        <v>10</v>
      </c>
    </row>
    <row r="14" spans="1:60" ht="18" customHeight="1">
      <c r="A14" s="7">
        <v>10</v>
      </c>
      <c r="B14" s="7" t="s">
        <v>1835</v>
      </c>
      <c r="C14" s="7" t="s">
        <v>4457</v>
      </c>
      <c r="D14" s="7" t="s">
        <v>319</v>
      </c>
      <c r="E14" s="7" t="s">
        <v>7133</v>
      </c>
      <c r="F14" s="7" t="s">
        <v>7132</v>
      </c>
      <c r="G14" s="122"/>
      <c r="H14" s="7"/>
      <c r="I14" s="7"/>
      <c r="J14" s="122" t="s">
        <v>1957</v>
      </c>
      <c r="K14" s="7"/>
      <c r="L14" s="127">
        <v>2022</v>
      </c>
      <c r="M14" s="122"/>
      <c r="N14" s="7"/>
      <c r="O14" s="7"/>
      <c r="P14" s="7" t="str" cm="1">
        <f t="array" ref="P14">IF(O14="", "", IFERROR(MAX(--_xlfn.TEXTSPLIT(O14,"+")), O14))</f>
        <v/>
      </c>
      <c r="Q14" s="7"/>
      <c r="R14" s="109"/>
      <c r="S14" s="7" t="s">
        <v>1957</v>
      </c>
      <c r="T14" s="7" t="s">
        <v>4832</v>
      </c>
      <c r="U14" s="7">
        <v>2035</v>
      </c>
      <c r="V14" s="7" cm="1">
        <f t="array" ref="V14">IF(U14="", "", IFERROR(MAX(--_xlfn.TEXTSPLIT(U14,"+")), U14))</f>
        <v>2035</v>
      </c>
      <c r="W14" s="7">
        <v>2021</v>
      </c>
      <c r="X14" s="7" t="s">
        <v>7131</v>
      </c>
      <c r="Y14" s="122" t="s">
        <v>4174</v>
      </c>
      <c r="Z14" s="7" t="s">
        <v>5037</v>
      </c>
      <c r="AA14" s="109" t="s">
        <v>7130</v>
      </c>
      <c r="AB14" s="7">
        <v>2022</v>
      </c>
      <c r="AC14" s="124">
        <v>122356</v>
      </c>
      <c r="AD14" s="124">
        <v>383896</v>
      </c>
      <c r="AE14" s="124">
        <v>383896</v>
      </c>
      <c r="AF14" s="124">
        <v>13788578</v>
      </c>
      <c r="AG14" s="7" t="s">
        <v>4174</v>
      </c>
      <c r="AH14" s="124">
        <v>506252</v>
      </c>
      <c r="AI14" s="124">
        <v>14294830</v>
      </c>
      <c r="AJ14" s="7">
        <v>2021</v>
      </c>
      <c r="AK14" s="124">
        <v>121572</v>
      </c>
      <c r="AL14" s="124">
        <v>362038</v>
      </c>
      <c r="AM14" s="124">
        <v>334277</v>
      </c>
      <c r="AN14" s="124">
        <v>12491631</v>
      </c>
      <c r="AO14" s="124">
        <f>AM14+AK14</f>
        <v>455849</v>
      </c>
      <c r="AP14" s="124">
        <f>AO14+AN14</f>
        <v>12947480</v>
      </c>
      <c r="AQ14" s="7" t="s">
        <v>7130</v>
      </c>
      <c r="AR14" s="7" t="str">
        <f>_xlfn.XLOOKUP(C14,Sheet1!A:A,Sheet1!B:B, "Other")</f>
        <v>North America</v>
      </c>
      <c r="AS14" t="str">
        <f>_xlfn.XLOOKUP(D14,Sheet1!D:D,Sheet1!E:E)</f>
        <v>Health care and pharmaceuticals</v>
      </c>
      <c r="AU14" s="202" t="s">
        <v>4459</v>
      </c>
      <c r="AV14" s="199">
        <f t="shared" si="0"/>
        <v>0</v>
      </c>
      <c r="AW14" s="199">
        <f t="shared" si="1"/>
        <v>7</v>
      </c>
      <c r="AX14" s="199">
        <f t="shared" si="2"/>
        <v>1</v>
      </c>
      <c r="AY14" s="199">
        <f t="shared" si="3"/>
        <v>0</v>
      </c>
      <c r="AZ14" s="199">
        <f t="shared" si="4"/>
        <v>2</v>
      </c>
      <c r="BA14" s="199">
        <f t="shared" si="5"/>
        <v>0</v>
      </c>
      <c r="BB14" s="199">
        <f t="shared" si="6"/>
        <v>0</v>
      </c>
      <c r="BC14" s="199">
        <f t="shared" si="7"/>
        <v>1</v>
      </c>
      <c r="BD14" s="199">
        <f t="shared" si="8"/>
        <v>27</v>
      </c>
      <c r="BE14" s="199">
        <f t="shared" si="9"/>
        <v>0</v>
      </c>
      <c r="BF14" s="199">
        <f t="shared" si="10"/>
        <v>0</v>
      </c>
      <c r="BG14" s="199">
        <f t="shared" si="11"/>
        <v>9</v>
      </c>
      <c r="BH14" s="199">
        <f t="shared" si="12"/>
        <v>47</v>
      </c>
    </row>
    <row r="15" spans="1:60" ht="18" customHeight="1">
      <c r="A15" s="7">
        <v>11</v>
      </c>
      <c r="B15" s="7" t="s">
        <v>1815</v>
      </c>
      <c r="C15" s="7" t="s">
        <v>4457</v>
      </c>
      <c r="D15" s="7" t="s">
        <v>319</v>
      </c>
      <c r="E15" s="7" t="s">
        <v>7129</v>
      </c>
      <c r="F15" s="7" t="s">
        <v>7128</v>
      </c>
      <c r="G15" s="122"/>
      <c r="H15" s="7"/>
      <c r="I15" s="7"/>
      <c r="J15" s="122" t="s">
        <v>4183</v>
      </c>
      <c r="K15" s="7">
        <v>2030</v>
      </c>
      <c r="L15" s="127">
        <v>2021</v>
      </c>
      <c r="M15" s="122" t="s">
        <v>1957</v>
      </c>
      <c r="N15" s="7" t="s">
        <v>418</v>
      </c>
      <c r="O15" s="7">
        <v>2030</v>
      </c>
      <c r="P15" s="7" cm="1">
        <f t="array" ref="P15">IF(O15="", "", IFERROR(MAX(--_xlfn.TEXTSPLIT(O15,"+")), O15))</f>
        <v>2030</v>
      </c>
      <c r="Q15" s="7">
        <v>2021</v>
      </c>
      <c r="R15" s="109" t="s">
        <v>7127</v>
      </c>
      <c r="S15" s="7" t="s">
        <v>4172</v>
      </c>
      <c r="T15" s="7" t="s">
        <v>2760</v>
      </c>
      <c r="U15" s="7">
        <v>2050</v>
      </c>
      <c r="V15" s="7" cm="1">
        <f t="array" ref="V15">IF(U15="", "", IFERROR(MAX(--_xlfn.TEXTSPLIT(U15,"+")), U15))</f>
        <v>2050</v>
      </c>
      <c r="W15" s="7">
        <v>2021</v>
      </c>
      <c r="X15" s="7" t="s">
        <v>7126</v>
      </c>
      <c r="Y15" s="122" t="s">
        <v>4174</v>
      </c>
      <c r="Z15" s="7" t="s">
        <v>5037</v>
      </c>
      <c r="AA15" s="109" t="s">
        <v>7125</v>
      </c>
      <c r="AB15" s="7">
        <v>2022</v>
      </c>
      <c r="AC15" s="7">
        <v>250062</v>
      </c>
      <c r="AD15" s="7"/>
      <c r="AE15" s="7">
        <v>786266</v>
      </c>
      <c r="AF15" s="7">
        <v>14457271</v>
      </c>
      <c r="AG15" s="7" t="s">
        <v>4174</v>
      </c>
      <c r="AH15" s="7">
        <f>AC15+AE15</f>
        <v>1036328</v>
      </c>
      <c r="AI15" s="7">
        <f>AF15+AH15</f>
        <v>15493599</v>
      </c>
      <c r="AJ15" s="7">
        <v>2021</v>
      </c>
      <c r="AK15" s="7">
        <v>188377</v>
      </c>
      <c r="AL15" s="7">
        <v>842057</v>
      </c>
      <c r="AM15" s="7">
        <v>881824</v>
      </c>
      <c r="AN15" s="7">
        <f>5470842+28827+152475</f>
        <v>5652144</v>
      </c>
      <c r="AO15" s="7">
        <f>AK15+AM15</f>
        <v>1070201</v>
      </c>
      <c r="AP15" s="7">
        <f>AN15+AO15</f>
        <v>6722345</v>
      </c>
      <c r="AQ15" s="7" t="s">
        <v>7124</v>
      </c>
      <c r="AR15" s="7" t="str">
        <f>_xlfn.XLOOKUP(C15,Sheet1!A:A,Sheet1!B:B, "Other")</f>
        <v>North America</v>
      </c>
      <c r="AS15" t="str">
        <f>_xlfn.XLOOKUP(D15,Sheet1!D:D,Sheet1!E:E)</f>
        <v>Health care and pharmaceuticals</v>
      </c>
      <c r="AU15" s="202" t="s">
        <v>4494</v>
      </c>
      <c r="AV15" s="199">
        <f t="shared" si="0"/>
        <v>0</v>
      </c>
      <c r="AW15" s="199">
        <f t="shared" si="1"/>
        <v>0</v>
      </c>
      <c r="AX15" s="199">
        <f t="shared" si="2"/>
        <v>0</v>
      </c>
      <c r="AY15" s="199">
        <f t="shared" si="3"/>
        <v>0</v>
      </c>
      <c r="AZ15" s="199">
        <f t="shared" si="4"/>
        <v>0</v>
      </c>
      <c r="BA15" s="199">
        <f t="shared" si="5"/>
        <v>0</v>
      </c>
      <c r="BB15" s="199">
        <f t="shared" si="6"/>
        <v>0</v>
      </c>
      <c r="BC15" s="199">
        <f t="shared" si="7"/>
        <v>0</v>
      </c>
      <c r="BD15" s="199">
        <f t="shared" si="8"/>
        <v>0</v>
      </c>
      <c r="BE15" s="199">
        <f t="shared" si="9"/>
        <v>0</v>
      </c>
      <c r="BF15" s="199">
        <f t="shared" si="10"/>
        <v>0</v>
      </c>
      <c r="BG15" s="199">
        <f t="shared" si="11"/>
        <v>0</v>
      </c>
      <c r="BH15" s="199">
        <f t="shared" si="12"/>
        <v>0</v>
      </c>
    </row>
    <row r="16" spans="1:60" ht="18" customHeight="1">
      <c r="A16" s="7">
        <v>12</v>
      </c>
      <c r="B16" s="7" t="s">
        <v>1810</v>
      </c>
      <c r="C16" s="7" t="s">
        <v>183</v>
      </c>
      <c r="D16" s="7" t="s">
        <v>91</v>
      </c>
      <c r="E16" s="7" t="s">
        <v>7123</v>
      </c>
      <c r="F16" s="7" t="s">
        <v>7122</v>
      </c>
      <c r="G16" s="122"/>
      <c r="H16" s="7"/>
      <c r="I16" s="7"/>
      <c r="J16" s="122" t="s">
        <v>1960</v>
      </c>
      <c r="K16" s="7"/>
      <c r="L16" s="127" t="s">
        <v>1960</v>
      </c>
      <c r="M16" s="122" t="s">
        <v>1957</v>
      </c>
      <c r="N16" s="7" t="s">
        <v>4832</v>
      </c>
      <c r="O16" s="7">
        <v>2050</v>
      </c>
      <c r="P16" s="7" cm="1">
        <f t="array" ref="P16">IF(O16="", "", IFERROR(MAX(--_xlfn.TEXTSPLIT(O16,"+")), O16))</f>
        <v>2050</v>
      </c>
      <c r="Q16" s="7">
        <v>2022</v>
      </c>
      <c r="R16" s="109" t="s">
        <v>7121</v>
      </c>
      <c r="S16" s="7"/>
      <c r="T16" s="7"/>
      <c r="U16" s="7"/>
      <c r="V16" s="7" t="str" cm="1">
        <f t="array" ref="V16">IF(U16="", "", IFERROR(MAX(--_xlfn.TEXTSPLIT(U16,"+")), U16))</f>
        <v/>
      </c>
      <c r="W16" s="7"/>
      <c r="X16" s="7"/>
      <c r="Y16" s="122"/>
      <c r="Z16" s="7"/>
      <c r="AA16" s="109"/>
      <c r="AB16" s="7">
        <v>2022</v>
      </c>
      <c r="AC16" s="7"/>
      <c r="AD16" s="7"/>
      <c r="AE16" s="7"/>
      <c r="AF16" s="7">
        <v>15600000</v>
      </c>
      <c r="AG16" s="7" t="s">
        <v>5032</v>
      </c>
      <c r="AH16" s="7">
        <v>2395000</v>
      </c>
      <c r="AI16" s="7">
        <f>AH16+AF16</f>
        <v>17995000</v>
      </c>
      <c r="AJ16" s="7">
        <v>2021</v>
      </c>
      <c r="AK16" s="7"/>
      <c r="AL16" s="7"/>
      <c r="AM16" s="7"/>
      <c r="AN16" s="7">
        <v>14500000</v>
      </c>
      <c r="AO16" s="7">
        <v>2724000</v>
      </c>
      <c r="AP16" s="7">
        <f>AO16+AN16</f>
        <v>17224000</v>
      </c>
      <c r="AQ16" s="7" t="s">
        <v>7121</v>
      </c>
      <c r="AR16" s="7" t="str">
        <f>_xlfn.XLOOKUP(C16,Sheet1!A:A,Sheet1!B:B, "Other")</f>
        <v>Asia</v>
      </c>
      <c r="AS16" t="str">
        <f>_xlfn.XLOOKUP(D16,Sheet1!D:D,Sheet1!E:E)</f>
        <v>Retail</v>
      </c>
      <c r="AU16" s="202" t="s">
        <v>3498</v>
      </c>
      <c r="AV16" s="199">
        <f t="shared" si="0"/>
        <v>0</v>
      </c>
      <c r="AW16" s="199">
        <f t="shared" si="1"/>
        <v>0</v>
      </c>
      <c r="AX16" s="199">
        <f t="shared" si="2"/>
        <v>0</v>
      </c>
      <c r="AY16" s="199">
        <f t="shared" si="3"/>
        <v>0</v>
      </c>
      <c r="AZ16" s="199">
        <f t="shared" si="4"/>
        <v>0</v>
      </c>
      <c r="BA16" s="199">
        <f t="shared" si="5"/>
        <v>0</v>
      </c>
      <c r="BB16" s="199">
        <f t="shared" si="6"/>
        <v>0</v>
      </c>
      <c r="BC16" s="199">
        <f t="shared" si="7"/>
        <v>0</v>
      </c>
      <c r="BD16" s="199">
        <f t="shared" si="8"/>
        <v>2</v>
      </c>
      <c r="BE16" s="199">
        <f t="shared" si="9"/>
        <v>0</v>
      </c>
      <c r="BF16" s="199">
        <f t="shared" si="10"/>
        <v>0</v>
      </c>
      <c r="BG16" s="199">
        <f t="shared" si="11"/>
        <v>0</v>
      </c>
      <c r="BH16" s="199">
        <f t="shared" si="12"/>
        <v>2</v>
      </c>
    </row>
    <row r="17" spans="1:60" ht="18" customHeight="1">
      <c r="A17" s="7">
        <v>13</v>
      </c>
      <c r="B17" s="7" t="s">
        <v>1811</v>
      </c>
      <c r="C17" s="7" t="s">
        <v>73</v>
      </c>
      <c r="D17" s="7" t="s">
        <v>135</v>
      </c>
      <c r="E17" s="7" t="s">
        <v>7120</v>
      </c>
      <c r="F17" s="7" t="s">
        <v>7119</v>
      </c>
      <c r="G17" s="122"/>
      <c r="H17" s="7"/>
      <c r="I17" s="7"/>
      <c r="J17" s="122" t="s">
        <v>1960</v>
      </c>
      <c r="K17" s="7"/>
      <c r="L17" s="127" t="s">
        <v>1960</v>
      </c>
      <c r="M17" s="122" t="s">
        <v>4519</v>
      </c>
      <c r="N17" s="7" t="s">
        <v>5131</v>
      </c>
      <c r="O17" s="7">
        <v>2060</v>
      </c>
      <c r="P17" s="7" cm="1">
        <f t="array" ref="P17">IF(O17="", "", IFERROR(MAX(--_xlfn.TEXTSPLIT(O17,"+")), O17))</f>
        <v>2060</v>
      </c>
      <c r="Q17" s="7">
        <v>2021</v>
      </c>
      <c r="R17" s="109" t="s">
        <v>7118</v>
      </c>
      <c r="S17" s="7"/>
      <c r="T17" s="7"/>
      <c r="U17" s="7"/>
      <c r="V17" s="7" t="str" cm="1">
        <f t="array" ref="V17">IF(U17="", "", IFERROR(MAX(--_xlfn.TEXTSPLIT(U17,"+")), U17))</f>
        <v/>
      </c>
      <c r="W17" s="7"/>
      <c r="X17" s="7"/>
      <c r="Y17" s="122"/>
      <c r="Z17" s="7"/>
      <c r="AA17" s="109"/>
      <c r="AB17" s="7" t="s">
        <v>5032</v>
      </c>
      <c r="AC17" s="7"/>
      <c r="AD17" s="7"/>
      <c r="AE17" s="7"/>
      <c r="AF17" s="7"/>
      <c r="AG17" s="7" t="s">
        <v>5032</v>
      </c>
      <c r="AH17" s="7"/>
      <c r="AI17" s="7"/>
      <c r="AJ17" s="7"/>
      <c r="AK17" s="7"/>
      <c r="AL17" s="7"/>
      <c r="AM17" s="7"/>
      <c r="AN17" s="7"/>
      <c r="AO17" s="7"/>
      <c r="AP17" s="7"/>
      <c r="AQ17" s="7" t="s">
        <v>7117</v>
      </c>
      <c r="AR17" s="7" t="str">
        <f>_xlfn.XLOOKUP(C17,Sheet1!A:A,Sheet1!B:B, "Other")</f>
        <v>Asia</v>
      </c>
      <c r="AS17" t="str">
        <f>_xlfn.XLOOKUP(D17,Sheet1!D:D,Sheet1!E:E)</f>
        <v>Engineering and construction</v>
      </c>
      <c r="AU17" s="202" t="s">
        <v>976</v>
      </c>
      <c r="AV17" s="199">
        <f t="shared" si="0"/>
        <v>0</v>
      </c>
      <c r="AW17" s="199">
        <f t="shared" si="1"/>
        <v>0</v>
      </c>
      <c r="AX17" s="199">
        <f t="shared" si="2"/>
        <v>0</v>
      </c>
      <c r="AY17" s="199">
        <f t="shared" si="3"/>
        <v>0</v>
      </c>
      <c r="AZ17" s="199">
        <f t="shared" si="4"/>
        <v>0</v>
      </c>
      <c r="BA17" s="199">
        <f t="shared" si="5"/>
        <v>0</v>
      </c>
      <c r="BB17" s="199">
        <f t="shared" si="6"/>
        <v>0</v>
      </c>
      <c r="BC17" s="199">
        <f t="shared" si="7"/>
        <v>0</v>
      </c>
      <c r="BD17" s="199">
        <f t="shared" si="8"/>
        <v>0</v>
      </c>
      <c r="BE17" s="199">
        <f t="shared" si="9"/>
        <v>0</v>
      </c>
      <c r="BF17" s="199">
        <f t="shared" si="10"/>
        <v>0</v>
      </c>
      <c r="BG17" s="199">
        <f t="shared" si="11"/>
        <v>0</v>
      </c>
      <c r="BH17" s="199">
        <f t="shared" si="12"/>
        <v>0</v>
      </c>
    </row>
    <row r="18" spans="1:60" ht="18" customHeight="1">
      <c r="A18" s="7">
        <v>14</v>
      </c>
      <c r="B18" s="7" t="s">
        <v>1843</v>
      </c>
      <c r="C18" s="7" t="s">
        <v>4457</v>
      </c>
      <c r="D18" s="7" t="s">
        <v>76</v>
      </c>
      <c r="E18" s="7" t="s">
        <v>7116</v>
      </c>
      <c r="F18" s="7" t="s">
        <v>7115</v>
      </c>
      <c r="G18" s="122"/>
      <c r="H18" s="7"/>
      <c r="I18" s="7"/>
      <c r="J18" s="122" t="s">
        <v>1960</v>
      </c>
      <c r="K18" s="7"/>
      <c r="L18" s="127" t="s">
        <v>1960</v>
      </c>
      <c r="M18" s="122"/>
      <c r="N18" s="7"/>
      <c r="O18" s="7"/>
      <c r="P18" s="7" t="str" cm="1">
        <f t="array" ref="P18">IF(O18="", "", IFERROR(MAX(--_xlfn.TEXTSPLIT(O18,"+")), O18))</f>
        <v/>
      </c>
      <c r="Q18" s="7"/>
      <c r="R18" s="109"/>
      <c r="S18" s="7"/>
      <c r="T18" s="7"/>
      <c r="U18" s="7"/>
      <c r="V18" s="7" t="str" cm="1">
        <f t="array" ref="V18">IF(U18="", "", IFERROR(MAX(--_xlfn.TEXTSPLIT(U18,"+")), U18))</f>
        <v/>
      </c>
      <c r="W18" s="7"/>
      <c r="X18" s="7"/>
      <c r="Y18" s="122" t="s">
        <v>4174</v>
      </c>
      <c r="Z18" s="7" t="s">
        <v>5037</v>
      </c>
      <c r="AA18" s="109" t="s">
        <v>7114</v>
      </c>
      <c r="AB18" s="7" t="s">
        <v>5032</v>
      </c>
      <c r="AC18" s="7"/>
      <c r="AD18" s="7"/>
      <c r="AE18" s="7"/>
      <c r="AF18" s="7"/>
      <c r="AG18" s="7" t="s">
        <v>5032</v>
      </c>
      <c r="AH18" s="7"/>
      <c r="AI18" s="7"/>
      <c r="AJ18" s="7">
        <v>2021</v>
      </c>
      <c r="AK18" s="7"/>
      <c r="AL18" s="7"/>
      <c r="AM18" s="7"/>
      <c r="AN18" s="7"/>
      <c r="AO18" s="7"/>
      <c r="AP18" s="7">
        <v>79300000</v>
      </c>
      <c r="AQ18" s="7" t="s">
        <v>7113</v>
      </c>
      <c r="AR18" s="7" t="str">
        <f>_xlfn.XLOOKUP(C18,Sheet1!A:A,Sheet1!B:B, "Other")</f>
        <v>North America</v>
      </c>
      <c r="AS18" t="str">
        <f>_xlfn.XLOOKUP(D18,Sheet1!D:D,Sheet1!E:E)</f>
        <v>Financial services</v>
      </c>
      <c r="AU18" s="202" t="s">
        <v>4467</v>
      </c>
      <c r="AV18" s="199">
        <f t="shared" si="0"/>
        <v>0</v>
      </c>
      <c r="AW18" s="199">
        <f t="shared" si="1"/>
        <v>12</v>
      </c>
      <c r="AX18" s="199">
        <f t="shared" si="2"/>
        <v>1</v>
      </c>
      <c r="AY18" s="199">
        <f t="shared" si="3"/>
        <v>1</v>
      </c>
      <c r="AZ18" s="199">
        <f t="shared" si="4"/>
        <v>4</v>
      </c>
      <c r="BA18" s="199">
        <f t="shared" si="5"/>
        <v>2</v>
      </c>
      <c r="BB18" s="199">
        <f t="shared" si="6"/>
        <v>0</v>
      </c>
      <c r="BC18" s="199">
        <f t="shared" si="7"/>
        <v>3</v>
      </c>
      <c r="BD18" s="199">
        <f t="shared" si="8"/>
        <v>13</v>
      </c>
      <c r="BE18" s="199">
        <f t="shared" si="9"/>
        <v>0</v>
      </c>
      <c r="BF18" s="199">
        <f t="shared" si="10"/>
        <v>0</v>
      </c>
      <c r="BG18" s="199">
        <f t="shared" si="11"/>
        <v>17</v>
      </c>
      <c r="BH18" s="199">
        <f t="shared" si="12"/>
        <v>53</v>
      </c>
    </row>
    <row r="19" spans="1:60" ht="18" customHeight="1">
      <c r="A19" s="7">
        <v>15</v>
      </c>
      <c r="B19" s="7" t="s">
        <v>1863</v>
      </c>
      <c r="C19" s="7" t="s">
        <v>146</v>
      </c>
      <c r="D19" s="7" t="s">
        <v>171</v>
      </c>
      <c r="E19" s="7" t="s">
        <v>7112</v>
      </c>
      <c r="F19" s="7" t="s">
        <v>7111</v>
      </c>
      <c r="G19" s="122"/>
      <c r="H19" s="7"/>
      <c r="I19" s="7"/>
      <c r="J19" s="122" t="s">
        <v>4183</v>
      </c>
      <c r="K19" s="7">
        <v>2030</v>
      </c>
      <c r="L19" s="127">
        <v>2022</v>
      </c>
      <c r="M19" s="122" t="s">
        <v>4172</v>
      </c>
      <c r="N19" s="7" t="s">
        <v>7110</v>
      </c>
      <c r="O19" s="7">
        <v>2050</v>
      </c>
      <c r="P19" s="7" cm="1">
        <f t="array" ref="P19">IF(O19="", "", IFERROR(MAX(--_xlfn.TEXTSPLIT(O19,"+")), O19))</f>
        <v>2050</v>
      </c>
      <c r="Q19" s="7"/>
      <c r="R19" s="109" t="s">
        <v>7108</v>
      </c>
      <c r="S19" s="7"/>
      <c r="T19" s="7"/>
      <c r="U19" s="7"/>
      <c r="V19" s="7" t="str" cm="1">
        <f t="array" ref="V19">IF(U19="", "", IFERROR(MAX(--_xlfn.TEXTSPLIT(U19,"+")), U19))</f>
        <v/>
      </c>
      <c r="W19" s="7"/>
      <c r="X19" s="7"/>
      <c r="Y19" s="122" t="s">
        <v>4174</v>
      </c>
      <c r="Z19" s="7" t="s">
        <v>5037</v>
      </c>
      <c r="AA19" s="109" t="s">
        <v>7109</v>
      </c>
      <c r="AB19" s="7">
        <v>2022</v>
      </c>
      <c r="AC19" s="7">
        <v>4460000</v>
      </c>
      <c r="AD19" s="7"/>
      <c r="AE19" s="7">
        <v>2110000</v>
      </c>
      <c r="AF19" s="7">
        <v>395620000</v>
      </c>
      <c r="AG19" s="7" t="s">
        <v>4174</v>
      </c>
      <c r="AH19" s="7">
        <f t="shared" ref="AH19:AH24" si="13">AC19+AE19</f>
        <v>6570000</v>
      </c>
      <c r="AI19" s="7">
        <f>AC19+AE19+AF19</f>
        <v>402190000</v>
      </c>
      <c r="AJ19" s="7">
        <v>2021</v>
      </c>
      <c r="AK19" s="7">
        <v>4670000</v>
      </c>
      <c r="AL19" s="7"/>
      <c r="AM19" s="7">
        <v>2410000</v>
      </c>
      <c r="AN19" s="7">
        <v>364140000</v>
      </c>
      <c r="AO19" s="7">
        <f>AK19+AM19</f>
        <v>7080000</v>
      </c>
      <c r="AP19" s="7">
        <f>AN19+AM19+AK19</f>
        <v>371220000</v>
      </c>
      <c r="AQ19" s="7" t="s">
        <v>7108</v>
      </c>
      <c r="AR19" s="7" t="str">
        <f>_xlfn.XLOOKUP(C19,Sheet1!A:A,Sheet1!B:B, "Other")</f>
        <v>Europe</v>
      </c>
      <c r="AS19" t="str">
        <f>_xlfn.XLOOKUP(D19,Sheet1!D:D,Sheet1!E:E)</f>
        <v>Automotive</v>
      </c>
      <c r="AU19" s="202" t="s">
        <v>186</v>
      </c>
      <c r="AV19" s="199">
        <f t="shared" si="0"/>
        <v>0</v>
      </c>
      <c r="AW19" s="199">
        <f t="shared" si="1"/>
        <v>13</v>
      </c>
      <c r="AX19" s="199">
        <f t="shared" si="2"/>
        <v>3</v>
      </c>
      <c r="AY19" s="199">
        <f t="shared" si="3"/>
        <v>5</v>
      </c>
      <c r="AZ19" s="199">
        <f t="shared" si="4"/>
        <v>3</v>
      </c>
      <c r="BA19" s="199">
        <f t="shared" si="5"/>
        <v>6</v>
      </c>
      <c r="BB19" s="199">
        <f t="shared" si="6"/>
        <v>3</v>
      </c>
      <c r="BC19" s="199">
        <f t="shared" si="7"/>
        <v>5</v>
      </c>
      <c r="BD19" s="199">
        <f t="shared" si="8"/>
        <v>7</v>
      </c>
      <c r="BE19" s="199">
        <f t="shared" si="9"/>
        <v>1</v>
      </c>
      <c r="BF19" s="199">
        <f t="shared" si="10"/>
        <v>6</v>
      </c>
      <c r="BG19" s="199">
        <f t="shared" si="11"/>
        <v>15</v>
      </c>
      <c r="BH19" s="199">
        <f t="shared" si="12"/>
        <v>67</v>
      </c>
    </row>
    <row r="20" spans="1:60" ht="18" customHeight="1">
      <c r="A20" s="7">
        <v>16</v>
      </c>
      <c r="B20" s="7" t="s">
        <v>1629</v>
      </c>
      <c r="C20" s="7" t="s">
        <v>146</v>
      </c>
      <c r="D20" s="7" t="s">
        <v>71</v>
      </c>
      <c r="E20" s="7" t="s">
        <v>7107</v>
      </c>
      <c r="F20" s="7" t="s">
        <v>7106</v>
      </c>
      <c r="G20" s="122"/>
      <c r="H20" s="7"/>
      <c r="I20" s="7"/>
      <c r="J20" s="122"/>
      <c r="K20" s="7"/>
      <c r="L20" s="127"/>
      <c r="M20" s="122" t="s">
        <v>4172</v>
      </c>
      <c r="N20" s="7" t="s">
        <v>5329</v>
      </c>
      <c r="O20" s="7" t="s">
        <v>4526</v>
      </c>
      <c r="P20" s="7" cm="1">
        <f t="array" ref="P20">IF(O20="", "", IFERROR(MAX(--_xlfn.TEXTSPLIT(O20,"+")), O20))</f>
        <v>2040</v>
      </c>
      <c r="Q20" s="7">
        <v>2023</v>
      </c>
      <c r="R20" s="126" t="s">
        <v>7105</v>
      </c>
      <c r="S20" s="7"/>
      <c r="T20" s="7"/>
      <c r="U20" s="7"/>
      <c r="V20" s="7" t="str" cm="1">
        <f t="array" ref="V20">IF(U20="", "", IFERROR(MAX(--_xlfn.TEXTSPLIT(U20,"+")), U20))</f>
        <v/>
      </c>
      <c r="W20" s="7"/>
      <c r="X20" s="7"/>
      <c r="Y20" s="122" t="s">
        <v>4174</v>
      </c>
      <c r="Z20" s="7" t="s">
        <v>7104</v>
      </c>
      <c r="AA20" s="126" t="s">
        <v>7103</v>
      </c>
      <c r="AB20" s="7">
        <v>2022</v>
      </c>
      <c r="AC20" s="7">
        <v>55600000</v>
      </c>
      <c r="AD20" s="124">
        <v>655941</v>
      </c>
      <c r="AE20" s="124">
        <v>887721</v>
      </c>
      <c r="AF20" s="7">
        <v>90000000</v>
      </c>
      <c r="AG20" s="7" t="s">
        <v>5032</v>
      </c>
      <c r="AH20" s="124">
        <f t="shared" si="13"/>
        <v>56487721</v>
      </c>
      <c r="AI20" s="124">
        <f>AF20+AH20</f>
        <v>146487721</v>
      </c>
      <c r="AJ20" s="7">
        <v>2021</v>
      </c>
      <c r="AK20" s="7">
        <v>50900000</v>
      </c>
      <c r="AL20" s="124">
        <v>596924</v>
      </c>
      <c r="AM20" s="124">
        <v>799391</v>
      </c>
      <c r="AN20" s="7">
        <v>106400000</v>
      </c>
      <c r="AO20" s="124">
        <f>AK20+AM20</f>
        <v>51699391</v>
      </c>
      <c r="AP20" s="124">
        <f>AN20+AO20</f>
        <v>158099391</v>
      </c>
      <c r="AQ20" s="27" t="s">
        <v>7103</v>
      </c>
      <c r="AR20" s="7" t="str">
        <f>_xlfn.XLOOKUP(C20,Sheet1!A:A,Sheet1!B:B, "Other")</f>
        <v>Europe</v>
      </c>
      <c r="AS20" t="str">
        <f>_xlfn.XLOOKUP(D20,Sheet1!D:D,Sheet1!E:E)</f>
        <v>Energy and utilities</v>
      </c>
      <c r="AU20" s="202" t="s">
        <v>4190</v>
      </c>
      <c r="AV20" s="199">
        <f t="shared" si="0"/>
        <v>0</v>
      </c>
      <c r="AW20" s="199">
        <f t="shared" si="1"/>
        <v>9</v>
      </c>
      <c r="AX20" s="199">
        <f t="shared" si="2"/>
        <v>2</v>
      </c>
      <c r="AY20" s="199">
        <f t="shared" si="3"/>
        <v>1</v>
      </c>
      <c r="AZ20" s="199">
        <f t="shared" si="4"/>
        <v>2</v>
      </c>
      <c r="BA20" s="199">
        <f t="shared" si="5"/>
        <v>1</v>
      </c>
      <c r="BB20" s="199">
        <f t="shared" si="6"/>
        <v>1</v>
      </c>
      <c r="BC20" s="199">
        <f t="shared" si="7"/>
        <v>3</v>
      </c>
      <c r="BD20" s="199">
        <f t="shared" si="8"/>
        <v>7</v>
      </c>
      <c r="BE20" s="199">
        <f t="shared" si="9"/>
        <v>0</v>
      </c>
      <c r="BF20" s="199">
        <f t="shared" si="10"/>
        <v>1</v>
      </c>
      <c r="BG20" s="199">
        <f t="shared" si="11"/>
        <v>8</v>
      </c>
      <c r="BH20" s="199">
        <f t="shared" si="12"/>
        <v>35</v>
      </c>
    </row>
    <row r="21" spans="1:60" ht="18" customHeight="1">
      <c r="A21" s="7">
        <v>17</v>
      </c>
      <c r="B21" s="7" t="s">
        <v>1759</v>
      </c>
      <c r="C21" s="7" t="s">
        <v>4457</v>
      </c>
      <c r="D21" s="7" t="s">
        <v>186</v>
      </c>
      <c r="E21" s="7" t="s">
        <v>7102</v>
      </c>
      <c r="F21" s="7" t="s">
        <v>7101</v>
      </c>
      <c r="G21" s="122"/>
      <c r="H21" s="7"/>
      <c r="I21" s="7"/>
      <c r="J21" s="122" t="s">
        <v>1957</v>
      </c>
      <c r="K21" s="7"/>
      <c r="L21" s="127">
        <v>2022</v>
      </c>
      <c r="M21" s="122" t="s">
        <v>1957</v>
      </c>
      <c r="N21" s="7" t="s">
        <v>1659</v>
      </c>
      <c r="O21" s="7">
        <v>2007</v>
      </c>
      <c r="P21" s="7" cm="1">
        <f t="array" ref="P21">IF(O21="", "", IFERROR(MAX(--_xlfn.TEXTSPLIT(O21,"+")), O21))</f>
        <v>2007</v>
      </c>
      <c r="Q21" s="7">
        <v>2007</v>
      </c>
      <c r="R21" s="126" t="s">
        <v>7098</v>
      </c>
      <c r="S21" s="7" t="s">
        <v>4172</v>
      </c>
      <c r="T21" s="7" t="s">
        <v>7100</v>
      </c>
      <c r="U21" s="7">
        <v>2030</v>
      </c>
      <c r="V21" s="7" cm="1">
        <f t="array" ref="V21">IF(U21="", "", IFERROR(MAX(--_xlfn.TEXTSPLIT(U21,"+")), U21))</f>
        <v>2030</v>
      </c>
      <c r="W21" s="7">
        <v>2020</v>
      </c>
      <c r="X21" s="7" t="s">
        <v>7098</v>
      </c>
      <c r="Y21" s="122" t="s">
        <v>4174</v>
      </c>
      <c r="Z21" s="7" t="s">
        <v>5037</v>
      </c>
      <c r="AA21" s="126" t="s">
        <v>7099</v>
      </c>
      <c r="AB21" s="7">
        <v>2021</v>
      </c>
      <c r="AC21" s="7">
        <v>45073</v>
      </c>
      <c r="AD21" s="7">
        <v>6576239</v>
      </c>
      <c r="AE21" s="7">
        <v>1823132</v>
      </c>
      <c r="AF21" s="7">
        <v>9503000</v>
      </c>
      <c r="AG21" s="7" t="s">
        <v>4174</v>
      </c>
      <c r="AH21" s="7">
        <f t="shared" si="13"/>
        <v>1868205</v>
      </c>
      <c r="AI21" s="7">
        <f t="shared" ref="AI21:AI28" si="14">AH21+AF21</f>
        <v>11371205</v>
      </c>
      <c r="AJ21" s="7">
        <v>2020</v>
      </c>
      <c r="AK21" s="7">
        <v>38694</v>
      </c>
      <c r="AL21" s="7">
        <v>5865095</v>
      </c>
      <c r="AM21" s="7">
        <v>911415</v>
      </c>
      <c r="AN21" s="7">
        <v>9376000</v>
      </c>
      <c r="AO21" s="7">
        <f>AK21+AM21</f>
        <v>950109</v>
      </c>
      <c r="AP21" s="7">
        <f>AO21+AN21</f>
        <v>10326109</v>
      </c>
      <c r="AQ21" s="27" t="s">
        <v>7098</v>
      </c>
      <c r="AR21" s="7" t="str">
        <f>_xlfn.XLOOKUP(C21,Sheet1!A:A,Sheet1!B:B, "Other")</f>
        <v>North America</v>
      </c>
      <c r="AS21" t="str">
        <f>_xlfn.XLOOKUP(D21,Sheet1!D:D,Sheet1!E:E)</f>
        <v>Technology</v>
      </c>
      <c r="AU21" s="202" t="s">
        <v>4179</v>
      </c>
      <c r="AV21" s="199">
        <f t="shared" si="0"/>
        <v>0</v>
      </c>
      <c r="AW21" s="199">
        <f t="shared" si="1"/>
        <v>8</v>
      </c>
      <c r="AX21" s="199">
        <f t="shared" si="2"/>
        <v>3</v>
      </c>
      <c r="AY21" s="199">
        <f t="shared" si="3"/>
        <v>0</v>
      </c>
      <c r="AZ21" s="199">
        <f t="shared" si="4"/>
        <v>0</v>
      </c>
      <c r="BA21" s="199">
        <f t="shared" si="5"/>
        <v>0</v>
      </c>
      <c r="BB21" s="199">
        <f t="shared" si="6"/>
        <v>1</v>
      </c>
      <c r="BC21" s="199">
        <f t="shared" si="7"/>
        <v>0</v>
      </c>
      <c r="BD21" s="199">
        <f t="shared" si="8"/>
        <v>10</v>
      </c>
      <c r="BE21" s="199">
        <f t="shared" si="9"/>
        <v>0</v>
      </c>
      <c r="BF21" s="199">
        <f t="shared" si="10"/>
        <v>0</v>
      </c>
      <c r="BG21" s="199">
        <f t="shared" si="11"/>
        <v>8</v>
      </c>
      <c r="BH21" s="199">
        <f t="shared" si="12"/>
        <v>30</v>
      </c>
    </row>
    <row r="22" spans="1:60" ht="18" customHeight="1">
      <c r="A22" s="7">
        <v>18</v>
      </c>
      <c r="B22" s="7" t="s">
        <v>1826</v>
      </c>
      <c r="C22" s="7" t="s">
        <v>4457</v>
      </c>
      <c r="D22" s="7" t="s">
        <v>319</v>
      </c>
      <c r="E22" s="7" t="s">
        <v>7097</v>
      </c>
      <c r="F22" s="7" t="s">
        <v>7096</v>
      </c>
      <c r="G22" s="122"/>
      <c r="H22" s="7"/>
      <c r="I22" s="7"/>
      <c r="J22" s="122" t="s">
        <v>4183</v>
      </c>
      <c r="K22" s="7">
        <v>2032</v>
      </c>
      <c r="L22" s="127">
        <v>2023</v>
      </c>
      <c r="M22" s="122"/>
      <c r="N22" s="7"/>
      <c r="O22" s="7"/>
      <c r="P22" s="7" t="str" cm="1">
        <f t="array" ref="P22">IF(O22="", "", IFERROR(MAX(--_xlfn.TEXTSPLIT(O22,"+")), O22))</f>
        <v/>
      </c>
      <c r="Q22" s="7"/>
      <c r="R22" s="109"/>
      <c r="S22" s="7"/>
      <c r="T22" s="7"/>
      <c r="U22" s="7"/>
      <c r="V22" s="7" t="str" cm="1">
        <f t="array" ref="V22">IF(U22="", "", IFERROR(MAX(--_xlfn.TEXTSPLIT(U22,"+")), U22))</f>
        <v/>
      </c>
      <c r="W22" s="7"/>
      <c r="X22" s="7"/>
      <c r="Y22" s="122" t="s">
        <v>4174</v>
      </c>
      <c r="Z22" s="7" t="s">
        <v>7095</v>
      </c>
      <c r="AA22" s="109" t="s">
        <v>7094</v>
      </c>
      <c r="AB22" s="7">
        <v>2022</v>
      </c>
      <c r="AC22" s="124">
        <v>132494</v>
      </c>
      <c r="AD22" s="124">
        <v>144162</v>
      </c>
      <c r="AE22" s="124">
        <v>141301</v>
      </c>
      <c r="AF22" s="124">
        <v>31994399</v>
      </c>
      <c r="AG22" s="7" t="s">
        <v>4174</v>
      </c>
      <c r="AH22" s="124">
        <f t="shared" si="13"/>
        <v>273795</v>
      </c>
      <c r="AI22" s="124">
        <f t="shared" si="14"/>
        <v>32268194</v>
      </c>
      <c r="AJ22" s="7">
        <v>2021</v>
      </c>
      <c r="AK22" s="124">
        <v>74025</v>
      </c>
      <c r="AL22" s="124">
        <v>169478</v>
      </c>
      <c r="AM22" s="124">
        <v>183349</v>
      </c>
      <c r="AN22" s="124">
        <v>26875944</v>
      </c>
      <c r="AO22" s="124">
        <v>257374</v>
      </c>
      <c r="AP22" s="124">
        <f>AN22+AO22</f>
        <v>27133318</v>
      </c>
      <c r="AQ22" s="7" t="s">
        <v>7093</v>
      </c>
      <c r="AR22" s="7" t="str">
        <f>_xlfn.XLOOKUP(C22,Sheet1!A:A,Sheet1!B:B, "Other")</f>
        <v>North America</v>
      </c>
      <c r="AS22" t="str">
        <f>_xlfn.XLOOKUP(D22,Sheet1!D:D,Sheet1!E:E)</f>
        <v>Health care and pharmaceuticals</v>
      </c>
      <c r="AU22" s="203" t="s">
        <v>7213</v>
      </c>
      <c r="AV22" s="204">
        <f t="shared" ref="AV22:BF22" si="15">SUM(AV5:AV21)</f>
        <v>0</v>
      </c>
      <c r="AW22" s="204">
        <f>SUM(AW5:AW21)</f>
        <v>101</v>
      </c>
      <c r="AX22" s="204">
        <f t="shared" si="15"/>
        <v>20</v>
      </c>
      <c r="AY22" s="204">
        <f t="shared" si="15"/>
        <v>19</v>
      </c>
      <c r="AZ22" s="204">
        <f t="shared" si="15"/>
        <v>36</v>
      </c>
      <c r="BA22" s="204">
        <f t="shared" si="15"/>
        <v>19</v>
      </c>
      <c r="BB22" s="204">
        <f t="shared" si="15"/>
        <v>35</v>
      </c>
      <c r="BC22" s="204">
        <f t="shared" si="15"/>
        <v>43</v>
      </c>
      <c r="BD22" s="204">
        <f t="shared" si="15"/>
        <v>169</v>
      </c>
      <c r="BE22" s="204">
        <f t="shared" si="15"/>
        <v>3</v>
      </c>
      <c r="BF22" s="204">
        <f t="shared" si="15"/>
        <v>13</v>
      </c>
      <c r="BG22" s="204">
        <f>SUM(BG5:BG21)</f>
        <v>181</v>
      </c>
      <c r="BH22" s="204">
        <f t="shared" ref="AY22:BH22" si="16">SUM(BH5:BH21)</f>
        <v>639</v>
      </c>
    </row>
    <row r="23" spans="1:60" ht="18" customHeight="1">
      <c r="A23" s="7">
        <v>19</v>
      </c>
      <c r="B23" s="7" t="s">
        <v>1851</v>
      </c>
      <c r="C23" s="7" t="s">
        <v>207</v>
      </c>
      <c r="D23" s="7" t="s">
        <v>171</v>
      </c>
      <c r="E23" s="7" t="s">
        <v>7092</v>
      </c>
      <c r="F23" s="7" t="s">
        <v>7091</v>
      </c>
      <c r="G23" s="122"/>
      <c r="H23" s="7"/>
      <c r="I23" s="7"/>
      <c r="J23" s="122" t="s">
        <v>4183</v>
      </c>
      <c r="K23" s="7">
        <v>2035</v>
      </c>
      <c r="L23" s="127">
        <v>2022</v>
      </c>
      <c r="M23" s="122" t="s">
        <v>4172</v>
      </c>
      <c r="N23" s="7" t="s">
        <v>7090</v>
      </c>
      <c r="O23" s="7" t="s">
        <v>4894</v>
      </c>
      <c r="P23" s="7" cm="1">
        <f t="array" ref="P23">IF(O23="", "", IFERROR(MAX(--_xlfn.TEXTSPLIT(O23,"+")), O23))</f>
        <v>2050</v>
      </c>
      <c r="Q23" s="7">
        <v>2021</v>
      </c>
      <c r="R23" s="109" t="s">
        <v>7089</v>
      </c>
      <c r="S23" s="7"/>
      <c r="T23" s="7"/>
      <c r="U23" s="7"/>
      <c r="V23" s="7" t="str" cm="1">
        <f t="array" ref="V23">IF(U23="", "", IFERROR(MAX(--_xlfn.TEXTSPLIT(U23,"+")), U23))</f>
        <v/>
      </c>
      <c r="W23" s="7"/>
      <c r="X23" s="7"/>
      <c r="Y23" s="122" t="s">
        <v>4174</v>
      </c>
      <c r="Z23" s="7" t="s">
        <v>5037</v>
      </c>
      <c r="AA23" s="109" t="s">
        <v>7088</v>
      </c>
      <c r="AB23" s="7">
        <v>2021</v>
      </c>
      <c r="AC23" s="7">
        <v>2560000</v>
      </c>
      <c r="AD23" s="7"/>
      <c r="AE23" s="7">
        <v>3690000</v>
      </c>
      <c r="AF23" s="7">
        <v>373360000</v>
      </c>
      <c r="AG23" s="7" t="s">
        <v>5032</v>
      </c>
      <c r="AH23" s="7">
        <f t="shared" si="13"/>
        <v>6250000</v>
      </c>
      <c r="AI23" s="7">
        <f t="shared" si="14"/>
        <v>379610000</v>
      </c>
      <c r="AJ23" s="7">
        <v>2020</v>
      </c>
      <c r="AK23" s="7">
        <v>2450000</v>
      </c>
      <c r="AL23" s="7"/>
      <c r="AM23" s="7">
        <v>3420000</v>
      </c>
      <c r="AN23" s="7">
        <v>324970000</v>
      </c>
      <c r="AO23" s="7">
        <f>AM23+AK23</f>
        <v>5870000</v>
      </c>
      <c r="AP23" s="7">
        <f>AO23+AN23</f>
        <v>330840000</v>
      </c>
      <c r="AQ23" s="7" t="s">
        <v>7088</v>
      </c>
      <c r="AR23" s="7" t="str">
        <f>_xlfn.XLOOKUP(C23,Sheet1!A:A,Sheet1!B:B, "Other")</f>
        <v>Asia</v>
      </c>
      <c r="AS23" t="str">
        <f>_xlfn.XLOOKUP(D23,Sheet1!D:D,Sheet1!E:E)</f>
        <v>Automotive</v>
      </c>
      <c r="AV23" s="216" t="s">
        <v>8311</v>
      </c>
      <c r="AW23" s="217"/>
      <c r="AX23" s="218"/>
      <c r="AY23" s="216" t="s">
        <v>3034</v>
      </c>
      <c r="AZ23" s="217"/>
      <c r="BA23" s="218"/>
      <c r="BB23" s="216" t="s">
        <v>32</v>
      </c>
      <c r="BC23" s="217"/>
      <c r="BD23" s="218"/>
      <c r="BE23" s="216" t="s">
        <v>2072</v>
      </c>
      <c r="BF23" s="217"/>
      <c r="BG23" s="218"/>
      <c r="BH23" s="200" t="s">
        <v>7213</v>
      </c>
    </row>
    <row r="24" spans="1:60" ht="18" customHeight="1">
      <c r="A24" s="7">
        <v>20</v>
      </c>
      <c r="B24" s="7" t="s">
        <v>4215</v>
      </c>
      <c r="C24" s="7" t="s">
        <v>63</v>
      </c>
      <c r="D24" s="7" t="s">
        <v>71</v>
      </c>
      <c r="E24" s="7" t="s">
        <v>7087</v>
      </c>
      <c r="F24" s="7" t="s">
        <v>7086</v>
      </c>
      <c r="G24" s="122"/>
      <c r="H24" s="7"/>
      <c r="I24" s="7"/>
      <c r="J24" s="122" t="s">
        <v>1960</v>
      </c>
      <c r="K24" s="7"/>
      <c r="L24" s="127" t="s">
        <v>1960</v>
      </c>
      <c r="M24" s="122"/>
      <c r="N24" s="7"/>
      <c r="O24" s="7"/>
      <c r="P24" s="7" t="str" cm="1">
        <f t="array" ref="P24">IF(O24="", "", IFERROR(MAX(--_xlfn.TEXTSPLIT(O24,"+")), O24))</f>
        <v/>
      </c>
      <c r="Q24" s="7"/>
      <c r="R24" s="126"/>
      <c r="S24" s="7" t="s">
        <v>1957</v>
      </c>
      <c r="T24" s="7" t="s">
        <v>3793</v>
      </c>
      <c r="U24" s="7">
        <v>2050</v>
      </c>
      <c r="V24" s="7" cm="1">
        <f t="array" ref="V24">IF(U24="", "", IFERROR(MAX(--_xlfn.TEXTSPLIT(U24,"+")), U24))</f>
        <v>2050</v>
      </c>
      <c r="W24" s="7">
        <v>2020</v>
      </c>
      <c r="X24" s="125" t="s">
        <v>7085</v>
      </c>
      <c r="Y24" s="122" t="s">
        <v>4174</v>
      </c>
      <c r="Z24" s="7" t="s">
        <v>7084</v>
      </c>
      <c r="AA24" s="126" t="s">
        <v>7083</v>
      </c>
      <c r="AB24" s="7">
        <v>2022</v>
      </c>
      <c r="AC24" s="7">
        <v>37000000</v>
      </c>
      <c r="AD24" s="7"/>
      <c r="AE24" s="7">
        <v>2000000</v>
      </c>
      <c r="AF24" s="7">
        <v>381000000</v>
      </c>
      <c r="AG24" s="7" t="s">
        <v>4174</v>
      </c>
      <c r="AH24" s="7">
        <f t="shared" si="13"/>
        <v>39000000</v>
      </c>
      <c r="AI24" s="7">
        <f t="shared" si="14"/>
        <v>420000000</v>
      </c>
      <c r="AJ24" s="7">
        <v>2021</v>
      </c>
      <c r="AK24" s="7">
        <v>33000000</v>
      </c>
      <c r="AL24" s="7"/>
      <c r="AM24" s="7">
        <v>2000000</v>
      </c>
      <c r="AN24" s="7">
        <v>370000000</v>
      </c>
      <c r="AO24" s="7">
        <f>AK24+AM24</f>
        <v>35000000</v>
      </c>
      <c r="AP24" s="7">
        <f>AO24+AN24</f>
        <v>405000000</v>
      </c>
      <c r="AQ24" s="27" t="s">
        <v>7082</v>
      </c>
      <c r="AR24" s="7" t="str">
        <f>_xlfn.XLOOKUP(C24,Sheet1!A:A,Sheet1!B:B, "Other")</f>
        <v>Europe</v>
      </c>
      <c r="AS24" t="str">
        <f>_xlfn.XLOOKUP(D24,Sheet1!D:D,Sheet1!E:E)</f>
        <v>Energy and utilities</v>
      </c>
      <c r="AU24" s="200" t="s">
        <v>8315</v>
      </c>
      <c r="AV24" s="201" t="s">
        <v>8329</v>
      </c>
      <c r="AW24" s="201" t="s">
        <v>8330</v>
      </c>
      <c r="AX24" s="201" t="s">
        <v>8314</v>
      </c>
      <c r="AY24" s="201" t="s">
        <v>8329</v>
      </c>
      <c r="AZ24" s="201" t="s">
        <v>8330</v>
      </c>
      <c r="BA24" s="201" t="s">
        <v>8314</v>
      </c>
      <c r="BB24" s="201" t="s">
        <v>8329</v>
      </c>
      <c r="BC24" s="201" t="s">
        <v>8330</v>
      </c>
      <c r="BD24" s="201" t="s">
        <v>8314</v>
      </c>
      <c r="BE24" s="201" t="s">
        <v>8329</v>
      </c>
      <c r="BF24" s="201" t="s">
        <v>8330</v>
      </c>
      <c r="BG24" s="201" t="s">
        <v>8314</v>
      </c>
      <c r="BH24" s="201"/>
    </row>
    <row r="25" spans="1:60" ht="18" customHeight="1">
      <c r="A25" s="7">
        <v>21</v>
      </c>
      <c r="B25" s="7" t="s">
        <v>1828</v>
      </c>
      <c r="C25" s="7" t="s">
        <v>287</v>
      </c>
      <c r="D25" s="7" t="s">
        <v>71</v>
      </c>
      <c r="E25" s="7" t="s">
        <v>7081</v>
      </c>
      <c r="F25" s="7" t="s">
        <v>7080</v>
      </c>
      <c r="G25" s="122"/>
      <c r="H25" s="7"/>
      <c r="I25" s="7"/>
      <c r="J25" s="122" t="s">
        <v>1960</v>
      </c>
      <c r="K25" s="7"/>
      <c r="L25" s="127" t="s">
        <v>1960</v>
      </c>
      <c r="M25" s="122"/>
      <c r="N25" s="7"/>
      <c r="O25" s="7"/>
      <c r="P25" s="7" t="str" cm="1">
        <f t="array" ref="P25">IF(O25="", "", IFERROR(MAX(--_xlfn.TEXTSPLIT(O25,"+")), O25))</f>
        <v/>
      </c>
      <c r="Q25" s="7"/>
      <c r="R25" s="109"/>
      <c r="S25" s="7" t="s">
        <v>4172</v>
      </c>
      <c r="T25" s="7" t="s">
        <v>7079</v>
      </c>
      <c r="U25" s="7">
        <v>2050</v>
      </c>
      <c r="V25" s="7" cm="1">
        <f t="array" ref="V25">IF(U25="", "", IFERROR(MAX(--_xlfn.TEXTSPLIT(U25,"+")), U25))</f>
        <v>2050</v>
      </c>
      <c r="W25" s="7">
        <v>2020</v>
      </c>
      <c r="X25" s="7" t="s">
        <v>7078</v>
      </c>
      <c r="Y25" s="122" t="s">
        <v>4174</v>
      </c>
      <c r="Z25" s="7" t="s">
        <v>7077</v>
      </c>
      <c r="AA25" s="109" t="s">
        <v>7076</v>
      </c>
      <c r="AB25" s="7">
        <v>2022</v>
      </c>
      <c r="AC25" s="7">
        <v>16607777</v>
      </c>
      <c r="AD25" s="7">
        <v>10434000</v>
      </c>
      <c r="AE25" s="7">
        <v>11433000</v>
      </c>
      <c r="AF25" s="7">
        <v>342101000</v>
      </c>
      <c r="AG25" s="7" t="s">
        <v>4174</v>
      </c>
      <c r="AH25" s="7">
        <f>AE25+AC25</f>
        <v>28040777</v>
      </c>
      <c r="AI25" s="7">
        <f t="shared" si="14"/>
        <v>370141777</v>
      </c>
      <c r="AJ25" s="7">
        <v>2021</v>
      </c>
      <c r="AK25" s="7">
        <v>15946000</v>
      </c>
      <c r="AL25" s="7">
        <v>10355000</v>
      </c>
      <c r="AM25" s="7">
        <v>11428000</v>
      </c>
      <c r="AN25" s="7">
        <v>364652000</v>
      </c>
      <c r="AO25" s="7">
        <f>AM25+AK25</f>
        <v>27374000</v>
      </c>
      <c r="AP25" s="7">
        <f>AO25+AN25</f>
        <v>392026000</v>
      </c>
      <c r="AQ25" s="7" t="s">
        <v>7075</v>
      </c>
      <c r="AR25" s="7" t="str">
        <f>_xlfn.XLOOKUP(C25,Sheet1!A:A,Sheet1!B:B, "Other")</f>
        <v>Europe</v>
      </c>
      <c r="AS25" t="str">
        <f>_xlfn.XLOOKUP(D25,Sheet1!D:D,Sheet1!E:E)</f>
        <v>Energy and utilities</v>
      </c>
      <c r="AU25" s="202" t="s">
        <v>1994</v>
      </c>
      <c r="AV25" s="199">
        <f>COUNTIFS($AR$5:$AR$504,AU25,$K$5:$K$504,"&lt;=2023")</f>
        <v>0</v>
      </c>
      <c r="AW25" s="199">
        <f>COUNTIFS($AR$5:$AR$504,AU25,$K$5:$K$504,"&gt;=2024",$K$5:$K$504,"&lt;=2030")</f>
        <v>15</v>
      </c>
      <c r="AX25" s="199">
        <f>COUNTIFS($AR$5:$AR$504,AU25,$K$5:$K$504,"&gt;2030")</f>
        <v>5</v>
      </c>
      <c r="AY25" s="199">
        <f>COUNTIFS($AR$5:$AR$504,AU25,$H$5:$H$504,"&lt;=2023")</f>
        <v>0</v>
      </c>
      <c r="AZ25" s="199">
        <f>COUNTIFS($AR$5:$AR$504,AU25,$H$5:$H$504,"&gt;=2024",$H$5:$H$504,"&lt;=2030")</f>
        <v>4</v>
      </c>
      <c r="BA25" s="199">
        <f>COUNTIFS($AR$5:$AR$504,AU25,$H$5:$H$504,"&gt;2030")</f>
        <v>12</v>
      </c>
      <c r="BB25" s="199">
        <f>COUNTIFS($AR$5:$AR$504,AU25,$P$5:$P$504,"&lt;=2023")</f>
        <v>1</v>
      </c>
      <c r="BC25" s="199">
        <f>COUNTIFS($AR$5:$AR$504,AU25,$P$5:$P$504,"&gt;=2024",$P$5:$P$504,"&lt;=2030")</f>
        <v>13</v>
      </c>
      <c r="BD25" s="199">
        <f>COUNTIFS($AR$5:$AR$504,AU25,$P$5:$P$504,"&gt;2030")</f>
        <v>110</v>
      </c>
      <c r="BE25" s="199">
        <f>COUNTIFS($AR$5:$AR$504,AU25,$V$5:$V$504,"&lt;=2023")</f>
        <v>0</v>
      </c>
      <c r="BF25" s="199">
        <f>COUNTIFS($AR$5:$AR$504,AU25,$V$5:$V$504,"&gt;=2024",$V$5:$V$504,"&lt;=2030")</f>
        <v>0</v>
      </c>
      <c r="BG25" s="199">
        <f>COUNTIFS($AR$5:$AR$504,AU25,$V$5:$V$504,"&gt;2030")</f>
        <v>44</v>
      </c>
      <c r="BH25" s="206">
        <f>SUM(AV25:BG25)</f>
        <v>204</v>
      </c>
    </row>
    <row r="26" spans="1:60" ht="18" customHeight="1">
      <c r="A26" s="7">
        <v>22</v>
      </c>
      <c r="B26" s="7" t="s">
        <v>1873</v>
      </c>
      <c r="C26" s="7" t="s">
        <v>4195</v>
      </c>
      <c r="D26" s="7" t="s">
        <v>71</v>
      </c>
      <c r="E26" s="7" t="s">
        <v>7074</v>
      </c>
      <c r="F26" s="7" t="s">
        <v>7073</v>
      </c>
      <c r="G26" s="122"/>
      <c r="H26" s="7"/>
      <c r="I26" s="7"/>
      <c r="J26" s="122" t="s">
        <v>1960</v>
      </c>
      <c r="K26" s="7"/>
      <c r="L26" s="127" t="s">
        <v>1960</v>
      </c>
      <c r="M26" s="122"/>
      <c r="N26" s="7"/>
      <c r="O26" s="7"/>
      <c r="P26" s="7" t="str" cm="1">
        <f t="array" ref="P26">IF(O26="", "", IFERROR(MAX(--_xlfn.TEXTSPLIT(O26,"+")), O26))</f>
        <v/>
      </c>
      <c r="Q26" s="7"/>
      <c r="R26" s="109"/>
      <c r="S26" s="7" t="s">
        <v>4172</v>
      </c>
      <c r="T26" s="7" t="s">
        <v>7072</v>
      </c>
      <c r="U26" s="7">
        <v>2050</v>
      </c>
      <c r="V26" s="7" cm="1">
        <f t="array" ref="V26">IF(U26="", "", IFERROR(MAX(--_xlfn.TEXTSPLIT(U26,"+")), U26))</f>
        <v>2050</v>
      </c>
      <c r="W26" s="7">
        <v>2020</v>
      </c>
      <c r="X26" s="7" t="s">
        <v>7071</v>
      </c>
      <c r="Y26" s="122" t="s">
        <v>4174</v>
      </c>
      <c r="Z26" s="7" t="s">
        <v>7070</v>
      </c>
      <c r="AA26" s="126" t="s">
        <v>7069</v>
      </c>
      <c r="AB26" s="7">
        <v>2022</v>
      </c>
      <c r="AC26" s="7">
        <v>1500000</v>
      </c>
      <c r="AD26" s="7"/>
      <c r="AE26" s="7">
        <v>30400000</v>
      </c>
      <c r="AF26" s="7">
        <v>307000000</v>
      </c>
      <c r="AG26" s="7" t="s">
        <v>5032</v>
      </c>
      <c r="AH26" s="7">
        <f>AE26+AC26</f>
        <v>31900000</v>
      </c>
      <c r="AI26" s="7">
        <f t="shared" si="14"/>
        <v>338900000</v>
      </c>
      <c r="AJ26" s="7">
        <v>2021</v>
      </c>
      <c r="AK26" s="7">
        <v>2400000</v>
      </c>
      <c r="AL26" s="7"/>
      <c r="AM26" s="7">
        <v>33200000</v>
      </c>
      <c r="AN26" s="7">
        <v>304000000</v>
      </c>
      <c r="AO26" s="7">
        <f>AK26+AM26</f>
        <v>35600000</v>
      </c>
      <c r="AP26" s="7">
        <f>AN26+AO26</f>
        <v>339600000</v>
      </c>
      <c r="AQ26" s="7" t="s">
        <v>7068</v>
      </c>
      <c r="AR26" s="7" t="str">
        <f>_xlfn.XLOOKUP(C26,Sheet1!A:A,Sheet1!B:B, "Other")</f>
        <v>Europe</v>
      </c>
      <c r="AS26" t="str">
        <f>_xlfn.XLOOKUP(D26,Sheet1!D:D,Sheet1!E:E)</f>
        <v>Energy and utilities</v>
      </c>
      <c r="AU26" s="202" t="s">
        <v>1951</v>
      </c>
      <c r="AV26" s="199">
        <f t="shared" ref="AV26:AV28" si="17">COUNTIFS($AR$5:$AR$504,AU26,$K$5:$K$504,"&lt;=2023")</f>
        <v>0</v>
      </c>
      <c r="AW26" s="199">
        <f t="shared" ref="AW26:AW28" si="18">COUNTIFS($AR$5:$AR$504,AU26,$K$5:$K$504,"&gt;=2024",$K$5:$K$504,"&lt;=2030")</f>
        <v>52</v>
      </c>
      <c r="AX26" s="199">
        <f>COUNTIFS($AR$5:$AR$504,AU26,$K$5:$K$504,"&gt;2030")</f>
        <v>4</v>
      </c>
      <c r="AY26" s="199">
        <f>COUNTIFS($AR$5:$AR$504,AU26,$H$5:$H$504,"&lt;=2023")</f>
        <v>8</v>
      </c>
      <c r="AZ26" s="199">
        <f>COUNTIFS($AR$5:$AR$504,AU26,$H$5:$H$504,"&gt;=2024",$H$5:$H$504,"&lt;=2030")</f>
        <v>18</v>
      </c>
      <c r="BA26" s="199">
        <f>COUNTIFS($AR$5:$AR$504,AU26,$H$5:$H$504,"&gt;2030")</f>
        <v>2</v>
      </c>
      <c r="BB26" s="199">
        <f t="shared" ref="BB26:BB28" si="19">COUNTIFS($AR$5:$AR$504,AU26,$P$5:$P$504,"&lt;=2023")</f>
        <v>15</v>
      </c>
      <c r="BC26" s="199">
        <f t="shared" ref="BC26:BC28" si="20">COUNTIFS($AR$5:$AR$504,AU26,$P$5:$P$504,"&gt;=2024",$P$5:$P$504,"&lt;=2030")</f>
        <v>17</v>
      </c>
      <c r="BD26" s="199">
        <f t="shared" ref="BD26:BD28" si="21">COUNTIFS($AR$5:$AR$504,AU26,$P$5:$P$504,"&gt;2030")</f>
        <v>35</v>
      </c>
      <c r="BE26" s="199">
        <f t="shared" ref="BE26:BE28" si="22">COUNTIFS($AR$5:$AR$504,AU26,$V$5:$V$504,"&lt;=2023")</f>
        <v>0</v>
      </c>
      <c r="BF26" s="199">
        <f t="shared" ref="BF26:BF28" si="23">COUNTIFS($AR$5:$AR$504,AU26,$V$5:$V$504,"&gt;=2024",$V$5:$V$504,"&lt;=2030")</f>
        <v>6</v>
      </c>
      <c r="BG26" s="199">
        <f t="shared" ref="BG26:BG28" si="24">COUNTIFS($AR$5:$AR$504,AU26,$V$5:$V$504,"&gt;2030")</f>
        <v>60</v>
      </c>
      <c r="BH26" s="206">
        <f t="shared" ref="BH26:BH28" si="25">SUM(AV26:BG26)</f>
        <v>217</v>
      </c>
    </row>
    <row r="27" spans="1:60" ht="18" customHeight="1">
      <c r="A27" s="7">
        <v>23</v>
      </c>
      <c r="B27" s="7" t="s">
        <v>1793</v>
      </c>
      <c r="C27" s="7" t="s">
        <v>4457</v>
      </c>
      <c r="D27" s="7" t="s">
        <v>71</v>
      </c>
      <c r="E27" s="7" t="s">
        <v>7067</v>
      </c>
      <c r="F27" s="7" t="s">
        <v>7066</v>
      </c>
      <c r="G27" s="122"/>
      <c r="H27" s="7"/>
      <c r="I27" s="7"/>
      <c r="J27" s="122" t="s">
        <v>1960</v>
      </c>
      <c r="K27" s="7"/>
      <c r="L27" s="127" t="s">
        <v>1960</v>
      </c>
      <c r="M27" s="122"/>
      <c r="N27" s="7"/>
      <c r="O27" s="7"/>
      <c r="P27" s="7" t="str" cm="1">
        <f t="array" ref="P27">IF(O27="", "", IFERROR(MAX(--_xlfn.TEXTSPLIT(O27,"+")), O27))</f>
        <v/>
      </c>
      <c r="Q27" s="7"/>
      <c r="R27" s="109"/>
      <c r="S27" s="7" t="s">
        <v>1957</v>
      </c>
      <c r="T27" s="7" t="s">
        <v>3819</v>
      </c>
      <c r="U27" s="7">
        <v>2050</v>
      </c>
      <c r="V27" s="7" cm="1">
        <f t="array" ref="V27">IF(U27="", "", IFERROR(MAX(--_xlfn.TEXTSPLIT(U27,"+")), U27))</f>
        <v>2050</v>
      </c>
      <c r="W27" s="7">
        <v>2021</v>
      </c>
      <c r="X27" s="7" t="s">
        <v>7065</v>
      </c>
      <c r="Y27" s="122"/>
      <c r="Z27" s="7"/>
      <c r="AA27" s="109"/>
      <c r="AB27" s="7">
        <v>2022</v>
      </c>
      <c r="AC27" s="7">
        <v>53000000</v>
      </c>
      <c r="AD27" s="7"/>
      <c r="AE27" s="7">
        <v>3000000</v>
      </c>
      <c r="AF27" s="7">
        <v>592000000</v>
      </c>
      <c r="AG27" s="7" t="s">
        <v>5032</v>
      </c>
      <c r="AH27" s="7">
        <f>AE27+AC27</f>
        <v>56000000</v>
      </c>
      <c r="AI27" s="7">
        <f t="shared" si="14"/>
        <v>648000000</v>
      </c>
      <c r="AJ27" s="7">
        <v>2021</v>
      </c>
      <c r="AK27" s="7">
        <v>57000000</v>
      </c>
      <c r="AL27" s="7"/>
      <c r="AM27" s="7">
        <v>4000000</v>
      </c>
      <c r="AN27" s="7">
        <v>621000000</v>
      </c>
      <c r="AO27" s="7">
        <f>AM27+AK27</f>
        <v>61000000</v>
      </c>
      <c r="AP27" s="7">
        <f>AO27+AN27</f>
        <v>682000000</v>
      </c>
      <c r="AQ27" s="7" t="s">
        <v>7064</v>
      </c>
      <c r="AR27" s="7" t="str">
        <f>_xlfn.XLOOKUP(C27,Sheet1!A:A,Sheet1!B:B, "Other")</f>
        <v>North America</v>
      </c>
      <c r="AS27" t="str">
        <f>_xlfn.XLOOKUP(D27,Sheet1!D:D,Sheet1!E:E)</f>
        <v>Energy and utilities</v>
      </c>
      <c r="AU27" s="202" t="s">
        <v>2029</v>
      </c>
      <c r="AV27" s="199">
        <f t="shared" si="17"/>
        <v>0</v>
      </c>
      <c r="AW27" s="199">
        <f t="shared" si="18"/>
        <v>32</v>
      </c>
      <c r="AX27" s="199">
        <f>COUNTIFS($AR$5:$AR$504,AU27,$K$5:$K$504,"&gt;2030")</f>
        <v>11</v>
      </c>
      <c r="AY27" s="199">
        <f>COUNTIFS($AR$5:$AR$504,AU27,$H$5:$H$504,"&lt;=2023")</f>
        <v>11</v>
      </c>
      <c r="AZ27" s="199">
        <f>COUNTIFS($AR$5:$AR$504,AU27,$H$5:$H$504,"&gt;=2024",$H$5:$H$504,"&lt;=2030")</f>
        <v>12</v>
      </c>
      <c r="BA27" s="199">
        <f>COUNTIFS($AR$5:$AR$504,AU27,$H$5:$H$504,"&gt;2030")</f>
        <v>5</v>
      </c>
      <c r="BB27" s="199">
        <f t="shared" si="19"/>
        <v>17</v>
      </c>
      <c r="BC27" s="199">
        <f t="shared" si="20"/>
        <v>13</v>
      </c>
      <c r="BD27" s="199">
        <f t="shared" si="21"/>
        <v>17</v>
      </c>
      <c r="BE27" s="199">
        <f t="shared" si="22"/>
        <v>3</v>
      </c>
      <c r="BF27" s="199">
        <f t="shared" si="23"/>
        <v>7</v>
      </c>
      <c r="BG27" s="199">
        <f t="shared" si="24"/>
        <v>67</v>
      </c>
      <c r="BH27" s="206">
        <f t="shared" si="25"/>
        <v>195</v>
      </c>
    </row>
    <row r="28" spans="1:60" ht="18" customHeight="1">
      <c r="A28" s="7">
        <v>24</v>
      </c>
      <c r="B28" s="7" t="s">
        <v>1795</v>
      </c>
      <c r="C28" s="7" t="s">
        <v>4457</v>
      </c>
      <c r="D28" s="7" t="s">
        <v>319</v>
      </c>
      <c r="E28" s="7" t="s">
        <v>7063</v>
      </c>
      <c r="F28" s="7" t="s">
        <v>7062</v>
      </c>
      <c r="G28" s="122"/>
      <c r="H28" s="7"/>
      <c r="I28" s="7"/>
      <c r="J28" s="122" t="s">
        <v>4183</v>
      </c>
      <c r="K28" s="7">
        <v>2032</v>
      </c>
      <c r="L28" s="127">
        <v>2023</v>
      </c>
      <c r="M28" s="122"/>
      <c r="N28" s="7"/>
      <c r="O28" s="7"/>
      <c r="P28" s="7" t="str" cm="1">
        <f t="array" ref="P28">IF(O28="", "", IFERROR(MAX(--_xlfn.TEXTSPLIT(O28,"+")), O28))</f>
        <v/>
      </c>
      <c r="Q28" s="7"/>
      <c r="R28" s="109"/>
      <c r="S28" s="7"/>
      <c r="T28" s="7"/>
      <c r="U28" s="7"/>
      <c r="V28" s="7" t="str" cm="1">
        <f t="array" ref="V28">IF(U28="", "", IFERROR(MAX(--_xlfn.TEXTSPLIT(U28,"+")), U28))</f>
        <v/>
      </c>
      <c r="W28" s="7"/>
      <c r="X28" s="7"/>
      <c r="Y28" s="122" t="s">
        <v>4174</v>
      </c>
      <c r="Z28" s="7" t="s">
        <v>7061</v>
      </c>
      <c r="AA28" s="109" t="s">
        <v>7060</v>
      </c>
      <c r="AB28" s="7">
        <v>2021</v>
      </c>
      <c r="AC28" s="124">
        <v>124035</v>
      </c>
      <c r="AD28" s="124">
        <v>97397</v>
      </c>
      <c r="AE28" s="7"/>
      <c r="AF28" s="124">
        <v>23627236</v>
      </c>
      <c r="AG28" s="7" t="s">
        <v>4174</v>
      </c>
      <c r="AH28" s="124">
        <f>AD28+AC28</f>
        <v>221432</v>
      </c>
      <c r="AI28" s="124">
        <f t="shared" si="14"/>
        <v>23848668</v>
      </c>
      <c r="AJ28" s="7">
        <v>2020</v>
      </c>
      <c r="AK28" s="123">
        <v>33361.300000000003</v>
      </c>
      <c r="AL28" s="123">
        <v>74293.600000000006</v>
      </c>
      <c r="AM28" s="7"/>
      <c r="AN28" s="123">
        <v>25777.7</v>
      </c>
      <c r="AO28" s="123">
        <f>AK28+AL28</f>
        <v>107654.90000000001</v>
      </c>
      <c r="AP28" s="123">
        <f>AO28+AN28</f>
        <v>133432.6</v>
      </c>
      <c r="AQ28" s="7" t="s">
        <v>7059</v>
      </c>
      <c r="AR28" s="7" t="str">
        <f>_xlfn.XLOOKUP(C28,Sheet1!A:A,Sheet1!B:B, "Other")</f>
        <v>North America</v>
      </c>
      <c r="AS28" t="str">
        <f>_xlfn.XLOOKUP(D28,Sheet1!D:D,Sheet1!E:E)</f>
        <v>Health care and pharmaceuticals</v>
      </c>
      <c r="AU28" s="202" t="s">
        <v>8322</v>
      </c>
      <c r="AV28" s="199">
        <f t="shared" si="17"/>
        <v>0</v>
      </c>
      <c r="AW28" s="199">
        <f t="shared" si="18"/>
        <v>2</v>
      </c>
      <c r="AX28" s="199">
        <f>COUNTIFS($AR$5:$AR$504,AU28,$K$5:$K$504,"&gt;2030")</f>
        <v>0</v>
      </c>
      <c r="AY28" s="199">
        <f>COUNTIFS($AR$5:$AR$504,AU28,$H$5:$H$504,"&lt;=2023")</f>
        <v>0</v>
      </c>
      <c r="AZ28" s="199">
        <f>COUNTIFS($AR$5:$AR$504,AU28,$H$5:$H$504,"&gt;=2024",$H$5:$H$504,"&lt;=2030")</f>
        <v>2</v>
      </c>
      <c r="BA28" s="199">
        <f>COUNTIFS($AR$5:$AR$504,AU28,$H$5:$H$504,"&gt;2030")</f>
        <v>0</v>
      </c>
      <c r="BB28" s="199">
        <f t="shared" si="19"/>
        <v>2</v>
      </c>
      <c r="BC28" s="199">
        <f t="shared" si="20"/>
        <v>0</v>
      </c>
      <c r="BD28" s="199">
        <f t="shared" si="21"/>
        <v>7</v>
      </c>
      <c r="BE28" s="199">
        <f t="shared" si="22"/>
        <v>0</v>
      </c>
      <c r="BF28" s="199">
        <f t="shared" si="23"/>
        <v>0</v>
      </c>
      <c r="BG28" s="199">
        <f t="shared" si="24"/>
        <v>10</v>
      </c>
      <c r="BH28" s="206">
        <f t="shared" si="25"/>
        <v>23</v>
      </c>
    </row>
    <row r="29" spans="1:60" ht="18" customHeight="1">
      <c r="A29" s="7">
        <v>25</v>
      </c>
      <c r="B29" s="7" t="s">
        <v>1833</v>
      </c>
      <c r="C29" s="7" t="s">
        <v>114</v>
      </c>
      <c r="D29" s="7" t="s">
        <v>186</v>
      </c>
      <c r="E29" s="7" t="s">
        <v>7058</v>
      </c>
      <c r="F29" s="7" t="s">
        <v>7057</v>
      </c>
      <c r="G29" s="122" t="s">
        <v>4174</v>
      </c>
      <c r="H29" s="7">
        <v>2050</v>
      </c>
      <c r="I29" s="7">
        <v>2022</v>
      </c>
      <c r="J29" s="122" t="s">
        <v>1960</v>
      </c>
      <c r="K29" s="7"/>
      <c r="L29" s="127" t="s">
        <v>1960</v>
      </c>
      <c r="M29" s="122"/>
      <c r="N29" s="7"/>
      <c r="O29" s="7"/>
      <c r="P29" s="7" t="str" cm="1">
        <f t="array" ref="P29">IF(O29="", "", IFERROR(MAX(--_xlfn.TEXTSPLIT(O29,"+")), O29))</f>
        <v/>
      </c>
      <c r="Q29" s="7"/>
      <c r="R29" s="109"/>
      <c r="S29" s="7" t="s">
        <v>1957</v>
      </c>
      <c r="T29" s="7" t="s">
        <v>5122</v>
      </c>
      <c r="U29" s="7">
        <v>2050</v>
      </c>
      <c r="V29" s="7" cm="1">
        <f t="array" ref="V29">IF(U29="", "", IFERROR(MAX(--_xlfn.TEXTSPLIT(U29,"+")), U29))</f>
        <v>2050</v>
      </c>
      <c r="W29" s="7">
        <v>2022</v>
      </c>
      <c r="X29" s="7" t="s">
        <v>7056</v>
      </c>
      <c r="Y29" s="122" t="s">
        <v>4174</v>
      </c>
      <c r="Z29" s="7" t="s">
        <v>7055</v>
      </c>
      <c r="AA29" s="109" t="s">
        <v>7054</v>
      </c>
      <c r="AB29" s="7">
        <v>2021</v>
      </c>
      <c r="AC29" s="124">
        <v>7604000</v>
      </c>
      <c r="AD29" s="124">
        <v>12566000</v>
      </c>
      <c r="AE29" s="124">
        <v>9796000</v>
      </c>
      <c r="AF29" s="7"/>
      <c r="AG29" s="7" t="s">
        <v>5032</v>
      </c>
      <c r="AH29" s="124">
        <f>AC29+AE29</f>
        <v>17400000</v>
      </c>
      <c r="AI29" s="124">
        <f>AH29</f>
        <v>17400000</v>
      </c>
      <c r="AJ29" s="7">
        <v>2020</v>
      </c>
      <c r="AK29" s="124">
        <v>5726000</v>
      </c>
      <c r="AL29" s="7"/>
      <c r="AM29" s="124">
        <v>9079000</v>
      </c>
      <c r="AN29" s="7"/>
      <c r="AO29" s="124">
        <v>14805000</v>
      </c>
      <c r="AP29" s="124">
        <v>14805000</v>
      </c>
      <c r="AQ29" s="7" t="s">
        <v>7053</v>
      </c>
      <c r="AR29" s="7" t="str">
        <f>_xlfn.XLOOKUP(C29,Sheet1!A:A,Sheet1!B:B, "Other")</f>
        <v>Asia</v>
      </c>
      <c r="AS29" t="str">
        <f>_xlfn.XLOOKUP(D29,Sheet1!D:D,Sheet1!E:E)</f>
        <v>Technology</v>
      </c>
      <c r="AU29" s="203" t="s">
        <v>7213</v>
      </c>
      <c r="AV29" s="204">
        <f>SUM(AV25:AV28)</f>
        <v>0</v>
      </c>
      <c r="AW29" s="204">
        <f>SUM(AW25:AW28)</f>
        <v>101</v>
      </c>
      <c r="AX29" s="204">
        <f>SUM(AX25:AX28)</f>
        <v>20</v>
      </c>
      <c r="AY29" s="204">
        <f>SUM(AY25:AY28)</f>
        <v>19</v>
      </c>
      <c r="AZ29" s="204">
        <f>SUM(AZ25:AZ28)</f>
        <v>36</v>
      </c>
      <c r="BA29" s="206">
        <f>SUM(BA25:BA28)</f>
        <v>19</v>
      </c>
      <c r="BB29" s="206">
        <f>SUM(BB25:BB28)</f>
        <v>35</v>
      </c>
      <c r="BC29" s="206">
        <f>SUM(BC25:BC28)</f>
        <v>43</v>
      </c>
      <c r="BD29" s="205">
        <f>SUM(BD25:BD28)</f>
        <v>169</v>
      </c>
      <c r="BE29" s="206">
        <f>SUM(BE25:BE28)</f>
        <v>3</v>
      </c>
      <c r="BF29" s="206">
        <f>SUM(BF25:BF28)</f>
        <v>13</v>
      </c>
      <c r="BG29" s="206">
        <f>SUM(BG25:BG28)</f>
        <v>181</v>
      </c>
      <c r="BH29" s="206">
        <f>SUM(BH25:BH28)</f>
        <v>639</v>
      </c>
    </row>
    <row r="30" spans="1:60" ht="18" customHeight="1">
      <c r="A30" s="7">
        <v>26</v>
      </c>
      <c r="B30" s="7" t="s">
        <v>1767</v>
      </c>
      <c r="C30" s="7" t="s">
        <v>4457</v>
      </c>
      <c r="D30" s="7" t="s">
        <v>454</v>
      </c>
      <c r="E30" s="7" t="s">
        <v>7052</v>
      </c>
      <c r="F30" s="7" t="s">
        <v>7051</v>
      </c>
      <c r="G30" s="122"/>
      <c r="H30" s="7"/>
      <c r="I30" s="7"/>
      <c r="J30" s="122" t="s">
        <v>1960</v>
      </c>
      <c r="K30" s="7"/>
      <c r="L30" s="127" t="s">
        <v>1960</v>
      </c>
      <c r="M30" s="122"/>
      <c r="N30" s="7"/>
      <c r="O30" s="7"/>
      <c r="P30" s="7" t="str" cm="1">
        <f t="array" ref="P30">IF(O30="", "", IFERROR(MAX(--_xlfn.TEXTSPLIT(O30,"+")), O30))</f>
        <v/>
      </c>
      <c r="Q30" s="7"/>
      <c r="R30" s="109"/>
      <c r="S30" s="7"/>
      <c r="T30" s="7"/>
      <c r="U30" s="7"/>
      <c r="V30" s="7" t="str" cm="1">
        <f t="array" ref="V30">IF(U30="", "", IFERROR(MAX(--_xlfn.TEXTSPLIT(U30,"+")), U30))</f>
        <v/>
      </c>
      <c r="W30" s="7"/>
      <c r="X30" s="7"/>
      <c r="Y30" s="122"/>
      <c r="Z30" s="7"/>
      <c r="AA30" s="126"/>
      <c r="AB30" s="7">
        <v>2021</v>
      </c>
      <c r="AC30" s="7"/>
      <c r="AD30" s="7"/>
      <c r="AE30" s="7"/>
      <c r="AF30" s="7"/>
      <c r="AG30" s="7" t="s">
        <v>5032</v>
      </c>
      <c r="AH30" s="132">
        <f>2647132</f>
        <v>2647132</v>
      </c>
      <c r="AI30" s="7">
        <f>AH30</f>
        <v>2647132</v>
      </c>
      <c r="AJ30" s="7">
        <v>2020</v>
      </c>
      <c r="AK30" s="7">
        <v>1200000</v>
      </c>
      <c r="AL30" s="7"/>
      <c r="AM30" s="124">
        <f>AO30-AK30</f>
        <v>1433033</v>
      </c>
      <c r="AN30" s="7">
        <v>141800000</v>
      </c>
      <c r="AO30" s="124">
        <v>2633033</v>
      </c>
      <c r="AP30" s="124">
        <f>AN30+AO30</f>
        <v>144433033</v>
      </c>
      <c r="AQ30" s="7" t="s">
        <v>7050</v>
      </c>
      <c r="AR30" s="7" t="str">
        <f>_xlfn.XLOOKUP(C30,Sheet1!A:A,Sheet1!B:B, "Other")</f>
        <v>North America</v>
      </c>
      <c r="AS30" t="str">
        <f>_xlfn.XLOOKUP(D30,Sheet1!D:D,Sheet1!E:E)</f>
        <v>Retail</v>
      </c>
    </row>
    <row r="31" spans="1:60" ht="18" customHeight="1">
      <c r="A31" s="7">
        <v>27</v>
      </c>
      <c r="B31" s="7" t="s">
        <v>1806</v>
      </c>
      <c r="C31" s="7" t="s">
        <v>3277</v>
      </c>
      <c r="D31" s="7" t="s">
        <v>186</v>
      </c>
      <c r="E31" s="7" t="s">
        <v>7049</v>
      </c>
      <c r="F31" s="7" t="s">
        <v>7048</v>
      </c>
      <c r="G31" s="122"/>
      <c r="H31" s="7"/>
      <c r="I31" s="7"/>
      <c r="J31" s="122" t="s">
        <v>4183</v>
      </c>
      <c r="K31" s="7">
        <v>2030</v>
      </c>
      <c r="L31" s="127">
        <v>2023</v>
      </c>
      <c r="M31" s="122"/>
      <c r="N31" s="7"/>
      <c r="O31" s="7"/>
      <c r="P31" s="7" t="str" cm="1">
        <f t="array" ref="P31">IF(O31="", "", IFERROR(MAX(--_xlfn.TEXTSPLIT(O31,"+")), O31))</f>
        <v/>
      </c>
      <c r="Q31" s="7"/>
      <c r="R31" s="126"/>
      <c r="S31" s="7" t="s">
        <v>4172</v>
      </c>
      <c r="T31" s="7" t="s">
        <v>7047</v>
      </c>
      <c r="U31" s="7">
        <v>2050</v>
      </c>
      <c r="V31" s="7" cm="1">
        <f t="array" ref="V31">IF(U31="", "", IFERROR(MAX(--_xlfn.TEXTSPLIT(U31,"+")), U31))</f>
        <v>2050</v>
      </c>
      <c r="W31" s="7">
        <v>2020</v>
      </c>
      <c r="X31" s="125" t="s">
        <v>7046</v>
      </c>
      <c r="Y31" s="122"/>
      <c r="Z31" s="7"/>
      <c r="AA31" s="126"/>
      <c r="AB31" s="7">
        <v>2021</v>
      </c>
      <c r="AC31" s="7">
        <v>237946</v>
      </c>
      <c r="AD31" s="7"/>
      <c r="AE31" s="7">
        <v>5982836</v>
      </c>
      <c r="AF31" s="7"/>
      <c r="AG31" s="7" t="s">
        <v>5032</v>
      </c>
      <c r="AH31" s="7">
        <f>AC31+AE31</f>
        <v>6220782</v>
      </c>
      <c r="AI31" s="7">
        <f>AH31+AF31</f>
        <v>6220782</v>
      </c>
      <c r="AJ31" s="7">
        <v>2020</v>
      </c>
      <c r="AK31" s="7">
        <v>152602</v>
      </c>
      <c r="AL31" s="7"/>
      <c r="AM31" s="7">
        <v>5265000</v>
      </c>
      <c r="AN31" s="7"/>
      <c r="AO31" s="7">
        <f>AK31+AM31</f>
        <v>5417602</v>
      </c>
      <c r="AP31" s="7">
        <f>AO31</f>
        <v>5417602</v>
      </c>
      <c r="AQ31" s="27" t="s">
        <v>7045</v>
      </c>
      <c r="AR31" s="7" t="str">
        <f>_xlfn.XLOOKUP(C31,Sheet1!A:A,Sheet1!B:B, "Other")</f>
        <v>Asia</v>
      </c>
      <c r="AS31" t="str">
        <f>_xlfn.XLOOKUP(D31,Sheet1!D:D,Sheet1!E:E)</f>
        <v>Technology</v>
      </c>
    </row>
    <row r="32" spans="1:60" ht="18" customHeight="1">
      <c r="A32" s="7">
        <v>28</v>
      </c>
      <c r="B32" s="7" t="s">
        <v>1799</v>
      </c>
      <c r="C32" s="7" t="s">
        <v>73</v>
      </c>
      <c r="D32" s="7" t="s">
        <v>76</v>
      </c>
      <c r="E32" s="7" t="s">
        <v>7044</v>
      </c>
      <c r="F32" s="7" t="s">
        <v>7043</v>
      </c>
      <c r="G32" s="122"/>
      <c r="H32" s="7"/>
      <c r="I32" s="7"/>
      <c r="J32" s="122" t="s">
        <v>1960</v>
      </c>
      <c r="K32" s="7"/>
      <c r="L32" s="127" t="s">
        <v>1960</v>
      </c>
      <c r="M32" s="122" t="s">
        <v>1957</v>
      </c>
      <c r="N32" s="7" t="s">
        <v>1659</v>
      </c>
      <c r="O32" s="7">
        <v>2060</v>
      </c>
      <c r="P32" s="7" cm="1">
        <f t="array" ref="P32">IF(O32="", "", IFERROR(MAX(--_xlfn.TEXTSPLIT(O32,"+")), O32))</f>
        <v>2060</v>
      </c>
      <c r="Q32" s="7">
        <v>2021</v>
      </c>
      <c r="R32" s="126" t="s">
        <v>7042</v>
      </c>
      <c r="S32" s="7"/>
      <c r="T32" s="7"/>
      <c r="U32" s="7"/>
      <c r="V32" s="7" t="str" cm="1">
        <f t="array" ref="V32">IF(U32="", "", IFERROR(MAX(--_xlfn.TEXTSPLIT(U32,"+")), U32))</f>
        <v/>
      </c>
      <c r="W32" s="7"/>
      <c r="X32" s="7"/>
      <c r="Y32" s="122"/>
      <c r="Z32" s="7"/>
      <c r="AA32" s="109"/>
      <c r="AB32" s="7">
        <v>2022</v>
      </c>
      <c r="AC32" s="7">
        <v>97400</v>
      </c>
      <c r="AD32" s="7"/>
      <c r="AE32" s="7">
        <v>1923900</v>
      </c>
      <c r="AF32" s="7"/>
      <c r="AG32" s="7" t="s">
        <v>5032</v>
      </c>
      <c r="AH32" s="7">
        <f>AE32+AC32</f>
        <v>2021300</v>
      </c>
      <c r="AI32" s="7">
        <f>AH32</f>
        <v>2021300</v>
      </c>
      <c r="AJ32" s="7">
        <v>2021</v>
      </c>
      <c r="AK32" s="7">
        <v>129600</v>
      </c>
      <c r="AL32" s="7"/>
      <c r="AM32" s="7">
        <v>2033000</v>
      </c>
      <c r="AN32" s="7"/>
      <c r="AO32" s="7">
        <f>AM32+AK32</f>
        <v>2162600</v>
      </c>
      <c r="AP32" s="7">
        <f>AO32</f>
        <v>2162600</v>
      </c>
      <c r="AQ32" s="27" t="s">
        <v>7042</v>
      </c>
      <c r="AR32" s="7" t="str">
        <f>_xlfn.XLOOKUP(C32,Sheet1!A:A,Sheet1!B:B, "Other")</f>
        <v>Asia</v>
      </c>
      <c r="AS32" t="str">
        <f>_xlfn.XLOOKUP(D32,Sheet1!D:D,Sheet1!E:E)</f>
        <v>Financial services</v>
      </c>
    </row>
    <row r="33" spans="1:45" ht="18" customHeight="1">
      <c r="A33" s="7">
        <v>29</v>
      </c>
      <c r="B33" s="7" t="s">
        <v>1785</v>
      </c>
      <c r="C33" s="7" t="s">
        <v>73</v>
      </c>
      <c r="D33" s="7" t="s">
        <v>76</v>
      </c>
      <c r="E33" s="7" t="s">
        <v>7041</v>
      </c>
      <c r="F33" s="7" t="s">
        <v>7040</v>
      </c>
      <c r="G33" s="122"/>
      <c r="H33" s="7"/>
      <c r="I33" s="7"/>
      <c r="J33" s="122" t="s">
        <v>1960</v>
      </c>
      <c r="K33" s="7"/>
      <c r="L33" s="127" t="s">
        <v>1960</v>
      </c>
      <c r="M33" s="122" t="s">
        <v>4519</v>
      </c>
      <c r="N33" s="7" t="s">
        <v>5131</v>
      </c>
      <c r="O33" s="7">
        <v>2060</v>
      </c>
      <c r="P33" s="7" cm="1">
        <f t="array" ref="P33">IF(O33="", "", IFERROR(MAX(--_xlfn.TEXTSPLIT(O33,"+")), O33))</f>
        <v>2060</v>
      </c>
      <c r="Q33" s="7">
        <v>2022</v>
      </c>
      <c r="R33" s="126" t="s">
        <v>7039</v>
      </c>
      <c r="S33" s="7"/>
      <c r="T33" s="7"/>
      <c r="U33" s="7"/>
      <c r="V33" s="7" t="str" cm="1">
        <f t="array" ref="V33">IF(U33="", "", IFERROR(MAX(--_xlfn.TEXTSPLIT(U33,"+")), U33))</f>
        <v/>
      </c>
      <c r="W33" s="7"/>
      <c r="X33" s="7"/>
      <c r="Y33" s="122"/>
      <c r="Z33" s="7"/>
      <c r="AA33" s="109"/>
      <c r="AB33" s="7">
        <v>2022</v>
      </c>
      <c r="AC33" s="7"/>
      <c r="AD33" s="7"/>
      <c r="AE33" s="7"/>
      <c r="AF33" s="7"/>
      <c r="AG33" s="7" t="s">
        <v>5032</v>
      </c>
      <c r="AH33" s="7">
        <v>1682812.2</v>
      </c>
      <c r="AI33" s="7">
        <f>AH33</f>
        <v>1682812.2</v>
      </c>
      <c r="AJ33" s="7">
        <v>2021</v>
      </c>
      <c r="AK33" s="7"/>
      <c r="AL33" s="7"/>
      <c r="AM33" s="7"/>
      <c r="AN33" s="7"/>
      <c r="AO33" s="7">
        <v>1692538.66</v>
      </c>
      <c r="AP33" s="7">
        <f>AO33</f>
        <v>1692538.66</v>
      </c>
      <c r="AQ33" s="27" t="s">
        <v>7039</v>
      </c>
      <c r="AR33" s="7" t="str">
        <f>_xlfn.XLOOKUP(C33,Sheet1!A:A,Sheet1!B:B, "Other")</f>
        <v>Asia</v>
      </c>
      <c r="AS33" t="str">
        <f>_xlfn.XLOOKUP(D33,Sheet1!D:D,Sheet1!E:E)</f>
        <v>Financial services</v>
      </c>
    </row>
    <row r="34" spans="1:45" ht="18" customHeight="1">
      <c r="A34" s="7">
        <v>30</v>
      </c>
      <c r="B34" s="7" t="s">
        <v>1686</v>
      </c>
      <c r="C34" s="7" t="s">
        <v>4457</v>
      </c>
      <c r="D34" s="7" t="s">
        <v>186</v>
      </c>
      <c r="E34" s="7" t="s">
        <v>7038</v>
      </c>
      <c r="F34" s="7" t="s">
        <v>7037</v>
      </c>
      <c r="G34" s="122" t="s">
        <v>4174</v>
      </c>
      <c r="H34" s="7">
        <v>2014</v>
      </c>
      <c r="I34" s="7">
        <v>2015</v>
      </c>
      <c r="J34" s="122" t="s">
        <v>4183</v>
      </c>
      <c r="K34" s="7">
        <v>2030</v>
      </c>
      <c r="L34" s="127">
        <v>2019</v>
      </c>
      <c r="M34" s="122" t="s">
        <v>1957</v>
      </c>
      <c r="N34" s="7"/>
      <c r="O34" s="7">
        <v>2012</v>
      </c>
      <c r="P34" s="7" cm="1">
        <f t="array" ref="P34">IF(O34="", "", IFERROR(MAX(--_xlfn.TEXTSPLIT(O34,"+")), O34))</f>
        <v>2012</v>
      </c>
      <c r="Q34" s="7">
        <v>2012</v>
      </c>
      <c r="R34" s="126" t="s">
        <v>7036</v>
      </c>
      <c r="S34" s="7" t="s">
        <v>4172</v>
      </c>
      <c r="T34" s="7" t="s">
        <v>7035</v>
      </c>
      <c r="U34" s="7">
        <v>2030</v>
      </c>
      <c r="V34" s="7" cm="1">
        <f t="array" ref="V34">IF(U34="", "", IFERROR(MAX(--_xlfn.TEXTSPLIT(U34,"+")), U34))</f>
        <v>2030</v>
      </c>
      <c r="W34" s="7">
        <v>2020</v>
      </c>
      <c r="X34" s="7" t="s">
        <v>2839</v>
      </c>
      <c r="Y34" s="122" t="s">
        <v>4174</v>
      </c>
      <c r="Z34" s="7" t="s">
        <v>5037</v>
      </c>
      <c r="AA34" s="109" t="s">
        <v>7034</v>
      </c>
      <c r="AB34" s="7">
        <v>2022</v>
      </c>
      <c r="AC34" s="7">
        <v>139413</v>
      </c>
      <c r="AD34" s="7"/>
      <c r="AE34" s="7">
        <v>288029</v>
      </c>
      <c r="AF34" s="7">
        <v>12571000</v>
      </c>
      <c r="AG34" s="7" t="s">
        <v>4174</v>
      </c>
      <c r="AH34" s="7">
        <f>AE34+AC34</f>
        <v>427442</v>
      </c>
      <c r="AI34" s="7">
        <f>AH34+AF34</f>
        <v>12998442</v>
      </c>
      <c r="AJ34" s="7">
        <v>2021</v>
      </c>
      <c r="AK34" s="7">
        <v>123704</v>
      </c>
      <c r="AL34" s="7"/>
      <c r="AM34" s="7">
        <v>429405</v>
      </c>
      <c r="AN34" s="7">
        <v>12511000</v>
      </c>
      <c r="AO34" s="7">
        <f>AM34+AK34</f>
        <v>553109</v>
      </c>
      <c r="AP34" s="7">
        <f>AO34+AN34</f>
        <v>13064109</v>
      </c>
      <c r="AQ34" s="7" t="s">
        <v>7034</v>
      </c>
      <c r="AR34" s="7" t="str">
        <f>_xlfn.XLOOKUP(C34,Sheet1!A:A,Sheet1!B:B, "Other")</f>
        <v>North America</v>
      </c>
      <c r="AS34" t="str">
        <f>_xlfn.XLOOKUP(D34,Sheet1!D:D,Sheet1!E:E)</f>
        <v>Technology</v>
      </c>
    </row>
    <row r="35" spans="1:45" ht="18" customHeight="1">
      <c r="A35" s="7">
        <v>31</v>
      </c>
      <c r="B35" s="7" t="s">
        <v>4994</v>
      </c>
      <c r="C35" s="7" t="s">
        <v>96</v>
      </c>
      <c r="D35" s="7" t="s">
        <v>171</v>
      </c>
      <c r="E35" s="7" t="s">
        <v>7033</v>
      </c>
      <c r="F35" s="7" t="s">
        <v>7032</v>
      </c>
      <c r="G35" s="122"/>
      <c r="H35" s="7"/>
      <c r="I35" s="7"/>
      <c r="J35" s="122" t="s">
        <v>1960</v>
      </c>
      <c r="K35" s="7"/>
      <c r="L35" s="127" t="s">
        <v>1960</v>
      </c>
      <c r="M35" s="122"/>
      <c r="N35" s="7"/>
      <c r="O35" s="7"/>
      <c r="P35" s="7" t="str" cm="1">
        <f t="array" ref="P35">IF(O35="", "", IFERROR(MAX(--_xlfn.TEXTSPLIT(O35,"+")), O35))</f>
        <v/>
      </c>
      <c r="Q35" s="7"/>
      <c r="R35" s="109"/>
      <c r="S35" s="7" t="s">
        <v>4172</v>
      </c>
      <c r="T35" s="7" t="s">
        <v>6068</v>
      </c>
      <c r="U35" s="7">
        <v>2038</v>
      </c>
      <c r="V35" s="7" cm="1">
        <f t="array" ref="V35">IF(U35="", "", IFERROR(MAX(--_xlfn.TEXTSPLIT(U35,"+")), U35))</f>
        <v>2038</v>
      </c>
      <c r="W35" s="7">
        <v>2022</v>
      </c>
      <c r="X35" s="7" t="s">
        <v>7029</v>
      </c>
      <c r="Y35" s="122" t="s">
        <v>4174</v>
      </c>
      <c r="Z35" s="7" t="s">
        <v>7031</v>
      </c>
      <c r="AA35" s="109" t="s">
        <v>7030</v>
      </c>
      <c r="AB35" s="7">
        <v>2022</v>
      </c>
      <c r="AC35" s="124">
        <v>1526757</v>
      </c>
      <c r="AD35" s="7"/>
      <c r="AE35" s="124">
        <v>1916359</v>
      </c>
      <c r="AF35" s="7">
        <v>444200000</v>
      </c>
      <c r="AG35" s="7" t="s">
        <v>5032</v>
      </c>
      <c r="AH35" s="124">
        <f>AE35+AC35</f>
        <v>3443116</v>
      </c>
      <c r="AI35" s="124">
        <f>AF35+AH35</f>
        <v>447643116</v>
      </c>
      <c r="AJ35" s="7">
        <v>2021</v>
      </c>
      <c r="AK35" s="124">
        <v>1641028</v>
      </c>
      <c r="AL35" s="7"/>
      <c r="AM35" s="124">
        <v>2233459</v>
      </c>
      <c r="AN35" s="7">
        <v>523300000</v>
      </c>
      <c r="AO35" s="124">
        <f>AK35+AM35</f>
        <v>3874487</v>
      </c>
      <c r="AP35" s="124">
        <f>AO35+AN35</f>
        <v>527174487</v>
      </c>
      <c r="AQ35" s="7" t="s">
        <v>7029</v>
      </c>
      <c r="AR35" s="7" t="str">
        <f>_xlfn.XLOOKUP(C35,Sheet1!A:A,Sheet1!B:B, "Other")</f>
        <v>Europe</v>
      </c>
      <c r="AS35" t="str">
        <f>_xlfn.XLOOKUP(D35,Sheet1!D:D,Sheet1!E:E)</f>
        <v>Automotive</v>
      </c>
    </row>
    <row r="36" spans="1:45" ht="18" customHeight="1">
      <c r="A36" s="7">
        <v>32</v>
      </c>
      <c r="B36" s="7" t="s">
        <v>1763</v>
      </c>
      <c r="C36" s="7" t="s">
        <v>73</v>
      </c>
      <c r="D36" s="7" t="s">
        <v>76</v>
      </c>
      <c r="E36" s="7" t="s">
        <v>7028</v>
      </c>
      <c r="F36" s="7" t="s">
        <v>7027</v>
      </c>
      <c r="G36" s="122"/>
      <c r="H36" s="7"/>
      <c r="I36" s="7"/>
      <c r="J36" s="122" t="s">
        <v>1960</v>
      </c>
      <c r="K36" s="7"/>
      <c r="L36" s="127" t="s">
        <v>1960</v>
      </c>
      <c r="M36" s="122"/>
      <c r="N36" s="7"/>
      <c r="O36" s="7"/>
      <c r="P36" s="7" t="str" cm="1">
        <f t="array" ref="P36">IF(O36="", "", IFERROR(MAX(--_xlfn.TEXTSPLIT(O36,"+")), O36))</f>
        <v/>
      </c>
      <c r="Q36" s="7"/>
      <c r="R36" s="109"/>
      <c r="S36" s="7"/>
      <c r="T36" s="7"/>
      <c r="U36" s="7"/>
      <c r="V36" s="7" t="str" cm="1">
        <f t="array" ref="V36">IF(U36="", "", IFERROR(MAX(--_xlfn.TEXTSPLIT(U36,"+")), U36))</f>
        <v/>
      </c>
      <c r="W36" s="7"/>
      <c r="X36" s="7"/>
      <c r="Y36" s="122"/>
      <c r="Z36" s="7"/>
      <c r="AA36" s="109"/>
      <c r="AB36" s="7">
        <v>2022</v>
      </c>
      <c r="AC36" s="123">
        <v>222353.26</v>
      </c>
      <c r="AD36" s="7"/>
      <c r="AE36" s="7">
        <v>1931555.79</v>
      </c>
      <c r="AF36" s="7"/>
      <c r="AG36" s="7" t="s">
        <v>5032</v>
      </c>
      <c r="AH36" s="124">
        <v>2153909.04</v>
      </c>
      <c r="AI36" s="123">
        <v>2153909.04</v>
      </c>
      <c r="AJ36" s="7">
        <v>2021</v>
      </c>
      <c r="AK36" s="123">
        <v>20663.740000000002</v>
      </c>
      <c r="AL36" s="7"/>
      <c r="AM36" s="123">
        <v>237531.54</v>
      </c>
      <c r="AN36" s="7"/>
      <c r="AO36" s="124">
        <v>258195.28</v>
      </c>
      <c r="AP36" s="123">
        <v>258195.28</v>
      </c>
      <c r="AQ36" s="7" t="s">
        <v>7026</v>
      </c>
      <c r="AR36" s="7" t="str">
        <f>_xlfn.XLOOKUP(C36,Sheet1!A:A,Sheet1!B:B, "Other")</f>
        <v>Asia</v>
      </c>
      <c r="AS36" t="str">
        <f>_xlfn.XLOOKUP(D36,Sheet1!D:D,Sheet1!E:E)</f>
        <v>Financial services</v>
      </c>
    </row>
    <row r="37" spans="1:45" ht="18" customHeight="1">
      <c r="A37" s="7">
        <v>33</v>
      </c>
      <c r="B37" s="7" t="s">
        <v>1791</v>
      </c>
      <c r="C37" s="7" t="s">
        <v>73</v>
      </c>
      <c r="D37" s="7" t="s">
        <v>76</v>
      </c>
      <c r="E37" s="7" t="s">
        <v>7025</v>
      </c>
      <c r="F37" s="7" t="s">
        <v>7024</v>
      </c>
      <c r="G37" s="122"/>
      <c r="H37" s="7"/>
      <c r="I37" s="7"/>
      <c r="J37" s="122" t="s">
        <v>1960</v>
      </c>
      <c r="K37" s="7"/>
      <c r="L37" s="127" t="s">
        <v>1960</v>
      </c>
      <c r="M37" s="122" t="s">
        <v>1957</v>
      </c>
      <c r="N37" s="7" t="s">
        <v>1659</v>
      </c>
      <c r="O37" s="7">
        <v>2030</v>
      </c>
      <c r="P37" s="7" cm="1">
        <f t="array" ref="P37">IF(O37="", "", IFERROR(MAX(--_xlfn.TEXTSPLIT(O37,"+")), O37))</f>
        <v>2030</v>
      </c>
      <c r="Q37" s="7">
        <v>2021</v>
      </c>
      <c r="R37" s="109" t="s">
        <v>4997</v>
      </c>
      <c r="S37" s="7"/>
      <c r="T37" s="7"/>
      <c r="U37" s="7"/>
      <c r="V37" s="7" t="str" cm="1">
        <f t="array" ref="V37">IF(U37="", "", IFERROR(MAX(--_xlfn.TEXTSPLIT(U37,"+")), U37))</f>
        <v/>
      </c>
      <c r="W37" s="7"/>
      <c r="X37" s="7"/>
      <c r="Y37" s="122"/>
      <c r="Z37" s="7"/>
      <c r="AA37" s="109"/>
      <c r="AB37" s="7">
        <v>2022</v>
      </c>
      <c r="AC37" s="123">
        <v>2818.15</v>
      </c>
      <c r="AD37" s="7"/>
      <c r="AE37" s="123">
        <v>285890.98</v>
      </c>
      <c r="AF37" s="123">
        <v>37960.75</v>
      </c>
      <c r="AG37" s="7" t="s">
        <v>5032</v>
      </c>
      <c r="AH37" s="123">
        <f>AE37+AC37</f>
        <v>288709.13</v>
      </c>
      <c r="AI37" s="123">
        <f>AH37+AF37</f>
        <v>326669.88</v>
      </c>
      <c r="AJ37" s="7">
        <v>2021</v>
      </c>
      <c r="AK37" s="123">
        <v>6121.76</v>
      </c>
      <c r="AL37" s="7"/>
      <c r="AM37" s="123">
        <v>376336.09</v>
      </c>
      <c r="AN37" s="124">
        <v>46537</v>
      </c>
      <c r="AO37" s="123">
        <f>AM37+AK37</f>
        <v>382457.85000000003</v>
      </c>
      <c r="AP37" s="123">
        <f>AO37+AN37</f>
        <v>428994.85000000003</v>
      </c>
      <c r="AQ37" s="7" t="s">
        <v>7023</v>
      </c>
      <c r="AR37" s="7" t="str">
        <f>_xlfn.XLOOKUP(C37,Sheet1!A:A,Sheet1!B:B, "Other")</f>
        <v>Asia</v>
      </c>
      <c r="AS37" t="str">
        <f>_xlfn.XLOOKUP(D37,Sheet1!D:D,Sheet1!E:E)</f>
        <v>Financial services</v>
      </c>
    </row>
    <row r="38" spans="1:45" ht="18" customHeight="1">
      <c r="A38" s="7">
        <v>34</v>
      </c>
      <c r="B38" s="7" t="s">
        <v>1756</v>
      </c>
      <c r="C38" s="7" t="s">
        <v>4457</v>
      </c>
      <c r="D38" s="7" t="s">
        <v>319</v>
      </c>
      <c r="E38" s="7" t="s">
        <v>7022</v>
      </c>
      <c r="F38" s="7" t="s">
        <v>7021</v>
      </c>
      <c r="G38" s="122"/>
      <c r="H38" s="7"/>
      <c r="I38" s="7"/>
      <c r="J38" s="122" t="s">
        <v>1957</v>
      </c>
      <c r="K38" s="7"/>
      <c r="L38" s="127">
        <v>2021</v>
      </c>
      <c r="M38" s="122"/>
      <c r="N38" s="7"/>
      <c r="O38" s="7"/>
      <c r="P38" s="7" t="str" cm="1">
        <f t="array" ref="P38">IF(O38="", "", IFERROR(MAX(--_xlfn.TEXTSPLIT(O38,"+")), O38))</f>
        <v/>
      </c>
      <c r="Q38" s="7"/>
      <c r="R38" s="109"/>
      <c r="S38" s="7"/>
      <c r="T38" s="7"/>
      <c r="U38" s="7"/>
      <c r="V38" s="7" t="str" cm="1">
        <f t="array" ref="V38">IF(U38="", "", IFERROR(MAX(--_xlfn.TEXTSPLIT(U38,"+")), U38))</f>
        <v/>
      </c>
      <c r="W38" s="7"/>
      <c r="X38" s="7"/>
      <c r="Y38" s="122" t="s">
        <v>4174</v>
      </c>
      <c r="Z38" s="7" t="s">
        <v>7020</v>
      </c>
      <c r="AA38" s="109" t="s">
        <v>7019</v>
      </c>
      <c r="AB38" s="7">
        <v>2022</v>
      </c>
      <c r="AC38" s="124">
        <v>151120</v>
      </c>
      <c r="AD38" s="124">
        <v>214389</v>
      </c>
      <c r="AE38" s="7"/>
      <c r="AF38" s="124">
        <v>8992</v>
      </c>
      <c r="AG38" s="7" t="s">
        <v>5032</v>
      </c>
      <c r="AH38" s="124">
        <f>AC38+AD38</f>
        <v>365509</v>
      </c>
      <c r="AI38" s="124">
        <f>AF38+AH38</f>
        <v>374501</v>
      </c>
      <c r="AJ38" s="7">
        <v>2021</v>
      </c>
      <c r="AK38" s="124">
        <v>156100</v>
      </c>
      <c r="AL38" s="124">
        <v>234339</v>
      </c>
      <c r="AM38" s="7"/>
      <c r="AN38" s="7"/>
      <c r="AO38" s="124">
        <f>AK38+AL38</f>
        <v>390439</v>
      </c>
      <c r="AP38" s="124">
        <f>AO38</f>
        <v>390439</v>
      </c>
      <c r="AQ38" s="7" t="s">
        <v>7018</v>
      </c>
      <c r="AR38" s="7" t="str">
        <f>_xlfn.XLOOKUP(C38,Sheet1!A:A,Sheet1!B:B, "Other")</f>
        <v>North America</v>
      </c>
      <c r="AS38" t="str">
        <f>_xlfn.XLOOKUP(D38,Sheet1!D:D,Sheet1!E:E)</f>
        <v>Health care and pharmaceuticals</v>
      </c>
    </row>
    <row r="39" spans="1:45" ht="18" customHeight="1">
      <c r="A39" s="7">
        <v>35</v>
      </c>
      <c r="B39" s="7" t="s">
        <v>1065</v>
      </c>
      <c r="C39" s="7" t="s">
        <v>4457</v>
      </c>
      <c r="D39" s="7" t="s">
        <v>319</v>
      </c>
      <c r="E39" s="7" t="s">
        <v>7017</v>
      </c>
      <c r="F39" s="7" t="s">
        <v>7016</v>
      </c>
      <c r="G39" s="122" t="s">
        <v>4174</v>
      </c>
      <c r="H39" s="7">
        <v>2030</v>
      </c>
      <c r="I39" s="7">
        <v>2022</v>
      </c>
      <c r="J39" s="122" t="s">
        <v>1960</v>
      </c>
      <c r="K39" s="7"/>
      <c r="L39" s="127" t="s">
        <v>1960</v>
      </c>
      <c r="M39" s="122" t="s">
        <v>1957</v>
      </c>
      <c r="N39" s="7" t="s">
        <v>5122</v>
      </c>
      <c r="O39" s="7">
        <v>2040</v>
      </c>
      <c r="P39" s="7" cm="1">
        <f t="array" ref="P39">IF(O39="", "", IFERROR(MAX(--_xlfn.TEXTSPLIT(O39,"+")), O39))</f>
        <v>2040</v>
      </c>
      <c r="Q39" s="7"/>
      <c r="R39" s="126" t="s">
        <v>7015</v>
      </c>
      <c r="S39" s="7"/>
      <c r="T39" s="7"/>
      <c r="U39" s="7"/>
      <c r="V39" s="7" t="str" cm="1">
        <f t="array" ref="V39">IF(U39="", "", IFERROR(MAX(--_xlfn.TEXTSPLIT(U39,"+")), U39))</f>
        <v/>
      </c>
      <c r="W39" s="7"/>
      <c r="X39" s="7"/>
      <c r="Y39" s="122"/>
      <c r="Z39" s="7"/>
      <c r="AA39" s="109"/>
      <c r="AB39" s="7">
        <v>2021</v>
      </c>
      <c r="AC39" s="124">
        <v>14049</v>
      </c>
      <c r="AD39" s="124">
        <v>98570</v>
      </c>
      <c r="AE39" s="124">
        <v>94596</v>
      </c>
      <c r="AF39" s="124">
        <v>2822</v>
      </c>
      <c r="AG39" s="7" t="s">
        <v>5032</v>
      </c>
      <c r="AH39" s="124">
        <f>AC39+AE39</f>
        <v>108645</v>
      </c>
      <c r="AI39" s="124">
        <f>AC39+AE39+AF39</f>
        <v>111467</v>
      </c>
      <c r="AJ39" s="7">
        <v>2020</v>
      </c>
      <c r="AK39" s="124">
        <v>12687</v>
      </c>
      <c r="AL39" s="124">
        <v>116261</v>
      </c>
      <c r="AM39" s="124"/>
      <c r="AN39" s="124">
        <v>8394</v>
      </c>
      <c r="AO39" s="124">
        <f>AK39+AL39</f>
        <v>128948</v>
      </c>
      <c r="AP39" s="124">
        <f>AO39+AN39</f>
        <v>137342</v>
      </c>
      <c r="AQ39" s="7" t="s">
        <v>7015</v>
      </c>
      <c r="AR39" s="7" t="str">
        <f>_xlfn.XLOOKUP(C39,Sheet1!A:A,Sheet1!B:B, "Other")</f>
        <v>North America</v>
      </c>
      <c r="AS39" t="str">
        <f>_xlfn.XLOOKUP(D39,Sheet1!D:D,Sheet1!E:E)</f>
        <v>Health care and pharmaceuticals</v>
      </c>
    </row>
    <row r="40" spans="1:45" ht="18" customHeight="1">
      <c r="A40" s="7">
        <v>36</v>
      </c>
      <c r="B40" s="7" t="s">
        <v>1649</v>
      </c>
      <c r="C40" s="7" t="s">
        <v>4457</v>
      </c>
      <c r="D40" s="7" t="s">
        <v>71</v>
      </c>
      <c r="E40" s="7" t="s">
        <v>7014</v>
      </c>
      <c r="F40" s="7" t="s">
        <v>7013</v>
      </c>
      <c r="G40" s="122"/>
      <c r="H40" s="7"/>
      <c r="I40" s="7"/>
      <c r="J40" s="122" t="s">
        <v>1960</v>
      </c>
      <c r="K40" s="7"/>
      <c r="L40" s="127" t="s">
        <v>1960</v>
      </c>
      <c r="M40" s="122"/>
      <c r="N40" s="7"/>
      <c r="O40" s="7"/>
      <c r="P40" s="7" t="str" cm="1">
        <f t="array" ref="P40">IF(O40="", "", IFERROR(MAX(--_xlfn.TEXTSPLIT(O40,"+")), O40))</f>
        <v/>
      </c>
      <c r="Q40" s="7"/>
      <c r="R40" s="109"/>
      <c r="S40" s="7"/>
      <c r="T40" s="7"/>
      <c r="U40" s="7"/>
      <c r="V40" s="7" t="str" cm="1">
        <f t="array" ref="V40">IF(U40="", "", IFERROR(MAX(--_xlfn.TEXTSPLIT(U40,"+")), U40))</f>
        <v/>
      </c>
      <c r="W40" s="7"/>
      <c r="X40" s="7"/>
      <c r="Y40" s="122" t="s">
        <v>4174</v>
      </c>
      <c r="Z40" s="7" t="s">
        <v>7012</v>
      </c>
      <c r="AA40" s="126" t="s">
        <v>7011</v>
      </c>
      <c r="AB40" s="7">
        <v>2021</v>
      </c>
      <c r="AC40" s="7">
        <v>33000000</v>
      </c>
      <c r="AD40" s="7"/>
      <c r="AE40" s="7">
        <v>6900000</v>
      </c>
      <c r="AF40" s="7">
        <v>379000000</v>
      </c>
      <c r="AG40" s="7" t="s">
        <v>5032</v>
      </c>
      <c r="AH40" s="7">
        <f>AC40+AE40</f>
        <v>39900000</v>
      </c>
      <c r="AI40" s="7">
        <f>AH40+AF40</f>
        <v>418900000</v>
      </c>
      <c r="AJ40" s="7">
        <v>2020</v>
      </c>
      <c r="AK40" s="7">
        <v>32200000</v>
      </c>
      <c r="AL40" s="7"/>
      <c r="AM40" s="7">
        <v>8000000</v>
      </c>
      <c r="AN40" s="7">
        <v>352000000</v>
      </c>
      <c r="AO40" s="7">
        <f>AK40+AM40</f>
        <v>40200000</v>
      </c>
      <c r="AP40" s="7">
        <f>AO40+AN40</f>
        <v>392200000</v>
      </c>
      <c r="AQ40" s="27" t="s">
        <v>7010</v>
      </c>
      <c r="AR40" s="7" t="str">
        <f>_xlfn.XLOOKUP(C40,Sheet1!A:A,Sheet1!B:B, "Other")</f>
        <v>North America</v>
      </c>
      <c r="AS40" t="str">
        <f>_xlfn.XLOOKUP(D40,Sheet1!D:D,Sheet1!E:E)</f>
        <v>Energy and utilities</v>
      </c>
    </row>
    <row r="41" spans="1:45" ht="18" customHeight="1">
      <c r="A41" s="7">
        <v>37</v>
      </c>
      <c r="B41" s="7" t="s">
        <v>1705</v>
      </c>
      <c r="C41" s="7" t="s">
        <v>4457</v>
      </c>
      <c r="D41" s="7" t="s">
        <v>71</v>
      </c>
      <c r="E41" s="7" t="s">
        <v>7009</v>
      </c>
      <c r="F41" s="7" t="s">
        <v>7008</v>
      </c>
      <c r="G41" s="122"/>
      <c r="H41" s="7"/>
      <c r="I41" s="7"/>
      <c r="J41" s="122" t="s">
        <v>1960</v>
      </c>
      <c r="K41" s="7"/>
      <c r="L41" s="127" t="s">
        <v>1960</v>
      </c>
      <c r="M41" s="122"/>
      <c r="N41" s="7"/>
      <c r="O41" s="7"/>
      <c r="P41" s="7" t="str" cm="1">
        <f t="array" ref="P41">IF(O41="", "", IFERROR(MAX(--_xlfn.TEXTSPLIT(O41,"+")), O41))</f>
        <v/>
      </c>
      <c r="Q41" s="7"/>
      <c r="R41" s="109"/>
      <c r="S41" s="7"/>
      <c r="T41" s="7"/>
      <c r="U41" s="7"/>
      <c r="V41" s="7" t="str" cm="1">
        <f t="array" ref="V41">IF(U41="", "", IFERROR(MAX(--_xlfn.TEXTSPLIT(U41,"+")), U41))</f>
        <v/>
      </c>
      <c r="W41" s="7"/>
      <c r="X41" s="7"/>
      <c r="Y41" s="122" t="s">
        <v>4174</v>
      </c>
      <c r="Z41" s="7" t="s">
        <v>7007</v>
      </c>
      <c r="AA41" s="109" t="s">
        <v>7006</v>
      </c>
      <c r="AB41" s="7">
        <v>2021</v>
      </c>
      <c r="AC41" s="7">
        <f>30.3*1000000</f>
        <v>30300000</v>
      </c>
      <c r="AD41" s="7"/>
      <c r="AE41" s="7">
        <f>4.5*1000000</f>
        <v>4500000</v>
      </c>
      <c r="AF41" s="7">
        <v>350000000</v>
      </c>
      <c r="AG41" s="7" t="s">
        <v>5032</v>
      </c>
      <c r="AH41" s="7">
        <f>AC41+AE41</f>
        <v>34800000</v>
      </c>
      <c r="AI41" s="7">
        <f>AH41+AF41</f>
        <v>384800000</v>
      </c>
      <c r="AJ41" s="7">
        <v>2020</v>
      </c>
      <c r="AK41" s="7">
        <f>25.5*1000000</f>
        <v>25500000</v>
      </c>
      <c r="AL41" s="7"/>
      <c r="AM41" s="7">
        <f>4.6*1000000</f>
        <v>4600000</v>
      </c>
      <c r="AN41" s="7">
        <f>313000000</f>
        <v>313000000</v>
      </c>
      <c r="AO41" s="7">
        <f>AK41+AM41</f>
        <v>30100000</v>
      </c>
      <c r="AP41" s="7">
        <f>AN41+AO41</f>
        <v>343100000</v>
      </c>
      <c r="AQ41" s="7" t="s">
        <v>7005</v>
      </c>
      <c r="AR41" s="7" t="str">
        <f>_xlfn.XLOOKUP(C41,Sheet1!A:A,Sheet1!B:B, "Other")</f>
        <v>North America</v>
      </c>
      <c r="AS41" t="str">
        <f>_xlfn.XLOOKUP(D41,Sheet1!D:D,Sheet1!E:E)</f>
        <v>Energy and utilities</v>
      </c>
    </row>
    <row r="42" spans="1:45" ht="18" customHeight="1">
      <c r="A42" s="7">
        <v>38</v>
      </c>
      <c r="B42" s="7" t="s">
        <v>4991</v>
      </c>
      <c r="C42" s="7" t="s">
        <v>73</v>
      </c>
      <c r="D42" s="7" t="s">
        <v>66</v>
      </c>
      <c r="E42" s="7" t="s">
        <v>7004</v>
      </c>
      <c r="F42" s="7" t="s">
        <v>7003</v>
      </c>
      <c r="G42" s="122"/>
      <c r="H42" s="7"/>
      <c r="I42" s="7"/>
      <c r="J42" s="122" t="s">
        <v>1960</v>
      </c>
      <c r="K42" s="7"/>
      <c r="L42" s="127" t="s">
        <v>1960</v>
      </c>
      <c r="M42" s="122" t="s">
        <v>4519</v>
      </c>
      <c r="N42" s="7"/>
      <c r="O42" s="7">
        <v>2060</v>
      </c>
      <c r="P42" s="7" cm="1">
        <f t="array" ref="P42">IF(O42="", "", IFERROR(MAX(--_xlfn.TEXTSPLIT(O42,"+")), O42))</f>
        <v>2060</v>
      </c>
      <c r="Q42" s="7">
        <v>2021</v>
      </c>
      <c r="R42" s="109" t="s">
        <v>7002</v>
      </c>
      <c r="S42" s="7"/>
      <c r="T42" s="7"/>
      <c r="U42" s="7"/>
      <c r="V42" s="7" t="str" cm="1">
        <f t="array" ref="V42">IF(U42="", "", IFERROR(MAX(--_xlfn.TEXTSPLIT(U42,"+")), U42))</f>
        <v/>
      </c>
      <c r="W42" s="7"/>
      <c r="X42" s="7"/>
      <c r="Y42" s="122"/>
      <c r="Z42" s="7"/>
      <c r="AA42" s="109"/>
      <c r="AB42" s="7" t="s">
        <v>5032</v>
      </c>
      <c r="AC42" s="7"/>
      <c r="AD42" s="7"/>
      <c r="AE42" s="7"/>
      <c r="AF42" s="7"/>
      <c r="AG42" s="7" t="s">
        <v>5032</v>
      </c>
      <c r="AH42" s="7"/>
      <c r="AI42" s="7"/>
      <c r="AJ42" s="7"/>
      <c r="AK42" s="7"/>
      <c r="AL42" s="7"/>
      <c r="AM42" s="7"/>
      <c r="AN42" s="7"/>
      <c r="AO42" s="7"/>
      <c r="AP42" s="7"/>
      <c r="AQ42" s="7"/>
      <c r="AR42" s="7" t="str">
        <f>_xlfn.XLOOKUP(C42,Sheet1!A:A,Sheet1!B:B, "Other")</f>
        <v>Asia</v>
      </c>
      <c r="AS42" t="str">
        <f>_xlfn.XLOOKUP(D42,Sheet1!D:D,Sheet1!E:E)</f>
        <v>Chemicals</v>
      </c>
    </row>
    <row r="43" spans="1:45" ht="18" customHeight="1">
      <c r="A43" s="7">
        <v>39</v>
      </c>
      <c r="B43" s="7" t="s">
        <v>1704</v>
      </c>
      <c r="C43" s="7" t="s">
        <v>73</v>
      </c>
      <c r="D43" s="7" t="s">
        <v>135</v>
      </c>
      <c r="E43" s="7" t="s">
        <v>7001</v>
      </c>
      <c r="F43" s="7" t="s">
        <v>7000</v>
      </c>
      <c r="G43" s="122"/>
      <c r="H43" s="7"/>
      <c r="I43" s="7"/>
      <c r="J43" s="122" t="s">
        <v>1960</v>
      </c>
      <c r="K43" s="7"/>
      <c r="L43" s="127" t="s">
        <v>1960</v>
      </c>
      <c r="M43" s="122" t="s">
        <v>4519</v>
      </c>
      <c r="N43" s="7" t="s">
        <v>5131</v>
      </c>
      <c r="O43" s="7">
        <v>2060</v>
      </c>
      <c r="P43" s="7" cm="1">
        <f t="array" ref="P43">IF(O43="", "", IFERROR(MAX(--_xlfn.TEXTSPLIT(O43,"+")), O43))</f>
        <v>2060</v>
      </c>
      <c r="Q43" s="7"/>
      <c r="R43" s="109" t="s">
        <v>6999</v>
      </c>
      <c r="S43" s="7"/>
      <c r="T43" s="7"/>
      <c r="U43" s="7"/>
      <c r="V43" s="7" t="str" cm="1">
        <f t="array" ref="V43">IF(U43="", "", IFERROR(MAX(--_xlfn.TEXTSPLIT(U43,"+")), U43))</f>
        <v/>
      </c>
      <c r="W43" s="7"/>
      <c r="X43" s="7"/>
      <c r="Y43" s="122"/>
      <c r="Z43" s="7"/>
      <c r="AA43" s="109"/>
      <c r="AB43" s="7">
        <v>2022</v>
      </c>
      <c r="AC43" s="7"/>
      <c r="AD43" s="7"/>
      <c r="AE43" s="7"/>
      <c r="AF43" s="7"/>
      <c r="AG43" s="7" t="s">
        <v>5032</v>
      </c>
      <c r="AH43" s="7"/>
      <c r="AI43" s="123">
        <v>1632.9429</v>
      </c>
      <c r="AJ43" s="7" t="s">
        <v>5032</v>
      </c>
      <c r="AK43" s="7"/>
      <c r="AL43" s="7"/>
      <c r="AM43" s="7"/>
      <c r="AN43" s="7"/>
      <c r="AO43" s="7"/>
      <c r="AP43" s="7"/>
      <c r="AQ43" s="7" t="s">
        <v>6998</v>
      </c>
      <c r="AR43" s="7" t="str">
        <f>_xlfn.XLOOKUP(C43,Sheet1!A:A,Sheet1!B:B, "Other")</f>
        <v>Asia</v>
      </c>
      <c r="AS43" t="str">
        <f>_xlfn.XLOOKUP(D43,Sheet1!D:D,Sheet1!E:E)</f>
        <v>Engineering and construction</v>
      </c>
    </row>
    <row r="44" spans="1:45" ht="18" customHeight="1">
      <c r="A44" s="7">
        <v>40</v>
      </c>
      <c r="B44" s="7" t="s">
        <v>1698</v>
      </c>
      <c r="C44" s="7" t="s">
        <v>4457</v>
      </c>
      <c r="D44" s="7" t="s">
        <v>71</v>
      </c>
      <c r="E44" s="7" t="s">
        <v>6997</v>
      </c>
      <c r="F44" s="7" t="s">
        <v>6996</v>
      </c>
      <c r="G44" s="122"/>
      <c r="H44" s="7"/>
      <c r="I44" s="7"/>
      <c r="J44" s="122" t="s">
        <v>1960</v>
      </c>
      <c r="K44" s="7"/>
      <c r="L44" s="127" t="s">
        <v>1960</v>
      </c>
      <c r="M44" s="122" t="s">
        <v>1957</v>
      </c>
      <c r="N44" s="7" t="s">
        <v>5042</v>
      </c>
      <c r="O44" s="7">
        <v>2035</v>
      </c>
      <c r="P44" s="7" cm="1">
        <f t="array" ref="P44">IF(O44="", "", IFERROR(MAX(--_xlfn.TEXTSPLIT(O44,"+")), O44))</f>
        <v>2035</v>
      </c>
      <c r="Q44" s="7">
        <v>2020</v>
      </c>
      <c r="R44" s="109" t="s">
        <v>6995</v>
      </c>
      <c r="S44" s="7"/>
      <c r="T44" s="7"/>
      <c r="U44" s="7"/>
      <c r="V44" s="7" t="str" cm="1">
        <f t="array" ref="V44">IF(U44="", "", IFERROR(MAX(--_xlfn.TEXTSPLIT(U44,"+")), U44))</f>
        <v/>
      </c>
      <c r="W44" s="7"/>
      <c r="X44" s="7"/>
      <c r="Y44" s="122"/>
      <c r="Z44" s="7"/>
      <c r="AA44" s="109"/>
      <c r="AB44" s="7">
        <v>2021</v>
      </c>
      <c r="AC44" s="7">
        <f>23.7*1000000</f>
        <v>23700000</v>
      </c>
      <c r="AD44" s="7"/>
      <c r="AE44" s="7">
        <f>4.9*1000000</f>
        <v>4900000</v>
      </c>
      <c r="AF44" s="7"/>
      <c r="AG44" s="7" t="s">
        <v>5032</v>
      </c>
      <c r="AH44" s="7">
        <f>AC44+AE44</f>
        <v>28600000</v>
      </c>
      <c r="AI44" s="7">
        <f>AH44</f>
        <v>28600000</v>
      </c>
      <c r="AJ44" s="7">
        <v>2020</v>
      </c>
      <c r="AK44" s="7">
        <f>23*1000000</f>
        <v>23000000</v>
      </c>
      <c r="AL44" s="7"/>
      <c r="AM44" s="7">
        <f>4.5*1000000</f>
        <v>4500000</v>
      </c>
      <c r="AN44" s="7"/>
      <c r="AO44" s="7">
        <f>AK44+AM44</f>
        <v>27500000</v>
      </c>
      <c r="AP44" s="7">
        <f>AO44</f>
        <v>27500000</v>
      </c>
      <c r="AQ44" s="7" t="s">
        <v>6995</v>
      </c>
      <c r="AR44" s="7" t="str">
        <f>_xlfn.XLOOKUP(C44,Sheet1!A:A,Sheet1!B:B, "Other")</f>
        <v>North America</v>
      </c>
      <c r="AS44" t="str">
        <f>_xlfn.XLOOKUP(D44,Sheet1!D:D,Sheet1!E:E)</f>
        <v>Energy and utilities</v>
      </c>
    </row>
    <row r="45" spans="1:45" ht="18" customHeight="1">
      <c r="A45" s="7">
        <v>41</v>
      </c>
      <c r="B45" s="7" t="s">
        <v>1743</v>
      </c>
      <c r="C45" s="7" t="s">
        <v>972</v>
      </c>
      <c r="D45" s="7" t="s">
        <v>71</v>
      </c>
      <c r="E45" s="7" t="s">
        <v>6994</v>
      </c>
      <c r="F45" s="7" t="s">
        <v>6993</v>
      </c>
      <c r="G45" s="122"/>
      <c r="H45" s="7"/>
      <c r="I45" s="7"/>
      <c r="J45" s="122" t="s">
        <v>1960</v>
      </c>
      <c r="K45" s="7"/>
      <c r="L45" s="127" t="s">
        <v>1960</v>
      </c>
      <c r="M45" s="122"/>
      <c r="N45" s="7"/>
      <c r="O45" s="7"/>
      <c r="P45" s="7" t="str" cm="1">
        <f t="array" ref="P45">IF(O45="", "", IFERROR(MAX(--_xlfn.TEXTSPLIT(O45,"+")), O45))</f>
        <v/>
      </c>
      <c r="Q45" s="7"/>
      <c r="R45" s="109"/>
      <c r="S45" s="7"/>
      <c r="T45" s="7"/>
      <c r="U45" s="7"/>
      <c r="V45" s="7" t="str" cm="1">
        <f t="array" ref="V45">IF(U45="", "", IFERROR(MAX(--_xlfn.TEXTSPLIT(U45,"+")), U45))</f>
        <v/>
      </c>
      <c r="W45" s="7"/>
      <c r="X45" s="7"/>
      <c r="Y45" s="122"/>
      <c r="Z45" s="7"/>
      <c r="AA45" s="109"/>
      <c r="AB45" s="7">
        <v>2021</v>
      </c>
      <c r="AC45" s="7">
        <v>243280000</v>
      </c>
      <c r="AD45" s="7"/>
      <c r="AE45" s="7">
        <v>12400000</v>
      </c>
      <c r="AF45" s="7">
        <v>1150750000</v>
      </c>
      <c r="AG45" s="7" t="s">
        <v>2082</v>
      </c>
      <c r="AH45" s="7">
        <f>AC45+AE45</f>
        <v>255680000</v>
      </c>
      <c r="AI45" s="7">
        <f>AF45+AH45</f>
        <v>1406430000</v>
      </c>
      <c r="AJ45" s="7">
        <v>2020</v>
      </c>
      <c r="AK45" s="7">
        <v>210320000</v>
      </c>
      <c r="AL45" s="7"/>
      <c r="AM45" s="7">
        <v>11790000</v>
      </c>
      <c r="AN45" s="7">
        <v>1078500000</v>
      </c>
      <c r="AO45" s="7">
        <f>AK45+AM45</f>
        <v>222110000</v>
      </c>
      <c r="AP45" s="7">
        <f>AO45+AN45</f>
        <v>1300610000</v>
      </c>
      <c r="AQ45" s="7" t="s">
        <v>6992</v>
      </c>
      <c r="AR45" s="7" t="str">
        <f>_xlfn.XLOOKUP(C45,Sheet1!A:A,Sheet1!B:B, "Other")</f>
        <v>Europe</v>
      </c>
      <c r="AS45" t="str">
        <f>_xlfn.XLOOKUP(D45,Sheet1!D:D,Sheet1!E:E)</f>
        <v>Energy and utilities</v>
      </c>
    </row>
    <row r="46" spans="1:45" ht="18" customHeight="1">
      <c r="A46" s="7">
        <v>42</v>
      </c>
      <c r="B46" s="7" t="s">
        <v>1679</v>
      </c>
      <c r="C46" s="7" t="s">
        <v>73</v>
      </c>
      <c r="D46" s="7" t="s">
        <v>138</v>
      </c>
      <c r="E46" s="7" t="s">
        <v>6991</v>
      </c>
      <c r="F46" s="7" t="s">
        <v>6990</v>
      </c>
      <c r="G46" s="122"/>
      <c r="H46" s="7"/>
      <c r="I46" s="7"/>
      <c r="J46" s="122" t="s">
        <v>1960</v>
      </c>
      <c r="K46" s="7"/>
      <c r="L46" s="127" t="s">
        <v>1960</v>
      </c>
      <c r="M46" s="122" t="s">
        <v>1957</v>
      </c>
      <c r="N46" s="7" t="s">
        <v>5131</v>
      </c>
      <c r="O46" s="7">
        <v>2050</v>
      </c>
      <c r="P46" s="7" cm="1">
        <f t="array" ref="P46">IF(O46="", "", IFERROR(MAX(--_xlfn.TEXTSPLIT(O46,"+")), O46))</f>
        <v>2050</v>
      </c>
      <c r="Q46" s="7">
        <v>2022</v>
      </c>
      <c r="R46" s="126" t="s">
        <v>6989</v>
      </c>
      <c r="S46" s="7"/>
      <c r="T46" s="7"/>
      <c r="U46" s="7"/>
      <c r="V46" s="7" t="str" cm="1">
        <f t="array" ref="V46">IF(U46="", "", IFERROR(MAX(--_xlfn.TEXTSPLIT(U46,"+")), U46))</f>
        <v/>
      </c>
      <c r="W46" s="7"/>
      <c r="X46" s="7"/>
      <c r="Y46" s="122"/>
      <c r="Z46" s="7"/>
      <c r="AA46" s="109"/>
      <c r="AB46" s="7" t="s">
        <v>5032</v>
      </c>
      <c r="AC46" s="7"/>
      <c r="AD46" s="7"/>
      <c r="AE46" s="7"/>
      <c r="AF46" s="7"/>
      <c r="AG46" s="7" t="s">
        <v>5032</v>
      </c>
      <c r="AH46" s="7"/>
      <c r="AI46" s="7"/>
      <c r="AJ46" s="7"/>
      <c r="AK46" s="7"/>
      <c r="AL46" s="7"/>
      <c r="AM46" s="7"/>
      <c r="AN46" s="7"/>
      <c r="AO46" s="7"/>
      <c r="AP46" s="7"/>
      <c r="AQ46" s="7"/>
      <c r="AR46" s="7" t="str">
        <f>_xlfn.XLOOKUP(C46,Sheet1!A:A,Sheet1!B:B, "Other")</f>
        <v>Asia</v>
      </c>
      <c r="AS46" t="str">
        <f>_xlfn.XLOOKUP(D46,Sheet1!D:D,Sheet1!E:E)</f>
        <v>Oil and gas</v>
      </c>
    </row>
    <row r="47" spans="1:45" ht="18" customHeight="1">
      <c r="A47" s="7">
        <v>43</v>
      </c>
      <c r="B47" s="7" t="s">
        <v>1691</v>
      </c>
      <c r="C47" s="7" t="s">
        <v>73</v>
      </c>
      <c r="D47" s="7" t="s">
        <v>135</v>
      </c>
      <c r="E47" s="7" t="s">
        <v>6988</v>
      </c>
      <c r="F47" s="7" t="s">
        <v>6987</v>
      </c>
      <c r="G47" s="122"/>
      <c r="H47" s="7"/>
      <c r="I47" s="7"/>
      <c r="J47" s="122" t="s">
        <v>1960</v>
      </c>
      <c r="K47" s="7"/>
      <c r="L47" s="127" t="s">
        <v>1960</v>
      </c>
      <c r="M47" s="122" t="s">
        <v>4519</v>
      </c>
      <c r="N47" s="7" t="s">
        <v>5131</v>
      </c>
      <c r="O47" s="7">
        <v>2060</v>
      </c>
      <c r="P47" s="7" cm="1">
        <f t="array" ref="P47">IF(O47="", "", IFERROR(MAX(--_xlfn.TEXTSPLIT(O47,"+")), O47))</f>
        <v>2060</v>
      </c>
      <c r="Q47" s="7">
        <v>2021</v>
      </c>
      <c r="R47" s="126" t="s">
        <v>6986</v>
      </c>
      <c r="S47" s="7"/>
      <c r="T47" s="7"/>
      <c r="U47" s="7"/>
      <c r="V47" s="7" t="str" cm="1">
        <f t="array" ref="V47">IF(U47="", "", IFERROR(MAX(--_xlfn.TEXTSPLIT(U47,"+")), U47))</f>
        <v/>
      </c>
      <c r="W47" s="7"/>
      <c r="X47" s="7"/>
      <c r="Y47" s="122"/>
      <c r="Z47" s="7"/>
      <c r="AA47" s="109"/>
      <c r="AB47" s="7" t="s">
        <v>5032</v>
      </c>
      <c r="AC47" s="7"/>
      <c r="AD47" s="7"/>
      <c r="AE47" s="7"/>
      <c r="AF47" s="7"/>
      <c r="AG47" s="7" t="s">
        <v>5032</v>
      </c>
      <c r="AH47" s="7"/>
      <c r="AI47" s="7"/>
      <c r="AJ47" s="7" t="s">
        <v>5032</v>
      </c>
      <c r="AK47" s="7"/>
      <c r="AL47" s="7"/>
      <c r="AM47" s="7"/>
      <c r="AN47" s="7"/>
      <c r="AO47" s="7"/>
      <c r="AP47" s="7"/>
      <c r="AQ47" s="7"/>
      <c r="AR47" s="7" t="str">
        <f>_xlfn.XLOOKUP(C47,Sheet1!A:A,Sheet1!B:B, "Other")</f>
        <v>Asia</v>
      </c>
      <c r="AS47" t="str">
        <f>_xlfn.XLOOKUP(D47,Sheet1!D:D,Sheet1!E:E)</f>
        <v>Engineering and construction</v>
      </c>
    </row>
    <row r="48" spans="1:45" ht="18" customHeight="1">
      <c r="A48" s="7">
        <v>44</v>
      </c>
      <c r="B48" s="7" t="s">
        <v>1329</v>
      </c>
      <c r="C48" s="7" t="s">
        <v>73</v>
      </c>
      <c r="D48" s="7" t="s">
        <v>85</v>
      </c>
      <c r="E48" s="7" t="s">
        <v>6985</v>
      </c>
      <c r="F48" s="7" t="s">
        <v>6984</v>
      </c>
      <c r="G48" s="122"/>
      <c r="H48" s="7"/>
      <c r="I48" s="7"/>
      <c r="J48" s="122" t="s">
        <v>1960</v>
      </c>
      <c r="K48" s="7"/>
      <c r="L48" s="127" t="s">
        <v>1960</v>
      </c>
      <c r="M48" s="122" t="s">
        <v>1957</v>
      </c>
      <c r="N48" s="7" t="s">
        <v>5131</v>
      </c>
      <c r="O48" s="7">
        <v>2050</v>
      </c>
      <c r="P48" s="7" cm="1">
        <f t="array" ref="P48">IF(O48="", "", IFERROR(MAX(--_xlfn.TEXTSPLIT(O48,"+")), O48))</f>
        <v>2050</v>
      </c>
      <c r="Q48" s="7">
        <v>2021</v>
      </c>
      <c r="R48" s="126" t="s">
        <v>6983</v>
      </c>
      <c r="S48" s="7"/>
      <c r="T48" s="7"/>
      <c r="U48" s="7"/>
      <c r="V48" s="7" t="str" cm="1">
        <f t="array" ref="V48">IF(U48="", "", IFERROR(MAX(--_xlfn.TEXTSPLIT(U48,"+")), U48))</f>
        <v/>
      </c>
      <c r="W48" s="7"/>
      <c r="X48" s="7"/>
      <c r="Y48" s="122"/>
      <c r="Z48" s="7"/>
      <c r="AA48" s="109"/>
      <c r="AB48" s="7" t="s">
        <v>5032</v>
      </c>
      <c r="AC48" s="7"/>
      <c r="AD48" s="7"/>
      <c r="AE48" s="7"/>
      <c r="AF48" s="7"/>
      <c r="AG48" s="7" t="s">
        <v>5032</v>
      </c>
      <c r="AH48" s="7"/>
      <c r="AI48" s="7"/>
      <c r="AJ48" s="7"/>
      <c r="AK48" s="7"/>
      <c r="AL48" s="7"/>
      <c r="AM48" s="7"/>
      <c r="AN48" s="7"/>
      <c r="AO48" s="7"/>
      <c r="AP48" s="7"/>
      <c r="AQ48" s="7"/>
      <c r="AR48" s="7" t="str">
        <f>_xlfn.XLOOKUP(C48,Sheet1!A:A,Sheet1!B:B, "Other")</f>
        <v>Asia</v>
      </c>
      <c r="AS48" t="str">
        <f>_xlfn.XLOOKUP(D48,Sheet1!D:D,Sheet1!E:E)</f>
        <v>Industrial goods</v>
      </c>
    </row>
    <row r="49" spans="1:45" ht="18" customHeight="1">
      <c r="A49" s="7">
        <v>45</v>
      </c>
      <c r="B49" s="7" t="s">
        <v>1779</v>
      </c>
      <c r="C49" s="7" t="s">
        <v>207</v>
      </c>
      <c r="D49" s="7" t="s">
        <v>91</v>
      </c>
      <c r="E49" s="7" t="s">
        <v>6982</v>
      </c>
      <c r="F49" s="7" t="s">
        <v>6981</v>
      </c>
      <c r="G49" s="122"/>
      <c r="H49" s="7"/>
      <c r="I49" s="7"/>
      <c r="J49" s="122"/>
      <c r="K49" s="7"/>
      <c r="L49" s="127"/>
      <c r="M49" s="122"/>
      <c r="N49" s="7"/>
      <c r="O49" s="7"/>
      <c r="P49" s="7" t="str" cm="1">
        <f t="array" ref="P49">IF(O49="", "", IFERROR(MAX(--_xlfn.TEXTSPLIT(O49,"+")), O49))</f>
        <v/>
      </c>
      <c r="Q49" s="7"/>
      <c r="R49" s="109"/>
      <c r="S49" s="7" t="s">
        <v>1957</v>
      </c>
      <c r="T49" s="7" t="s">
        <v>5042</v>
      </c>
      <c r="U49" s="7">
        <v>2050</v>
      </c>
      <c r="V49" s="7" cm="1">
        <f t="array" ref="V49">IF(U49="", "", IFERROR(MAX(--_xlfn.TEXTSPLIT(U49,"+")), U49))</f>
        <v>2050</v>
      </c>
      <c r="W49" s="7">
        <v>2021</v>
      </c>
      <c r="X49" s="125" t="s">
        <v>6980</v>
      </c>
      <c r="Y49" s="122" t="s">
        <v>4174</v>
      </c>
      <c r="Z49" s="7" t="s">
        <v>6979</v>
      </c>
      <c r="AA49" s="126" t="s">
        <v>6978</v>
      </c>
      <c r="AB49" s="7">
        <v>2021</v>
      </c>
      <c r="AC49" s="7">
        <v>21046000</v>
      </c>
      <c r="AD49" s="7"/>
      <c r="AE49" s="7">
        <v>1806000</v>
      </c>
      <c r="AF49" s="7"/>
      <c r="AG49" s="7" t="s">
        <v>5032</v>
      </c>
      <c r="AH49" s="124">
        <f>AC49+AE49</f>
        <v>22852000</v>
      </c>
      <c r="AI49" s="124">
        <f>AF49+AH49</f>
        <v>22852000</v>
      </c>
      <c r="AJ49" s="7">
        <v>2020</v>
      </c>
      <c r="AK49" s="7">
        <v>6774000</v>
      </c>
      <c r="AL49" s="7"/>
      <c r="AM49" s="7">
        <v>2411000</v>
      </c>
      <c r="AN49" s="7"/>
      <c r="AO49" s="124">
        <f>AK49+AM49</f>
        <v>9185000</v>
      </c>
      <c r="AP49" s="124">
        <f>AN49+AO49</f>
        <v>9185000</v>
      </c>
      <c r="AQ49" s="27" t="s">
        <v>6978</v>
      </c>
      <c r="AR49" s="7" t="str">
        <f>_xlfn.XLOOKUP(C49,Sheet1!A:A,Sheet1!B:B, "Other")</f>
        <v>Asia</v>
      </c>
      <c r="AS49" t="str">
        <f>_xlfn.XLOOKUP(D49,Sheet1!D:D,Sheet1!E:E)</f>
        <v>Retail</v>
      </c>
    </row>
    <row r="50" spans="1:45" ht="18" customHeight="1">
      <c r="A50" s="7">
        <v>46</v>
      </c>
      <c r="B50" s="7" t="s">
        <v>1787</v>
      </c>
      <c r="C50" s="7" t="s">
        <v>4457</v>
      </c>
      <c r="D50" s="7" t="s">
        <v>171</v>
      </c>
      <c r="E50" s="7" t="s">
        <v>6977</v>
      </c>
      <c r="F50" s="7" t="s">
        <v>6976</v>
      </c>
      <c r="G50" s="122"/>
      <c r="H50" s="7"/>
      <c r="I50" s="7"/>
      <c r="J50" s="122" t="s">
        <v>4183</v>
      </c>
      <c r="K50" s="7">
        <v>2035</v>
      </c>
      <c r="L50" s="127">
        <v>2021</v>
      </c>
      <c r="M50" s="122" t="s">
        <v>4172</v>
      </c>
      <c r="N50" s="7" t="s">
        <v>6975</v>
      </c>
      <c r="O50" s="7">
        <v>2050</v>
      </c>
      <c r="P50" s="7" cm="1">
        <f t="array" ref="P50">IF(O50="", "", IFERROR(MAX(--_xlfn.TEXTSPLIT(O50,"+")), O50))</f>
        <v>2050</v>
      </c>
      <c r="Q50" s="7">
        <v>2020</v>
      </c>
      <c r="R50" s="109" t="s">
        <v>6974</v>
      </c>
      <c r="S50" s="7"/>
      <c r="T50" s="7"/>
      <c r="U50" s="7"/>
      <c r="V50" s="7" t="str" cm="1">
        <f t="array" ref="V50">IF(U50="", "", IFERROR(MAX(--_xlfn.TEXTSPLIT(U50,"+")), U50))</f>
        <v/>
      </c>
      <c r="W50" s="7"/>
      <c r="X50" s="7"/>
      <c r="Y50" s="122" t="s">
        <v>4174</v>
      </c>
      <c r="Z50" s="7" t="s">
        <v>6973</v>
      </c>
      <c r="AA50" s="109" t="s">
        <v>6972</v>
      </c>
      <c r="AB50" s="7">
        <v>2022</v>
      </c>
      <c r="AC50" s="7">
        <v>1250000</v>
      </c>
      <c r="AD50" s="7"/>
      <c r="AE50" s="7">
        <v>1750000</v>
      </c>
      <c r="AF50" s="7">
        <v>334800000</v>
      </c>
      <c r="AG50" s="7" t="s">
        <v>4174</v>
      </c>
      <c r="AH50" s="7">
        <f>AE50+AC50</f>
        <v>3000000</v>
      </c>
      <c r="AI50" s="7">
        <f>AH50+AF50</f>
        <v>337800000</v>
      </c>
      <c r="AJ50" s="7">
        <v>2021</v>
      </c>
      <c r="AK50" s="7">
        <v>1070000</v>
      </c>
      <c r="AL50" s="7"/>
      <c r="AM50" s="7">
        <v>2000000</v>
      </c>
      <c r="AN50" s="7">
        <v>299900000</v>
      </c>
      <c r="AO50" s="7">
        <f>AK50+AM50</f>
        <v>3070000</v>
      </c>
      <c r="AP50" s="7">
        <f>AO50+AN50</f>
        <v>302970000</v>
      </c>
      <c r="AQ50" s="7" t="s">
        <v>6971</v>
      </c>
      <c r="AR50" s="7" t="str">
        <f>_xlfn.XLOOKUP(C50,Sheet1!A:A,Sheet1!B:B, "Other")</f>
        <v>North America</v>
      </c>
      <c r="AS50" t="str">
        <f>_xlfn.XLOOKUP(D50,Sheet1!D:D,Sheet1!E:E)</f>
        <v>Automotive</v>
      </c>
    </row>
    <row r="51" spans="1:45" ht="18" customHeight="1">
      <c r="A51" s="7">
        <v>47</v>
      </c>
      <c r="B51" s="7" t="s">
        <v>4982</v>
      </c>
      <c r="C51" s="7" t="s">
        <v>146</v>
      </c>
      <c r="D51" s="7" t="s">
        <v>171</v>
      </c>
      <c r="E51" s="7" t="s">
        <v>6970</v>
      </c>
      <c r="F51" s="7" t="s">
        <v>6969</v>
      </c>
      <c r="G51" s="122"/>
      <c r="H51" s="7"/>
      <c r="I51" s="7"/>
      <c r="J51" s="122" t="s">
        <v>1960</v>
      </c>
      <c r="K51" s="7"/>
      <c r="L51" s="127" t="s">
        <v>1960</v>
      </c>
      <c r="M51" s="122" t="s">
        <v>4504</v>
      </c>
      <c r="N51" s="7" t="s">
        <v>6968</v>
      </c>
      <c r="O51" s="7" t="s">
        <v>4980</v>
      </c>
      <c r="P51" s="7" cm="1">
        <f t="array" ref="P51">IF(O51="", "", IFERROR(MAX(--_xlfn.TEXTSPLIT(O51,"+")), O51))</f>
        <v>2039</v>
      </c>
      <c r="Q51" s="7">
        <v>2019</v>
      </c>
      <c r="R51" s="109" t="s">
        <v>6967</v>
      </c>
      <c r="S51" s="7"/>
      <c r="T51" s="7"/>
      <c r="U51" s="7"/>
      <c r="V51" s="7" t="str" cm="1">
        <f t="array" ref="V51">IF(U51="", "", IFERROR(MAX(--_xlfn.TEXTSPLIT(U51,"+")), U51))</f>
        <v/>
      </c>
      <c r="W51" s="7"/>
      <c r="X51" s="7"/>
      <c r="Y51" s="122"/>
      <c r="Z51" s="7"/>
      <c r="AA51" s="126"/>
      <c r="AB51" s="7">
        <v>2022</v>
      </c>
      <c r="AC51" s="7"/>
      <c r="AD51" s="7"/>
      <c r="AE51" s="7"/>
      <c r="AF51" s="7">
        <f>AI51-AH51</f>
        <v>123300000</v>
      </c>
      <c r="AG51" s="7" t="s">
        <v>5032</v>
      </c>
      <c r="AH51" s="7">
        <v>500000</v>
      </c>
      <c r="AI51" s="7">
        <v>123800000</v>
      </c>
      <c r="AJ51" s="7">
        <v>2021</v>
      </c>
      <c r="AK51" s="7"/>
      <c r="AL51" s="7"/>
      <c r="AM51" s="7"/>
      <c r="AN51" s="7">
        <f>AP51-AO51</f>
        <v>123300000</v>
      </c>
      <c r="AO51" s="7">
        <v>900000</v>
      </c>
      <c r="AP51" s="7">
        <v>124200000</v>
      </c>
      <c r="AQ51" s="7" t="s">
        <v>6966</v>
      </c>
      <c r="AR51" s="7" t="str">
        <f>_xlfn.XLOOKUP(C51,Sheet1!A:A,Sheet1!B:B, "Other")</f>
        <v>Europe</v>
      </c>
      <c r="AS51" t="str">
        <f>_xlfn.XLOOKUP(D51,Sheet1!D:D,Sheet1!E:E)</f>
        <v>Automotive</v>
      </c>
    </row>
    <row r="52" spans="1:45" ht="18" customHeight="1">
      <c r="A52" s="7">
        <v>48</v>
      </c>
      <c r="B52" s="7" t="s">
        <v>1681</v>
      </c>
      <c r="C52" s="7" t="s">
        <v>4457</v>
      </c>
      <c r="D52" s="7" t="s">
        <v>454</v>
      </c>
      <c r="E52" s="7" t="s">
        <v>6965</v>
      </c>
      <c r="F52" s="7" t="s">
        <v>6964</v>
      </c>
      <c r="G52" s="122" t="s">
        <v>4174</v>
      </c>
      <c r="H52" s="7">
        <v>2030</v>
      </c>
      <c r="I52" s="7">
        <v>2021</v>
      </c>
      <c r="J52" s="122" t="s">
        <v>1957</v>
      </c>
      <c r="K52" s="7"/>
      <c r="L52" s="127">
        <v>2021</v>
      </c>
      <c r="M52" s="122"/>
      <c r="N52" s="7"/>
      <c r="O52" s="7"/>
      <c r="P52" s="7" t="str" cm="1">
        <f t="array" ref="P52">IF(O52="", "", IFERROR(MAX(--_xlfn.TEXTSPLIT(O52,"+")), O52))</f>
        <v/>
      </c>
      <c r="Q52" s="7"/>
      <c r="R52" s="109"/>
      <c r="S52" s="7"/>
      <c r="T52" s="7"/>
      <c r="U52" s="7"/>
      <c r="V52" s="7" t="str" cm="1">
        <f t="array" ref="V52">IF(U52="", "", IFERROR(MAX(--_xlfn.TEXTSPLIT(U52,"+")), U52))</f>
        <v/>
      </c>
      <c r="W52" s="7"/>
      <c r="X52" s="7"/>
      <c r="Y52" s="122" t="s">
        <v>4174</v>
      </c>
      <c r="Z52" s="7" t="s">
        <v>5037</v>
      </c>
      <c r="AA52" s="109" t="s">
        <v>6963</v>
      </c>
      <c r="AB52" s="7">
        <v>2021</v>
      </c>
      <c r="AC52" s="124">
        <v>642000</v>
      </c>
      <c r="AD52" s="7"/>
      <c r="AE52" s="124">
        <v>1007000</v>
      </c>
      <c r="AF52" s="7"/>
      <c r="AG52" s="7" t="s">
        <v>5032</v>
      </c>
      <c r="AH52" s="124">
        <f>AE52+AC52</f>
        <v>1649000</v>
      </c>
      <c r="AI52" s="124">
        <f>AH52</f>
        <v>1649000</v>
      </c>
      <c r="AJ52" s="7">
        <v>2020</v>
      </c>
      <c r="AK52" s="124">
        <v>607000</v>
      </c>
      <c r="AL52" s="7"/>
      <c r="AM52" s="124">
        <v>1214000</v>
      </c>
      <c r="AN52" s="7"/>
      <c r="AO52" s="124">
        <f>AM52+AK52</f>
        <v>1821000</v>
      </c>
      <c r="AP52" s="124">
        <f>AO52</f>
        <v>1821000</v>
      </c>
      <c r="AQ52" s="7" t="s">
        <v>6963</v>
      </c>
      <c r="AR52" s="7" t="str">
        <f>_xlfn.XLOOKUP(C52,Sheet1!A:A,Sheet1!B:B, "Other")</f>
        <v>North America</v>
      </c>
      <c r="AS52" t="str">
        <f>_xlfn.XLOOKUP(D52,Sheet1!D:D,Sheet1!E:E)</f>
        <v>Retail</v>
      </c>
    </row>
    <row r="53" spans="1:45" ht="18" customHeight="1">
      <c r="A53" s="7">
        <v>49</v>
      </c>
      <c r="B53" s="7" t="s">
        <v>1736</v>
      </c>
      <c r="C53" s="7" t="s">
        <v>73</v>
      </c>
      <c r="D53" s="7" t="s">
        <v>76</v>
      </c>
      <c r="E53" s="7" t="s">
        <v>6962</v>
      </c>
      <c r="F53" s="7" t="s">
        <v>6961</v>
      </c>
      <c r="G53" s="122"/>
      <c r="H53" s="7"/>
      <c r="I53" s="7"/>
      <c r="J53" s="122" t="s">
        <v>1960</v>
      </c>
      <c r="K53" s="7"/>
      <c r="L53" s="127" t="s">
        <v>1960</v>
      </c>
      <c r="M53" s="122" t="s">
        <v>1957</v>
      </c>
      <c r="N53" s="7" t="s">
        <v>4223</v>
      </c>
      <c r="O53" s="7">
        <v>2030</v>
      </c>
      <c r="P53" s="7" cm="1">
        <f t="array" ref="P53">IF(O53="", "", IFERROR(MAX(--_xlfn.TEXTSPLIT(O53,"+")), O53))</f>
        <v>2030</v>
      </c>
      <c r="Q53" s="7">
        <v>2021</v>
      </c>
      <c r="R53" s="109" t="s">
        <v>6960</v>
      </c>
      <c r="S53" s="7"/>
      <c r="T53" s="7"/>
      <c r="U53" s="7"/>
      <c r="V53" s="7" t="str" cm="1">
        <f t="array" ref="V53">IF(U53="", "", IFERROR(MAX(--_xlfn.TEXTSPLIT(U53,"+")), U53))</f>
        <v/>
      </c>
      <c r="W53" s="7"/>
      <c r="X53" s="7"/>
      <c r="Y53" s="122"/>
      <c r="Z53" s="7"/>
      <c r="AA53" s="109"/>
      <c r="AB53" s="7">
        <v>2022</v>
      </c>
      <c r="AC53" s="7">
        <v>575</v>
      </c>
      <c r="AD53" s="124"/>
      <c r="AE53" s="124">
        <f>48522+86</f>
        <v>48608</v>
      </c>
      <c r="AF53" s="7">
        <f>49182-49097</f>
        <v>85</v>
      </c>
      <c r="AG53" s="7" t="s">
        <v>5032</v>
      </c>
      <c r="AH53" s="7">
        <v>49097</v>
      </c>
      <c r="AI53" s="7">
        <v>49182</v>
      </c>
      <c r="AJ53" s="7">
        <v>2021</v>
      </c>
      <c r="AK53" s="7">
        <v>577</v>
      </c>
      <c r="AL53" s="7"/>
      <c r="AM53" s="124">
        <v>50074</v>
      </c>
      <c r="AN53" s="7"/>
      <c r="AO53" s="124">
        <v>50650</v>
      </c>
      <c r="AP53" s="124">
        <v>50715</v>
      </c>
      <c r="AQ53" s="7" t="s">
        <v>6959</v>
      </c>
      <c r="AR53" s="7" t="str">
        <f>_xlfn.XLOOKUP(C53,Sheet1!A:A,Sheet1!B:B, "Other")</f>
        <v>Asia</v>
      </c>
      <c r="AS53" t="str">
        <f>_xlfn.XLOOKUP(D53,Sheet1!D:D,Sheet1!E:E)</f>
        <v>Financial services</v>
      </c>
    </row>
    <row r="54" spans="1:45" ht="18" customHeight="1">
      <c r="A54" s="7">
        <v>50</v>
      </c>
      <c r="B54" s="7" t="s">
        <v>1781</v>
      </c>
      <c r="C54" s="7" t="s">
        <v>4457</v>
      </c>
      <c r="D54" s="7" t="s">
        <v>171</v>
      </c>
      <c r="E54" s="7" t="s">
        <v>6958</v>
      </c>
      <c r="F54" s="7" t="s">
        <v>6957</v>
      </c>
      <c r="G54" s="122" t="s">
        <v>4174</v>
      </c>
      <c r="H54" s="7">
        <v>2035</v>
      </c>
      <c r="I54" s="7">
        <v>2016</v>
      </c>
      <c r="J54" s="122" t="s">
        <v>4183</v>
      </c>
      <c r="K54" s="7">
        <v>2035</v>
      </c>
      <c r="L54" s="127">
        <v>2021</v>
      </c>
      <c r="M54" s="122" t="s">
        <v>1957</v>
      </c>
      <c r="N54" s="7" t="s">
        <v>4348</v>
      </c>
      <c r="O54" s="7">
        <v>2040</v>
      </c>
      <c r="P54" s="7" cm="1">
        <f t="array" ref="P54">IF(O54="", "", IFERROR(MAX(--_xlfn.TEXTSPLIT(O54,"+")), O54))</f>
        <v>2040</v>
      </c>
      <c r="Q54" s="7">
        <v>2021</v>
      </c>
      <c r="R54" s="109" t="s">
        <v>6956</v>
      </c>
      <c r="S54" s="7"/>
      <c r="T54" s="7"/>
      <c r="U54" s="7"/>
      <c r="V54" s="7" t="str" cm="1">
        <f t="array" ref="V54">IF(U54="", "", IFERROR(MAX(--_xlfn.TEXTSPLIT(U54,"+")), U54))</f>
        <v/>
      </c>
      <c r="W54" s="7"/>
      <c r="X54" s="7"/>
      <c r="Y54" s="122" t="s">
        <v>4174</v>
      </c>
      <c r="Z54" s="7" t="s">
        <v>5037</v>
      </c>
      <c r="AA54" s="109" t="s">
        <v>6955</v>
      </c>
      <c r="AB54" s="7">
        <v>2022</v>
      </c>
      <c r="AC54" s="124">
        <v>1466452</v>
      </c>
      <c r="AD54" s="124">
        <v>2996074</v>
      </c>
      <c r="AE54" s="124">
        <v>2078738</v>
      </c>
      <c r="AF54" s="124">
        <v>272722604</v>
      </c>
      <c r="AG54" s="7" t="s">
        <v>4174</v>
      </c>
      <c r="AH54" s="124">
        <f>AC54+AE54</f>
        <v>3545190</v>
      </c>
      <c r="AI54" s="124">
        <f>AF54+AH54</f>
        <v>276267794</v>
      </c>
      <c r="AJ54" s="7">
        <v>2021</v>
      </c>
      <c r="AK54" s="124">
        <v>1252906</v>
      </c>
      <c r="AL54" s="124">
        <v>2881767</v>
      </c>
      <c r="AM54" s="124">
        <v>2150694</v>
      </c>
      <c r="AN54" s="124">
        <v>286427945</v>
      </c>
      <c r="AO54" s="124">
        <f>AK54+AM54</f>
        <v>3403600</v>
      </c>
      <c r="AP54" s="124">
        <f>AN54+AO54</f>
        <v>289831545</v>
      </c>
      <c r="AQ54" s="7" t="s">
        <v>6954</v>
      </c>
      <c r="AR54" s="7" t="str">
        <f>_xlfn.XLOOKUP(C54,Sheet1!A:A,Sheet1!B:B, "Other")</f>
        <v>North America</v>
      </c>
      <c r="AS54" t="str">
        <f>_xlfn.XLOOKUP(D54,Sheet1!D:D,Sheet1!E:E)</f>
        <v>Automotive</v>
      </c>
    </row>
    <row r="55" spans="1:45" ht="18" customHeight="1">
      <c r="A55" s="7">
        <v>51</v>
      </c>
      <c r="B55" s="7" t="s">
        <v>4970</v>
      </c>
      <c r="C55" s="7" t="s">
        <v>4457</v>
      </c>
      <c r="D55" s="7" t="s">
        <v>319</v>
      </c>
      <c r="E55" s="7" t="s">
        <v>6953</v>
      </c>
      <c r="F55" s="7" t="s">
        <v>6952</v>
      </c>
      <c r="G55" s="122" t="s">
        <v>4174</v>
      </c>
      <c r="H55" s="7">
        <v>2025</v>
      </c>
      <c r="I55" s="7">
        <v>2019</v>
      </c>
      <c r="J55" s="122" t="s">
        <v>1960</v>
      </c>
      <c r="K55" s="7"/>
      <c r="L55" s="127" t="s">
        <v>1960</v>
      </c>
      <c r="M55" s="122" t="s">
        <v>1957</v>
      </c>
      <c r="N55" s="7" t="s">
        <v>1659</v>
      </c>
      <c r="O55" s="7">
        <v>2022</v>
      </c>
      <c r="P55" s="7" cm="1">
        <f t="array" ref="P55">IF(O55="", "", IFERROR(MAX(--_xlfn.TEXTSPLIT(O55,"+")), O55))</f>
        <v>2022</v>
      </c>
      <c r="Q55" s="7" t="s">
        <v>2082</v>
      </c>
      <c r="R55" s="109" t="s">
        <v>6949</v>
      </c>
      <c r="S55" s="7" t="s">
        <v>1957</v>
      </c>
      <c r="T55" s="7" t="s">
        <v>5131</v>
      </c>
      <c r="U55" s="7">
        <v>2050</v>
      </c>
      <c r="V55" s="7" cm="1">
        <f t="array" ref="V55">IF(U55="", "", IFERROR(MAX(--_xlfn.TEXTSPLIT(U55,"+")), U55))</f>
        <v>2050</v>
      </c>
      <c r="W55" s="7">
        <v>2022</v>
      </c>
      <c r="X55" s="7" t="s">
        <v>6951</v>
      </c>
      <c r="Y55" s="122" t="s">
        <v>4174</v>
      </c>
      <c r="Z55" s="7" t="s">
        <v>5037</v>
      </c>
      <c r="AA55" s="109" t="s">
        <v>6950</v>
      </c>
      <c r="AB55" s="7">
        <v>2022</v>
      </c>
      <c r="AC55" s="124">
        <v>15725</v>
      </c>
      <c r="AD55" s="124">
        <v>81290</v>
      </c>
      <c r="AE55" s="7"/>
      <c r="AF55" s="124">
        <v>4823738</v>
      </c>
      <c r="AG55" s="7" t="s">
        <v>2082</v>
      </c>
      <c r="AH55" s="124">
        <f>AD55+AC55</f>
        <v>97015</v>
      </c>
      <c r="AI55" s="124">
        <f>AF55+AH55</f>
        <v>4920753</v>
      </c>
      <c r="AJ55" s="7">
        <v>2021</v>
      </c>
      <c r="AK55" s="124">
        <v>11800</v>
      </c>
      <c r="AL55" s="124">
        <v>73700</v>
      </c>
      <c r="AM55" s="7"/>
      <c r="AN55" s="124">
        <v>947300</v>
      </c>
      <c r="AO55" s="124">
        <f>AK55+AL55</f>
        <v>85500</v>
      </c>
      <c r="AP55" s="124">
        <f>AN55+AO55</f>
        <v>1032800</v>
      </c>
      <c r="AQ55" s="7" t="s">
        <v>6949</v>
      </c>
      <c r="AR55" s="7" t="str">
        <f>_xlfn.XLOOKUP(C55,Sheet1!A:A,Sheet1!B:B, "Other")</f>
        <v>North America</v>
      </c>
      <c r="AS55" t="str">
        <f>_xlfn.XLOOKUP(D55,Sheet1!D:D,Sheet1!E:E)</f>
        <v>Health care and pharmaceuticals</v>
      </c>
    </row>
    <row r="56" spans="1:45" ht="18" customHeight="1">
      <c r="A56" s="7">
        <v>52</v>
      </c>
      <c r="B56" s="7" t="s">
        <v>1367</v>
      </c>
      <c r="C56" s="7" t="s">
        <v>73</v>
      </c>
      <c r="D56" s="7" t="s">
        <v>454</v>
      </c>
      <c r="E56" s="7" t="s">
        <v>6948</v>
      </c>
      <c r="F56" s="7" t="s">
        <v>6947</v>
      </c>
      <c r="G56" s="122"/>
      <c r="H56" s="7"/>
      <c r="I56" s="7"/>
      <c r="J56" s="122"/>
      <c r="K56" s="7"/>
      <c r="L56" s="127"/>
      <c r="M56" s="122" t="s">
        <v>4519</v>
      </c>
      <c r="N56" s="7" t="s">
        <v>5131</v>
      </c>
      <c r="O56" s="7">
        <v>2060</v>
      </c>
      <c r="P56" s="7" cm="1">
        <f t="array" ref="P56">IF(O56="", "", IFERROR(MAX(--_xlfn.TEXTSPLIT(O56,"+")), O56))</f>
        <v>2060</v>
      </c>
      <c r="Q56" s="7">
        <v>2020</v>
      </c>
      <c r="R56" s="109" t="s">
        <v>6946</v>
      </c>
      <c r="S56" s="7"/>
      <c r="T56" s="7"/>
      <c r="U56" s="7"/>
      <c r="V56" s="7" t="str" cm="1">
        <f t="array" ref="V56">IF(U56="", "", IFERROR(MAX(--_xlfn.TEXTSPLIT(U56,"+")), U56))</f>
        <v/>
      </c>
      <c r="W56" s="7"/>
      <c r="X56" s="7"/>
      <c r="Y56" s="122"/>
      <c r="Z56" s="7"/>
      <c r="AA56" s="109"/>
      <c r="AB56" s="7">
        <v>2022</v>
      </c>
      <c r="AC56" s="123">
        <v>2399143.89</v>
      </c>
      <c r="AD56" s="7"/>
      <c r="AE56" s="7">
        <v>1197932.19</v>
      </c>
      <c r="AF56" s="123">
        <v>3069.18</v>
      </c>
      <c r="AG56" s="7" t="s">
        <v>2082</v>
      </c>
      <c r="AH56" s="124">
        <f>AE56+AC56</f>
        <v>3597076.08</v>
      </c>
      <c r="AI56" s="123">
        <v>3600145.25</v>
      </c>
      <c r="AJ56" s="7">
        <v>2021</v>
      </c>
      <c r="AK56" s="123">
        <v>238774.9</v>
      </c>
      <c r="AL56" s="123"/>
      <c r="AM56" s="123">
        <v>271067.08</v>
      </c>
      <c r="AN56" s="123">
        <v>1906566.66</v>
      </c>
      <c r="AO56" s="124">
        <f>AK56+AM56</f>
        <v>509841.98</v>
      </c>
      <c r="AP56" s="123">
        <f>AO56+AN56</f>
        <v>2416408.6399999997</v>
      </c>
      <c r="AQ56" s="7" t="s">
        <v>6945</v>
      </c>
      <c r="AR56" s="7" t="str">
        <f>_xlfn.XLOOKUP(C56,Sheet1!A:A,Sheet1!B:B, "Other")</f>
        <v>Asia</v>
      </c>
      <c r="AS56" t="str">
        <f>_xlfn.XLOOKUP(D56,Sheet1!D:D,Sheet1!E:E)</f>
        <v>Retail</v>
      </c>
    </row>
    <row r="57" spans="1:45" ht="18" customHeight="1">
      <c r="A57" s="7">
        <v>53</v>
      </c>
      <c r="B57" s="7" t="s">
        <v>3027</v>
      </c>
      <c r="C57" s="7" t="s">
        <v>4457</v>
      </c>
      <c r="D57" s="7" t="s">
        <v>76</v>
      </c>
      <c r="E57" s="7" t="s">
        <v>6944</v>
      </c>
      <c r="F57" s="7" t="s">
        <v>6943</v>
      </c>
      <c r="G57" s="122" t="s">
        <v>4174</v>
      </c>
      <c r="H57" s="7">
        <v>2020</v>
      </c>
      <c r="I57" s="7">
        <v>2017</v>
      </c>
      <c r="J57" s="122" t="s">
        <v>1960</v>
      </c>
      <c r="K57" s="7"/>
      <c r="L57" s="127" t="s">
        <v>1960</v>
      </c>
      <c r="M57" s="122" t="s">
        <v>1957</v>
      </c>
      <c r="N57" s="7" t="s">
        <v>4832</v>
      </c>
      <c r="O57" s="7">
        <v>2020</v>
      </c>
      <c r="P57" s="7" cm="1">
        <f t="array" ref="P57">IF(O57="", "", IFERROR(MAX(--_xlfn.TEXTSPLIT(O57,"+")), O57))</f>
        <v>2020</v>
      </c>
      <c r="Q57" s="7">
        <v>2020</v>
      </c>
      <c r="R57" s="109" t="s">
        <v>6941</v>
      </c>
      <c r="S57" s="7" t="s">
        <v>5050</v>
      </c>
      <c r="T57" s="7" t="s">
        <v>6942</v>
      </c>
      <c r="U57" s="7">
        <v>2050</v>
      </c>
      <c r="V57" s="7" cm="1">
        <f t="array" ref="V57">IF(U57="", "", IFERROR(MAX(--_xlfn.TEXTSPLIT(U57,"+")), U57))</f>
        <v>2050</v>
      </c>
      <c r="W57" s="7">
        <v>2021</v>
      </c>
      <c r="X57" s="125" t="s">
        <v>6941</v>
      </c>
      <c r="Y57" s="122" t="s">
        <v>4174</v>
      </c>
      <c r="Z57" s="7" t="s">
        <v>5609</v>
      </c>
      <c r="AA57" s="109" t="s">
        <v>6941</v>
      </c>
      <c r="AB57" s="7">
        <v>2021</v>
      </c>
      <c r="AC57" s="7">
        <v>84911</v>
      </c>
      <c r="AD57" s="7">
        <v>755514</v>
      </c>
      <c r="AE57" s="7">
        <v>6280</v>
      </c>
      <c r="AF57" s="7">
        <v>38336</v>
      </c>
      <c r="AG57" s="7" t="s">
        <v>5032</v>
      </c>
      <c r="AH57" s="7">
        <f>AE57+AC57</f>
        <v>91191</v>
      </c>
      <c r="AI57" s="7">
        <f>AH57+AF57</f>
        <v>129527</v>
      </c>
      <c r="AJ57" s="7">
        <v>2020</v>
      </c>
      <c r="AK57" s="7">
        <v>81944</v>
      </c>
      <c r="AL57" s="7">
        <v>816054</v>
      </c>
      <c r="AM57" s="7">
        <v>4929</v>
      </c>
      <c r="AN57" s="7">
        <v>36169</v>
      </c>
      <c r="AO57" s="7">
        <f>AM57+AK57</f>
        <v>86873</v>
      </c>
      <c r="AP57" s="7">
        <f>AO57+AN57</f>
        <v>123042</v>
      </c>
      <c r="AQ57" s="7" t="s">
        <v>6940</v>
      </c>
      <c r="AR57" s="7" t="str">
        <f>_xlfn.XLOOKUP(C57,Sheet1!A:A,Sheet1!B:B, "Other")</f>
        <v>North America</v>
      </c>
      <c r="AS57" t="str">
        <f>_xlfn.XLOOKUP(D57,Sheet1!D:D,Sheet1!E:E)</f>
        <v>Financial services</v>
      </c>
    </row>
    <row r="58" spans="1:45" ht="18" customHeight="1">
      <c r="A58" s="7">
        <v>54</v>
      </c>
      <c r="B58" s="7" t="s">
        <v>1714</v>
      </c>
      <c r="C58" s="7" t="s">
        <v>73</v>
      </c>
      <c r="D58" s="7" t="s">
        <v>76</v>
      </c>
      <c r="E58" s="7" t="s">
        <v>6939</v>
      </c>
      <c r="F58" s="7" t="s">
        <v>6938</v>
      </c>
      <c r="G58" s="122"/>
      <c r="H58" s="7"/>
      <c r="I58" s="7"/>
      <c r="J58" s="122" t="s">
        <v>1960</v>
      </c>
      <c r="K58" s="7"/>
      <c r="L58" s="127" t="s">
        <v>1960</v>
      </c>
      <c r="M58" s="122"/>
      <c r="N58" s="7"/>
      <c r="O58" s="7"/>
      <c r="P58" s="7" t="str" cm="1">
        <f t="array" ref="P58">IF(O58="", "", IFERROR(MAX(--_xlfn.TEXTSPLIT(O58,"+")), O58))</f>
        <v/>
      </c>
      <c r="Q58" s="7"/>
      <c r="R58" s="109"/>
      <c r="S58" s="7"/>
      <c r="T58" s="7"/>
      <c r="U58" s="7"/>
      <c r="V58" s="7" t="str" cm="1">
        <f t="array" ref="V58">IF(U58="", "", IFERROR(MAX(--_xlfn.TEXTSPLIT(U58,"+")), U58))</f>
        <v/>
      </c>
      <c r="W58" s="7"/>
      <c r="X58" s="7"/>
      <c r="Y58" s="122"/>
      <c r="Z58" s="7"/>
      <c r="AA58" s="109"/>
      <c r="AB58" s="7">
        <v>2022</v>
      </c>
      <c r="AC58" s="7">
        <v>48385.05</v>
      </c>
      <c r="AD58" s="7"/>
      <c r="AE58" s="7">
        <v>650858.65</v>
      </c>
      <c r="AF58" s="7"/>
      <c r="AG58" s="7" t="s">
        <v>5032</v>
      </c>
      <c r="AH58" s="7">
        <f>AC58+AE58</f>
        <v>699243.70000000007</v>
      </c>
      <c r="AI58" s="7">
        <f>AH58</f>
        <v>699243.70000000007</v>
      </c>
      <c r="AJ58" s="7">
        <v>2021</v>
      </c>
      <c r="AK58" s="7">
        <v>56112.23</v>
      </c>
      <c r="AL58" s="7"/>
      <c r="AM58" s="7">
        <v>1006550.08</v>
      </c>
      <c r="AN58" s="7"/>
      <c r="AO58" s="7">
        <f>AK58+AM58</f>
        <v>1062662.31</v>
      </c>
      <c r="AP58" s="7">
        <f>AO58</f>
        <v>1062662.31</v>
      </c>
      <c r="AQ58" s="27" t="s">
        <v>6937</v>
      </c>
      <c r="AR58" s="7" t="str">
        <f>_xlfn.XLOOKUP(C58,Sheet1!A:A,Sheet1!B:B, "Other")</f>
        <v>Asia</v>
      </c>
      <c r="AS58" t="str">
        <f>_xlfn.XLOOKUP(D58,Sheet1!D:D,Sheet1!E:E)</f>
        <v>Financial services</v>
      </c>
    </row>
    <row r="59" spans="1:45" ht="18" customHeight="1">
      <c r="A59" s="7">
        <v>55</v>
      </c>
      <c r="B59" s="7" t="s">
        <v>1491</v>
      </c>
      <c r="C59" s="7" t="s">
        <v>63</v>
      </c>
      <c r="D59" s="7" t="s">
        <v>71</v>
      </c>
      <c r="E59" s="7" t="s">
        <v>6936</v>
      </c>
      <c r="F59" s="7" t="s">
        <v>6935</v>
      </c>
      <c r="G59" s="122"/>
      <c r="H59" s="7"/>
      <c r="I59" s="7"/>
      <c r="J59" s="122" t="s">
        <v>4183</v>
      </c>
      <c r="K59" s="7">
        <v>2030</v>
      </c>
      <c r="L59" s="127">
        <v>2020</v>
      </c>
      <c r="M59" s="122" t="s">
        <v>1957</v>
      </c>
      <c r="N59" s="7"/>
      <c r="O59" s="7">
        <v>2050</v>
      </c>
      <c r="P59" s="7" cm="1">
        <f t="array" ref="P59">IF(O59="", "", IFERROR(MAX(--_xlfn.TEXTSPLIT(O59,"+")), O59))</f>
        <v>2050</v>
      </c>
      <c r="Q59" s="7">
        <v>2020</v>
      </c>
      <c r="R59" s="126" t="s">
        <v>6934</v>
      </c>
      <c r="S59" s="7"/>
      <c r="T59" s="7"/>
      <c r="U59" s="7"/>
      <c r="V59" s="7" t="str" cm="1">
        <f t="array" ref="V59">IF(U59="", "", IFERROR(MAX(--_xlfn.TEXTSPLIT(U59,"+")), U59))</f>
        <v/>
      </c>
      <c r="W59" s="7"/>
      <c r="X59" s="7"/>
      <c r="Y59" s="122" t="s">
        <v>4174</v>
      </c>
      <c r="Z59" s="7" t="s">
        <v>5037</v>
      </c>
      <c r="AA59" s="109" t="s">
        <v>6933</v>
      </c>
      <c r="AB59" s="7">
        <v>2022</v>
      </c>
      <c r="AC59" s="7">
        <v>24000000</v>
      </c>
      <c r="AD59" s="7"/>
      <c r="AE59" s="7">
        <v>390000</v>
      </c>
      <c r="AF59" s="7">
        <v>95900000</v>
      </c>
      <c r="AG59" s="7" t="s">
        <v>4174</v>
      </c>
      <c r="AH59" s="7">
        <f>AC59+AE59</f>
        <v>24390000</v>
      </c>
      <c r="AI59" s="7">
        <f>AH59+AF59</f>
        <v>120290000</v>
      </c>
      <c r="AJ59" s="7">
        <v>2021</v>
      </c>
      <c r="AK59" s="7">
        <v>27380000</v>
      </c>
      <c r="AL59" s="7"/>
      <c r="AM59" s="7">
        <v>290000</v>
      </c>
      <c r="AN59" s="7">
        <v>101800000</v>
      </c>
      <c r="AO59" s="7">
        <f>AM59+AK59</f>
        <v>27670000</v>
      </c>
      <c r="AP59" s="7">
        <f>AO59+AN59</f>
        <v>129470000</v>
      </c>
      <c r="AQ59" s="7" t="s">
        <v>6932</v>
      </c>
      <c r="AR59" s="7" t="str">
        <f>_xlfn.XLOOKUP(C59,Sheet1!A:A,Sheet1!B:B, "Other")</f>
        <v>Europe</v>
      </c>
      <c r="AS59" t="str">
        <f>_xlfn.XLOOKUP(D59,Sheet1!D:D,Sheet1!E:E)</f>
        <v>Energy and utilities</v>
      </c>
    </row>
    <row r="60" spans="1:45" ht="18" customHeight="1">
      <c r="A60" s="7">
        <v>56</v>
      </c>
      <c r="B60" s="7" t="s">
        <v>1478</v>
      </c>
      <c r="C60" s="7" t="s">
        <v>1481</v>
      </c>
      <c r="D60" s="7" t="s">
        <v>71</v>
      </c>
      <c r="E60" s="7" t="s">
        <v>6931</v>
      </c>
      <c r="F60" s="7" t="s">
        <v>6930</v>
      </c>
      <c r="G60" s="122"/>
      <c r="H60" s="7"/>
      <c r="I60" s="7"/>
      <c r="J60" s="122" t="s">
        <v>1960</v>
      </c>
      <c r="K60" s="7"/>
      <c r="L60" s="127" t="s">
        <v>1960</v>
      </c>
      <c r="M60" s="122"/>
      <c r="N60" s="7"/>
      <c r="O60" s="7"/>
      <c r="P60" s="7" t="str" cm="1">
        <f t="array" ref="P60">IF(O60="", "", IFERROR(MAX(--_xlfn.TEXTSPLIT(O60,"+")), O60))</f>
        <v/>
      </c>
      <c r="Q60" s="7"/>
      <c r="R60" s="109"/>
      <c r="S60" s="7" t="s">
        <v>4172</v>
      </c>
      <c r="T60" s="7" t="s">
        <v>6929</v>
      </c>
      <c r="U60" s="7">
        <v>2050</v>
      </c>
      <c r="V60" s="7" cm="1">
        <f t="array" ref="V60">IF(U60="", "", IFERROR(MAX(--_xlfn.TEXTSPLIT(U60,"+")), U60))</f>
        <v>2050</v>
      </c>
      <c r="W60" s="7">
        <v>2022</v>
      </c>
      <c r="X60" s="7" t="s">
        <v>6928</v>
      </c>
      <c r="Y60" s="122" t="s">
        <v>4174</v>
      </c>
      <c r="Z60" s="7" t="s">
        <v>6927</v>
      </c>
      <c r="AA60" s="109" t="s">
        <v>6926</v>
      </c>
      <c r="AB60" s="7">
        <v>2022</v>
      </c>
      <c r="AC60" s="7">
        <v>11400000</v>
      </c>
      <c r="AD60" s="7">
        <v>100000</v>
      </c>
      <c r="AE60" s="7">
        <v>2500000</v>
      </c>
      <c r="AF60" s="7">
        <f>243000000+50000</f>
        <v>243050000</v>
      </c>
      <c r="AG60" s="7" t="s">
        <v>5032</v>
      </c>
      <c r="AH60" s="7">
        <f>AC60+AE60</f>
        <v>13900000</v>
      </c>
      <c r="AI60" s="7">
        <f>AF60+AH60</f>
        <v>256950000</v>
      </c>
      <c r="AJ60" s="7">
        <v>2021</v>
      </c>
      <c r="AK60" s="7">
        <v>12000000</v>
      </c>
      <c r="AL60" s="7">
        <v>100000</v>
      </c>
      <c r="AM60" s="7">
        <v>2700000</v>
      </c>
      <c r="AN60" s="7">
        <f>249000000+10000</f>
        <v>249010000</v>
      </c>
      <c r="AO60" s="7">
        <f>AK60+AM60</f>
        <v>14700000</v>
      </c>
      <c r="AP60" s="7">
        <f>AN60+AO60</f>
        <v>263710000</v>
      </c>
      <c r="AQ60" s="7" t="s">
        <v>6925</v>
      </c>
      <c r="AR60" s="7" t="str">
        <f>_xlfn.XLOOKUP(C60,Sheet1!A:A,Sheet1!B:B, "Other")</f>
        <v>Europe</v>
      </c>
      <c r="AS60" t="str">
        <f>_xlfn.XLOOKUP(D60,Sheet1!D:D,Sheet1!E:E)</f>
        <v>Energy and utilities</v>
      </c>
    </row>
    <row r="61" spans="1:45" ht="18" customHeight="1">
      <c r="A61" s="7">
        <v>57</v>
      </c>
      <c r="B61" s="7" t="s">
        <v>1711</v>
      </c>
      <c r="C61" s="7" t="s">
        <v>146</v>
      </c>
      <c r="D61" s="7" t="s">
        <v>171</v>
      </c>
      <c r="E61" s="7" t="s">
        <v>6924</v>
      </c>
      <c r="F61" s="7" t="s">
        <v>6923</v>
      </c>
      <c r="G61" s="122" t="s">
        <v>4174</v>
      </c>
      <c r="H61" s="7">
        <v>2050</v>
      </c>
      <c r="I61" s="7">
        <v>2015</v>
      </c>
      <c r="J61" s="122" t="s">
        <v>4183</v>
      </c>
      <c r="K61" s="7">
        <v>2030</v>
      </c>
      <c r="L61" s="127">
        <v>2022</v>
      </c>
      <c r="M61" s="122" t="s">
        <v>5050</v>
      </c>
      <c r="N61" s="7" t="s">
        <v>6922</v>
      </c>
      <c r="O61" s="7">
        <v>2050</v>
      </c>
      <c r="P61" s="7" cm="1">
        <f t="array" ref="P61">IF(O61="", "", IFERROR(MAX(--_xlfn.TEXTSPLIT(O61,"+")), O61))</f>
        <v>2050</v>
      </c>
      <c r="Q61" s="7">
        <v>2020</v>
      </c>
      <c r="R61" s="128" t="s">
        <v>6921</v>
      </c>
      <c r="S61" s="7"/>
      <c r="T61" s="7"/>
      <c r="U61" s="7"/>
      <c r="V61" s="7" t="str" cm="1">
        <f t="array" ref="V61">IF(U61="", "", IFERROR(MAX(--_xlfn.TEXTSPLIT(U61,"+")), U61))</f>
        <v/>
      </c>
      <c r="W61" s="7"/>
      <c r="X61" s="7"/>
      <c r="Y61" s="122" t="s">
        <v>4174</v>
      </c>
      <c r="Z61" s="7" t="s">
        <v>6920</v>
      </c>
      <c r="AA61" s="109" t="s">
        <v>6919</v>
      </c>
      <c r="AB61" s="7">
        <v>2022</v>
      </c>
      <c r="AC61" s="7">
        <v>694057</v>
      </c>
      <c r="AD61" s="7"/>
      <c r="AE61" s="7">
        <v>91300</v>
      </c>
      <c r="AF61" s="7">
        <v>116586786</v>
      </c>
      <c r="AG61" s="7" t="s">
        <v>5032</v>
      </c>
      <c r="AH61" s="7">
        <f>AC61+AE61</f>
        <v>785357</v>
      </c>
      <c r="AI61" s="7">
        <f>AH61+AF61</f>
        <v>117372143</v>
      </c>
      <c r="AJ61" s="7">
        <v>2021</v>
      </c>
      <c r="AK61" s="7">
        <v>699713</v>
      </c>
      <c r="AL61" s="7"/>
      <c r="AM61" s="7">
        <v>134849</v>
      </c>
      <c r="AN61" s="7">
        <v>121705368</v>
      </c>
      <c r="AO61" s="7">
        <f>AK61+AM61</f>
        <v>834562</v>
      </c>
      <c r="AP61" s="7">
        <f>AO61+AN61</f>
        <v>122539930</v>
      </c>
      <c r="AQ61" s="7" t="s">
        <v>6918</v>
      </c>
      <c r="AR61" s="7" t="str">
        <f>_xlfn.XLOOKUP(C61,Sheet1!A:A,Sheet1!B:B, "Other")</f>
        <v>Europe</v>
      </c>
      <c r="AS61" t="str">
        <f>_xlfn.XLOOKUP(D61,Sheet1!D:D,Sheet1!E:E)</f>
        <v>Automotive</v>
      </c>
    </row>
    <row r="62" spans="1:45" ht="18" customHeight="1">
      <c r="A62" s="7">
        <v>58</v>
      </c>
      <c r="B62" s="7" t="s">
        <v>1722</v>
      </c>
      <c r="C62" s="7" t="s">
        <v>4457</v>
      </c>
      <c r="D62" s="7" t="s">
        <v>342</v>
      </c>
      <c r="E62" s="7" t="s">
        <v>6917</v>
      </c>
      <c r="F62" s="7" t="s">
        <v>6916</v>
      </c>
      <c r="G62" s="122"/>
      <c r="H62" s="7"/>
      <c r="I62" s="7"/>
      <c r="J62" s="122" t="s">
        <v>1957</v>
      </c>
      <c r="K62" s="7"/>
      <c r="L62" s="127">
        <v>2022</v>
      </c>
      <c r="M62" s="122"/>
      <c r="N62" s="7"/>
      <c r="O62" s="7"/>
      <c r="P62" s="7" t="str" cm="1">
        <f t="array" ref="P62">IF(O62="", "", IFERROR(MAX(--_xlfn.TEXTSPLIT(O62,"+")), O62))</f>
        <v/>
      </c>
      <c r="Q62" s="7"/>
      <c r="R62" s="109"/>
      <c r="S62" s="7"/>
      <c r="T62" s="7"/>
      <c r="U62" s="7"/>
      <c r="V62" s="7" t="str" cm="1">
        <f t="array" ref="V62">IF(U62="", "", IFERROR(MAX(--_xlfn.TEXTSPLIT(U62,"+")), U62))</f>
        <v/>
      </c>
      <c r="W62" s="7"/>
      <c r="X62" s="7"/>
      <c r="Y62" s="122" t="s">
        <v>4174</v>
      </c>
      <c r="Z62" s="7" t="s">
        <v>6915</v>
      </c>
      <c r="AA62" s="109" t="s">
        <v>6914</v>
      </c>
      <c r="AB62" s="7">
        <v>2021</v>
      </c>
      <c r="AC62" s="7">
        <v>2303388</v>
      </c>
      <c r="AD62" s="7">
        <v>2747205</v>
      </c>
      <c r="AE62" s="7">
        <v>2948060</v>
      </c>
      <c r="AF62" s="7">
        <v>2398328</v>
      </c>
      <c r="AG62" s="7" t="s">
        <v>5032</v>
      </c>
      <c r="AH62" s="7">
        <f>AE62+AC62</f>
        <v>5251448</v>
      </c>
      <c r="AI62" s="7">
        <f>AH62+AF62</f>
        <v>7649776</v>
      </c>
      <c r="AJ62" s="7">
        <v>2020</v>
      </c>
      <c r="AK62" s="7">
        <f>AC62/1.112</f>
        <v>2071392.0863309351</v>
      </c>
      <c r="AL62" s="7">
        <f>AD62/0.91</f>
        <v>3018906.5934065934</v>
      </c>
      <c r="AM62" s="7">
        <f>AE62/0.92</f>
        <v>3204413.0434782607</v>
      </c>
      <c r="AN62" s="7">
        <f>AF62/1.145</f>
        <v>2094609.6069868996</v>
      </c>
      <c r="AO62" s="7">
        <f>AK62+AM62</f>
        <v>5275805.1298091961</v>
      </c>
      <c r="AP62" s="7">
        <f>AO62+AN62</f>
        <v>7370414.736796096</v>
      </c>
      <c r="AQ62" s="7" t="s">
        <v>6913</v>
      </c>
      <c r="AR62" s="7" t="str">
        <f>_xlfn.XLOOKUP(C62,Sheet1!A:A,Sheet1!B:B, "Other")</f>
        <v>North America</v>
      </c>
      <c r="AS62" t="str">
        <f>_xlfn.XLOOKUP(D62,Sheet1!D:D,Sheet1!E:E)</f>
        <v>Food, beverages and agriculture</v>
      </c>
    </row>
    <row r="63" spans="1:45" ht="18" customHeight="1">
      <c r="A63" s="7">
        <v>59</v>
      </c>
      <c r="B63" s="7" t="s">
        <v>1582</v>
      </c>
      <c r="C63" s="7" t="s">
        <v>376</v>
      </c>
      <c r="D63" s="7" t="s">
        <v>71</v>
      </c>
      <c r="E63" s="7" t="s">
        <v>6912</v>
      </c>
      <c r="F63" s="7" t="s">
        <v>6911</v>
      </c>
      <c r="G63" s="122"/>
      <c r="H63" s="7"/>
      <c r="I63" s="7"/>
      <c r="J63" s="122" t="s">
        <v>4183</v>
      </c>
      <c r="K63" s="7">
        <v>2030</v>
      </c>
      <c r="L63" s="127">
        <v>2023</v>
      </c>
      <c r="M63" s="122"/>
      <c r="N63" s="7"/>
      <c r="O63" s="7"/>
      <c r="P63" s="7" t="str" cm="1">
        <f t="array" ref="P63">IF(O63="", "", IFERROR(MAX(--_xlfn.TEXTSPLIT(O63,"+")), O63))</f>
        <v/>
      </c>
      <c r="Q63" s="7"/>
      <c r="R63" s="109"/>
      <c r="S63" s="7" t="s">
        <v>4172</v>
      </c>
      <c r="T63" s="7" t="s">
        <v>6910</v>
      </c>
      <c r="U63" s="7">
        <v>2040</v>
      </c>
      <c r="V63" s="7" cm="1">
        <f t="array" ref="V63">IF(U63="", "", IFERROR(MAX(--_xlfn.TEXTSPLIT(U63,"+")), U63))</f>
        <v>2040</v>
      </c>
      <c r="W63" s="7">
        <v>2021</v>
      </c>
      <c r="X63" s="7" t="s">
        <v>6909</v>
      </c>
      <c r="Y63" s="122" t="s">
        <v>4174</v>
      </c>
      <c r="Z63" s="7" t="s">
        <v>6908</v>
      </c>
      <c r="AA63" s="109" t="s">
        <v>6907</v>
      </c>
      <c r="AB63" s="7">
        <v>2022</v>
      </c>
      <c r="AC63" s="7">
        <v>53070000</v>
      </c>
      <c r="AD63" s="7">
        <v>4020000</v>
      </c>
      <c r="AE63" s="7">
        <v>6060000</v>
      </c>
      <c r="AF63" s="7">
        <v>75800000</v>
      </c>
      <c r="AG63" s="7" t="s">
        <v>5032</v>
      </c>
      <c r="AH63" s="7">
        <f>AC63+AE63</f>
        <v>59130000</v>
      </c>
      <c r="AI63" s="7">
        <f>AF63+AH63</f>
        <v>134930000</v>
      </c>
      <c r="AJ63" s="7">
        <v>2021</v>
      </c>
      <c r="AK63" s="7">
        <v>51570000</v>
      </c>
      <c r="AL63" s="7">
        <v>3770000</v>
      </c>
      <c r="AM63" s="7">
        <v>6110000</v>
      </c>
      <c r="AN63" s="7">
        <v>70460000</v>
      </c>
      <c r="AO63" s="7">
        <f>AK63+AM63</f>
        <v>57680000</v>
      </c>
      <c r="AP63" s="7">
        <f>AN63+AO63</f>
        <v>128140000</v>
      </c>
      <c r="AQ63" s="7" t="s">
        <v>6906</v>
      </c>
      <c r="AR63" s="7" t="str">
        <f>_xlfn.XLOOKUP(C63,Sheet1!A:A,Sheet1!B:B, "Other")</f>
        <v>Europe</v>
      </c>
      <c r="AS63" t="str">
        <f>_xlfn.XLOOKUP(D63,Sheet1!D:D,Sheet1!E:E)</f>
        <v>Energy and utilities</v>
      </c>
    </row>
    <row r="64" spans="1:45" ht="18" customHeight="1">
      <c r="A64" s="7">
        <v>60</v>
      </c>
      <c r="B64" s="7" t="s">
        <v>1269</v>
      </c>
      <c r="C64" s="7" t="s">
        <v>4457</v>
      </c>
      <c r="D64" s="7" t="s">
        <v>319</v>
      </c>
      <c r="E64" s="7" t="s">
        <v>6905</v>
      </c>
      <c r="F64" s="7" t="s">
        <v>6904</v>
      </c>
      <c r="G64" s="122"/>
      <c r="H64" s="7"/>
      <c r="I64" s="7"/>
      <c r="J64" s="122" t="s">
        <v>1960</v>
      </c>
      <c r="K64" s="7"/>
      <c r="L64" s="127" t="s">
        <v>1960</v>
      </c>
      <c r="M64" s="122"/>
      <c r="N64" s="7"/>
      <c r="O64" s="7"/>
      <c r="P64" s="7" t="str" cm="1">
        <f t="array" ref="P64">IF(O64="", "", IFERROR(MAX(--_xlfn.TEXTSPLIT(O64,"+")), O64))</f>
        <v/>
      </c>
      <c r="Q64" s="7"/>
      <c r="R64" s="109"/>
      <c r="S64" s="7"/>
      <c r="T64" s="7"/>
      <c r="U64" s="7"/>
      <c r="V64" s="7" t="str" cm="1">
        <f t="array" ref="V64">IF(U64="", "", IFERROR(MAX(--_xlfn.TEXTSPLIT(U64,"+")), U64))</f>
        <v/>
      </c>
      <c r="W64" s="7"/>
      <c r="X64" s="7"/>
      <c r="Y64" s="122"/>
      <c r="Z64" s="7"/>
      <c r="AA64" s="109"/>
      <c r="AB64" s="7">
        <v>2022</v>
      </c>
      <c r="AC64" s="124">
        <v>26862</v>
      </c>
      <c r="AD64" s="124">
        <v>90101</v>
      </c>
      <c r="AE64" s="7"/>
      <c r="AF64" s="124">
        <v>2016819</v>
      </c>
      <c r="AG64" s="7" t="s">
        <v>4174</v>
      </c>
      <c r="AH64" s="124">
        <f>AC64+AD64</f>
        <v>116963</v>
      </c>
      <c r="AI64" s="124">
        <f>AF64+AH64</f>
        <v>2133782</v>
      </c>
      <c r="AJ64" s="7">
        <v>2021</v>
      </c>
      <c r="AK64" s="124">
        <v>36667</v>
      </c>
      <c r="AL64" s="124">
        <v>113122</v>
      </c>
      <c r="AM64" s="7"/>
      <c r="AN64" s="124">
        <v>1868213</v>
      </c>
      <c r="AO64" s="124">
        <f>AK64+AL64</f>
        <v>149789</v>
      </c>
      <c r="AP64" s="124">
        <f>AN64+AO64</f>
        <v>2018002</v>
      </c>
      <c r="AQ64" s="7" t="s">
        <v>6903</v>
      </c>
      <c r="AR64" s="7" t="str">
        <f>_xlfn.XLOOKUP(C64,Sheet1!A:A,Sheet1!B:B, "Other")</f>
        <v>North America</v>
      </c>
      <c r="AS64" t="str">
        <f>_xlfn.XLOOKUP(D64,Sheet1!D:D,Sheet1!E:E)</f>
        <v>Health care and pharmaceuticals</v>
      </c>
    </row>
    <row r="65" spans="1:45" ht="18" customHeight="1">
      <c r="A65" s="7">
        <v>61</v>
      </c>
      <c r="B65" s="7" t="s">
        <v>1607</v>
      </c>
      <c r="C65" s="7" t="s">
        <v>376</v>
      </c>
      <c r="D65" s="7" t="s">
        <v>71</v>
      </c>
      <c r="E65" s="7" t="s">
        <v>6902</v>
      </c>
      <c r="F65" s="7" t="s">
        <v>6901</v>
      </c>
      <c r="G65" s="122"/>
      <c r="H65" s="7"/>
      <c r="I65" s="7"/>
      <c r="J65" s="122" t="s">
        <v>1960</v>
      </c>
      <c r="K65" s="7"/>
      <c r="L65" s="127" t="s">
        <v>1960</v>
      </c>
      <c r="M65" s="122" t="s">
        <v>4172</v>
      </c>
      <c r="N65" s="7" t="s">
        <v>6900</v>
      </c>
      <c r="O65" s="7" t="s">
        <v>4502</v>
      </c>
      <c r="P65" s="7" cm="1">
        <f t="array" ref="P65">IF(O65="", "", IFERROR(MAX(--_xlfn.TEXTSPLIT(O65,"+")), O65))</f>
        <v>2050</v>
      </c>
      <c r="Q65" s="7">
        <v>2020</v>
      </c>
      <c r="R65" s="109" t="s">
        <v>6899</v>
      </c>
      <c r="S65" s="7"/>
      <c r="T65" s="7"/>
      <c r="U65" s="7"/>
      <c r="V65" s="7" t="str" cm="1">
        <f t="array" ref="V65">IF(U65="", "", IFERROR(MAX(--_xlfn.TEXTSPLIT(U65,"+")), U65))</f>
        <v/>
      </c>
      <c r="W65" s="7"/>
      <c r="X65" s="130"/>
      <c r="Y65" s="122"/>
      <c r="Z65" s="7"/>
      <c r="AA65" s="109"/>
      <c r="AB65" s="7">
        <v>2022</v>
      </c>
      <c r="AC65" s="7">
        <v>39390000</v>
      </c>
      <c r="AD65" s="7"/>
      <c r="AE65" s="7">
        <v>790000</v>
      </c>
      <c r="AF65" s="7">
        <f>1000000*(164+9.9+1.7+1.5+1.3+0.5)</f>
        <v>178900000</v>
      </c>
      <c r="AG65" s="7" t="s">
        <v>4174</v>
      </c>
      <c r="AH65" s="7">
        <f>AE65+AC65</f>
        <v>40180000</v>
      </c>
      <c r="AI65" s="7">
        <f>AH65+AF65</f>
        <v>219080000</v>
      </c>
      <c r="AJ65" s="7">
        <v>2021</v>
      </c>
      <c r="AK65" s="7">
        <v>40080000</v>
      </c>
      <c r="AL65" s="7"/>
      <c r="AM65" s="7">
        <v>810000</v>
      </c>
      <c r="AN65" s="7">
        <f>1000000*(176+11.1+6.1+2.8+0.5)</f>
        <v>196500000</v>
      </c>
      <c r="AO65" s="7">
        <f>AK65+AM65</f>
        <v>40890000</v>
      </c>
      <c r="AP65" s="7">
        <f>AO65+AN65</f>
        <v>237390000</v>
      </c>
      <c r="AQ65" s="7" t="s">
        <v>6898</v>
      </c>
      <c r="AR65" s="7" t="str">
        <f>_xlfn.XLOOKUP(C65,Sheet1!A:A,Sheet1!B:B, "Other")</f>
        <v>Europe</v>
      </c>
      <c r="AS65" t="str">
        <f>_xlfn.XLOOKUP(D65,Sheet1!D:D,Sheet1!E:E)</f>
        <v>Energy and utilities</v>
      </c>
    </row>
    <row r="66" spans="1:45" ht="18" customHeight="1">
      <c r="A66" s="7">
        <v>62</v>
      </c>
      <c r="B66" s="7" t="s">
        <v>1700</v>
      </c>
      <c r="C66" s="7" t="s">
        <v>73</v>
      </c>
      <c r="D66" s="7" t="s">
        <v>461</v>
      </c>
      <c r="E66" s="7" t="s">
        <v>6897</v>
      </c>
      <c r="F66" s="7" t="s">
        <v>6896</v>
      </c>
      <c r="G66" s="122"/>
      <c r="H66" s="7"/>
      <c r="I66" s="7"/>
      <c r="J66" s="122" t="s">
        <v>1960</v>
      </c>
      <c r="K66" s="7"/>
      <c r="L66" s="127" t="s">
        <v>1960</v>
      </c>
      <c r="M66" s="134" t="s">
        <v>4519</v>
      </c>
      <c r="N66" s="29"/>
      <c r="O66" s="29">
        <v>2060</v>
      </c>
      <c r="P66" s="7" cm="1">
        <f t="array" ref="P66">IF(O66="", "", IFERROR(MAX(--_xlfn.TEXTSPLIT(O66,"+")), O66))</f>
        <v>2060</v>
      </c>
      <c r="Q66" s="29">
        <v>2021</v>
      </c>
      <c r="R66" s="109" t="s">
        <v>6895</v>
      </c>
      <c r="S66" s="29"/>
      <c r="T66" s="29"/>
      <c r="U66" s="29"/>
      <c r="V66" s="29" t="str" cm="1">
        <f t="array" ref="V66">IF(U66="", "", IFERROR(MAX(--_xlfn.TEXTSPLIT(U66,"+")), U66))</f>
        <v/>
      </c>
      <c r="W66" s="29"/>
      <c r="X66" s="29"/>
      <c r="Y66" s="122"/>
      <c r="Z66" s="29"/>
      <c r="AA66" s="133"/>
      <c r="AB66" s="29">
        <v>2022</v>
      </c>
      <c r="AC66" s="29">
        <v>220000</v>
      </c>
      <c r="AD66" s="29"/>
      <c r="AE66" s="29">
        <v>34240000</v>
      </c>
      <c r="AF66" s="29">
        <f>1000*(37.13+3.47)</f>
        <v>40600</v>
      </c>
      <c r="AG66" s="29" t="s">
        <v>5032</v>
      </c>
      <c r="AH66" s="29">
        <f>AC66+AE66</f>
        <v>34460000</v>
      </c>
      <c r="AI66" s="29">
        <f>AH66+AF66</f>
        <v>34500600</v>
      </c>
      <c r="AJ66" s="29">
        <v>2021</v>
      </c>
      <c r="AK66" s="29">
        <v>240000</v>
      </c>
      <c r="AL66" s="29"/>
      <c r="AM66" s="29">
        <v>33580000</v>
      </c>
      <c r="AN66" s="29">
        <f>1000*(10.24+4.72)</f>
        <v>14960</v>
      </c>
      <c r="AO66" s="29">
        <f>AM66+AK66</f>
        <v>33820000</v>
      </c>
      <c r="AP66" s="29">
        <f>AO66+AN66</f>
        <v>33834960</v>
      </c>
      <c r="AQ66" s="7" t="s">
        <v>6895</v>
      </c>
      <c r="AR66" s="7" t="str">
        <f>_xlfn.XLOOKUP(C66,Sheet1!A:A,Sheet1!B:B, "Other")</f>
        <v>Asia</v>
      </c>
      <c r="AS66" t="str">
        <f>_xlfn.XLOOKUP(D66,Sheet1!D:D,Sheet1!E:E)</f>
        <v>Telecommunications and media</v>
      </c>
    </row>
    <row r="67" spans="1:45" ht="18" customHeight="1">
      <c r="A67" s="7">
        <v>63</v>
      </c>
      <c r="B67" s="7" t="s">
        <v>1560</v>
      </c>
      <c r="C67" s="7" t="s">
        <v>73</v>
      </c>
      <c r="D67" s="7" t="s">
        <v>135</v>
      </c>
      <c r="E67" s="7" t="s">
        <v>6894</v>
      </c>
      <c r="F67" s="7" t="s">
        <v>6893</v>
      </c>
      <c r="G67" s="122"/>
      <c r="H67" s="7"/>
      <c r="I67" s="7"/>
      <c r="J67" s="122" t="s">
        <v>1960</v>
      </c>
      <c r="K67" s="7"/>
      <c r="L67" s="127" t="s">
        <v>1960</v>
      </c>
      <c r="M67" s="122"/>
      <c r="N67" s="7"/>
      <c r="O67" s="7"/>
      <c r="P67" s="7" t="str" cm="1">
        <f t="array" ref="P67">IF(O67="", "", IFERROR(MAX(--_xlfn.TEXTSPLIT(O67,"+")), O67))</f>
        <v/>
      </c>
      <c r="Q67" s="7"/>
      <c r="R67" s="126"/>
      <c r="S67" s="7"/>
      <c r="T67" s="7"/>
      <c r="U67" s="7"/>
      <c r="V67" s="7" t="str" cm="1">
        <f t="array" ref="V67">IF(U67="", "", IFERROR(MAX(--_xlfn.TEXTSPLIT(U67,"+")), U67))</f>
        <v/>
      </c>
      <c r="W67" s="7"/>
      <c r="X67" s="7"/>
      <c r="Y67" s="122"/>
      <c r="Z67" s="7"/>
      <c r="AA67" s="109"/>
      <c r="AB67" s="7" t="s">
        <v>5032</v>
      </c>
      <c r="AC67" s="7"/>
      <c r="AD67" s="7"/>
      <c r="AE67" s="7"/>
      <c r="AF67" s="7"/>
      <c r="AG67" s="7" t="s">
        <v>5032</v>
      </c>
      <c r="AH67" s="7"/>
      <c r="AI67" s="7"/>
      <c r="AJ67" s="7" t="s">
        <v>5032</v>
      </c>
      <c r="AK67" s="7"/>
      <c r="AL67" s="7"/>
      <c r="AM67" s="7"/>
      <c r="AN67" s="7"/>
      <c r="AO67" s="7"/>
      <c r="AP67" s="7"/>
      <c r="AQ67" s="7"/>
      <c r="AR67" s="7" t="str">
        <f>_xlfn.XLOOKUP(C67,Sheet1!A:A,Sheet1!B:B, "Other")</f>
        <v>Asia</v>
      </c>
      <c r="AS67" t="str">
        <f>_xlfn.XLOOKUP(D67,Sheet1!D:D,Sheet1!E:E)</f>
        <v>Engineering and construction</v>
      </c>
    </row>
    <row r="68" spans="1:45" ht="18" customHeight="1">
      <c r="A68" s="7">
        <v>64</v>
      </c>
      <c r="B68" s="7" t="s">
        <v>1742</v>
      </c>
      <c r="C68" s="7" t="s">
        <v>4457</v>
      </c>
      <c r="D68" s="7" t="s">
        <v>461</v>
      </c>
      <c r="E68" s="7" t="s">
        <v>6892</v>
      </c>
      <c r="F68" s="7" t="s">
        <v>6891</v>
      </c>
      <c r="G68" s="122"/>
      <c r="H68" s="7"/>
      <c r="I68" s="7"/>
      <c r="J68" s="122" t="s">
        <v>4183</v>
      </c>
      <c r="K68" s="7">
        <v>2030</v>
      </c>
      <c r="L68" s="127">
        <v>2021</v>
      </c>
      <c r="M68" s="122"/>
      <c r="N68" s="7"/>
      <c r="O68" s="7"/>
      <c r="P68" s="7" t="str" cm="1">
        <f t="array" ref="P68">IF(O68="", "", IFERROR(MAX(--_xlfn.TEXTSPLIT(O68,"+")), O68))</f>
        <v/>
      </c>
      <c r="Q68" s="7"/>
      <c r="R68" s="109"/>
      <c r="S68" s="7" t="s">
        <v>1957</v>
      </c>
      <c r="T68" s="7" t="s">
        <v>5122</v>
      </c>
      <c r="U68" s="7">
        <v>2035</v>
      </c>
      <c r="V68" s="7" cm="1">
        <f t="array" ref="V68">IF(U68="", "", IFERROR(MAX(--_xlfn.TEXTSPLIT(U68,"+")), U68))</f>
        <v>2035</v>
      </c>
      <c r="W68" s="7">
        <v>2019</v>
      </c>
      <c r="X68" s="7" t="s">
        <v>6890</v>
      </c>
      <c r="Y68" s="122" t="s">
        <v>4174</v>
      </c>
      <c r="Z68" s="7" t="s">
        <v>5037</v>
      </c>
      <c r="AA68" s="109" t="s">
        <v>6889</v>
      </c>
      <c r="AB68" s="7">
        <v>2022</v>
      </c>
      <c r="AC68" s="7">
        <v>273904</v>
      </c>
      <c r="AD68" s="7">
        <v>3498643</v>
      </c>
      <c r="AE68" s="7">
        <v>3075077</v>
      </c>
      <c r="AF68" s="7">
        <v>14401431</v>
      </c>
      <c r="AG68" s="7" t="s">
        <v>4174</v>
      </c>
      <c r="AH68" s="7">
        <f>AC68+AE68</f>
        <v>3348981</v>
      </c>
      <c r="AI68" s="7">
        <f>AH68+AF68</f>
        <v>17750412</v>
      </c>
      <c r="AJ68" s="7">
        <v>2021</v>
      </c>
      <c r="AK68" s="7">
        <v>310145</v>
      </c>
      <c r="AL68" s="7">
        <v>3554155</v>
      </c>
      <c r="AM68" s="7">
        <v>3222342</v>
      </c>
      <c r="AN68" s="7">
        <v>15267192</v>
      </c>
      <c r="AO68" s="7">
        <f>AK68+AM68</f>
        <v>3532487</v>
      </c>
      <c r="AP68" s="7">
        <f>AO68+AN68</f>
        <v>18799679</v>
      </c>
      <c r="AQ68" s="7" t="s">
        <v>6888</v>
      </c>
      <c r="AR68" s="7" t="str">
        <f>_xlfn.XLOOKUP(C68,Sheet1!A:A,Sheet1!B:B, "Other")</f>
        <v>North America</v>
      </c>
      <c r="AS68" t="str">
        <f>_xlfn.XLOOKUP(D68,Sheet1!D:D,Sheet1!E:E)</f>
        <v>Telecommunications and media</v>
      </c>
    </row>
    <row r="69" spans="1:45" ht="18" customHeight="1">
      <c r="A69" s="7">
        <v>65</v>
      </c>
      <c r="B69" s="7" t="s">
        <v>1483</v>
      </c>
      <c r="C69" s="7" t="s">
        <v>73</v>
      </c>
      <c r="D69" s="7" t="s">
        <v>85</v>
      </c>
      <c r="E69" s="7" t="s">
        <v>6887</v>
      </c>
      <c r="F69" s="7" t="s">
        <v>6886</v>
      </c>
      <c r="G69" s="122"/>
      <c r="H69" s="7"/>
      <c r="I69" s="7"/>
      <c r="J69" s="122" t="s">
        <v>1960</v>
      </c>
      <c r="K69" s="7"/>
      <c r="L69" s="127" t="s">
        <v>1960</v>
      </c>
      <c r="M69" s="122" t="s">
        <v>4519</v>
      </c>
      <c r="N69" s="7" t="s">
        <v>5131</v>
      </c>
      <c r="O69" s="7">
        <v>2060</v>
      </c>
      <c r="P69" s="7" cm="1">
        <f t="array" ref="P69">IF(O69="", "", IFERROR(MAX(--_xlfn.TEXTSPLIT(O69,"+")), O69))</f>
        <v>2060</v>
      </c>
      <c r="Q69" s="7">
        <v>2021</v>
      </c>
      <c r="R69" s="126" t="s">
        <v>6885</v>
      </c>
      <c r="S69" s="7" t="s">
        <v>1957</v>
      </c>
      <c r="T69" s="7" t="s">
        <v>5131</v>
      </c>
      <c r="U69" s="7">
        <v>2050</v>
      </c>
      <c r="V69" s="7" cm="1">
        <f t="array" ref="V69">IF(U69="", "", IFERROR(MAX(--_xlfn.TEXTSPLIT(U69,"+")), U69))</f>
        <v>2050</v>
      </c>
      <c r="W69" s="7">
        <v>2021</v>
      </c>
      <c r="X69" s="125" t="s">
        <v>6885</v>
      </c>
      <c r="Y69" s="122"/>
      <c r="Z69" s="7"/>
      <c r="AA69" s="109"/>
      <c r="AB69" s="7" t="s">
        <v>5032</v>
      </c>
      <c r="AC69" s="7"/>
      <c r="AD69" s="7"/>
      <c r="AE69" s="7"/>
      <c r="AF69" s="7"/>
      <c r="AG69" s="7" t="s">
        <v>5032</v>
      </c>
      <c r="AH69" s="7"/>
      <c r="AI69" s="7"/>
      <c r="AJ69" s="7" t="s">
        <v>5032</v>
      </c>
      <c r="AK69" s="7"/>
      <c r="AL69" s="7"/>
      <c r="AM69" s="7"/>
      <c r="AN69" s="7"/>
      <c r="AO69" s="7"/>
      <c r="AP69" s="7"/>
      <c r="AQ69" s="7" t="s">
        <v>6885</v>
      </c>
      <c r="AR69" s="7" t="str">
        <f>_xlfn.XLOOKUP(C69,Sheet1!A:A,Sheet1!B:B, "Other")</f>
        <v>Asia</v>
      </c>
      <c r="AS69" t="str">
        <f>_xlfn.XLOOKUP(D69,Sheet1!D:D,Sheet1!E:E)</f>
        <v>Industrial goods</v>
      </c>
    </row>
    <row r="70" spans="1:45" ht="18" customHeight="1">
      <c r="A70" s="7">
        <v>66</v>
      </c>
      <c r="B70" s="7" t="s">
        <v>1753</v>
      </c>
      <c r="C70" s="7" t="s">
        <v>4457</v>
      </c>
      <c r="D70" s="7" t="s">
        <v>342</v>
      </c>
      <c r="E70" s="7" t="s">
        <v>6884</v>
      </c>
      <c r="F70" s="7" t="s">
        <v>6883</v>
      </c>
      <c r="G70" s="122"/>
      <c r="H70" s="7"/>
      <c r="I70" s="7"/>
      <c r="J70" s="122" t="s">
        <v>1960</v>
      </c>
      <c r="K70" s="7"/>
      <c r="L70" s="127" t="s">
        <v>1960</v>
      </c>
      <c r="M70" s="122"/>
      <c r="N70" s="7"/>
      <c r="O70" s="7"/>
      <c r="P70" s="7" t="str" cm="1">
        <f t="array" ref="P70">IF(O70="", "", IFERROR(MAX(--_xlfn.TEXTSPLIT(O70,"+")), O70))</f>
        <v/>
      </c>
      <c r="Q70" s="7"/>
      <c r="R70" s="109"/>
      <c r="S70" s="7"/>
      <c r="T70" s="7"/>
      <c r="U70" s="7"/>
      <c r="V70" s="7" t="str" cm="1">
        <f t="array" ref="V70">IF(U70="", "", IFERROR(MAX(--_xlfn.TEXTSPLIT(U70,"+")), U70))</f>
        <v/>
      </c>
      <c r="W70" s="7"/>
      <c r="X70" s="7"/>
      <c r="Y70" s="122"/>
      <c r="Z70" s="7"/>
      <c r="AA70" s="109"/>
      <c r="AB70" s="7">
        <v>2022</v>
      </c>
      <c r="AC70" s="7">
        <v>323000</v>
      </c>
      <c r="AD70" s="7">
        <v>1218000</v>
      </c>
      <c r="AE70" s="7">
        <v>1177000</v>
      </c>
      <c r="AF70" s="7">
        <v>61000</v>
      </c>
      <c r="AG70" s="7" t="s">
        <v>5032</v>
      </c>
      <c r="AH70" s="7">
        <f>AE70+AC70</f>
        <v>1500000</v>
      </c>
      <c r="AI70" s="7">
        <f>AH70+AF70</f>
        <v>1561000</v>
      </c>
      <c r="AJ70" s="7">
        <v>2021</v>
      </c>
      <c r="AK70" s="7">
        <v>339000</v>
      </c>
      <c r="AL70" s="7">
        <v>1324000</v>
      </c>
      <c r="AM70" s="7">
        <v>1277000</v>
      </c>
      <c r="AN70" s="7">
        <v>56000</v>
      </c>
      <c r="AO70" s="7">
        <f>AM70+AK70</f>
        <v>1616000</v>
      </c>
      <c r="AP70" s="7">
        <f>AO70+AN70</f>
        <v>1672000</v>
      </c>
      <c r="AQ70" s="7" t="s">
        <v>6882</v>
      </c>
      <c r="AR70" s="7" t="str">
        <f>_xlfn.XLOOKUP(C70,Sheet1!A:A,Sheet1!B:B, "Other")</f>
        <v>North America</v>
      </c>
      <c r="AS70" t="str">
        <f>_xlfn.XLOOKUP(D70,Sheet1!D:D,Sheet1!E:E)</f>
        <v>Food, beverages and agriculture</v>
      </c>
    </row>
    <row r="71" spans="1:45" ht="18" customHeight="1">
      <c r="A71" s="7">
        <v>67</v>
      </c>
      <c r="B71" s="7" t="s">
        <v>1731</v>
      </c>
      <c r="C71" s="7" t="s">
        <v>146</v>
      </c>
      <c r="D71" s="7" t="s">
        <v>76</v>
      </c>
      <c r="E71" s="7" t="s">
        <v>6881</v>
      </c>
      <c r="F71" s="7" t="s">
        <v>6880</v>
      </c>
      <c r="G71" s="122" t="s">
        <v>4174</v>
      </c>
      <c r="H71" s="7">
        <v>2023</v>
      </c>
      <c r="I71" s="7">
        <v>2018</v>
      </c>
      <c r="J71" s="122" t="s">
        <v>1957</v>
      </c>
      <c r="K71" s="7"/>
      <c r="L71" s="127">
        <v>2018</v>
      </c>
      <c r="M71" s="122" t="s">
        <v>1957</v>
      </c>
      <c r="N71" s="7" t="s">
        <v>1659</v>
      </c>
      <c r="O71" s="7">
        <v>2012</v>
      </c>
      <c r="P71" s="7" cm="1">
        <f t="array" ref="P71">IF(O71="", "", IFERROR(MAX(--_xlfn.TEXTSPLIT(O71,"+")), O71))</f>
        <v>2012</v>
      </c>
      <c r="Q71" s="7">
        <v>2019</v>
      </c>
      <c r="R71" s="109" t="s">
        <v>6877</v>
      </c>
      <c r="S71" s="7" t="s">
        <v>5387</v>
      </c>
      <c r="T71" s="7" t="s">
        <v>6879</v>
      </c>
      <c r="U71" s="7">
        <v>2030</v>
      </c>
      <c r="V71" s="7" cm="1">
        <f t="array" ref="V71">IF(U71="", "", IFERROR(MAX(--_xlfn.TEXTSPLIT(U71,"+")), U71))</f>
        <v>2030</v>
      </c>
      <c r="W71" s="7">
        <v>2019</v>
      </c>
      <c r="X71" s="7" t="s">
        <v>6877</v>
      </c>
      <c r="Y71" s="122" t="s">
        <v>4174</v>
      </c>
      <c r="Z71" s="7" t="s">
        <v>5941</v>
      </c>
      <c r="AA71" s="109" t="s">
        <v>6878</v>
      </c>
      <c r="AB71" s="7">
        <v>2022</v>
      </c>
      <c r="AC71" s="124">
        <v>30953</v>
      </c>
      <c r="AD71" s="124">
        <v>138339</v>
      </c>
      <c r="AE71" s="124">
        <v>30490</v>
      </c>
      <c r="AF71" s="124">
        <v>92467</v>
      </c>
      <c r="AG71" s="7" t="s">
        <v>5032</v>
      </c>
      <c r="AH71" s="124">
        <f>AE71+AC71</f>
        <v>61443</v>
      </c>
      <c r="AI71" s="124">
        <f>AH71+AF71</f>
        <v>153910</v>
      </c>
      <c r="AJ71" s="7">
        <v>2021</v>
      </c>
      <c r="AK71" s="124">
        <v>28699</v>
      </c>
      <c r="AL71" s="124">
        <v>149599</v>
      </c>
      <c r="AM71" s="124">
        <v>54689</v>
      </c>
      <c r="AN71" s="124">
        <v>55359</v>
      </c>
      <c r="AO71" s="124">
        <f>AM71+AK71</f>
        <v>83388</v>
      </c>
      <c r="AP71" s="124">
        <f>AO71+AN71</f>
        <v>138747</v>
      </c>
      <c r="AQ71" s="7" t="s">
        <v>6877</v>
      </c>
      <c r="AR71" s="7" t="str">
        <f>_xlfn.XLOOKUP(C71,Sheet1!A:A,Sheet1!B:B, "Other")</f>
        <v>Europe</v>
      </c>
      <c r="AS71" t="str">
        <f>_xlfn.XLOOKUP(D71,Sheet1!D:D,Sheet1!E:E)</f>
        <v>Financial services</v>
      </c>
    </row>
    <row r="72" spans="1:45" ht="18" customHeight="1">
      <c r="A72" s="7">
        <v>68</v>
      </c>
      <c r="B72" s="7" t="s">
        <v>1221</v>
      </c>
      <c r="C72" s="7" t="s">
        <v>73</v>
      </c>
      <c r="D72" s="7" t="s">
        <v>454</v>
      </c>
      <c r="E72" s="7" t="s">
        <v>6876</v>
      </c>
      <c r="F72" s="7" t="s">
        <v>6875</v>
      </c>
      <c r="G72" s="122"/>
      <c r="H72" s="7"/>
      <c r="I72" s="7"/>
      <c r="J72" s="122" t="s">
        <v>1957</v>
      </c>
      <c r="K72" s="7"/>
      <c r="L72" s="127">
        <v>2021</v>
      </c>
      <c r="M72" s="122" t="s">
        <v>1957</v>
      </c>
      <c r="N72" s="7" t="s">
        <v>4223</v>
      </c>
      <c r="O72" s="7">
        <v>2030</v>
      </c>
      <c r="P72" s="7" cm="1">
        <f t="array" ref="P72">IF(O72="", "", IFERROR(MAX(--_xlfn.TEXTSPLIT(O72,"+")), O72))</f>
        <v>2030</v>
      </c>
      <c r="Q72" s="7">
        <v>2021</v>
      </c>
      <c r="R72" s="109" t="s">
        <v>4967</v>
      </c>
      <c r="S72" s="7"/>
      <c r="T72" s="7"/>
      <c r="U72" s="7"/>
      <c r="V72" s="7" t="str" cm="1">
        <f t="array" ref="V72">IF(U72="", "", IFERROR(MAX(--_xlfn.TEXTSPLIT(U72,"+")), U72))</f>
        <v/>
      </c>
      <c r="W72" s="7"/>
      <c r="X72" s="7"/>
      <c r="Y72" s="122"/>
      <c r="Z72" s="7"/>
      <c r="AA72" s="109"/>
      <c r="AB72" s="7">
        <v>2021</v>
      </c>
      <c r="AC72" s="7">
        <v>927000</v>
      </c>
      <c r="AD72" s="7"/>
      <c r="AE72" s="7">
        <v>4445000</v>
      </c>
      <c r="AF72" s="7">
        <v>7877000</v>
      </c>
      <c r="AG72" s="7" t="s">
        <v>5032</v>
      </c>
      <c r="AH72" s="7">
        <f>AC72+AE72</f>
        <v>5372000</v>
      </c>
      <c r="AI72" s="7">
        <f>AH72+AF72</f>
        <v>13249000</v>
      </c>
      <c r="AJ72" s="7">
        <v>2020</v>
      </c>
      <c r="AK72" s="7">
        <v>510000</v>
      </c>
      <c r="AL72" s="7"/>
      <c r="AM72" s="7">
        <v>3710000</v>
      </c>
      <c r="AN72" s="7">
        <v>5290000</v>
      </c>
      <c r="AO72" s="7">
        <f>AK72+AM72</f>
        <v>4220000</v>
      </c>
      <c r="AP72" s="7">
        <f>AO72+AN72</f>
        <v>9510000</v>
      </c>
      <c r="AQ72" s="7" t="s">
        <v>6874</v>
      </c>
      <c r="AR72" s="7" t="str">
        <f>_xlfn.XLOOKUP(C72,Sheet1!A:A,Sheet1!B:B, "Other")</f>
        <v>Asia</v>
      </c>
      <c r="AS72" t="str">
        <f>_xlfn.XLOOKUP(D72,Sheet1!D:D,Sheet1!E:E)</f>
        <v>Retail</v>
      </c>
    </row>
    <row r="73" spans="1:45" ht="18" customHeight="1">
      <c r="A73" s="7">
        <v>69</v>
      </c>
      <c r="B73" s="7" t="s">
        <v>911</v>
      </c>
      <c r="C73" s="7" t="s">
        <v>73</v>
      </c>
      <c r="D73" s="7" t="s">
        <v>91</v>
      </c>
      <c r="E73" s="7" t="s">
        <v>6873</v>
      </c>
      <c r="F73" s="7" t="s">
        <v>6872</v>
      </c>
      <c r="G73" s="122"/>
      <c r="H73" s="7"/>
      <c r="I73" s="7"/>
      <c r="J73" s="122" t="s">
        <v>1960</v>
      </c>
      <c r="K73" s="7"/>
      <c r="L73" s="127" t="s">
        <v>1960</v>
      </c>
      <c r="M73" s="122" t="s">
        <v>4519</v>
      </c>
      <c r="N73" s="7"/>
      <c r="O73" s="7">
        <v>2060</v>
      </c>
      <c r="P73" s="7" cm="1">
        <f t="array" ref="P73">IF(O73="", "", IFERROR(MAX(--_xlfn.TEXTSPLIT(O73,"+")), O73))</f>
        <v>2060</v>
      </c>
      <c r="Q73" s="7">
        <v>2021</v>
      </c>
      <c r="R73" s="109" t="s">
        <v>6871</v>
      </c>
      <c r="S73" s="7"/>
      <c r="T73" s="7"/>
      <c r="U73" s="7"/>
      <c r="V73" s="7" t="str" cm="1">
        <f t="array" ref="V73">IF(U73="", "", IFERROR(MAX(--_xlfn.TEXTSPLIT(U73,"+")), U73))</f>
        <v/>
      </c>
      <c r="W73" s="7"/>
      <c r="X73" s="7"/>
      <c r="Y73" s="122"/>
      <c r="Z73" s="7"/>
      <c r="AA73" s="109"/>
      <c r="AB73" s="7">
        <v>2022</v>
      </c>
      <c r="AC73" s="7">
        <v>285727</v>
      </c>
      <c r="AD73" s="7"/>
      <c r="AE73" s="7">
        <v>220443</v>
      </c>
      <c r="AF73" s="7"/>
      <c r="AG73" s="7" t="s">
        <v>5032</v>
      </c>
      <c r="AH73" s="124">
        <f>AE73+AC73</f>
        <v>506170</v>
      </c>
      <c r="AI73" s="132">
        <f>AH73</f>
        <v>506170</v>
      </c>
      <c r="AJ73" s="7">
        <v>2021</v>
      </c>
      <c r="AK73" s="7">
        <v>455.81</v>
      </c>
      <c r="AL73" s="7"/>
      <c r="AM73" s="7">
        <v>7674.22</v>
      </c>
      <c r="AN73" s="7"/>
      <c r="AO73" s="124">
        <f>AK73+AM73</f>
        <v>8130.0300000000007</v>
      </c>
      <c r="AP73" s="7">
        <f>AN73+AO73</f>
        <v>8130.0300000000007</v>
      </c>
      <c r="AQ73" s="7" t="s">
        <v>6870</v>
      </c>
      <c r="AR73" s="7" t="str">
        <f>_xlfn.XLOOKUP(C73,Sheet1!A:A,Sheet1!B:B, "Other")</f>
        <v>Asia</v>
      </c>
      <c r="AS73" t="str">
        <f>_xlfn.XLOOKUP(D73,Sheet1!D:D,Sheet1!E:E)</f>
        <v>Retail</v>
      </c>
    </row>
    <row r="74" spans="1:45" ht="18" customHeight="1">
      <c r="A74" s="7">
        <v>70</v>
      </c>
      <c r="B74" s="7" t="s">
        <v>1768</v>
      </c>
      <c r="C74" s="7" t="s">
        <v>207</v>
      </c>
      <c r="D74" s="7" t="s">
        <v>171</v>
      </c>
      <c r="E74" s="7" t="s">
        <v>6869</v>
      </c>
      <c r="F74" s="7" t="s">
        <v>6868</v>
      </c>
      <c r="G74" s="122"/>
      <c r="H74" s="7"/>
      <c r="I74" s="7"/>
      <c r="J74" s="122" t="s">
        <v>1960</v>
      </c>
      <c r="K74" s="7"/>
      <c r="L74" s="127" t="s">
        <v>1960</v>
      </c>
      <c r="M74" s="122" t="s">
        <v>4172</v>
      </c>
      <c r="N74" s="7" t="s">
        <v>6867</v>
      </c>
      <c r="O74" s="7">
        <v>2050</v>
      </c>
      <c r="P74" s="7" cm="1">
        <f t="array" ref="P74">IF(O74="", "", IFERROR(MAX(--_xlfn.TEXTSPLIT(O74,"+")), O74))</f>
        <v>2050</v>
      </c>
      <c r="Q74" s="7">
        <v>2022</v>
      </c>
      <c r="R74" s="126" t="s">
        <v>6866</v>
      </c>
      <c r="S74" s="7"/>
      <c r="T74" s="7"/>
      <c r="U74" s="7"/>
      <c r="V74" s="7" t="str" cm="1">
        <f t="array" ref="V74">IF(U74="", "", IFERROR(MAX(--_xlfn.TEXTSPLIT(U74,"+")), U74))</f>
        <v/>
      </c>
      <c r="W74" s="7"/>
      <c r="X74" s="7"/>
      <c r="Y74" s="122" t="s">
        <v>4174</v>
      </c>
      <c r="Z74" s="7" t="s">
        <v>6865</v>
      </c>
      <c r="AA74" s="126" t="s">
        <v>6864</v>
      </c>
      <c r="AB74" s="7">
        <v>2022</v>
      </c>
      <c r="AC74" s="7">
        <v>1160000</v>
      </c>
      <c r="AD74" s="7"/>
      <c r="AE74" s="7">
        <v>3140000</v>
      </c>
      <c r="AF74" s="7">
        <f>(228.87+46.85)*1000000</f>
        <v>275720000</v>
      </c>
      <c r="AG74" s="7" t="s">
        <v>4174</v>
      </c>
      <c r="AH74" s="7">
        <f>AC74+AE74</f>
        <v>4300000</v>
      </c>
      <c r="AI74" s="7">
        <f>AH74+AF74</f>
        <v>280020000</v>
      </c>
      <c r="AJ74" s="7">
        <v>2021</v>
      </c>
      <c r="AK74" s="7">
        <v>1120000</v>
      </c>
      <c r="AL74" s="7"/>
      <c r="AM74" s="7">
        <v>3380000</v>
      </c>
      <c r="AN74" s="7">
        <f>(202.21+47.77)*1000000</f>
        <v>249980000.00000003</v>
      </c>
      <c r="AO74" s="7">
        <f>AK74+AM74</f>
        <v>4500000</v>
      </c>
      <c r="AP74" s="7">
        <f>AO74+AN74</f>
        <v>254480000.00000003</v>
      </c>
      <c r="AQ74" s="27" t="s">
        <v>6863</v>
      </c>
      <c r="AR74" s="7" t="str">
        <f>_xlfn.XLOOKUP(C74,Sheet1!A:A,Sheet1!B:B, "Other")</f>
        <v>Asia</v>
      </c>
      <c r="AS74" t="str">
        <f>_xlfn.XLOOKUP(D74,Sheet1!D:D,Sheet1!E:E)</f>
        <v>Automotive</v>
      </c>
    </row>
    <row r="75" spans="1:45" ht="18" customHeight="1">
      <c r="A75" s="7">
        <v>71</v>
      </c>
      <c r="B75" s="7" t="s">
        <v>1645</v>
      </c>
      <c r="C75" s="7" t="s">
        <v>68</v>
      </c>
      <c r="D75" s="7" t="s">
        <v>71</v>
      </c>
      <c r="E75" s="7" t="s">
        <v>6862</v>
      </c>
      <c r="F75" s="7" t="s">
        <v>6861</v>
      </c>
      <c r="G75" s="122"/>
      <c r="H75" s="7"/>
      <c r="I75" s="7"/>
      <c r="J75" s="122" t="s">
        <v>1960</v>
      </c>
      <c r="K75" s="7"/>
      <c r="L75" s="127" t="s">
        <v>1960</v>
      </c>
      <c r="M75" s="122" t="s">
        <v>1957</v>
      </c>
      <c r="N75" s="7" t="s">
        <v>5042</v>
      </c>
      <c r="O75" s="7">
        <v>2050</v>
      </c>
      <c r="P75" s="7" cm="1">
        <f t="array" ref="P75">IF(O75="", "", IFERROR(MAX(--_xlfn.TEXTSPLIT(O75,"+")), O75))</f>
        <v>2050</v>
      </c>
      <c r="Q75" s="7">
        <v>2021</v>
      </c>
      <c r="R75" s="109" t="s">
        <v>6860</v>
      </c>
      <c r="S75" s="7"/>
      <c r="T75" s="7"/>
      <c r="U75" s="7"/>
      <c r="V75" s="7" t="str" cm="1">
        <f t="array" ref="V75">IF(U75="", "", IFERROR(MAX(--_xlfn.TEXTSPLIT(U75,"+")), U75))</f>
        <v/>
      </c>
      <c r="W75" s="7"/>
      <c r="X75" s="7"/>
      <c r="Y75" s="122" t="s">
        <v>4174</v>
      </c>
      <c r="Z75" s="7" t="s">
        <v>6859</v>
      </c>
      <c r="AA75" s="109" t="s">
        <v>6858</v>
      </c>
      <c r="AB75" s="7">
        <v>2022</v>
      </c>
      <c r="AC75" s="7">
        <v>47600000</v>
      </c>
      <c r="AD75" s="7"/>
      <c r="AE75" s="7">
        <v>100000</v>
      </c>
      <c r="AF75" s="7">
        <v>438000000</v>
      </c>
      <c r="AG75" s="7" t="s">
        <v>5032</v>
      </c>
      <c r="AH75" s="7">
        <f>AC75+AE75</f>
        <v>47700000</v>
      </c>
      <c r="AI75" s="7">
        <f>AF75+AH75</f>
        <v>485700000</v>
      </c>
      <c r="AJ75" s="7">
        <v>2021</v>
      </c>
      <c r="AK75" s="7">
        <v>61300000</v>
      </c>
      <c r="AL75" s="7"/>
      <c r="AM75" s="7">
        <v>400000</v>
      </c>
      <c r="AN75" s="7">
        <v>435000000</v>
      </c>
      <c r="AO75" s="7">
        <f>AK75+AM75</f>
        <v>61700000</v>
      </c>
      <c r="AP75" s="7">
        <f>AN75+AO75</f>
        <v>496700000</v>
      </c>
      <c r="AQ75" s="7" t="s">
        <v>6857</v>
      </c>
      <c r="AR75" s="7" t="str">
        <f>_xlfn.XLOOKUP(C75,Sheet1!A:A,Sheet1!B:B, "Other")</f>
        <v>Other</v>
      </c>
      <c r="AS75" t="str">
        <f>_xlfn.XLOOKUP(D75,Sheet1!D:D,Sheet1!E:E)</f>
        <v>Energy and utilities</v>
      </c>
    </row>
    <row r="76" spans="1:45" ht="18" customHeight="1">
      <c r="A76" s="7">
        <v>72</v>
      </c>
      <c r="B76" s="7" t="s">
        <v>1128</v>
      </c>
      <c r="C76" s="7" t="s">
        <v>73</v>
      </c>
      <c r="D76" s="7" t="s">
        <v>71</v>
      </c>
      <c r="E76" s="7" t="s">
        <v>6856</v>
      </c>
      <c r="F76" s="7" t="s">
        <v>6855</v>
      </c>
      <c r="G76" s="122"/>
      <c r="H76" s="7"/>
      <c r="I76" s="7"/>
      <c r="J76" s="122" t="s">
        <v>1960</v>
      </c>
      <c r="K76" s="7"/>
      <c r="L76" s="127" t="s">
        <v>1960</v>
      </c>
      <c r="M76" s="122" t="s">
        <v>4519</v>
      </c>
      <c r="N76" s="7"/>
      <c r="O76" s="7">
        <v>2060</v>
      </c>
      <c r="P76" s="7" cm="1">
        <f t="array" ref="P76">IF(O76="", "", IFERROR(MAX(--_xlfn.TEXTSPLIT(O76,"+")), O76))</f>
        <v>2060</v>
      </c>
      <c r="Q76" s="7">
        <v>2021</v>
      </c>
      <c r="R76" s="109" t="s">
        <v>6854</v>
      </c>
      <c r="S76" s="7"/>
      <c r="T76" s="7"/>
      <c r="U76" s="7"/>
      <c r="V76" s="7" t="str" cm="1">
        <f t="array" ref="V76">IF(U76="", "", IFERROR(MAX(--_xlfn.TEXTSPLIT(U76,"+")), U76))</f>
        <v/>
      </c>
      <c r="W76" s="7"/>
      <c r="X76" s="7"/>
      <c r="Y76" s="122"/>
      <c r="Z76" s="7"/>
      <c r="AA76" s="109"/>
      <c r="AB76" s="7" t="s">
        <v>5032</v>
      </c>
      <c r="AC76" s="7"/>
      <c r="AD76" s="7"/>
      <c r="AE76" s="7"/>
      <c r="AF76" s="7"/>
      <c r="AG76" s="7" t="s">
        <v>5032</v>
      </c>
      <c r="AH76" s="7"/>
      <c r="AI76" s="7"/>
      <c r="AJ76" s="7"/>
      <c r="AK76" s="7"/>
      <c r="AL76" s="7"/>
      <c r="AM76" s="7"/>
      <c r="AN76" s="7"/>
      <c r="AO76" s="7"/>
      <c r="AP76" s="7"/>
      <c r="AQ76" s="7"/>
      <c r="AR76" s="7" t="str">
        <f>_xlfn.XLOOKUP(C76,Sheet1!A:A,Sheet1!B:B, "Other")</f>
        <v>Asia</v>
      </c>
      <c r="AS76" t="str">
        <f>_xlfn.XLOOKUP(D76,Sheet1!D:D,Sheet1!E:E)</f>
        <v>Energy and utilities</v>
      </c>
    </row>
    <row r="77" spans="1:45" ht="18" customHeight="1">
      <c r="A77" s="7">
        <v>73</v>
      </c>
      <c r="B77" s="7" t="s">
        <v>672</v>
      </c>
      <c r="C77" s="7" t="s">
        <v>146</v>
      </c>
      <c r="D77" s="7" t="s">
        <v>71</v>
      </c>
      <c r="E77" s="7" t="s">
        <v>6853</v>
      </c>
      <c r="F77" s="7" t="s">
        <v>6852</v>
      </c>
      <c r="G77" s="122"/>
      <c r="H77" s="7"/>
      <c r="I77" s="7"/>
      <c r="J77" s="122" t="s">
        <v>4183</v>
      </c>
      <c r="K77" s="7">
        <v>2030</v>
      </c>
      <c r="L77" s="127">
        <v>2022</v>
      </c>
      <c r="M77" s="122" t="s">
        <v>4504</v>
      </c>
      <c r="N77" s="7" t="s">
        <v>6851</v>
      </c>
      <c r="O77" s="7" t="s">
        <v>4670</v>
      </c>
      <c r="P77" s="7" cm="1">
        <f t="array" ref="P77">IF(O77="", "", IFERROR(MAX(--_xlfn.TEXTSPLIT(O77,"+")), O77))</f>
        <v>2050</v>
      </c>
      <c r="Q77" s="7">
        <v>2021</v>
      </c>
      <c r="R77" s="109" t="s">
        <v>6850</v>
      </c>
      <c r="S77" s="7"/>
      <c r="T77" s="7"/>
      <c r="U77" s="7"/>
      <c r="V77" s="7" t="str" cm="1">
        <f t="array" ref="V77">IF(U77="", "", IFERROR(MAX(--_xlfn.TEXTSPLIT(U77,"+")), U77))</f>
        <v/>
      </c>
      <c r="W77" s="7"/>
      <c r="X77" s="7"/>
      <c r="Y77" s="122" t="s">
        <v>4174</v>
      </c>
      <c r="Z77" s="7" t="s">
        <v>5037</v>
      </c>
      <c r="AA77" s="109" t="s">
        <v>6849</v>
      </c>
      <c r="AB77" s="7">
        <v>2022</v>
      </c>
      <c r="AC77" s="7">
        <v>2880000</v>
      </c>
      <c r="AD77" s="7">
        <v>3380000</v>
      </c>
      <c r="AE77" s="7">
        <v>5830000</v>
      </c>
      <c r="AF77" s="7">
        <v>82580000</v>
      </c>
      <c r="AG77" s="7" t="s">
        <v>4174</v>
      </c>
      <c r="AH77" s="7">
        <f>AC77+AE77</f>
        <v>8710000</v>
      </c>
      <c r="AI77" s="7">
        <f>AF77+AH77</f>
        <v>91290000</v>
      </c>
      <c r="AJ77" s="7">
        <v>2021</v>
      </c>
      <c r="AK77" s="7">
        <v>3710000</v>
      </c>
      <c r="AL77" s="7">
        <v>3900000</v>
      </c>
      <c r="AM77" s="7">
        <v>5730000</v>
      </c>
      <c r="AN77" s="7">
        <v>103580000</v>
      </c>
      <c r="AO77" s="7">
        <f>AK77+AL77</f>
        <v>7610000</v>
      </c>
      <c r="AP77" s="7">
        <f>AN77+AO77</f>
        <v>111190000</v>
      </c>
      <c r="AQ77" s="7" t="s">
        <v>6848</v>
      </c>
      <c r="AR77" s="7" t="str">
        <f>_xlfn.XLOOKUP(C77,Sheet1!A:A,Sheet1!B:B, "Other")</f>
        <v>Europe</v>
      </c>
      <c r="AS77" t="str">
        <f>_xlfn.XLOOKUP(D77,Sheet1!D:D,Sheet1!E:E)</f>
        <v>Energy and utilities</v>
      </c>
    </row>
    <row r="78" spans="1:45" ht="18" customHeight="1">
      <c r="A78" s="7">
        <v>74</v>
      </c>
      <c r="B78" s="7" t="s">
        <v>1623</v>
      </c>
      <c r="C78" s="7" t="s">
        <v>73</v>
      </c>
      <c r="D78" s="7" t="s">
        <v>573</v>
      </c>
      <c r="E78" s="7" t="s">
        <v>6847</v>
      </c>
      <c r="F78" s="7" t="s">
        <v>6846</v>
      </c>
      <c r="G78" s="122"/>
      <c r="H78" s="7"/>
      <c r="I78" s="7"/>
      <c r="J78" s="122" t="s">
        <v>1960</v>
      </c>
      <c r="K78" s="7"/>
      <c r="L78" s="127" t="s">
        <v>1960</v>
      </c>
      <c r="M78" s="122" t="s">
        <v>4519</v>
      </c>
      <c r="N78" s="7" t="s">
        <v>5131</v>
      </c>
      <c r="O78" s="7">
        <v>2060</v>
      </c>
      <c r="P78" s="7" cm="1">
        <f t="array" ref="P78">IF(O78="", "", IFERROR(MAX(--_xlfn.TEXTSPLIT(O78,"+")), O78))</f>
        <v>2060</v>
      </c>
      <c r="Q78" s="7">
        <v>2021</v>
      </c>
      <c r="R78" s="126" t="s">
        <v>6845</v>
      </c>
      <c r="S78" s="7"/>
      <c r="T78" s="7"/>
      <c r="U78" s="7"/>
      <c r="V78" s="7" t="str" cm="1">
        <f t="array" ref="V78">IF(U78="", "", IFERROR(MAX(--_xlfn.TEXTSPLIT(U78,"+")), U78))</f>
        <v/>
      </c>
      <c r="W78" s="7"/>
      <c r="X78" s="7"/>
      <c r="Y78" s="122"/>
      <c r="Z78" s="7"/>
      <c r="AA78" s="126"/>
      <c r="AB78" s="7">
        <v>2021</v>
      </c>
      <c r="AC78" s="7">
        <v>199141000</v>
      </c>
      <c r="AD78" s="7"/>
      <c r="AE78" s="7">
        <v>6048000</v>
      </c>
      <c r="AF78" s="7"/>
      <c r="AG78" s="7" t="s">
        <v>5032</v>
      </c>
      <c r="AH78" s="7">
        <f>AC78+AE78</f>
        <v>205189000</v>
      </c>
      <c r="AI78" s="7">
        <f>AH78</f>
        <v>205189000</v>
      </c>
      <c r="AJ78" s="7">
        <v>2020</v>
      </c>
      <c r="AK78" s="7">
        <v>208031000</v>
      </c>
      <c r="AL78" s="7"/>
      <c r="AM78" s="7">
        <v>7100000</v>
      </c>
      <c r="AN78" s="7"/>
      <c r="AO78" s="7">
        <f>AM78+AK78</f>
        <v>215131000</v>
      </c>
      <c r="AP78" s="7">
        <f>AO78</f>
        <v>215131000</v>
      </c>
      <c r="AQ78" s="27" t="s">
        <v>6845</v>
      </c>
      <c r="AR78" s="7" t="str">
        <f>_xlfn.XLOOKUP(C78,Sheet1!A:A,Sheet1!B:B, "Other")</f>
        <v>Asia</v>
      </c>
      <c r="AS78" t="str">
        <f>_xlfn.XLOOKUP(D78,Sheet1!D:D,Sheet1!E:E)</f>
        <v>Health care and pharmaceuticals</v>
      </c>
    </row>
    <row r="79" spans="1:45" ht="18" customHeight="1">
      <c r="A79" s="7">
        <v>75</v>
      </c>
      <c r="B79" s="7" t="s">
        <v>1718</v>
      </c>
      <c r="C79" s="7" t="s">
        <v>4457</v>
      </c>
      <c r="D79" s="7" t="s">
        <v>76</v>
      </c>
      <c r="E79" s="7" t="s">
        <v>6844</v>
      </c>
      <c r="F79" s="7" t="s">
        <v>6843</v>
      </c>
      <c r="G79" s="122"/>
      <c r="H79" s="7"/>
      <c r="I79" s="7"/>
      <c r="J79" s="122" t="s">
        <v>1960</v>
      </c>
      <c r="K79" s="7"/>
      <c r="L79" s="127" t="s">
        <v>1960</v>
      </c>
      <c r="M79" s="122"/>
      <c r="N79" s="7"/>
      <c r="O79" s="7"/>
      <c r="P79" s="7" t="str" cm="1">
        <f t="array" ref="P79">IF(O79="", "", IFERROR(MAX(--_xlfn.TEXTSPLIT(O79,"+")), O79))</f>
        <v/>
      </c>
      <c r="Q79" s="7"/>
      <c r="R79" s="109"/>
      <c r="S79" s="7"/>
      <c r="T79" s="7"/>
      <c r="U79" s="7"/>
      <c r="V79" s="7" t="str" cm="1">
        <f t="array" ref="V79">IF(U79="", "", IFERROR(MAX(--_xlfn.TEXTSPLIT(U79,"+")), U79))</f>
        <v/>
      </c>
      <c r="W79" s="7"/>
      <c r="X79" s="7"/>
      <c r="Y79" s="122" t="s">
        <v>4174</v>
      </c>
      <c r="Z79" s="7" t="s">
        <v>6842</v>
      </c>
      <c r="AA79" s="109" t="s">
        <v>6841</v>
      </c>
      <c r="AB79" s="7" t="s">
        <v>5032</v>
      </c>
      <c r="AC79" s="7"/>
      <c r="AD79" s="7"/>
      <c r="AE79" s="7"/>
      <c r="AF79" s="7"/>
      <c r="AG79" s="7" t="s">
        <v>5032</v>
      </c>
      <c r="AH79" s="7"/>
      <c r="AI79" s="7"/>
      <c r="AJ79" s="7"/>
      <c r="AK79" s="7"/>
      <c r="AL79" s="7"/>
      <c r="AM79" s="7"/>
      <c r="AN79" s="7"/>
      <c r="AO79" s="7"/>
      <c r="AP79" s="7"/>
      <c r="AQ79" s="7" t="s">
        <v>6841</v>
      </c>
      <c r="AR79" s="7" t="str">
        <f>_xlfn.XLOOKUP(C79,Sheet1!A:A,Sheet1!B:B, "Other")</f>
        <v>North America</v>
      </c>
      <c r="AS79" t="str">
        <f>_xlfn.XLOOKUP(D79,Sheet1!D:D,Sheet1!E:E)</f>
        <v>Financial services</v>
      </c>
    </row>
    <row r="80" spans="1:45" ht="18" customHeight="1">
      <c r="A80" s="7">
        <v>76</v>
      </c>
      <c r="B80" s="7" t="s">
        <v>1503</v>
      </c>
      <c r="C80" s="7" t="s">
        <v>73</v>
      </c>
      <c r="D80" s="7" t="s">
        <v>71</v>
      </c>
      <c r="E80" s="7" t="s">
        <v>6840</v>
      </c>
      <c r="F80" s="7" t="s">
        <v>6839</v>
      </c>
      <c r="G80" s="122"/>
      <c r="H80" s="7"/>
      <c r="I80" s="7"/>
      <c r="J80" s="122" t="s">
        <v>1960</v>
      </c>
      <c r="K80" s="7"/>
      <c r="L80" s="127" t="s">
        <v>1960</v>
      </c>
      <c r="M80" s="122" t="s">
        <v>4519</v>
      </c>
      <c r="N80" s="7" t="s">
        <v>5131</v>
      </c>
      <c r="O80" s="7">
        <v>2060</v>
      </c>
      <c r="P80" s="7" cm="1">
        <f t="array" ref="P80">IF(O80="", "", IFERROR(MAX(--_xlfn.TEXTSPLIT(O80,"+")), O80))</f>
        <v>2060</v>
      </c>
      <c r="Q80" s="7">
        <v>2021</v>
      </c>
      <c r="R80" s="109" t="s">
        <v>6838</v>
      </c>
      <c r="S80" s="7"/>
      <c r="T80" s="7"/>
      <c r="U80" s="7"/>
      <c r="V80" s="7" t="str" cm="1">
        <f t="array" ref="V80">IF(U80="", "", IFERROR(MAX(--_xlfn.TEXTSPLIT(U80,"+")), U80))</f>
        <v/>
      </c>
      <c r="W80" s="7"/>
      <c r="X80" s="7"/>
      <c r="Y80" s="122"/>
      <c r="Z80" s="7"/>
      <c r="AA80" s="109"/>
      <c r="AB80" s="7" t="s">
        <v>5032</v>
      </c>
      <c r="AC80" s="7"/>
      <c r="AD80" s="7"/>
      <c r="AE80" s="7"/>
      <c r="AF80" s="7"/>
      <c r="AG80" s="7" t="s">
        <v>5032</v>
      </c>
      <c r="AH80" s="7"/>
      <c r="AI80" s="7"/>
      <c r="AJ80" s="7"/>
      <c r="AK80" s="7"/>
      <c r="AL80" s="7"/>
      <c r="AM80" s="7"/>
      <c r="AN80" s="7"/>
      <c r="AO80" s="7"/>
      <c r="AP80" s="7"/>
      <c r="AQ80" s="7" t="s">
        <v>6838</v>
      </c>
      <c r="AR80" s="7" t="str">
        <f>_xlfn.XLOOKUP(C80,Sheet1!A:A,Sheet1!B:B, "Other")</f>
        <v>Asia</v>
      </c>
      <c r="AS80" t="str">
        <f>_xlfn.XLOOKUP(D80,Sheet1!D:D,Sheet1!E:E)</f>
        <v>Energy and utilities</v>
      </c>
    </row>
    <row r="81" spans="1:45" ht="18" customHeight="1">
      <c r="A81" s="7">
        <v>77</v>
      </c>
      <c r="B81" s="7" t="s">
        <v>1642</v>
      </c>
      <c r="C81" s="7" t="s">
        <v>4457</v>
      </c>
      <c r="D81" s="7" t="s">
        <v>461</v>
      </c>
      <c r="E81" s="7" t="s">
        <v>6837</v>
      </c>
      <c r="F81" s="7" t="s">
        <v>6836</v>
      </c>
      <c r="G81" s="122"/>
      <c r="H81" s="7"/>
      <c r="I81" s="7"/>
      <c r="J81" s="122" t="s">
        <v>1957</v>
      </c>
      <c r="K81" s="7"/>
      <c r="L81" s="127">
        <v>2023</v>
      </c>
      <c r="M81" s="122" t="s">
        <v>1957</v>
      </c>
      <c r="N81" s="7" t="s">
        <v>4387</v>
      </c>
      <c r="O81" s="7">
        <v>2035</v>
      </c>
      <c r="P81" s="7" cm="1">
        <f t="array" ref="P81">IF(O81="", "", IFERROR(MAX(--_xlfn.TEXTSPLIT(O81,"+")), O81))</f>
        <v>2035</v>
      </c>
      <c r="Q81" s="7">
        <v>2021</v>
      </c>
      <c r="R81" s="126" t="s">
        <v>4948</v>
      </c>
      <c r="S81" s="7"/>
      <c r="T81" s="7"/>
      <c r="U81" s="7"/>
      <c r="V81" s="7" t="str" cm="1">
        <f t="array" ref="V81">IF(U81="", "", IFERROR(MAX(--_xlfn.TEXTSPLIT(U81,"+")), U81))</f>
        <v/>
      </c>
      <c r="W81" s="7"/>
      <c r="X81" s="7"/>
      <c r="Y81" s="122" t="s">
        <v>4174</v>
      </c>
      <c r="Z81" s="7" t="s">
        <v>6835</v>
      </c>
      <c r="AA81" s="109" t="s">
        <v>6834</v>
      </c>
      <c r="AB81" s="7">
        <v>2022</v>
      </c>
      <c r="AC81" s="7">
        <v>496938</v>
      </c>
      <c r="AD81" s="7">
        <v>1480893</v>
      </c>
      <c r="AE81" s="7">
        <v>1053067</v>
      </c>
      <c r="AF81" s="7" t="s">
        <v>5694</v>
      </c>
      <c r="AG81" s="7" t="s">
        <v>5032</v>
      </c>
      <c r="AH81" s="7">
        <f>AE81+AC81</f>
        <v>1550005</v>
      </c>
      <c r="AI81" s="7">
        <f>AH81</f>
        <v>1550005</v>
      </c>
      <c r="AJ81" s="7">
        <v>2021</v>
      </c>
      <c r="AK81" s="7">
        <v>519288</v>
      </c>
      <c r="AL81" s="7">
        <v>1551747</v>
      </c>
      <c r="AM81" s="7">
        <v>1279751</v>
      </c>
      <c r="AN81" s="7">
        <v>10908927</v>
      </c>
      <c r="AO81" s="7">
        <f>AM81+AK81</f>
        <v>1799039</v>
      </c>
      <c r="AP81" s="7">
        <f>AO81+AN81</f>
        <v>12707966</v>
      </c>
      <c r="AQ81" s="27" t="s">
        <v>6833</v>
      </c>
      <c r="AR81" s="7" t="str">
        <f>_xlfn.XLOOKUP(C81,Sheet1!A:A,Sheet1!B:B, "Other")</f>
        <v>North America</v>
      </c>
      <c r="AS81" t="str">
        <f>_xlfn.XLOOKUP(D81,Sheet1!D:D,Sheet1!E:E)</f>
        <v>Telecommunications and media</v>
      </c>
    </row>
    <row r="82" spans="1:45" ht="18" customHeight="1">
      <c r="A82" s="7">
        <v>78</v>
      </c>
      <c r="B82" s="7" t="s">
        <v>1800</v>
      </c>
      <c r="C82" s="7" t="s">
        <v>4457</v>
      </c>
      <c r="D82" s="7" t="s">
        <v>461</v>
      </c>
      <c r="E82" s="7" t="s">
        <v>6832</v>
      </c>
      <c r="F82" s="7" t="s">
        <v>6831</v>
      </c>
      <c r="G82" s="122"/>
      <c r="H82" s="7"/>
      <c r="I82" s="7"/>
      <c r="J82" s="122" t="s">
        <v>4183</v>
      </c>
      <c r="K82" s="7">
        <v>2030</v>
      </c>
      <c r="L82" s="127">
        <v>2020</v>
      </c>
      <c r="M82" s="122" t="s">
        <v>1957</v>
      </c>
      <c r="N82" s="7" t="s">
        <v>6830</v>
      </c>
      <c r="O82" s="7">
        <v>2035</v>
      </c>
      <c r="P82" s="7" cm="1">
        <f t="array" ref="P82">IF(O82="", "", IFERROR(MAX(--_xlfn.TEXTSPLIT(O82,"+")), O82))</f>
        <v>2035</v>
      </c>
      <c r="Q82" s="7">
        <v>2020</v>
      </c>
      <c r="R82" s="109" t="s">
        <v>6829</v>
      </c>
      <c r="S82" s="7"/>
      <c r="T82" s="7"/>
      <c r="U82" s="7"/>
      <c r="V82" s="7" t="str" cm="1">
        <f t="array" ref="V82">IF(U82="", "", IFERROR(MAX(--_xlfn.TEXTSPLIT(U82,"+")), U82))</f>
        <v/>
      </c>
      <c r="W82" s="7"/>
      <c r="X82" s="7"/>
      <c r="Y82" s="122" t="s">
        <v>4174</v>
      </c>
      <c r="Z82" s="7" t="s">
        <v>5037</v>
      </c>
      <c r="AA82" s="109" t="s">
        <v>6828</v>
      </c>
      <c r="AB82" s="7">
        <v>2022</v>
      </c>
      <c r="AC82" s="124">
        <v>917036</v>
      </c>
      <c r="AD82" s="7"/>
      <c r="AE82" s="124">
        <v>3861164</v>
      </c>
      <c r="AF82" s="124">
        <v>13125209</v>
      </c>
      <c r="AG82" s="7" t="s">
        <v>4174</v>
      </c>
      <c r="AH82" s="124">
        <f>AC82+AE82</f>
        <v>4778200</v>
      </c>
      <c r="AI82" s="124">
        <f>AF82+AH82</f>
        <v>17903409</v>
      </c>
      <c r="AJ82" s="7">
        <v>2021</v>
      </c>
      <c r="AK82" s="124">
        <v>997129</v>
      </c>
      <c r="AL82" s="124"/>
      <c r="AM82" s="124">
        <v>4484480</v>
      </c>
      <c r="AN82" s="124">
        <v>14883962</v>
      </c>
      <c r="AO82" s="124">
        <f>AK82+AM82</f>
        <v>5481609</v>
      </c>
      <c r="AP82" s="124">
        <f>AN82+AO82</f>
        <v>20365571</v>
      </c>
      <c r="AQ82" s="7" t="s">
        <v>6827</v>
      </c>
      <c r="AR82" s="7" t="str">
        <f>_xlfn.XLOOKUP(C82,Sheet1!A:A,Sheet1!B:B, "Other")</f>
        <v>North America</v>
      </c>
      <c r="AS82" t="str">
        <f>_xlfn.XLOOKUP(D82,Sheet1!D:D,Sheet1!E:E)</f>
        <v>Telecommunications and media</v>
      </c>
    </row>
    <row r="83" spans="1:45" ht="18" customHeight="1">
      <c r="A83" s="7">
        <v>79</v>
      </c>
      <c r="B83" s="7" t="s">
        <v>1574</v>
      </c>
      <c r="C83" s="7" t="s">
        <v>146</v>
      </c>
      <c r="D83" s="7" t="s">
        <v>461</v>
      </c>
      <c r="E83" s="7" t="s">
        <v>6826</v>
      </c>
      <c r="F83" s="7" t="s">
        <v>6825</v>
      </c>
      <c r="G83" s="122" t="s">
        <v>4174</v>
      </c>
      <c r="H83" s="7">
        <v>2021</v>
      </c>
      <c r="I83" s="7">
        <v>2019</v>
      </c>
      <c r="J83" s="122" t="s">
        <v>4183</v>
      </c>
      <c r="K83" s="7">
        <v>2030</v>
      </c>
      <c r="L83" s="127">
        <v>2019</v>
      </c>
      <c r="M83" s="122" t="s">
        <v>1957</v>
      </c>
      <c r="N83" s="7" t="s">
        <v>5131</v>
      </c>
      <c r="O83" s="7">
        <v>2025</v>
      </c>
      <c r="P83" s="7" cm="1">
        <f t="array" ref="P83">IF(O83="", "", IFERROR(MAX(--_xlfn.TEXTSPLIT(O83,"+")), O83))</f>
        <v>2025</v>
      </c>
      <c r="Q83" s="7"/>
      <c r="R83" s="109" t="s">
        <v>6821</v>
      </c>
      <c r="S83" s="7" t="s">
        <v>4172</v>
      </c>
      <c r="T83" s="7" t="s">
        <v>1968</v>
      </c>
      <c r="U83" s="7">
        <v>2040</v>
      </c>
      <c r="V83" s="7" cm="1">
        <f t="array" ref="V83">IF(U83="", "", IFERROR(MAX(--_xlfn.TEXTSPLIT(U83,"+")), U83))</f>
        <v>2040</v>
      </c>
      <c r="W83" s="7">
        <v>2021</v>
      </c>
      <c r="X83" s="7" t="s">
        <v>6824</v>
      </c>
      <c r="Y83" s="122" t="s">
        <v>4174</v>
      </c>
      <c r="Z83" s="7" t="s">
        <v>6823</v>
      </c>
      <c r="AA83" s="109" t="s">
        <v>6822</v>
      </c>
      <c r="AB83" s="7">
        <v>2022</v>
      </c>
      <c r="AC83" s="7">
        <v>212044</v>
      </c>
      <c r="AD83" s="7">
        <v>4232913</v>
      </c>
      <c r="AE83" s="7">
        <f>21019+4211894</f>
        <v>4232913</v>
      </c>
      <c r="AF83" s="7">
        <f>12287*1000</f>
        <v>12287000</v>
      </c>
      <c r="AG83" s="7" t="s">
        <v>4174</v>
      </c>
      <c r="AH83" s="7">
        <f>AC83+AE83</f>
        <v>4444957</v>
      </c>
      <c r="AI83" s="7">
        <f>AF83+AH83</f>
        <v>16731957</v>
      </c>
      <c r="AJ83" s="7">
        <v>2021</v>
      </c>
      <c r="AK83" s="7">
        <v>218971</v>
      </c>
      <c r="AL83" s="7">
        <v>4634657</v>
      </c>
      <c r="AM83" s="7">
        <f>27290+4607367</f>
        <v>4634657</v>
      </c>
      <c r="AN83" s="7">
        <f>14776*1000</f>
        <v>14776000</v>
      </c>
      <c r="AO83" s="7">
        <f>AK83+AM83</f>
        <v>4853628</v>
      </c>
      <c r="AP83" s="7">
        <f>AN83+AO83</f>
        <v>19629628</v>
      </c>
      <c r="AQ83" s="7" t="s">
        <v>6821</v>
      </c>
      <c r="AR83" s="7" t="str">
        <f>_xlfn.XLOOKUP(C83,Sheet1!A:A,Sheet1!B:B, "Other")</f>
        <v>Europe</v>
      </c>
      <c r="AS83" t="str">
        <f>_xlfn.XLOOKUP(D83,Sheet1!D:D,Sheet1!E:E)</f>
        <v>Telecommunications and media</v>
      </c>
    </row>
    <row r="84" spans="1:45" ht="18" customHeight="1">
      <c r="A84" s="7">
        <v>80</v>
      </c>
      <c r="B84" s="7" t="s">
        <v>1556</v>
      </c>
      <c r="C84" s="7" t="s">
        <v>121</v>
      </c>
      <c r="D84" s="7" t="s">
        <v>71</v>
      </c>
      <c r="E84" s="7" t="s">
        <v>6820</v>
      </c>
      <c r="F84" s="7" t="s">
        <v>6819</v>
      </c>
      <c r="G84" s="122"/>
      <c r="H84" s="7"/>
      <c r="I84" s="7"/>
      <c r="J84" s="122" t="s">
        <v>1960</v>
      </c>
      <c r="K84" s="7"/>
      <c r="L84" s="127" t="s">
        <v>1960</v>
      </c>
      <c r="M84" s="122"/>
      <c r="N84" s="7"/>
      <c r="O84" s="7"/>
      <c r="P84" s="7" t="str" cm="1">
        <f t="array" ref="P84">IF(O84="", "", IFERROR(MAX(--_xlfn.TEXTSPLIT(O84,"+")), O84))</f>
        <v/>
      </c>
      <c r="Q84" s="7"/>
      <c r="R84" s="109"/>
      <c r="S84" s="7"/>
      <c r="T84" s="7"/>
      <c r="U84" s="7"/>
      <c r="V84" s="7" t="str" cm="1">
        <f t="array" ref="V84">IF(U84="", "", IFERROR(MAX(--_xlfn.TEXTSPLIT(U84,"+")), U84))</f>
        <v/>
      </c>
      <c r="W84" s="7"/>
      <c r="X84" s="7"/>
      <c r="Y84" s="122"/>
      <c r="Z84" s="7"/>
      <c r="AA84" s="109"/>
      <c r="AB84" s="7">
        <v>2021</v>
      </c>
      <c r="AC84" s="7">
        <v>71100000</v>
      </c>
      <c r="AD84" s="7"/>
      <c r="AE84" s="7">
        <v>1750000</v>
      </c>
      <c r="AF84" s="7">
        <v>346960000</v>
      </c>
      <c r="AG84" s="7" t="s">
        <v>5032</v>
      </c>
      <c r="AH84" s="7">
        <f>AC84+AE84</f>
        <v>72850000</v>
      </c>
      <c r="AI84" s="7">
        <f>AF84+AH84</f>
        <v>419810000</v>
      </c>
      <c r="AJ84" s="7">
        <v>2020</v>
      </c>
      <c r="AK84" s="7">
        <v>65800000</v>
      </c>
      <c r="AL84" s="7"/>
      <c r="AM84" s="7">
        <v>1820000</v>
      </c>
      <c r="AN84" s="7">
        <v>363470000</v>
      </c>
      <c r="AO84" s="7">
        <f>AK84+AM84</f>
        <v>67620000</v>
      </c>
      <c r="AP84" s="7">
        <f>AN84+AO84</f>
        <v>431090000</v>
      </c>
      <c r="AQ84" s="7" t="s">
        <v>6818</v>
      </c>
      <c r="AR84" s="7" t="str">
        <f>_xlfn.XLOOKUP(C84,Sheet1!A:A,Sheet1!B:B, "Other")</f>
        <v>North America</v>
      </c>
      <c r="AS84" t="str">
        <f>_xlfn.XLOOKUP(D84,Sheet1!D:D,Sheet1!E:E)</f>
        <v>Energy and utilities</v>
      </c>
    </row>
    <row r="85" spans="1:45" ht="18" customHeight="1">
      <c r="A85" s="7">
        <v>81</v>
      </c>
      <c r="B85" s="7" t="s">
        <v>4954</v>
      </c>
      <c r="C85" s="7" t="s">
        <v>4457</v>
      </c>
      <c r="D85" s="7" t="s">
        <v>186</v>
      </c>
      <c r="E85" s="7" t="s">
        <v>6817</v>
      </c>
      <c r="F85" s="7" t="s">
        <v>6816</v>
      </c>
      <c r="G85" s="122" t="s">
        <v>4174</v>
      </c>
      <c r="H85" s="7">
        <v>2020</v>
      </c>
      <c r="I85" s="7">
        <v>2016</v>
      </c>
      <c r="J85" s="122" t="s">
        <v>1957</v>
      </c>
      <c r="K85" s="7"/>
      <c r="L85" s="127">
        <v>2020</v>
      </c>
      <c r="M85" s="122"/>
      <c r="N85" s="7"/>
      <c r="O85" s="7"/>
      <c r="P85" s="7" t="str" cm="1">
        <f t="array" ref="P85">IF(O85="", "", IFERROR(MAX(--_xlfn.TEXTSPLIT(O85,"+")), O85))</f>
        <v/>
      </c>
      <c r="Q85" s="7"/>
      <c r="R85" s="126"/>
      <c r="S85" s="7" t="s">
        <v>4172</v>
      </c>
      <c r="T85" s="7" t="s">
        <v>2760</v>
      </c>
      <c r="U85" s="7">
        <v>2030</v>
      </c>
      <c r="V85" s="7" cm="1">
        <f t="array" ref="V85">IF(U85="", "", IFERROR(MAX(--_xlfn.TEXTSPLIT(U85,"+")), U85))</f>
        <v>2030</v>
      </c>
      <c r="W85" s="7">
        <v>2021</v>
      </c>
      <c r="X85" s="7" t="s">
        <v>6815</v>
      </c>
      <c r="Y85" s="122"/>
      <c r="Z85" s="7"/>
      <c r="AA85" s="126"/>
      <c r="AB85" s="7">
        <v>2021</v>
      </c>
      <c r="AC85" s="124">
        <v>55000</v>
      </c>
      <c r="AD85" s="7"/>
      <c r="AE85" s="124">
        <v>2000</v>
      </c>
      <c r="AF85" s="124">
        <v>5651000</v>
      </c>
      <c r="AG85" s="7" t="s">
        <v>4174</v>
      </c>
      <c r="AH85" s="124">
        <v>58000</v>
      </c>
      <c r="AI85" s="124">
        <v>9994000</v>
      </c>
      <c r="AJ85" s="7">
        <v>2020</v>
      </c>
      <c r="AK85" s="124">
        <v>29000</v>
      </c>
      <c r="AL85" s="7"/>
      <c r="AM85" s="124">
        <v>9000</v>
      </c>
      <c r="AN85" s="124">
        <v>5091000</v>
      </c>
      <c r="AO85" s="124">
        <f>AK85+AM85</f>
        <v>38000</v>
      </c>
      <c r="AP85" s="124">
        <f>AO85+AN85</f>
        <v>5129000</v>
      </c>
      <c r="AQ85" s="7" t="s">
        <v>6815</v>
      </c>
      <c r="AR85" s="7" t="str">
        <f>_xlfn.XLOOKUP(C85,Sheet1!A:A,Sheet1!B:B, "Other")</f>
        <v>North America</v>
      </c>
      <c r="AS85" t="str">
        <f>_xlfn.XLOOKUP(D85,Sheet1!D:D,Sheet1!E:E)</f>
        <v>Technology</v>
      </c>
    </row>
    <row r="86" spans="1:45" ht="18" customHeight="1">
      <c r="A86" s="7">
        <v>82</v>
      </c>
      <c r="B86" s="7" t="s">
        <v>3873</v>
      </c>
      <c r="C86" s="7" t="s">
        <v>4457</v>
      </c>
      <c r="D86" s="7" t="s">
        <v>76</v>
      </c>
      <c r="E86" s="7" t="s">
        <v>6814</v>
      </c>
      <c r="F86" s="7" t="s">
        <v>6813</v>
      </c>
      <c r="G86" s="122" t="s">
        <v>4174</v>
      </c>
      <c r="H86" s="7">
        <v>2020</v>
      </c>
      <c r="I86" s="7">
        <v>2016</v>
      </c>
      <c r="J86" s="122" t="s">
        <v>1960</v>
      </c>
      <c r="K86" s="7"/>
      <c r="L86" s="127" t="s">
        <v>1960</v>
      </c>
      <c r="M86" s="122" t="s">
        <v>1957</v>
      </c>
      <c r="N86" s="7" t="s">
        <v>1659</v>
      </c>
      <c r="O86" s="7">
        <v>2020</v>
      </c>
      <c r="P86" s="7" cm="1">
        <f t="array" ref="P86">IF(O86="", "", IFERROR(MAX(--_xlfn.TEXTSPLIT(O86,"+")), O86))</f>
        <v>2020</v>
      </c>
      <c r="Q86" s="7">
        <v>2016</v>
      </c>
      <c r="R86" s="109" t="s">
        <v>6812</v>
      </c>
      <c r="S86" s="7" t="s">
        <v>4172</v>
      </c>
      <c r="T86" s="7" t="s">
        <v>4922</v>
      </c>
      <c r="U86" s="7">
        <v>2050</v>
      </c>
      <c r="V86" s="7" cm="1">
        <f t="array" ref="V86">IF(U86="", "", IFERROR(MAX(--_xlfn.TEXTSPLIT(U86,"+")), U86))</f>
        <v>2050</v>
      </c>
      <c r="W86" s="7">
        <v>2021</v>
      </c>
      <c r="X86" s="125" t="s">
        <v>6811</v>
      </c>
      <c r="Y86" s="122" t="s">
        <v>4174</v>
      </c>
      <c r="Z86" s="7" t="s">
        <v>6810</v>
      </c>
      <c r="AA86" s="126" t="s">
        <v>6809</v>
      </c>
      <c r="AB86" s="7">
        <v>2022</v>
      </c>
      <c r="AC86" s="7">
        <v>66775</v>
      </c>
      <c r="AD86" s="7">
        <v>634510</v>
      </c>
      <c r="AE86" s="7">
        <v>17794</v>
      </c>
      <c r="AF86" s="7">
        <f>1336649+51259+146519+128476+16927+80171+250783+1000000+13000</f>
        <v>3023784</v>
      </c>
      <c r="AG86" s="7" t="s">
        <v>5032</v>
      </c>
      <c r="AH86" s="7">
        <f>AC86+AD86</f>
        <v>701285</v>
      </c>
      <c r="AI86" s="7">
        <f>AH86+AF86</f>
        <v>3725069</v>
      </c>
      <c r="AJ86" s="7">
        <v>2021</v>
      </c>
      <c r="AK86" s="7">
        <v>57076</v>
      </c>
      <c r="AL86" s="7">
        <v>601906</v>
      </c>
      <c r="AM86" s="7">
        <v>13886</v>
      </c>
      <c r="AN86" s="7">
        <f>1185052+57381+141748+124780+11757+18822+144625+1000000+3000+9000</f>
        <v>2696165</v>
      </c>
      <c r="AO86" s="7">
        <f>AK86+AL86</f>
        <v>658982</v>
      </c>
      <c r="AP86" s="7">
        <f>AO86+AN86</f>
        <v>3355147</v>
      </c>
      <c r="AQ86" s="7" t="s">
        <v>6808</v>
      </c>
      <c r="AR86" s="7" t="str">
        <f>_xlfn.XLOOKUP(C86,Sheet1!A:A,Sheet1!B:B, "Other")</f>
        <v>North America</v>
      </c>
      <c r="AS86" t="str">
        <f>_xlfn.XLOOKUP(D86,Sheet1!D:D,Sheet1!E:E)</f>
        <v>Financial services</v>
      </c>
    </row>
    <row r="87" spans="1:45" ht="18" customHeight="1">
      <c r="A87" s="7">
        <v>83</v>
      </c>
      <c r="B87" s="7" t="s">
        <v>1485</v>
      </c>
      <c r="C87" s="7" t="s">
        <v>73</v>
      </c>
      <c r="D87" s="7" t="s">
        <v>71</v>
      </c>
      <c r="E87" s="7" t="s">
        <v>6807</v>
      </c>
      <c r="F87" s="7" t="s">
        <v>6806</v>
      </c>
      <c r="G87" s="122"/>
      <c r="H87" s="7"/>
      <c r="I87" s="7"/>
      <c r="J87" s="122" t="s">
        <v>1960</v>
      </c>
      <c r="K87" s="7"/>
      <c r="L87" s="127" t="s">
        <v>1960</v>
      </c>
      <c r="M87" s="122" t="s">
        <v>4519</v>
      </c>
      <c r="N87" s="7" t="s">
        <v>5131</v>
      </c>
      <c r="O87" s="7">
        <v>2060</v>
      </c>
      <c r="P87" s="7" cm="1">
        <f t="array" ref="P87">IF(O87="", "", IFERROR(MAX(--_xlfn.TEXTSPLIT(O87,"+")), O87))</f>
        <v>2060</v>
      </c>
      <c r="Q87" s="7">
        <v>2021</v>
      </c>
      <c r="R87" s="109" t="s">
        <v>6805</v>
      </c>
      <c r="S87" s="7"/>
      <c r="T87" s="7"/>
      <c r="U87" s="7"/>
      <c r="V87" s="7" t="str" cm="1">
        <f t="array" ref="V87">IF(U87="", "", IFERROR(MAX(--_xlfn.TEXTSPLIT(U87,"+")), U87))</f>
        <v/>
      </c>
      <c r="W87" s="7"/>
      <c r="X87" s="7"/>
      <c r="Y87" s="122"/>
      <c r="Z87" s="7"/>
      <c r="AA87" s="109"/>
      <c r="AB87" s="7" t="s">
        <v>5032</v>
      </c>
      <c r="AC87" s="7"/>
      <c r="AD87" s="7"/>
      <c r="AE87" s="7"/>
      <c r="AF87" s="7"/>
      <c r="AG87" s="7" t="s">
        <v>5032</v>
      </c>
      <c r="AH87" s="7"/>
      <c r="AI87" s="7"/>
      <c r="AJ87" s="7"/>
      <c r="AK87" s="7"/>
      <c r="AL87" s="7"/>
      <c r="AM87" s="7"/>
      <c r="AN87" s="7"/>
      <c r="AO87" s="7"/>
      <c r="AP87" s="7"/>
      <c r="AQ87" s="7"/>
      <c r="AR87" s="7" t="str">
        <f>_xlfn.XLOOKUP(C87,Sheet1!A:A,Sheet1!B:B, "Other")</f>
        <v>Asia</v>
      </c>
      <c r="AS87" t="str">
        <f>_xlfn.XLOOKUP(D87,Sheet1!D:D,Sheet1!E:E)</f>
        <v>Energy and utilities</v>
      </c>
    </row>
    <row r="88" spans="1:45" ht="18" customHeight="1">
      <c r="A88" s="7">
        <v>84</v>
      </c>
      <c r="B88" s="7" t="s">
        <v>1754</v>
      </c>
      <c r="C88" s="7" t="s">
        <v>73</v>
      </c>
      <c r="D88" s="7" t="s">
        <v>171</v>
      </c>
      <c r="E88" s="7" t="s">
        <v>6804</v>
      </c>
      <c r="F88" s="7" t="s">
        <v>6803</v>
      </c>
      <c r="G88" s="122"/>
      <c r="H88" s="7"/>
      <c r="I88" s="7"/>
      <c r="J88" s="122" t="s">
        <v>1960</v>
      </c>
      <c r="K88" s="7"/>
      <c r="L88" s="127" t="s">
        <v>1960</v>
      </c>
      <c r="M88" s="122"/>
      <c r="N88" s="7"/>
      <c r="O88" s="7"/>
      <c r="P88" s="7" t="str" cm="1">
        <f t="array" ref="P88">IF(O88="", "", IFERROR(MAX(--_xlfn.TEXTSPLIT(O88,"+")), O88))</f>
        <v/>
      </c>
      <c r="Q88" s="7"/>
      <c r="R88" s="109"/>
      <c r="S88" s="7"/>
      <c r="T88" s="7"/>
      <c r="U88" s="7"/>
      <c r="V88" s="7" t="str" cm="1">
        <f t="array" ref="V88">IF(U88="", "", IFERROR(MAX(--_xlfn.TEXTSPLIT(U88,"+")), U88))</f>
        <v/>
      </c>
      <c r="W88" s="7"/>
      <c r="X88" s="7"/>
      <c r="Y88" s="122"/>
      <c r="Z88" s="7"/>
      <c r="AA88" s="109"/>
      <c r="AB88" s="7">
        <v>2021</v>
      </c>
      <c r="AC88" s="7">
        <v>850</v>
      </c>
      <c r="AD88" s="7"/>
      <c r="AE88" s="124">
        <v>9583</v>
      </c>
      <c r="AF88" s="7"/>
      <c r="AG88" s="7" t="s">
        <v>5032</v>
      </c>
      <c r="AH88" s="124">
        <f>AC88+AE88</f>
        <v>10433</v>
      </c>
      <c r="AI88" s="124">
        <f>AC88+AE88</f>
        <v>10433</v>
      </c>
      <c r="AJ88" s="7">
        <v>2020</v>
      </c>
      <c r="AK88" s="7">
        <v>611</v>
      </c>
      <c r="AL88" s="7"/>
      <c r="AM88" s="124">
        <v>11109</v>
      </c>
      <c r="AN88" s="7"/>
      <c r="AO88" s="124">
        <f>AK88+AM88</f>
        <v>11720</v>
      </c>
      <c r="AP88" s="124">
        <f>AO88</f>
        <v>11720</v>
      </c>
      <c r="AQ88" s="7" t="s">
        <v>6802</v>
      </c>
      <c r="AR88" s="7" t="str">
        <f>_xlfn.XLOOKUP(C88,Sheet1!A:A,Sheet1!B:B, "Other")</f>
        <v>Asia</v>
      </c>
      <c r="AS88" t="str">
        <f>_xlfn.XLOOKUP(D88,Sheet1!D:D,Sheet1!E:E)</f>
        <v>Automotive</v>
      </c>
    </row>
    <row r="89" spans="1:45" ht="18" customHeight="1">
      <c r="A89" s="7">
        <v>85</v>
      </c>
      <c r="B89" s="7" t="s">
        <v>1558</v>
      </c>
      <c r="C89" s="7" t="s">
        <v>114</v>
      </c>
      <c r="D89" s="7" t="s">
        <v>171</v>
      </c>
      <c r="E89" s="7" t="s">
        <v>6801</v>
      </c>
      <c r="F89" s="7" t="s">
        <v>6800</v>
      </c>
      <c r="G89" s="122" t="s">
        <v>4174</v>
      </c>
      <c r="H89" s="7">
        <v>2045</v>
      </c>
      <c r="I89" s="7">
        <v>2022</v>
      </c>
      <c r="J89" s="122" t="s">
        <v>1960</v>
      </c>
      <c r="K89" s="7"/>
      <c r="L89" s="127"/>
      <c r="M89" s="122"/>
      <c r="N89" s="7"/>
      <c r="O89" s="7"/>
      <c r="P89" s="7" t="str" cm="1">
        <f t="array" ref="P89">IF(O89="", "", IFERROR(MAX(--_xlfn.TEXTSPLIT(O89,"+")), O89))</f>
        <v/>
      </c>
      <c r="Q89" s="7"/>
      <c r="R89" s="126"/>
      <c r="S89" s="7" t="s">
        <v>4172</v>
      </c>
      <c r="T89" s="7" t="s">
        <v>6799</v>
      </c>
      <c r="U89" s="7">
        <v>2045</v>
      </c>
      <c r="V89" s="7" cm="1">
        <f t="array" ref="V89">IF(U89="", "", IFERROR(MAX(--_xlfn.TEXTSPLIT(U89,"+")), U89))</f>
        <v>2045</v>
      </c>
      <c r="W89" s="7">
        <v>2021</v>
      </c>
      <c r="X89" s="7" t="s">
        <v>6798</v>
      </c>
      <c r="Y89" s="122"/>
      <c r="Z89" s="7"/>
      <c r="AA89" s="109"/>
      <c r="AB89" s="7">
        <v>2021</v>
      </c>
      <c r="AC89" s="124">
        <v>723966</v>
      </c>
      <c r="AD89" s="124">
        <v>1660238</v>
      </c>
      <c r="AE89" s="124"/>
      <c r="AF89" s="124">
        <v>101790793</v>
      </c>
      <c r="AG89" s="7" t="s">
        <v>4174</v>
      </c>
      <c r="AH89" s="124">
        <v>2384204</v>
      </c>
      <c r="AI89" s="124">
        <f>AH89+AF89</f>
        <v>104174997</v>
      </c>
      <c r="AJ89" s="7">
        <v>2020</v>
      </c>
      <c r="AK89" s="124">
        <v>716237</v>
      </c>
      <c r="AL89" s="124">
        <v>1680079</v>
      </c>
      <c r="AM89" s="124"/>
      <c r="AN89" s="124">
        <v>100536484</v>
      </c>
      <c r="AO89" s="124">
        <v>2396316</v>
      </c>
      <c r="AP89" s="124">
        <f>AO89+AN89</f>
        <v>102932800</v>
      </c>
      <c r="AQ89" s="7" t="s">
        <v>6797</v>
      </c>
      <c r="AR89" s="7" t="str">
        <f>_xlfn.XLOOKUP(C89,Sheet1!A:A,Sheet1!B:B, "Other")</f>
        <v>Asia</v>
      </c>
      <c r="AS89" t="str">
        <f>_xlfn.XLOOKUP(D89,Sheet1!D:D,Sheet1!E:E)</f>
        <v>Automotive</v>
      </c>
    </row>
    <row r="90" spans="1:45" ht="18" customHeight="1">
      <c r="A90" s="7">
        <v>86</v>
      </c>
      <c r="B90" s="7" t="s">
        <v>1534</v>
      </c>
      <c r="C90" s="7" t="s">
        <v>73</v>
      </c>
      <c r="D90" s="7" t="s">
        <v>178</v>
      </c>
      <c r="E90" s="7" t="s">
        <v>6796</v>
      </c>
      <c r="F90" s="7" t="s">
        <v>6795</v>
      </c>
      <c r="G90" s="122"/>
      <c r="H90" s="7"/>
      <c r="I90" s="7"/>
      <c r="J90" s="122" t="s">
        <v>1960</v>
      </c>
      <c r="K90" s="7"/>
      <c r="L90" s="127" t="s">
        <v>1960</v>
      </c>
      <c r="M90" s="122" t="s">
        <v>4519</v>
      </c>
      <c r="N90" s="7"/>
      <c r="O90" s="7">
        <v>2060</v>
      </c>
      <c r="P90" s="7" cm="1">
        <f t="array" ref="P90">IF(O90="", "", IFERROR(MAX(--_xlfn.TEXTSPLIT(O90,"+")), O90))</f>
        <v>2060</v>
      </c>
      <c r="Q90" s="7">
        <v>2021</v>
      </c>
      <c r="R90" s="109" t="s">
        <v>6794</v>
      </c>
      <c r="S90" s="7"/>
      <c r="T90" s="7"/>
      <c r="U90" s="7"/>
      <c r="V90" s="7" t="str" cm="1">
        <f t="array" ref="V90">IF(U90="", "", IFERROR(MAX(--_xlfn.TEXTSPLIT(U90,"+")), U90))</f>
        <v/>
      </c>
      <c r="W90" s="7"/>
      <c r="X90" s="7"/>
      <c r="Y90" s="122"/>
      <c r="Z90" s="7"/>
      <c r="AA90" s="109"/>
      <c r="AB90" s="7" t="s">
        <v>5032</v>
      </c>
      <c r="AC90" s="7"/>
      <c r="AD90" s="7"/>
      <c r="AE90" s="7"/>
      <c r="AF90" s="7"/>
      <c r="AG90" s="7" t="s">
        <v>5032</v>
      </c>
      <c r="AH90" s="7"/>
      <c r="AI90" s="7"/>
      <c r="AJ90" s="7"/>
      <c r="AK90" s="7"/>
      <c r="AL90" s="7"/>
      <c r="AM90" s="7"/>
      <c r="AN90" s="7"/>
      <c r="AO90" s="7"/>
      <c r="AP90" s="7"/>
      <c r="AQ90" s="7"/>
      <c r="AR90" s="7" t="str">
        <f>_xlfn.XLOOKUP(C90,Sheet1!A:A,Sheet1!B:B, "Other")</f>
        <v>Asia</v>
      </c>
      <c r="AS90" t="str">
        <f>_xlfn.XLOOKUP(D90,Sheet1!D:D,Sheet1!E:E)</f>
        <v>Transportation and logistics</v>
      </c>
    </row>
    <row r="91" spans="1:45" ht="18" customHeight="1">
      <c r="A91" s="7">
        <v>87</v>
      </c>
      <c r="B91" s="7" t="s">
        <v>1387</v>
      </c>
      <c r="C91" s="7" t="s">
        <v>73</v>
      </c>
      <c r="D91" s="7" t="s">
        <v>91</v>
      </c>
      <c r="E91" s="7" t="s">
        <v>6793</v>
      </c>
      <c r="F91" s="7" t="s">
        <v>6792</v>
      </c>
      <c r="G91" s="122"/>
      <c r="H91" s="7"/>
      <c r="I91" s="7"/>
      <c r="J91" s="122" t="s">
        <v>1960</v>
      </c>
      <c r="K91" s="7"/>
      <c r="L91" s="127" t="s">
        <v>1960</v>
      </c>
      <c r="M91" s="122" t="s">
        <v>4519</v>
      </c>
      <c r="N91" s="7" t="s">
        <v>5131</v>
      </c>
      <c r="O91" s="7">
        <v>2060</v>
      </c>
      <c r="P91" s="7" cm="1">
        <f t="array" ref="P91">IF(O91="", "", IFERROR(MAX(--_xlfn.TEXTSPLIT(O91,"+")), O91))</f>
        <v>2060</v>
      </c>
      <c r="Q91" s="7">
        <v>2021</v>
      </c>
      <c r="R91" s="109" t="s">
        <v>6791</v>
      </c>
      <c r="S91" s="7"/>
      <c r="T91" s="7"/>
      <c r="U91" s="7"/>
      <c r="V91" s="7" t="str" cm="1">
        <f t="array" ref="V91">IF(U91="", "", IFERROR(MAX(--_xlfn.TEXTSPLIT(U91,"+")), U91))</f>
        <v/>
      </c>
      <c r="W91" s="7"/>
      <c r="X91" s="7"/>
      <c r="Y91" s="122"/>
      <c r="Z91" s="7"/>
      <c r="AA91" s="109"/>
      <c r="AB91" s="7" t="s">
        <v>5032</v>
      </c>
      <c r="AC91" s="7"/>
      <c r="AD91" s="7"/>
      <c r="AE91" s="7"/>
      <c r="AF91" s="7"/>
      <c r="AG91" s="7" t="s">
        <v>5032</v>
      </c>
      <c r="AH91" s="7"/>
      <c r="AI91" s="7"/>
      <c r="AJ91" s="7"/>
      <c r="AK91" s="7"/>
      <c r="AL91" s="7"/>
      <c r="AM91" s="7"/>
      <c r="AN91" s="7"/>
      <c r="AO91" s="7"/>
      <c r="AP91" s="7"/>
      <c r="AQ91" s="7"/>
      <c r="AR91" s="7" t="str">
        <f>_xlfn.XLOOKUP(C91,Sheet1!A:A,Sheet1!B:B, "Other")</f>
        <v>Asia</v>
      </c>
      <c r="AS91" t="str">
        <f>_xlfn.XLOOKUP(D91,Sheet1!D:D,Sheet1!E:E)</f>
        <v>Retail</v>
      </c>
    </row>
    <row r="92" spans="1:45" ht="18" customHeight="1">
      <c r="A92" s="7">
        <v>88</v>
      </c>
      <c r="B92" s="7" t="s">
        <v>1505</v>
      </c>
      <c r="C92" s="7" t="s">
        <v>87</v>
      </c>
      <c r="D92" s="7" t="s">
        <v>71</v>
      </c>
      <c r="E92" s="7" t="s">
        <v>6790</v>
      </c>
      <c r="F92" s="7" t="s">
        <v>6789</v>
      </c>
      <c r="G92" s="122"/>
      <c r="H92" s="7"/>
      <c r="I92" s="7"/>
      <c r="J92" s="122" t="s">
        <v>1960</v>
      </c>
      <c r="K92" s="7"/>
      <c r="L92" s="127" t="s">
        <v>1960</v>
      </c>
      <c r="M92" s="122"/>
      <c r="N92" s="7"/>
      <c r="O92" s="7"/>
      <c r="P92" s="7" t="str" cm="1">
        <f t="array" ref="P92">IF(O92="", "", IFERROR(MAX(--_xlfn.TEXTSPLIT(O92,"+")), O92))</f>
        <v/>
      </c>
      <c r="Q92" s="7"/>
      <c r="R92" s="109"/>
      <c r="S92" s="7" t="s">
        <v>1957</v>
      </c>
      <c r="T92" s="7" t="s">
        <v>6788</v>
      </c>
      <c r="U92" s="7">
        <v>2035</v>
      </c>
      <c r="V92" s="7" cm="1">
        <f t="array" ref="V92">IF(U92="", "", IFERROR(MAX(--_xlfn.TEXTSPLIT(U92,"+")), U92))</f>
        <v>2035</v>
      </c>
      <c r="W92" s="7">
        <v>2022</v>
      </c>
      <c r="X92" s="7" t="s">
        <v>6787</v>
      </c>
      <c r="Y92" s="122"/>
      <c r="Z92" s="7"/>
      <c r="AA92" s="109"/>
      <c r="AB92" s="7">
        <v>2022</v>
      </c>
      <c r="AC92" s="7">
        <v>43960000</v>
      </c>
      <c r="AD92" s="7"/>
      <c r="AE92" s="7">
        <v>1190000</v>
      </c>
      <c r="AF92" s="7">
        <v>4550000</v>
      </c>
      <c r="AG92" s="7" t="s">
        <v>5032</v>
      </c>
      <c r="AH92" s="7">
        <f>AC92+AE92</f>
        <v>45150000</v>
      </c>
      <c r="AI92" s="7">
        <f>AH92+AF92</f>
        <v>49700000</v>
      </c>
      <c r="AJ92" s="7">
        <v>2021</v>
      </c>
      <c r="AK92" s="7">
        <v>44670000</v>
      </c>
      <c r="AL92" s="7"/>
      <c r="AM92" s="7">
        <v>1250000</v>
      </c>
      <c r="AN92" s="7"/>
      <c r="AO92" s="7">
        <f>AK92+AM92</f>
        <v>45920000</v>
      </c>
      <c r="AP92" s="7">
        <f>AO92</f>
        <v>45920000</v>
      </c>
      <c r="AQ92" s="7" t="s">
        <v>6786</v>
      </c>
      <c r="AR92" s="7" t="str">
        <f>_xlfn.XLOOKUP(C92,Sheet1!A:A,Sheet1!B:B, "Other")</f>
        <v>Asia</v>
      </c>
      <c r="AS92" t="str">
        <f>_xlfn.XLOOKUP(D92,Sheet1!D:D,Sheet1!E:E)</f>
        <v>Energy and utilities</v>
      </c>
    </row>
    <row r="93" spans="1:45" ht="18" customHeight="1">
      <c r="A93" s="7">
        <v>89</v>
      </c>
      <c r="B93" s="7" t="s">
        <v>1416</v>
      </c>
      <c r="C93" s="7" t="s">
        <v>63</v>
      </c>
      <c r="D93" s="7" t="s">
        <v>71</v>
      </c>
      <c r="E93" s="7" t="s">
        <v>6785</v>
      </c>
      <c r="F93" s="7" t="s">
        <v>6784</v>
      </c>
      <c r="G93" s="122"/>
      <c r="H93" s="7"/>
      <c r="I93" s="7"/>
      <c r="J93" s="122" t="s">
        <v>4183</v>
      </c>
      <c r="K93" s="7">
        <v>2030</v>
      </c>
      <c r="L93" s="127">
        <v>2023</v>
      </c>
      <c r="M93" s="122"/>
      <c r="N93" s="7"/>
      <c r="O93" s="7"/>
      <c r="P93" s="7" t="str" cm="1">
        <f t="array" ref="P93">IF(O93="", "", IFERROR(MAX(--_xlfn.TEXTSPLIT(O93,"+")), O93))</f>
        <v/>
      </c>
      <c r="Q93" s="7"/>
      <c r="R93" s="109"/>
      <c r="S93" s="7" t="s">
        <v>4172</v>
      </c>
      <c r="T93" s="7" t="s">
        <v>1968</v>
      </c>
      <c r="U93" s="7">
        <v>2045</v>
      </c>
      <c r="V93" s="7" cm="1">
        <f t="array" ref="V93">IF(U93="", "", IFERROR(MAX(--_xlfn.TEXTSPLIT(U93,"+")), U93))</f>
        <v>2045</v>
      </c>
      <c r="W93" s="7">
        <v>2021</v>
      </c>
      <c r="X93" s="7" t="s">
        <v>6783</v>
      </c>
      <c r="Y93" s="122"/>
      <c r="Z93" s="7"/>
      <c r="AA93" s="109"/>
      <c r="AB93" s="7">
        <v>2022</v>
      </c>
      <c r="AC93" s="7">
        <v>29800000</v>
      </c>
      <c r="AD93" s="7"/>
      <c r="AE93" s="7">
        <v>700000</v>
      </c>
      <c r="AF93" s="7">
        <v>143700000</v>
      </c>
      <c r="AG93" s="7" t="s">
        <v>4174</v>
      </c>
      <c r="AH93" s="7">
        <f>AC93+AE93</f>
        <v>30500000</v>
      </c>
      <c r="AI93" s="7">
        <f>AF93+AH93</f>
        <v>174200000</v>
      </c>
      <c r="AJ93" s="7">
        <v>2021</v>
      </c>
      <c r="AK93" s="7">
        <v>35800000</v>
      </c>
      <c r="AL93" s="7"/>
      <c r="AM93" s="7">
        <v>500000</v>
      </c>
      <c r="AN93" s="7">
        <v>122400000</v>
      </c>
      <c r="AO93" s="7">
        <f>AK93+AM93</f>
        <v>36300000</v>
      </c>
      <c r="AP93" s="7">
        <f>AO93+AN93</f>
        <v>158700000</v>
      </c>
      <c r="AQ93" s="7" t="s">
        <v>6782</v>
      </c>
      <c r="AR93" s="7" t="str">
        <f>_xlfn.XLOOKUP(C93,Sheet1!A:A,Sheet1!B:B, "Other")</f>
        <v>Europe</v>
      </c>
      <c r="AS93" t="str">
        <f>_xlfn.XLOOKUP(D93,Sheet1!D:D,Sheet1!E:E)</f>
        <v>Energy and utilities</v>
      </c>
    </row>
    <row r="94" spans="1:45" ht="18" customHeight="1">
      <c r="A94" s="7">
        <v>90</v>
      </c>
      <c r="B94" s="7" t="s">
        <v>1432</v>
      </c>
      <c r="C94" s="7" t="s">
        <v>4457</v>
      </c>
      <c r="D94" s="7" t="s">
        <v>454</v>
      </c>
      <c r="E94" s="7" t="s">
        <v>6781</v>
      </c>
      <c r="F94" s="7" t="s">
        <v>6780</v>
      </c>
      <c r="G94" s="122" t="s">
        <v>4174</v>
      </c>
      <c r="H94" s="7">
        <v>2030</v>
      </c>
      <c r="I94" s="7">
        <v>2019</v>
      </c>
      <c r="J94" s="122" t="s">
        <v>4183</v>
      </c>
      <c r="K94" s="7">
        <v>2030</v>
      </c>
      <c r="L94" s="127">
        <v>2019</v>
      </c>
      <c r="M94" s="122"/>
      <c r="N94" s="7"/>
      <c r="O94" s="7"/>
      <c r="P94" s="7" t="str" cm="1">
        <f t="array" ref="P94">IF(O94="", "", IFERROR(MAX(--_xlfn.TEXTSPLIT(O94,"+")), O94))</f>
        <v/>
      </c>
      <c r="Q94" s="7"/>
      <c r="R94" s="109"/>
      <c r="S94" s="7" t="s">
        <v>4172</v>
      </c>
      <c r="T94" s="7" t="s">
        <v>4302</v>
      </c>
      <c r="U94" s="7">
        <v>2040</v>
      </c>
      <c r="V94" s="7" cm="1">
        <f t="array" ref="V94">IF(U94="", "", IFERROR(MAX(--_xlfn.TEXTSPLIT(U94,"+")), U94))</f>
        <v>2040</v>
      </c>
      <c r="W94" s="7">
        <v>2021</v>
      </c>
      <c r="X94" s="7" t="s">
        <v>6778</v>
      </c>
      <c r="Y94" s="122" t="s">
        <v>4174</v>
      </c>
      <c r="Z94" s="7" t="s">
        <v>5094</v>
      </c>
      <c r="AA94" s="109" t="s">
        <v>6779</v>
      </c>
      <c r="AB94" s="7">
        <v>2021</v>
      </c>
      <c r="AC94" s="7">
        <f>2159457-1424658</f>
        <v>734799</v>
      </c>
      <c r="AD94" s="124">
        <v>1424658</v>
      </c>
      <c r="AE94" s="124">
        <v>1011943</v>
      </c>
      <c r="AF94" s="124">
        <v>60664000</v>
      </c>
      <c r="AG94" s="7" t="s">
        <v>4174</v>
      </c>
      <c r="AH94" s="124">
        <v>1746742</v>
      </c>
      <c r="AI94" s="124">
        <f>AH94+AF94</f>
        <v>62410742</v>
      </c>
      <c r="AJ94" s="7">
        <v>2020</v>
      </c>
      <c r="AK94" s="124">
        <f>AO94-AM94</f>
        <v>1008533</v>
      </c>
      <c r="AL94" s="124">
        <v>1492208</v>
      </c>
      <c r="AM94" s="124">
        <v>1183552</v>
      </c>
      <c r="AN94" s="124">
        <v>56645000</v>
      </c>
      <c r="AO94" s="124">
        <v>2192085</v>
      </c>
      <c r="AP94" s="124">
        <f>AN94+AO94</f>
        <v>58837085</v>
      </c>
      <c r="AQ94" s="7" t="s">
        <v>6778</v>
      </c>
      <c r="AR94" s="7" t="str">
        <f>_xlfn.XLOOKUP(C94,Sheet1!A:A,Sheet1!B:B, "Other")</f>
        <v>North America</v>
      </c>
      <c r="AS94" t="str">
        <f>_xlfn.XLOOKUP(D94,Sheet1!D:D,Sheet1!E:E)</f>
        <v>Retail</v>
      </c>
    </row>
    <row r="95" spans="1:45" ht="18" customHeight="1">
      <c r="A95" s="7">
        <v>91</v>
      </c>
      <c r="B95" s="7" t="s">
        <v>1725</v>
      </c>
      <c r="C95" s="7" t="s">
        <v>63</v>
      </c>
      <c r="D95" s="7" t="s">
        <v>76</v>
      </c>
      <c r="E95" s="7" t="s">
        <v>6777</v>
      </c>
      <c r="F95" s="7" t="s">
        <v>6776</v>
      </c>
      <c r="G95" s="122" t="s">
        <v>4174</v>
      </c>
      <c r="H95" s="7">
        <v>2025</v>
      </c>
      <c r="I95" s="7">
        <v>2017</v>
      </c>
      <c r="J95" s="122" t="s">
        <v>1957</v>
      </c>
      <c r="K95" s="7"/>
      <c r="L95" s="127">
        <v>2015</v>
      </c>
      <c r="M95" s="122" t="s">
        <v>1957</v>
      </c>
      <c r="N95" s="7" t="s">
        <v>4223</v>
      </c>
      <c r="O95" s="7">
        <v>2025</v>
      </c>
      <c r="P95" s="7" cm="1">
        <f t="array" ref="P95">IF(O95="", "", IFERROR(MAX(--_xlfn.TEXTSPLIT(O95,"+")), O95))</f>
        <v>2025</v>
      </c>
      <c r="Q95" s="7">
        <v>2019</v>
      </c>
      <c r="R95" s="109" t="s">
        <v>6775</v>
      </c>
      <c r="S95" s="7" t="s">
        <v>4172</v>
      </c>
      <c r="T95" s="7" t="s">
        <v>4381</v>
      </c>
      <c r="U95" s="7">
        <v>2050</v>
      </c>
      <c r="V95" s="7" cm="1">
        <f t="array" ref="V95">IF(U95="", "", IFERROR(MAX(--_xlfn.TEXTSPLIT(U95,"+")), U95))</f>
        <v>2050</v>
      </c>
      <c r="W95" s="7">
        <v>2020</v>
      </c>
      <c r="X95" s="7" t="s">
        <v>6774</v>
      </c>
      <c r="Y95" s="122" t="s">
        <v>4174</v>
      </c>
      <c r="Z95" s="7" t="s">
        <v>5303</v>
      </c>
      <c r="AA95" s="126" t="s">
        <v>6773</v>
      </c>
      <c r="AB95" s="7">
        <v>2022</v>
      </c>
      <c r="AC95" s="124">
        <v>23280</v>
      </c>
      <c r="AD95" s="124">
        <v>61136</v>
      </c>
      <c r="AE95" s="124">
        <v>39370</v>
      </c>
      <c r="AF95" s="124">
        <v>167549</v>
      </c>
      <c r="AG95" s="7" t="s">
        <v>5032</v>
      </c>
      <c r="AH95" s="124">
        <f>AE95+AC95</f>
        <v>62650</v>
      </c>
      <c r="AI95" s="124">
        <v>230200</v>
      </c>
      <c r="AJ95" s="7">
        <v>2021</v>
      </c>
      <c r="AK95" s="124">
        <v>23362</v>
      </c>
      <c r="AL95" s="124">
        <v>53492</v>
      </c>
      <c r="AM95" s="124">
        <v>31997</v>
      </c>
      <c r="AN95" s="124">
        <v>108432</v>
      </c>
      <c r="AO95" s="124">
        <f>AK95+AM95</f>
        <v>55359</v>
      </c>
      <c r="AP95" s="124">
        <v>163791</v>
      </c>
      <c r="AQ95" s="7" t="s">
        <v>6772</v>
      </c>
      <c r="AR95" s="7" t="str">
        <f>_xlfn.XLOOKUP(C95,Sheet1!A:A,Sheet1!B:B, "Other")</f>
        <v>Europe</v>
      </c>
      <c r="AS95" t="str">
        <f>_xlfn.XLOOKUP(D95,Sheet1!D:D,Sheet1!E:E)</f>
        <v>Financial services</v>
      </c>
    </row>
    <row r="96" spans="1:45" ht="18" customHeight="1">
      <c r="A96" s="7">
        <v>92</v>
      </c>
      <c r="B96" s="7" t="s">
        <v>4905</v>
      </c>
      <c r="C96" s="7" t="s">
        <v>114</v>
      </c>
      <c r="D96" s="7" t="s">
        <v>71</v>
      </c>
      <c r="E96" s="7" t="s">
        <v>6771</v>
      </c>
      <c r="F96" s="7" t="s">
        <v>6770</v>
      </c>
      <c r="G96" s="122"/>
      <c r="H96" s="7"/>
      <c r="I96" s="7"/>
      <c r="J96" s="122" t="s">
        <v>1960</v>
      </c>
      <c r="K96" s="7"/>
      <c r="L96" s="127" t="s">
        <v>1960</v>
      </c>
      <c r="M96" s="122"/>
      <c r="N96" s="7"/>
      <c r="O96" s="7"/>
      <c r="P96" s="7" t="str" cm="1">
        <f t="array" ref="P96">IF(O96="", "", IFERROR(MAX(--_xlfn.TEXTSPLIT(O96,"+")), O96))</f>
        <v/>
      </c>
      <c r="Q96" s="7"/>
      <c r="R96" s="109"/>
      <c r="S96" s="7" t="s">
        <v>4172</v>
      </c>
      <c r="T96" s="7" t="s">
        <v>6769</v>
      </c>
      <c r="U96" s="7">
        <v>2050</v>
      </c>
      <c r="V96" s="7" cm="1">
        <f t="array" ref="V96">IF(U96="", "", IFERROR(MAX(--_xlfn.TEXTSPLIT(U96,"+")), U96))</f>
        <v>2050</v>
      </c>
      <c r="W96" s="7">
        <v>2021</v>
      </c>
      <c r="X96" s="130" t="s">
        <v>6768</v>
      </c>
      <c r="Y96" s="122"/>
      <c r="Z96" s="7"/>
      <c r="AA96" s="109"/>
      <c r="AB96" s="7" t="s">
        <v>5032</v>
      </c>
      <c r="AC96" s="7"/>
      <c r="AD96" s="7"/>
      <c r="AE96" s="7"/>
      <c r="AF96" s="7"/>
      <c r="AG96" s="7" t="s">
        <v>5032</v>
      </c>
      <c r="AH96" s="7"/>
      <c r="AI96" s="7"/>
      <c r="AJ96" s="7"/>
      <c r="AK96" s="7"/>
      <c r="AL96" s="7"/>
      <c r="AM96" s="7"/>
      <c r="AN96" s="7"/>
      <c r="AO96" s="7"/>
      <c r="AP96" s="7"/>
      <c r="AQ96" s="7"/>
      <c r="AR96" s="7" t="str">
        <f>_xlfn.XLOOKUP(C96,Sheet1!A:A,Sheet1!B:B, "Other")</f>
        <v>Asia</v>
      </c>
      <c r="AS96" t="str">
        <f>_xlfn.XLOOKUP(D96,Sheet1!D:D,Sheet1!E:E)</f>
        <v>Energy and utilities</v>
      </c>
    </row>
    <row r="97" spans="1:45" ht="18" customHeight="1">
      <c r="A97" s="7">
        <v>93</v>
      </c>
      <c r="B97" s="7" t="s">
        <v>1303</v>
      </c>
      <c r="C97" s="7" t="s">
        <v>207</v>
      </c>
      <c r="D97" s="7" t="s">
        <v>91</v>
      </c>
      <c r="E97" s="7" t="s">
        <v>6767</v>
      </c>
      <c r="F97" s="7" t="s">
        <v>6766</v>
      </c>
      <c r="G97" s="122"/>
      <c r="H97" s="7"/>
      <c r="I97" s="7"/>
      <c r="J97" s="122"/>
      <c r="K97" s="7"/>
      <c r="L97" s="127"/>
      <c r="M97" s="122"/>
      <c r="N97" s="7"/>
      <c r="O97" s="7"/>
      <c r="P97" s="7" t="str" cm="1">
        <f t="array" ref="P97">IF(O97="", "", IFERROR(MAX(--_xlfn.TEXTSPLIT(O97,"+")), O97))</f>
        <v/>
      </c>
      <c r="Q97" s="7"/>
      <c r="R97" s="109"/>
      <c r="S97" s="7" t="s">
        <v>5387</v>
      </c>
      <c r="T97" s="7" t="s">
        <v>6765</v>
      </c>
      <c r="U97" s="7">
        <v>2050</v>
      </c>
      <c r="V97" s="7" cm="1">
        <f t="array" ref="V97">IF(U97="", "", IFERROR(MAX(--_xlfn.TEXTSPLIT(U97,"+")), U97))</f>
        <v>2050</v>
      </c>
      <c r="W97" s="7">
        <v>2020</v>
      </c>
      <c r="X97" s="7" t="s">
        <v>6764</v>
      </c>
      <c r="Y97" s="122"/>
      <c r="Z97" s="7"/>
      <c r="AA97" s="109"/>
      <c r="AB97" s="7">
        <v>2022</v>
      </c>
      <c r="AC97" s="131">
        <v>3771000</v>
      </c>
      <c r="AD97" s="131"/>
      <c r="AE97" s="131">
        <v>412000</v>
      </c>
      <c r="AF97" s="131">
        <f>(36000+19+1+1)*1000</f>
        <v>36021000</v>
      </c>
      <c r="AG97" s="131" t="s">
        <v>5032</v>
      </c>
      <c r="AH97" s="131">
        <v>4183000</v>
      </c>
      <c r="AI97" s="131">
        <f>AH97+AF97</f>
        <v>40204000</v>
      </c>
      <c r="AJ97" s="7">
        <v>2021</v>
      </c>
      <c r="AK97" s="7">
        <v>3868000</v>
      </c>
      <c r="AL97" s="7"/>
      <c r="AM97" s="7">
        <v>475000</v>
      </c>
      <c r="AN97" s="7">
        <f>(35000+21+1+1)*1000</f>
        <v>35023000</v>
      </c>
      <c r="AO97" s="7">
        <v>4343000</v>
      </c>
      <c r="AP97" s="7">
        <f>AN97+AO97</f>
        <v>39366000</v>
      </c>
      <c r="AQ97" s="7" t="s">
        <v>6763</v>
      </c>
      <c r="AR97" s="7" t="str">
        <f>_xlfn.XLOOKUP(C97,Sheet1!A:A,Sheet1!B:B, "Other")</f>
        <v>Asia</v>
      </c>
      <c r="AS97" t="str">
        <f>_xlfn.XLOOKUP(D97,Sheet1!D:D,Sheet1!E:E)</f>
        <v>Retail</v>
      </c>
    </row>
    <row r="98" spans="1:45" ht="18" customHeight="1">
      <c r="A98" s="7">
        <v>94</v>
      </c>
      <c r="B98" s="7" t="s">
        <v>1457</v>
      </c>
      <c r="C98" s="7" t="s">
        <v>87</v>
      </c>
      <c r="D98" s="7" t="s">
        <v>71</v>
      </c>
      <c r="E98" s="7" t="s">
        <v>6762</v>
      </c>
      <c r="F98" s="7" t="s">
        <v>6761</v>
      </c>
      <c r="G98" s="122"/>
      <c r="H98" s="7"/>
      <c r="I98" s="7"/>
      <c r="J98" s="122" t="s">
        <v>1960</v>
      </c>
      <c r="K98" s="7"/>
      <c r="L98" s="127" t="s">
        <v>1960</v>
      </c>
      <c r="M98" s="122"/>
      <c r="N98" s="7"/>
      <c r="O98" s="7"/>
      <c r="P98" s="7" t="str" cm="1">
        <f t="array" ref="P98">IF(O98="", "", IFERROR(MAX(--_xlfn.TEXTSPLIT(O98,"+")), O98))</f>
        <v/>
      </c>
      <c r="Q98" s="7"/>
      <c r="R98" s="109"/>
      <c r="S98" s="7" t="s">
        <v>1957</v>
      </c>
      <c r="T98" s="7" t="s">
        <v>4832</v>
      </c>
      <c r="U98" s="7">
        <v>2046</v>
      </c>
      <c r="V98" s="7" cm="1">
        <f t="array" ref="V98">IF(U98="", "", IFERROR(MAX(--_xlfn.TEXTSPLIT(U98,"+")), U98))</f>
        <v>2046</v>
      </c>
      <c r="W98" s="7">
        <v>2022</v>
      </c>
      <c r="X98" s="7" t="s">
        <v>6760</v>
      </c>
      <c r="Y98" s="122"/>
      <c r="Z98" s="7"/>
      <c r="AA98" s="109"/>
      <c r="AB98" s="7">
        <v>2021</v>
      </c>
      <c r="AC98" s="7">
        <v>20830000</v>
      </c>
      <c r="AD98" s="7"/>
      <c r="AE98" s="7">
        <v>240000</v>
      </c>
      <c r="AF98" s="7">
        <v>258090000</v>
      </c>
      <c r="AG98" s="7" t="s">
        <v>2082</v>
      </c>
      <c r="AH98" s="7">
        <f>AC98+AE98</f>
        <v>21070000</v>
      </c>
      <c r="AI98" s="7">
        <f>AF98+AH98</f>
        <v>279160000</v>
      </c>
      <c r="AJ98" s="7">
        <v>2020</v>
      </c>
      <c r="AK98" s="7">
        <v>20210000</v>
      </c>
      <c r="AL98" s="7"/>
      <c r="AM98" s="7">
        <v>250000</v>
      </c>
      <c r="AN98" s="7">
        <v>241880000</v>
      </c>
      <c r="AO98" s="7">
        <f>AK98+AM98</f>
        <v>20460000</v>
      </c>
      <c r="AP98" s="7">
        <f>AO98+AN98</f>
        <v>262340000</v>
      </c>
      <c r="AQ98" s="7" t="s">
        <v>6759</v>
      </c>
      <c r="AR98" s="7" t="str">
        <f>_xlfn.XLOOKUP(C98,Sheet1!A:A,Sheet1!B:B, "Other")</f>
        <v>Asia</v>
      </c>
      <c r="AS98" t="str">
        <f>_xlfn.XLOOKUP(D98,Sheet1!D:D,Sheet1!E:E)</f>
        <v>Energy and utilities</v>
      </c>
    </row>
    <row r="99" spans="1:45" ht="18" customHeight="1">
      <c r="A99" s="7">
        <v>95</v>
      </c>
      <c r="B99" s="7" t="s">
        <v>873</v>
      </c>
      <c r="C99" s="7" t="s">
        <v>73</v>
      </c>
      <c r="D99" s="7" t="s">
        <v>91</v>
      </c>
      <c r="E99" s="7" t="s">
        <v>6758</v>
      </c>
      <c r="F99" s="7" t="s">
        <v>6757</v>
      </c>
      <c r="G99" s="122"/>
      <c r="H99" s="7"/>
      <c r="I99" s="7"/>
      <c r="J99" s="122" t="s">
        <v>1960</v>
      </c>
      <c r="K99" s="7"/>
      <c r="L99" s="127" t="s">
        <v>1960</v>
      </c>
      <c r="M99" s="122" t="s">
        <v>4519</v>
      </c>
      <c r="N99" s="7" t="s">
        <v>5131</v>
      </c>
      <c r="O99" s="7">
        <v>2060</v>
      </c>
      <c r="P99" s="7" cm="1">
        <f t="array" ref="P99">IF(O99="", "", IFERROR(MAX(--_xlfn.TEXTSPLIT(O99,"+")), O99))</f>
        <v>2060</v>
      </c>
      <c r="Q99" s="7">
        <v>2021</v>
      </c>
      <c r="R99" s="126" t="s">
        <v>6756</v>
      </c>
      <c r="S99" s="7"/>
      <c r="T99" s="7"/>
      <c r="U99" s="7"/>
      <c r="V99" s="7" t="str" cm="1">
        <f t="array" ref="V99">IF(U99="", "", IFERROR(MAX(--_xlfn.TEXTSPLIT(U99,"+")), U99))</f>
        <v/>
      </c>
      <c r="W99" s="7"/>
      <c r="X99" s="7"/>
      <c r="Y99" s="122"/>
      <c r="Z99" s="7"/>
      <c r="AA99" s="109"/>
      <c r="AB99" s="7">
        <v>2021</v>
      </c>
      <c r="AC99" s="123">
        <v>1274.6400000000001</v>
      </c>
      <c r="AD99" s="7"/>
      <c r="AE99" s="123">
        <v>2192.67</v>
      </c>
      <c r="AF99" s="7"/>
      <c r="AG99" s="7" t="s">
        <v>5032</v>
      </c>
      <c r="AH99" s="7">
        <f>AC99+AE99</f>
        <v>3467.3100000000004</v>
      </c>
      <c r="AI99" s="7">
        <f>AF99+AH99</f>
        <v>3467.3100000000004</v>
      </c>
      <c r="AJ99" s="7" t="s">
        <v>5032</v>
      </c>
      <c r="AK99" s="7"/>
      <c r="AL99" s="7"/>
      <c r="AM99" s="7"/>
      <c r="AN99" s="7"/>
      <c r="AO99" s="7"/>
      <c r="AP99" s="7"/>
      <c r="AQ99" s="27" t="s">
        <v>6756</v>
      </c>
      <c r="AR99" s="7" t="str">
        <f>_xlfn.XLOOKUP(C99,Sheet1!A:A,Sheet1!B:B, "Other")</f>
        <v>Asia</v>
      </c>
      <c r="AS99" t="str">
        <f>_xlfn.XLOOKUP(D99,Sheet1!D:D,Sheet1!E:E)</f>
        <v>Retail</v>
      </c>
    </row>
    <row r="100" spans="1:45" ht="18" customHeight="1">
      <c r="A100" s="7">
        <v>96</v>
      </c>
      <c r="B100" s="7" t="s">
        <v>1672</v>
      </c>
      <c r="C100" s="7" t="s">
        <v>207</v>
      </c>
      <c r="D100" s="7" t="s">
        <v>91</v>
      </c>
      <c r="E100" s="7" t="s">
        <v>6755</v>
      </c>
      <c r="F100" s="7" t="s">
        <v>6754</v>
      </c>
      <c r="G100" s="122"/>
      <c r="H100" s="7"/>
      <c r="I100" s="7"/>
      <c r="J100" s="122" t="s">
        <v>1957</v>
      </c>
      <c r="K100" s="7"/>
      <c r="L100" s="127">
        <v>2022</v>
      </c>
      <c r="M100" s="122" t="s">
        <v>4519</v>
      </c>
      <c r="N100" s="7" t="s">
        <v>5131</v>
      </c>
      <c r="O100" s="7">
        <v>2050</v>
      </c>
      <c r="P100" s="7" cm="1">
        <f t="array" ref="P100">IF(O100="", "", IFERROR(MAX(--_xlfn.TEXTSPLIT(O100,"+")), O100))</f>
        <v>2050</v>
      </c>
      <c r="Q100" s="7">
        <v>2020</v>
      </c>
      <c r="R100" s="109" t="s">
        <v>6752</v>
      </c>
      <c r="S100" s="7" t="s">
        <v>4172</v>
      </c>
      <c r="T100" s="7" t="s">
        <v>1968</v>
      </c>
      <c r="U100" s="7">
        <v>2050</v>
      </c>
      <c r="V100" s="7" cm="1">
        <f t="array" ref="V100">IF(U100="", "", IFERROR(MAX(--_xlfn.TEXTSPLIT(U100,"+")), U100))</f>
        <v>2050</v>
      </c>
      <c r="W100" s="7">
        <v>2021</v>
      </c>
      <c r="X100" s="7" t="s">
        <v>6753</v>
      </c>
      <c r="Y100" s="122"/>
      <c r="Z100" s="7"/>
      <c r="AA100" s="109"/>
      <c r="AB100" s="7">
        <v>2022</v>
      </c>
      <c r="AC100" s="124">
        <v>1484602</v>
      </c>
      <c r="AD100" s="7"/>
      <c r="AE100" s="7">
        <f>1214313+270289</f>
        <v>1484602</v>
      </c>
      <c r="AF100" s="7">
        <f>620742+389213+10387+349698+24577+23409+1048474</f>
        <v>2466500</v>
      </c>
      <c r="AG100" s="7" t="s">
        <v>2082</v>
      </c>
      <c r="AH100" s="124">
        <f>AC100+AE100</f>
        <v>2969204</v>
      </c>
      <c r="AI100" s="124">
        <f>AF100+AH100</f>
        <v>5435704</v>
      </c>
      <c r="AJ100" s="7">
        <v>2021</v>
      </c>
      <c r="AK100" s="124">
        <v>1522339</v>
      </c>
      <c r="AL100" s="7"/>
      <c r="AM100" s="7">
        <f>1233868+288471</f>
        <v>1522339</v>
      </c>
      <c r="AN100" s="7">
        <f>660270+310195+12034+369119+20620+25150+1089140</f>
        <v>2486528</v>
      </c>
      <c r="AO100" s="124">
        <f>AK100+AM100</f>
        <v>3044678</v>
      </c>
      <c r="AP100" s="124">
        <f>AO100+AN100</f>
        <v>5531206</v>
      </c>
      <c r="AQ100" s="7" t="s">
        <v>6752</v>
      </c>
      <c r="AR100" s="7" t="str">
        <f>_xlfn.XLOOKUP(C100,Sheet1!A:A,Sheet1!B:B, "Other")</f>
        <v>Asia</v>
      </c>
      <c r="AS100" t="str">
        <f>_xlfn.XLOOKUP(D100,Sheet1!D:D,Sheet1!E:E)</f>
        <v>Retail</v>
      </c>
    </row>
    <row r="101" spans="1:45" ht="18" customHeight="1">
      <c r="A101" s="7">
        <v>97</v>
      </c>
      <c r="B101" s="7" t="s">
        <v>1600</v>
      </c>
      <c r="C101" s="7" t="s">
        <v>4457</v>
      </c>
      <c r="D101" s="7" t="s">
        <v>186</v>
      </c>
      <c r="E101" s="7" t="s">
        <v>6751</v>
      </c>
      <c r="F101" s="7" t="s">
        <v>6750</v>
      </c>
      <c r="G101" s="122" t="s">
        <v>4174</v>
      </c>
      <c r="H101" s="7">
        <v>2040</v>
      </c>
      <c r="I101" s="7">
        <v>2019</v>
      </c>
      <c r="J101" s="122" t="s">
        <v>4183</v>
      </c>
      <c r="K101" s="7">
        <v>2031</v>
      </c>
      <c r="L101" s="127">
        <v>2023</v>
      </c>
      <c r="M101" s="122"/>
      <c r="N101" s="7"/>
      <c r="O101" s="7"/>
      <c r="P101" s="7" t="str" cm="1">
        <f t="array" ref="P101">IF(O101="", "", IFERROR(MAX(--_xlfn.TEXTSPLIT(O101,"+")), O101))</f>
        <v/>
      </c>
      <c r="Q101" s="7"/>
      <c r="R101" s="109"/>
      <c r="S101" s="7" t="s">
        <v>4172</v>
      </c>
      <c r="T101" s="7" t="s">
        <v>1968</v>
      </c>
      <c r="U101" s="7">
        <v>2050</v>
      </c>
      <c r="V101" s="7" cm="1">
        <f t="array" ref="V101">IF(U101="", "", IFERROR(MAX(--_xlfn.TEXTSPLIT(U101,"+")), U101))</f>
        <v>2050</v>
      </c>
      <c r="W101" s="7">
        <v>2021</v>
      </c>
      <c r="X101" s="7" t="s">
        <v>6749</v>
      </c>
      <c r="Y101" s="122" t="s">
        <v>4174</v>
      </c>
      <c r="Z101" s="7" t="s">
        <v>6748</v>
      </c>
      <c r="AA101" s="109" t="s">
        <v>6747</v>
      </c>
      <c r="AB101" s="7">
        <v>2022</v>
      </c>
      <c r="AC101" s="124">
        <v>45600</v>
      </c>
      <c r="AD101" s="124">
        <v>337600</v>
      </c>
      <c r="AE101" s="124">
        <v>158100</v>
      </c>
      <c r="AF101" s="7">
        <f>143000+1350600+19600+13590000</f>
        <v>15103200</v>
      </c>
      <c r="AG101" s="7" t="s">
        <v>5032</v>
      </c>
      <c r="AH101" s="124">
        <f>AC101+AE101</f>
        <v>203700</v>
      </c>
      <c r="AI101" s="124">
        <f>AF101+AH101</f>
        <v>15306900</v>
      </c>
      <c r="AJ101" s="7">
        <v>2021</v>
      </c>
      <c r="AK101" s="124">
        <v>44200</v>
      </c>
      <c r="AL101" s="124">
        <v>356900</v>
      </c>
      <c r="AM101" s="124">
        <v>172200</v>
      </c>
      <c r="AN101" s="7">
        <f>8767800+105500+1098200+61400+13100000</f>
        <v>23132900</v>
      </c>
      <c r="AO101" s="124">
        <f>AK101+AM101</f>
        <v>216400</v>
      </c>
      <c r="AP101" s="124">
        <f>AN101+AO101</f>
        <v>23349300</v>
      </c>
      <c r="AQ101" s="7" t="s">
        <v>6746</v>
      </c>
      <c r="AR101" s="7" t="str">
        <f>_xlfn.XLOOKUP(C101,Sheet1!A:A,Sheet1!B:B, "Other")</f>
        <v>North America</v>
      </c>
      <c r="AS101" t="str">
        <f>_xlfn.XLOOKUP(D101,Sheet1!D:D,Sheet1!E:E)</f>
        <v>Technology</v>
      </c>
    </row>
    <row r="102" spans="1:45" ht="18" customHeight="1">
      <c r="A102" s="7">
        <v>98</v>
      </c>
      <c r="B102" s="7" t="s">
        <v>1307</v>
      </c>
      <c r="C102" s="7" t="s">
        <v>4457</v>
      </c>
      <c r="D102" s="7" t="s">
        <v>5091</v>
      </c>
      <c r="E102" s="7" t="s">
        <v>6745</v>
      </c>
      <c r="F102" s="7" t="s">
        <v>6744</v>
      </c>
      <c r="G102" s="122"/>
      <c r="H102" s="7"/>
      <c r="I102" s="7"/>
      <c r="J102" s="122" t="s">
        <v>1960</v>
      </c>
      <c r="K102" s="7"/>
      <c r="L102" s="127" t="s">
        <v>1960</v>
      </c>
      <c r="M102" s="122"/>
      <c r="N102" s="7"/>
      <c r="O102" s="7"/>
      <c r="P102" s="7" t="str" cm="1">
        <f t="array" ref="P102">IF(O102="", "", IFERROR(MAX(--_xlfn.TEXTSPLIT(O102,"+")), O102))</f>
        <v/>
      </c>
      <c r="Q102" s="7"/>
      <c r="R102" s="109"/>
      <c r="S102" s="7"/>
      <c r="T102" s="7"/>
      <c r="U102" s="7"/>
      <c r="V102" s="7" t="str" cm="1">
        <f t="array" ref="V102">IF(U102="", "", IFERROR(MAX(--_xlfn.TEXTSPLIT(U102,"+")), U102))</f>
        <v/>
      </c>
      <c r="W102" s="7"/>
      <c r="X102" s="7"/>
      <c r="Y102" s="122" t="s">
        <v>4174</v>
      </c>
      <c r="Z102" s="7" t="s">
        <v>5037</v>
      </c>
      <c r="AA102" s="109" t="s">
        <v>6743</v>
      </c>
      <c r="AB102" s="7">
        <v>2022</v>
      </c>
      <c r="AC102" s="124">
        <v>13500000</v>
      </c>
      <c r="AD102" s="7"/>
      <c r="AE102" s="124">
        <v>2130000</v>
      </c>
      <c r="AF102" s="7">
        <v>118100000</v>
      </c>
      <c r="AG102" s="7" t="s">
        <v>2082</v>
      </c>
      <c r="AH102" s="124">
        <f>AC102+AE102</f>
        <v>15630000</v>
      </c>
      <c r="AI102" s="124">
        <f>AF102+AH102</f>
        <v>133730000</v>
      </c>
      <c r="AJ102" s="7">
        <v>2021</v>
      </c>
      <c r="AK102" s="7">
        <v>13700000</v>
      </c>
      <c r="AL102" s="7"/>
      <c r="AM102" s="7">
        <v>2300000</v>
      </c>
      <c r="AN102" s="7">
        <v>116600000</v>
      </c>
      <c r="AO102" s="7">
        <f>AK102+AM102</f>
        <v>16000000</v>
      </c>
      <c r="AP102" s="7">
        <f>AN102+AO102</f>
        <v>132600000</v>
      </c>
      <c r="AQ102" s="7" t="s">
        <v>6742</v>
      </c>
      <c r="AR102" s="7" t="str">
        <f>_xlfn.XLOOKUP(C102,Sheet1!A:A,Sheet1!B:B, "Other")</f>
        <v>North America</v>
      </c>
      <c r="AS102" t="str">
        <f>_xlfn.XLOOKUP(D102,Sheet1!D:D,Sheet1!E:E)</f>
        <v>Food, beverages and agriculture</v>
      </c>
    </row>
    <row r="103" spans="1:45" ht="18" customHeight="1">
      <c r="A103" s="7">
        <v>99</v>
      </c>
      <c r="B103" s="7" t="s">
        <v>1653</v>
      </c>
      <c r="C103" s="7" t="s">
        <v>4457</v>
      </c>
      <c r="D103" s="7" t="s">
        <v>76</v>
      </c>
      <c r="E103" s="7" t="s">
        <v>6741</v>
      </c>
      <c r="F103" s="7" t="s">
        <v>6740</v>
      </c>
      <c r="G103" s="122" t="s">
        <v>4174</v>
      </c>
      <c r="H103" s="7">
        <v>2020</v>
      </c>
      <c r="I103" s="7">
        <v>2017</v>
      </c>
      <c r="J103" s="122" t="s">
        <v>1960</v>
      </c>
      <c r="K103" s="7"/>
      <c r="L103" s="127" t="s">
        <v>1960</v>
      </c>
      <c r="M103" s="122"/>
      <c r="N103" s="7"/>
      <c r="O103" s="7"/>
      <c r="P103" s="7" t="str" cm="1">
        <f t="array" ref="P103">IF(O103="", "", IFERROR(MAX(--_xlfn.TEXTSPLIT(O103,"+")), O103))</f>
        <v/>
      </c>
      <c r="Q103" s="7"/>
      <c r="R103" s="109"/>
      <c r="S103" s="7" t="s">
        <v>5387</v>
      </c>
      <c r="T103" s="7" t="s">
        <v>6739</v>
      </c>
      <c r="U103" s="7" t="s">
        <v>4502</v>
      </c>
      <c r="V103" s="7" cm="1">
        <f t="array" ref="V103">IF(U103="", "", IFERROR(MAX(--_xlfn.TEXTSPLIT(U103,"+")), U103))</f>
        <v>2050</v>
      </c>
      <c r="W103" s="7">
        <v>2021</v>
      </c>
      <c r="X103" s="125" t="s">
        <v>6737</v>
      </c>
      <c r="Y103" s="122" t="s">
        <v>4174</v>
      </c>
      <c r="Z103" s="7" t="s">
        <v>5037</v>
      </c>
      <c r="AA103" s="109" t="s">
        <v>6738</v>
      </c>
      <c r="AB103" s="7">
        <v>2022</v>
      </c>
      <c r="AC103" s="7">
        <v>43912</v>
      </c>
      <c r="AD103" s="7">
        <v>466641</v>
      </c>
      <c r="AE103" s="7"/>
      <c r="AF103" s="7">
        <f>63681+106</f>
        <v>63787</v>
      </c>
      <c r="AG103" s="7" t="s">
        <v>5032</v>
      </c>
      <c r="AH103" s="7">
        <f>AD103+AC103</f>
        <v>510553</v>
      </c>
      <c r="AI103" s="7">
        <f>AH103+AF103</f>
        <v>574340</v>
      </c>
      <c r="AJ103" s="7">
        <v>2021</v>
      </c>
      <c r="AK103" s="7">
        <v>38085</v>
      </c>
      <c r="AL103" s="7">
        <v>455349</v>
      </c>
      <c r="AM103" s="7"/>
      <c r="AN103" s="7">
        <f>10554+32</f>
        <v>10586</v>
      </c>
      <c r="AO103" s="7">
        <f>AL103+AK103</f>
        <v>493434</v>
      </c>
      <c r="AP103" s="7">
        <f>AO103+AN103</f>
        <v>504020</v>
      </c>
      <c r="AQ103" s="27" t="s">
        <v>6737</v>
      </c>
      <c r="AR103" s="7" t="str">
        <f>_xlfn.XLOOKUP(C103,Sheet1!A:A,Sheet1!B:B, "Other")</f>
        <v>North America</v>
      </c>
      <c r="AS103" t="str">
        <f>_xlfn.XLOOKUP(D103,Sheet1!D:D,Sheet1!E:E)</f>
        <v>Financial services</v>
      </c>
    </row>
    <row r="104" spans="1:45" ht="18" customHeight="1">
      <c r="A104" s="7">
        <v>100</v>
      </c>
      <c r="B104" s="7" t="s">
        <v>1373</v>
      </c>
      <c r="C104" s="7" t="s">
        <v>73</v>
      </c>
      <c r="D104" s="7" t="s">
        <v>76</v>
      </c>
      <c r="E104" s="7" t="s">
        <v>6736</v>
      </c>
      <c r="F104" s="7" t="s">
        <v>6735</v>
      </c>
      <c r="G104" s="122"/>
      <c r="H104" s="7"/>
      <c r="I104" s="7"/>
      <c r="J104" s="122" t="s">
        <v>1960</v>
      </c>
      <c r="K104" s="7"/>
      <c r="L104" s="127" t="s">
        <v>1960</v>
      </c>
      <c r="M104" s="122" t="s">
        <v>4519</v>
      </c>
      <c r="N104" s="7" t="s">
        <v>5131</v>
      </c>
      <c r="O104" s="7">
        <v>2060</v>
      </c>
      <c r="P104" s="7" cm="1">
        <f t="array" ref="P104">IF(O104="", "", IFERROR(MAX(--_xlfn.TEXTSPLIT(O104,"+")), O104))</f>
        <v>2060</v>
      </c>
      <c r="Q104" s="7">
        <v>2020</v>
      </c>
      <c r="R104" s="109" t="s">
        <v>6734</v>
      </c>
      <c r="S104" s="7"/>
      <c r="T104" s="7"/>
      <c r="U104" s="7"/>
      <c r="V104" s="7" t="str" cm="1">
        <f t="array" ref="V104">IF(U104="", "", IFERROR(MAX(--_xlfn.TEXTSPLIT(U104,"+")), U104))</f>
        <v/>
      </c>
      <c r="W104" s="7"/>
      <c r="X104" s="7"/>
      <c r="Y104" s="122"/>
      <c r="Z104" s="7"/>
      <c r="AA104" s="109"/>
      <c r="AB104" s="7">
        <v>2022</v>
      </c>
      <c r="AC104" s="123">
        <v>5606.67</v>
      </c>
      <c r="AD104" s="7"/>
      <c r="AE104" s="123">
        <v>152922.43</v>
      </c>
      <c r="AF104" s="7"/>
      <c r="AG104" s="7" t="s">
        <v>5032</v>
      </c>
      <c r="AH104" s="123">
        <v>158529.1</v>
      </c>
      <c r="AI104" s="123">
        <f>AC104+AE104</f>
        <v>158529.1</v>
      </c>
      <c r="AJ104" s="7">
        <v>2021</v>
      </c>
      <c r="AK104" s="123">
        <v>6668.93</v>
      </c>
      <c r="AL104" s="7"/>
      <c r="AM104" s="123">
        <v>157676.17000000001</v>
      </c>
      <c r="AN104" s="7"/>
      <c r="AO104" s="123">
        <v>164345.1</v>
      </c>
      <c r="AP104" s="123">
        <f>AK104+AM104</f>
        <v>164345.1</v>
      </c>
      <c r="AQ104" s="7" t="s">
        <v>6734</v>
      </c>
      <c r="AR104" s="7" t="str">
        <f>_xlfn.XLOOKUP(C104,Sheet1!A:A,Sheet1!B:B, "Other")</f>
        <v>Asia</v>
      </c>
      <c r="AS104" t="str">
        <f>_xlfn.XLOOKUP(D104,Sheet1!D:D,Sheet1!E:E)</f>
        <v>Financial services</v>
      </c>
    </row>
    <row r="105" spans="1:45" ht="18" customHeight="1">
      <c r="A105" s="7">
        <v>101</v>
      </c>
      <c r="B105" s="7" t="s">
        <v>1386</v>
      </c>
      <c r="C105" s="7" t="s">
        <v>4457</v>
      </c>
      <c r="D105" s="7" t="s">
        <v>178</v>
      </c>
      <c r="E105" s="7" t="s">
        <v>6733</v>
      </c>
      <c r="F105" s="7" t="s">
        <v>6732</v>
      </c>
      <c r="G105" s="122"/>
      <c r="H105" s="7"/>
      <c r="I105" s="7"/>
      <c r="J105" s="122" t="s">
        <v>1960</v>
      </c>
      <c r="K105" s="7"/>
      <c r="L105" s="127" t="s">
        <v>1960</v>
      </c>
      <c r="M105" s="122" t="s">
        <v>4172</v>
      </c>
      <c r="N105" s="7" t="s">
        <v>6731</v>
      </c>
      <c r="O105" s="7">
        <v>2050</v>
      </c>
      <c r="P105" s="7" cm="1">
        <f t="array" ref="P105">IF(O105="", "", IFERROR(MAX(--_xlfn.TEXTSPLIT(O105,"+")), O105))</f>
        <v>2050</v>
      </c>
      <c r="Q105" s="7">
        <v>2021</v>
      </c>
      <c r="R105" s="126" t="s">
        <v>6729</v>
      </c>
      <c r="S105" s="7"/>
      <c r="T105" s="7"/>
      <c r="U105" s="7"/>
      <c r="V105" s="7" t="str" cm="1">
        <f t="array" ref="V105">IF(U105="", "", IFERROR(MAX(--_xlfn.TEXTSPLIT(U105,"+")), U105))</f>
        <v/>
      </c>
      <c r="W105" s="7"/>
      <c r="X105" s="7"/>
      <c r="Y105" s="122" t="s">
        <v>4174</v>
      </c>
      <c r="Z105" s="7" t="s">
        <v>5037</v>
      </c>
      <c r="AA105" s="109" t="s">
        <v>6730</v>
      </c>
      <c r="AB105" s="7">
        <v>2022</v>
      </c>
      <c r="AC105" s="21">
        <f>1000*100338*0.158</f>
        <v>15853404</v>
      </c>
      <c r="AD105" s="7"/>
      <c r="AE105" s="7">
        <f>1000*100338*0.006</f>
        <v>602028</v>
      </c>
      <c r="AF105" s="7">
        <f>1000*100338*0.168</f>
        <v>16856784</v>
      </c>
      <c r="AG105" s="7" t="s">
        <v>4174</v>
      </c>
      <c r="AH105" s="21">
        <f>AE105+AC105</f>
        <v>16455432</v>
      </c>
      <c r="AI105" s="21">
        <f>AH105+AF105</f>
        <v>33312216</v>
      </c>
      <c r="AJ105" s="7">
        <v>2021</v>
      </c>
      <c r="AK105" s="7">
        <f>1000*96223*0.163</f>
        <v>15684349</v>
      </c>
      <c r="AL105" s="7"/>
      <c r="AM105" s="7">
        <f>1000*96223*0.007</f>
        <v>673561</v>
      </c>
      <c r="AN105" s="7">
        <f>1000*96223*0.228</f>
        <v>21938844</v>
      </c>
      <c r="AO105" s="7">
        <f>AK105+AM105</f>
        <v>16357910</v>
      </c>
      <c r="AP105" s="7">
        <f>AO105+AN105</f>
        <v>38296754</v>
      </c>
      <c r="AQ105" s="7" t="s">
        <v>6729</v>
      </c>
      <c r="AR105" s="7" t="str">
        <f>_xlfn.XLOOKUP(C105,Sheet1!A:A,Sheet1!B:B, "Other")</f>
        <v>North America</v>
      </c>
      <c r="AS105" t="str">
        <f>_xlfn.XLOOKUP(D105,Sheet1!D:D,Sheet1!E:E)</f>
        <v>Transportation and logistics</v>
      </c>
    </row>
    <row r="106" spans="1:45" ht="18" customHeight="1">
      <c r="A106" s="7">
        <v>102</v>
      </c>
      <c r="B106" s="7" t="s">
        <v>1171</v>
      </c>
      <c r="C106" s="7" t="s">
        <v>4457</v>
      </c>
      <c r="D106" s="7" t="s">
        <v>319</v>
      </c>
      <c r="E106" s="7" t="s">
        <v>6728</v>
      </c>
      <c r="F106" s="7" t="s">
        <v>6727</v>
      </c>
      <c r="G106" s="122" t="s">
        <v>4174</v>
      </c>
      <c r="H106" s="7">
        <v>2030</v>
      </c>
      <c r="I106" s="7">
        <v>2022</v>
      </c>
      <c r="J106" s="122" t="s">
        <v>4183</v>
      </c>
      <c r="K106" s="7">
        <v>2030</v>
      </c>
      <c r="L106" s="127">
        <v>2021</v>
      </c>
      <c r="M106" s="122" t="s">
        <v>1957</v>
      </c>
      <c r="N106" s="7" t="s">
        <v>5131</v>
      </c>
      <c r="O106" s="7">
        <v>2030</v>
      </c>
      <c r="P106" s="7" cm="1">
        <f t="array" ref="P106">IF(O106="", "", IFERROR(MAX(--_xlfn.TEXTSPLIT(O106,"+")), O106))</f>
        <v>2030</v>
      </c>
      <c r="Q106" s="7">
        <v>2020</v>
      </c>
      <c r="R106" s="126" t="s">
        <v>6725</v>
      </c>
      <c r="S106" s="7" t="s">
        <v>4172</v>
      </c>
      <c r="T106" s="7" t="s">
        <v>6726</v>
      </c>
      <c r="U106" s="7">
        <v>2040</v>
      </c>
      <c r="V106" s="7" cm="1">
        <f t="array" ref="V106">IF(U106="", "", IFERROR(MAX(--_xlfn.TEXTSPLIT(U106,"+")), U106))</f>
        <v>2040</v>
      </c>
      <c r="W106" s="7">
        <v>2022</v>
      </c>
      <c r="X106" s="7" t="s">
        <v>6725</v>
      </c>
      <c r="Y106" s="122" t="s">
        <v>4174</v>
      </c>
      <c r="Z106" s="7" t="s">
        <v>5037</v>
      </c>
      <c r="AA106" s="109" t="s">
        <v>6724</v>
      </c>
      <c r="AB106" s="7">
        <v>2022</v>
      </c>
      <c r="AC106" s="7"/>
      <c r="AD106" s="7"/>
      <c r="AE106" s="7"/>
      <c r="AF106" s="7">
        <f>1000*(80.2+712.3)</f>
        <v>792500</v>
      </c>
      <c r="AG106" s="7" t="s">
        <v>5032</v>
      </c>
      <c r="AH106" s="7">
        <v>1140000</v>
      </c>
      <c r="AI106" s="7">
        <f>AH106+AF106</f>
        <v>1932500</v>
      </c>
      <c r="AJ106" s="7">
        <v>2021</v>
      </c>
      <c r="AK106" s="7"/>
      <c r="AL106" s="7"/>
      <c r="AM106" s="7"/>
      <c r="AN106" s="7">
        <f>1000*(31.8+777.3)</f>
        <v>809099.99999999988</v>
      </c>
      <c r="AO106" s="7">
        <v>1150000</v>
      </c>
      <c r="AP106" s="7">
        <f>AO106+AN106</f>
        <v>1959100</v>
      </c>
      <c r="AQ106" s="7" t="s">
        <v>6723</v>
      </c>
      <c r="AR106" s="7" t="str">
        <f>_xlfn.XLOOKUP(C106,Sheet1!A:A,Sheet1!B:B, "Other")</f>
        <v>North America</v>
      </c>
      <c r="AS106" t="str">
        <f>_xlfn.XLOOKUP(D106,Sheet1!D:D,Sheet1!E:E)</f>
        <v>Health care and pharmaceuticals</v>
      </c>
    </row>
    <row r="107" spans="1:45" ht="18" customHeight="1">
      <c r="A107" s="7">
        <v>103</v>
      </c>
      <c r="B107" s="7" t="s">
        <v>1428</v>
      </c>
      <c r="C107" s="7" t="s">
        <v>146</v>
      </c>
      <c r="D107" s="7" t="s">
        <v>178</v>
      </c>
      <c r="E107" s="7" t="s">
        <v>6722</v>
      </c>
      <c r="F107" s="7" t="s">
        <v>6721</v>
      </c>
      <c r="G107" s="122"/>
      <c r="H107" s="7"/>
      <c r="I107" s="7"/>
      <c r="J107" s="122" t="s">
        <v>4183</v>
      </c>
      <c r="K107" s="7">
        <v>2030</v>
      </c>
      <c r="L107" s="127">
        <v>2022</v>
      </c>
      <c r="M107" s="122"/>
      <c r="N107" s="7"/>
      <c r="O107" s="7"/>
      <c r="P107" s="7" t="str" cm="1">
        <f t="array" ref="P107">IF(O107="", "", IFERROR(MAX(--_xlfn.TEXTSPLIT(O107,"+")), O107))</f>
        <v/>
      </c>
      <c r="Q107" s="7"/>
      <c r="R107" s="109"/>
      <c r="S107" s="7" t="s">
        <v>4172</v>
      </c>
      <c r="T107" s="7" t="s">
        <v>6720</v>
      </c>
      <c r="U107" s="7">
        <v>2050</v>
      </c>
      <c r="V107" s="7" cm="1">
        <f t="array" ref="V107">IF(U107="", "", IFERROR(MAX(--_xlfn.TEXTSPLIT(U107,"+")), U107))</f>
        <v>2050</v>
      </c>
      <c r="W107" s="7">
        <v>2017</v>
      </c>
      <c r="X107" s="7" t="s">
        <v>6719</v>
      </c>
      <c r="Y107" s="122"/>
      <c r="Z107" s="7"/>
      <c r="AA107" s="109"/>
      <c r="AB107" s="7">
        <v>2022</v>
      </c>
      <c r="AC107" s="7">
        <v>8300000</v>
      </c>
      <c r="AD107" s="7"/>
      <c r="AE107" s="7">
        <v>70000</v>
      </c>
      <c r="AF107" s="7">
        <v>28090000</v>
      </c>
      <c r="AG107" s="7" t="s">
        <v>5032</v>
      </c>
      <c r="AH107" s="7">
        <f>AC107+AE107</f>
        <v>8370000</v>
      </c>
      <c r="AI107" s="7">
        <f>AH107+AF107</f>
        <v>36460000</v>
      </c>
      <c r="AJ107" s="7">
        <v>2021</v>
      </c>
      <c r="AK107" s="7">
        <v>7300000</v>
      </c>
      <c r="AL107" s="7"/>
      <c r="AM107" s="7">
        <v>200000</v>
      </c>
      <c r="AN107" s="7">
        <v>31860000</v>
      </c>
      <c r="AO107" s="7">
        <f>AK107+AM107</f>
        <v>7500000</v>
      </c>
      <c r="AP107" s="7">
        <f>AO107+AN107</f>
        <v>39360000</v>
      </c>
      <c r="AQ107" s="7" t="s">
        <v>6718</v>
      </c>
      <c r="AR107" s="7" t="str">
        <f>_xlfn.XLOOKUP(C107,Sheet1!A:A,Sheet1!B:B, "Other")</f>
        <v>Europe</v>
      </c>
      <c r="AS107" t="str">
        <f>_xlfn.XLOOKUP(D107,Sheet1!D:D,Sheet1!E:E)</f>
        <v>Transportation and logistics</v>
      </c>
    </row>
    <row r="108" spans="1:45" ht="18" customHeight="1">
      <c r="A108" s="7">
        <v>104</v>
      </c>
      <c r="B108" s="7" t="s">
        <v>1597</v>
      </c>
      <c r="C108" s="7" t="s">
        <v>267</v>
      </c>
      <c r="D108" s="7" t="s">
        <v>76</v>
      </c>
      <c r="E108" s="7" t="s">
        <v>6717</v>
      </c>
      <c r="F108" s="7" t="s">
        <v>6716</v>
      </c>
      <c r="G108" s="122"/>
      <c r="H108" s="7"/>
      <c r="I108" s="7"/>
      <c r="J108" s="122" t="s">
        <v>1960</v>
      </c>
      <c r="K108" s="7"/>
      <c r="L108" s="127" t="s">
        <v>1960</v>
      </c>
      <c r="M108" s="122" t="s">
        <v>1957</v>
      </c>
      <c r="N108" s="7" t="s">
        <v>4223</v>
      </c>
      <c r="O108" s="7">
        <v>2020</v>
      </c>
      <c r="P108" s="7" cm="1">
        <f t="array" ref="P108">IF(O108="", "", IFERROR(MAX(--_xlfn.TEXTSPLIT(O108,"+")), O108))</f>
        <v>2020</v>
      </c>
      <c r="Q108" s="7">
        <v>2019</v>
      </c>
      <c r="R108" s="109" t="s">
        <v>6714</v>
      </c>
      <c r="S108" s="7" t="s">
        <v>5387</v>
      </c>
      <c r="T108" s="7" t="s">
        <v>6715</v>
      </c>
      <c r="U108" s="7">
        <v>2050</v>
      </c>
      <c r="V108" s="7" cm="1">
        <f t="array" ref="V108">IF(U108="", "", IFERROR(MAX(--_xlfn.TEXTSPLIT(U108,"+")), U108))</f>
        <v>2050</v>
      </c>
      <c r="W108" s="7">
        <v>2021</v>
      </c>
      <c r="X108" s="7" t="s">
        <v>6714</v>
      </c>
      <c r="Y108" s="122"/>
      <c r="Z108" s="7"/>
      <c r="AA108" s="109"/>
      <c r="AB108" s="7">
        <v>2022</v>
      </c>
      <c r="AC108" s="7">
        <v>4512</v>
      </c>
      <c r="AD108" s="7">
        <v>15624</v>
      </c>
      <c r="AE108" s="7">
        <v>53</v>
      </c>
      <c r="AF108" s="7">
        <v>1196</v>
      </c>
      <c r="AG108" s="7" t="s">
        <v>5032</v>
      </c>
      <c r="AH108" s="7">
        <f>AC108+AE108</f>
        <v>4565</v>
      </c>
      <c r="AI108" s="7">
        <f>AF108+AH108</f>
        <v>5761</v>
      </c>
      <c r="AJ108" s="7">
        <v>2021</v>
      </c>
      <c r="AK108" s="7">
        <v>6074</v>
      </c>
      <c r="AL108" s="7">
        <v>18860</v>
      </c>
      <c r="AM108" s="7"/>
      <c r="AN108" s="7">
        <v>247</v>
      </c>
      <c r="AO108" s="7">
        <f>AK108+AL108</f>
        <v>24934</v>
      </c>
      <c r="AP108" s="7">
        <f>AN108+AO108</f>
        <v>25181</v>
      </c>
      <c r="AQ108" s="27" t="s">
        <v>6713</v>
      </c>
      <c r="AR108" s="7" t="str">
        <f>_xlfn.XLOOKUP(C108,Sheet1!A:A,Sheet1!B:B, "Other")</f>
        <v>Europe</v>
      </c>
      <c r="AS108" t="str">
        <f>_xlfn.XLOOKUP(D108,Sheet1!D:D,Sheet1!E:E)</f>
        <v>Financial services</v>
      </c>
    </row>
    <row r="109" spans="1:45" ht="18" customHeight="1">
      <c r="A109" s="7">
        <v>105</v>
      </c>
      <c r="B109" s="7" t="s">
        <v>1295</v>
      </c>
      <c r="C109" s="7" t="s">
        <v>73</v>
      </c>
      <c r="D109" s="7" t="s">
        <v>135</v>
      </c>
      <c r="E109" s="7" t="s">
        <v>6712</v>
      </c>
      <c r="F109" s="7" t="s">
        <v>6711</v>
      </c>
      <c r="G109" s="122"/>
      <c r="H109" s="7"/>
      <c r="I109" s="7"/>
      <c r="J109" s="122" t="s">
        <v>1960</v>
      </c>
      <c r="K109" s="7"/>
      <c r="L109" s="127" t="s">
        <v>1960</v>
      </c>
      <c r="M109" s="122" t="s">
        <v>4519</v>
      </c>
      <c r="N109" s="7" t="s">
        <v>5131</v>
      </c>
      <c r="O109" s="7">
        <v>2060</v>
      </c>
      <c r="P109" s="7" cm="1">
        <f t="array" ref="P109">IF(O109="", "", IFERROR(MAX(--_xlfn.TEXTSPLIT(O109,"+")), O109))</f>
        <v>2060</v>
      </c>
      <c r="Q109" s="7">
        <v>2021</v>
      </c>
      <c r="R109" s="126" t="s">
        <v>6710</v>
      </c>
      <c r="S109" s="7"/>
      <c r="T109" s="7"/>
      <c r="U109" s="7"/>
      <c r="V109" s="7" t="str" cm="1">
        <f t="array" ref="V109">IF(U109="", "", IFERROR(MAX(--_xlfn.TEXTSPLIT(U109,"+")), U109))</f>
        <v/>
      </c>
      <c r="W109" s="7"/>
      <c r="X109" s="7"/>
      <c r="Y109" s="122"/>
      <c r="Z109" s="7"/>
      <c r="AA109" s="109"/>
      <c r="AB109" s="7" t="s">
        <v>5032</v>
      </c>
      <c r="AC109" s="7"/>
      <c r="AD109" s="7"/>
      <c r="AE109" s="7"/>
      <c r="AF109" s="7"/>
      <c r="AG109" s="7" t="s">
        <v>5032</v>
      </c>
      <c r="AH109" s="7"/>
      <c r="AI109" s="7"/>
      <c r="AJ109" s="7"/>
      <c r="AK109" s="7"/>
      <c r="AL109" s="7"/>
      <c r="AM109" s="7"/>
      <c r="AN109" s="7"/>
      <c r="AO109" s="7"/>
      <c r="AP109" s="7"/>
      <c r="AQ109" s="7"/>
      <c r="AR109" s="7" t="str">
        <f>_xlfn.XLOOKUP(C109,Sheet1!A:A,Sheet1!B:B, "Other")</f>
        <v>Asia</v>
      </c>
      <c r="AS109" t="str">
        <f>_xlfn.XLOOKUP(D109,Sheet1!D:D,Sheet1!E:E)</f>
        <v>Engineering and construction</v>
      </c>
    </row>
    <row r="110" spans="1:45" ht="18" customHeight="1">
      <c r="A110" s="7">
        <v>106</v>
      </c>
      <c r="B110" s="7" t="s">
        <v>1636</v>
      </c>
      <c r="C110" s="7" t="s">
        <v>287</v>
      </c>
      <c r="D110" s="7" t="s">
        <v>5091</v>
      </c>
      <c r="E110" s="7" t="s">
        <v>6709</v>
      </c>
      <c r="F110" s="7" t="s">
        <v>6708</v>
      </c>
      <c r="G110" s="122" t="s">
        <v>4174</v>
      </c>
      <c r="H110" s="7">
        <v>2025</v>
      </c>
      <c r="I110" s="7">
        <v>2014</v>
      </c>
      <c r="J110" s="122" t="s">
        <v>4183</v>
      </c>
      <c r="K110" s="7">
        <v>2025</v>
      </c>
      <c r="L110" s="127">
        <v>2020</v>
      </c>
      <c r="M110" s="122"/>
      <c r="N110" s="7"/>
      <c r="O110" s="7"/>
      <c r="P110" s="7" t="str" cm="1">
        <f t="array" ref="P110">IF(O110="", "", IFERROR(MAX(--_xlfn.TEXTSPLIT(O110,"+")), O110))</f>
        <v/>
      </c>
      <c r="Q110" s="7"/>
      <c r="R110" s="109"/>
      <c r="S110" s="7" t="s">
        <v>4172</v>
      </c>
      <c r="T110" s="7" t="s">
        <v>6707</v>
      </c>
      <c r="U110" s="7">
        <v>2050</v>
      </c>
      <c r="V110" s="7" cm="1">
        <f t="array" ref="V110">IF(U110="", "", IFERROR(MAX(--_xlfn.TEXTSPLIT(U110,"+")), U110))</f>
        <v>2050</v>
      </c>
      <c r="W110" s="7">
        <v>2020</v>
      </c>
      <c r="X110" s="7" t="s">
        <v>6706</v>
      </c>
      <c r="Y110" s="122"/>
      <c r="Z110" s="7"/>
      <c r="AA110" s="126"/>
      <c r="AB110" s="7">
        <v>2022</v>
      </c>
      <c r="AC110" s="7">
        <v>3240000</v>
      </c>
      <c r="AD110" s="7"/>
      <c r="AE110" s="7">
        <v>760000</v>
      </c>
      <c r="AF110" s="7">
        <v>108900000</v>
      </c>
      <c r="AG110" s="7" t="s">
        <v>1850</v>
      </c>
      <c r="AH110" s="7">
        <f>AC110+AE110</f>
        <v>4000000</v>
      </c>
      <c r="AI110" s="7">
        <f>AH110+AF110</f>
        <v>112900000</v>
      </c>
      <c r="AJ110" s="7">
        <v>2021</v>
      </c>
      <c r="AK110" s="7">
        <v>3350000</v>
      </c>
      <c r="AL110" s="7"/>
      <c r="AM110" s="7">
        <v>1440000</v>
      </c>
      <c r="AN110" s="7">
        <v>115830000</v>
      </c>
      <c r="AO110" s="7">
        <f>AK110+AM110</f>
        <v>4790000</v>
      </c>
      <c r="AP110" s="7">
        <f>AO110+AN110</f>
        <v>120620000</v>
      </c>
      <c r="AQ110" s="7" t="s">
        <v>6705</v>
      </c>
      <c r="AR110" s="7" t="str">
        <f>_xlfn.XLOOKUP(C110,Sheet1!A:A,Sheet1!B:B, "Other")</f>
        <v>Europe</v>
      </c>
      <c r="AS110" t="str">
        <f>_xlfn.XLOOKUP(D110,Sheet1!D:D,Sheet1!E:E)</f>
        <v>Food, beverages and agriculture</v>
      </c>
    </row>
    <row r="111" spans="1:45" ht="18" customHeight="1">
      <c r="A111" s="7">
        <v>107</v>
      </c>
      <c r="B111" s="7" t="s">
        <v>4929</v>
      </c>
      <c r="C111" s="7" t="s">
        <v>87</v>
      </c>
      <c r="D111" s="7" t="s">
        <v>76</v>
      </c>
      <c r="E111" s="7" t="s">
        <v>6704</v>
      </c>
      <c r="F111" s="7" t="s">
        <v>6703</v>
      </c>
      <c r="G111" s="122"/>
      <c r="H111" s="7"/>
      <c r="I111" s="7"/>
      <c r="J111" s="122" t="s">
        <v>1960</v>
      </c>
      <c r="K111" s="7"/>
      <c r="L111" s="127" t="s">
        <v>1960</v>
      </c>
      <c r="M111" s="122"/>
      <c r="N111" s="7"/>
      <c r="O111" s="7"/>
      <c r="P111" s="7" t="str" cm="1">
        <f t="array" ref="P111">IF(O111="", "", IFERROR(MAX(--_xlfn.TEXTSPLIT(O111,"+")), O111))</f>
        <v/>
      </c>
      <c r="Q111" s="7"/>
      <c r="R111" s="109"/>
      <c r="S111" s="7"/>
      <c r="T111" s="7"/>
      <c r="U111" s="7"/>
      <c r="V111" s="7" t="str" cm="1">
        <f t="array" ref="V111">IF(U111="", "", IFERROR(MAX(--_xlfn.TEXTSPLIT(U111,"+")), U111))</f>
        <v/>
      </c>
      <c r="W111" s="7"/>
      <c r="X111" s="7"/>
      <c r="Y111" s="122"/>
      <c r="Z111" s="7"/>
      <c r="AA111" s="109"/>
      <c r="AB111" s="7" t="s">
        <v>5032</v>
      </c>
      <c r="AC111" s="7"/>
      <c r="AD111" s="7"/>
      <c r="AE111" s="7"/>
      <c r="AF111" s="7"/>
      <c r="AG111" s="7" t="s">
        <v>5032</v>
      </c>
      <c r="AH111" s="7"/>
      <c r="AI111" s="7"/>
      <c r="AJ111" s="7" t="s">
        <v>5032</v>
      </c>
      <c r="AK111" s="7"/>
      <c r="AL111" s="7"/>
      <c r="AM111" s="7"/>
      <c r="AN111" s="7"/>
      <c r="AO111" s="7"/>
      <c r="AP111" s="7"/>
      <c r="AQ111" s="7" t="s">
        <v>6702</v>
      </c>
      <c r="AR111" s="7" t="str">
        <f>_xlfn.XLOOKUP(C111,Sheet1!A:A,Sheet1!B:B, "Other")</f>
        <v>Asia</v>
      </c>
      <c r="AS111" t="str">
        <f>_xlfn.XLOOKUP(D111,Sheet1!D:D,Sheet1!E:E)</f>
        <v>Financial services</v>
      </c>
    </row>
    <row r="112" spans="1:45" ht="18" customHeight="1">
      <c r="A112" s="7">
        <v>108</v>
      </c>
      <c r="B112" s="7" t="s">
        <v>1389</v>
      </c>
      <c r="C112" s="7" t="s">
        <v>4457</v>
      </c>
      <c r="D112" s="7" t="s">
        <v>454</v>
      </c>
      <c r="E112" s="7" t="s">
        <v>6701</v>
      </c>
      <c r="F112" s="7" t="s">
        <v>6700</v>
      </c>
      <c r="G112" s="122"/>
      <c r="H112" s="7"/>
      <c r="I112" s="7"/>
      <c r="J112" s="122" t="s">
        <v>1957</v>
      </c>
      <c r="K112" s="7"/>
      <c r="L112" s="127">
        <v>2022</v>
      </c>
      <c r="M112" s="122"/>
      <c r="N112" s="7"/>
      <c r="O112" s="7"/>
      <c r="P112" s="7" t="str" cm="1">
        <f t="array" ref="P112">IF(O112="", "", IFERROR(MAX(--_xlfn.TEXTSPLIT(O112,"+")), O112))</f>
        <v/>
      </c>
      <c r="Q112" s="7"/>
      <c r="R112" s="109"/>
      <c r="S112" s="7" t="s">
        <v>4172</v>
      </c>
      <c r="T112" s="7" t="s">
        <v>5824</v>
      </c>
      <c r="U112" s="7">
        <v>2050</v>
      </c>
      <c r="V112" s="7" cm="1">
        <f t="array" ref="V112">IF(U112="", "", IFERROR(MAX(--_xlfn.TEXTSPLIT(U112,"+")), U112))</f>
        <v>2050</v>
      </c>
      <c r="W112" s="7">
        <v>2022</v>
      </c>
      <c r="X112" s="125" t="s">
        <v>6697</v>
      </c>
      <c r="Y112" s="122" t="s">
        <v>4174</v>
      </c>
      <c r="Z112" s="7" t="s">
        <v>6699</v>
      </c>
      <c r="AA112" s="126" t="s">
        <v>6698</v>
      </c>
      <c r="AB112" s="7">
        <v>2022</v>
      </c>
      <c r="AC112" s="7">
        <v>437000</v>
      </c>
      <c r="AD112" s="7">
        <v>1025000</v>
      </c>
      <c r="AE112" s="7">
        <v>932000</v>
      </c>
      <c r="AF112" s="7">
        <v>163679000</v>
      </c>
      <c r="AG112" s="7" t="s">
        <v>5032</v>
      </c>
      <c r="AH112" s="7">
        <f>AC112+AE112</f>
        <v>1369000</v>
      </c>
      <c r="AI112" s="7">
        <f>AF112+AH112</f>
        <v>165048000</v>
      </c>
      <c r="AJ112" s="7">
        <v>2021</v>
      </c>
      <c r="AK112" s="7">
        <v>508000</v>
      </c>
      <c r="AL112" s="7">
        <v>1045000</v>
      </c>
      <c r="AM112" s="7">
        <v>938000</v>
      </c>
      <c r="AN112" s="7">
        <v>178753000</v>
      </c>
      <c r="AO112" s="7">
        <f>AK112+AM112</f>
        <v>1446000</v>
      </c>
      <c r="AP112" s="7">
        <f>AN112+AO112</f>
        <v>180199000</v>
      </c>
      <c r="AQ112" s="27" t="s">
        <v>6697</v>
      </c>
      <c r="AR112" s="7" t="str">
        <f>_xlfn.XLOOKUP(C112,Sheet1!A:A,Sheet1!B:B, "Other")</f>
        <v>North America</v>
      </c>
      <c r="AS112" t="str">
        <f>_xlfn.XLOOKUP(D112,Sheet1!D:D,Sheet1!E:E)</f>
        <v>Retail</v>
      </c>
    </row>
    <row r="113" spans="1:45" ht="18" customHeight="1">
      <c r="A113" s="7">
        <v>109</v>
      </c>
      <c r="B113" s="7" t="s">
        <v>2737</v>
      </c>
      <c r="C113" s="7" t="s">
        <v>207</v>
      </c>
      <c r="D113" s="7" t="s">
        <v>461</v>
      </c>
      <c r="E113" s="7" t="s">
        <v>6696</v>
      </c>
      <c r="F113" s="7" t="s">
        <v>6695</v>
      </c>
      <c r="G113" s="122"/>
      <c r="H113" s="7"/>
      <c r="I113" s="7"/>
      <c r="J113" s="122" t="s">
        <v>4183</v>
      </c>
      <c r="K113" s="7">
        <v>2031</v>
      </c>
      <c r="L113" s="127">
        <v>2021</v>
      </c>
      <c r="M113" s="122" t="s">
        <v>1957</v>
      </c>
      <c r="N113" s="7" t="s">
        <v>6694</v>
      </c>
      <c r="O113" s="7">
        <v>2041</v>
      </c>
      <c r="P113" s="7" cm="1">
        <f t="array" ref="P113">IF(O113="", "", IFERROR(MAX(--_xlfn.TEXTSPLIT(O113,"+")), O113))</f>
        <v>2041</v>
      </c>
      <c r="Q113" s="7">
        <v>2021</v>
      </c>
      <c r="R113" s="109" t="s">
        <v>6693</v>
      </c>
      <c r="S113" s="7"/>
      <c r="T113" s="7"/>
      <c r="U113" s="7"/>
      <c r="V113" s="7" t="str" cm="1">
        <f t="array" ref="V113">IF(U113="", "", IFERROR(MAX(--_xlfn.TEXTSPLIT(U113,"+")), U113))</f>
        <v/>
      </c>
      <c r="W113" s="7"/>
      <c r="X113" s="7"/>
      <c r="Y113" s="122"/>
      <c r="Z113" s="7"/>
      <c r="AA113" s="109"/>
      <c r="AB113" s="7">
        <v>2022</v>
      </c>
      <c r="AC113" s="7">
        <v>141000</v>
      </c>
      <c r="AD113" s="7"/>
      <c r="AE113" s="7">
        <v>2756000</v>
      </c>
      <c r="AF113" s="7">
        <v>20820000</v>
      </c>
      <c r="AG113" s="7" t="s">
        <v>4174</v>
      </c>
      <c r="AH113" s="7">
        <f>AC113+AE113</f>
        <v>2897000</v>
      </c>
      <c r="AI113" s="7">
        <f>AH113+AF113</f>
        <v>23717000</v>
      </c>
      <c r="AJ113" s="7">
        <v>2021</v>
      </c>
      <c r="AK113" s="7">
        <v>240000</v>
      </c>
      <c r="AL113" s="7"/>
      <c r="AM113" s="7">
        <v>3750000</v>
      </c>
      <c r="AN113" s="7">
        <v>22230000</v>
      </c>
      <c r="AO113" s="7">
        <f>AK113+AM113</f>
        <v>3990000</v>
      </c>
      <c r="AP113" s="7">
        <f>AO113+AN113</f>
        <v>26220000</v>
      </c>
      <c r="AQ113" s="7" t="s">
        <v>6693</v>
      </c>
      <c r="AR113" s="7" t="str">
        <f>_xlfn.XLOOKUP(C113,Sheet1!A:A,Sheet1!B:B, "Other")</f>
        <v>Asia</v>
      </c>
      <c r="AS113" t="str">
        <f>_xlfn.XLOOKUP(D113,Sheet1!D:D,Sheet1!E:E)</f>
        <v>Telecommunications and media</v>
      </c>
    </row>
    <row r="114" spans="1:45" ht="18" customHeight="1">
      <c r="A114" s="7">
        <v>110</v>
      </c>
      <c r="B114" s="7" t="s">
        <v>1405</v>
      </c>
      <c r="C114" s="7" t="s">
        <v>1408</v>
      </c>
      <c r="D114" s="7" t="s">
        <v>71</v>
      </c>
      <c r="E114" s="7" t="s">
        <v>6692</v>
      </c>
      <c r="F114" s="7" t="s">
        <v>6691</v>
      </c>
      <c r="G114" s="122"/>
      <c r="H114" s="7"/>
      <c r="I114" s="7"/>
      <c r="J114" s="122" t="s">
        <v>1960</v>
      </c>
      <c r="K114" s="7"/>
      <c r="L114" s="127" t="s">
        <v>1960</v>
      </c>
      <c r="M114" s="122" t="s">
        <v>1957</v>
      </c>
      <c r="N114" s="7" t="s">
        <v>6690</v>
      </c>
      <c r="O114" s="7">
        <v>2040</v>
      </c>
      <c r="P114" s="7" cm="1">
        <f t="array" ref="P114">IF(O114="", "", IFERROR(MAX(--_xlfn.TEXTSPLIT(O114,"+")), O114))</f>
        <v>2040</v>
      </c>
      <c r="Q114" s="7">
        <v>2022</v>
      </c>
      <c r="R114" s="126" t="s">
        <v>6689</v>
      </c>
      <c r="S114" s="7" t="s">
        <v>1957</v>
      </c>
      <c r="T114" s="7" t="s">
        <v>6690</v>
      </c>
      <c r="U114" s="7">
        <v>2050</v>
      </c>
      <c r="V114" s="7" cm="1">
        <f t="array" ref="V114">IF(U114="", "", IFERROR(MAX(--_xlfn.TEXTSPLIT(U114,"+")), U114))</f>
        <v>2050</v>
      </c>
      <c r="W114" s="7">
        <v>2022</v>
      </c>
      <c r="X114" s="7" t="s">
        <v>6689</v>
      </c>
      <c r="Y114" s="122"/>
      <c r="Z114" s="7"/>
      <c r="AA114" s="109"/>
      <c r="AB114" s="7">
        <v>2022</v>
      </c>
      <c r="AC114" s="7">
        <f>44233824+26403394</f>
        <v>70637218</v>
      </c>
      <c r="AD114" s="7">
        <f>650610</f>
        <v>650610</v>
      </c>
      <c r="AE114" s="7">
        <f>851432+460758</f>
        <v>1312190</v>
      </c>
      <c r="AF114" s="7">
        <f>132172331+35158+4246+132132928</f>
        <v>264344663</v>
      </c>
      <c r="AG114" s="7" t="s">
        <v>5032</v>
      </c>
      <c r="AH114" s="7">
        <f>AC114+AE114</f>
        <v>71949408</v>
      </c>
      <c r="AI114" s="7">
        <f>AF114+AH114</f>
        <v>336294071</v>
      </c>
      <c r="AJ114" s="7">
        <v>2021</v>
      </c>
      <c r="AK114" s="7">
        <f>46121113+27415019</f>
        <v>73536132</v>
      </c>
      <c r="AL114" s="7">
        <f>1114707</f>
        <v>1114707</v>
      </c>
      <c r="AM114" s="7">
        <f>1486715+736258</f>
        <v>2222973</v>
      </c>
      <c r="AN114" s="7">
        <f>113477296+226+113477070</f>
        <v>226954592</v>
      </c>
      <c r="AO114" s="7">
        <f>AK114+AM114</f>
        <v>75759105</v>
      </c>
      <c r="AP114" s="7">
        <f>AO114+AN114</f>
        <v>302713697</v>
      </c>
      <c r="AQ114" s="7" t="s">
        <v>6688</v>
      </c>
      <c r="AR114" s="7" t="str">
        <f>_xlfn.XLOOKUP(C114,Sheet1!A:A,Sheet1!B:B, "Other")</f>
        <v>Asia</v>
      </c>
      <c r="AS114" t="str">
        <f>_xlfn.XLOOKUP(D114,Sheet1!D:D,Sheet1!E:E)</f>
        <v>Energy and utilities</v>
      </c>
    </row>
    <row r="115" spans="1:45" ht="18" customHeight="1">
      <c r="A115" s="7">
        <v>111</v>
      </c>
      <c r="B115" s="7" t="s">
        <v>1683</v>
      </c>
      <c r="C115" s="7" t="s">
        <v>73</v>
      </c>
      <c r="D115" s="7" t="s">
        <v>186</v>
      </c>
      <c r="E115" s="7" t="s">
        <v>6687</v>
      </c>
      <c r="F115" s="7" t="s">
        <v>6686</v>
      </c>
      <c r="G115" s="122"/>
      <c r="H115" s="7"/>
      <c r="I115" s="7"/>
      <c r="J115" s="122" t="s">
        <v>1960</v>
      </c>
      <c r="K115" s="7"/>
      <c r="L115" s="127" t="s">
        <v>1960</v>
      </c>
      <c r="M115" s="122" t="s">
        <v>4519</v>
      </c>
      <c r="N115" s="7" t="s">
        <v>5131</v>
      </c>
      <c r="O115" s="7">
        <v>2060</v>
      </c>
      <c r="P115" s="7" cm="1">
        <f t="array" ref="P115">IF(O115="", "", IFERROR(MAX(--_xlfn.TEXTSPLIT(O115,"+")), O115))</f>
        <v>2060</v>
      </c>
      <c r="Q115" s="7">
        <v>2021</v>
      </c>
      <c r="R115" s="126" t="s">
        <v>6685</v>
      </c>
      <c r="S115" s="7"/>
      <c r="T115" s="7"/>
      <c r="U115" s="7"/>
      <c r="V115" s="7" t="str" cm="1">
        <f t="array" ref="V115">IF(U115="", "", IFERROR(MAX(--_xlfn.TEXTSPLIT(U115,"+")), U115))</f>
        <v/>
      </c>
      <c r="W115" s="7"/>
      <c r="X115" s="7"/>
      <c r="Y115" s="122"/>
      <c r="Z115" s="7"/>
      <c r="AA115" s="126"/>
      <c r="AB115" s="7">
        <v>2021</v>
      </c>
      <c r="AC115" s="7">
        <v>55141</v>
      </c>
      <c r="AD115" s="7"/>
      <c r="AE115" s="7">
        <v>2596855</v>
      </c>
      <c r="AF115" s="7">
        <v>463800</v>
      </c>
      <c r="AG115" s="7" t="s">
        <v>4174</v>
      </c>
      <c r="AH115" s="7">
        <f>AC115+AE115</f>
        <v>2651996</v>
      </c>
      <c r="AI115" s="7">
        <f>AH115+AF115</f>
        <v>3115796</v>
      </c>
      <c r="AJ115" s="7">
        <v>2020</v>
      </c>
      <c r="AK115" s="7">
        <v>41736</v>
      </c>
      <c r="AL115" s="7"/>
      <c r="AM115" s="7">
        <v>2243722</v>
      </c>
      <c r="AN115" s="7">
        <v>2285458</v>
      </c>
      <c r="AO115" s="7">
        <f>AK115+AM115</f>
        <v>2285458</v>
      </c>
      <c r="AP115" s="7">
        <f>AO115+AN115</f>
        <v>4570916</v>
      </c>
      <c r="AQ115" s="27" t="s">
        <v>6684</v>
      </c>
      <c r="AR115" s="7" t="str">
        <f>_xlfn.XLOOKUP(C115,Sheet1!A:A,Sheet1!B:B, "Other")</f>
        <v>Asia</v>
      </c>
      <c r="AS115" t="str">
        <f>_xlfn.XLOOKUP(D115,Sheet1!D:D,Sheet1!E:E)</f>
        <v>Technology</v>
      </c>
    </row>
    <row r="116" spans="1:45" ht="18" customHeight="1">
      <c r="A116" s="7">
        <v>112</v>
      </c>
      <c r="B116" s="7" t="s">
        <v>1494</v>
      </c>
      <c r="C116" s="7" t="s">
        <v>4457</v>
      </c>
      <c r="D116" s="7" t="s">
        <v>319</v>
      </c>
      <c r="E116" s="7" t="s">
        <v>6683</v>
      </c>
      <c r="F116" s="7" t="s">
        <v>6682</v>
      </c>
      <c r="G116" s="122" t="s">
        <v>4174</v>
      </c>
      <c r="H116" s="7">
        <v>2025</v>
      </c>
      <c r="I116" s="7">
        <v>2015</v>
      </c>
      <c r="J116" s="122" t="s">
        <v>4183</v>
      </c>
      <c r="K116" s="7">
        <v>2030</v>
      </c>
      <c r="L116" s="127">
        <v>2020</v>
      </c>
      <c r="M116" s="122" t="s">
        <v>1957</v>
      </c>
      <c r="N116" s="7" t="s">
        <v>4596</v>
      </c>
      <c r="O116" s="7">
        <v>2030</v>
      </c>
      <c r="P116" s="7" cm="1">
        <f t="array" ref="P116">IF(O116="", "", IFERROR(MAX(--_xlfn.TEXTSPLIT(O116,"+")), O116))</f>
        <v>2030</v>
      </c>
      <c r="Q116" s="7">
        <v>2020</v>
      </c>
      <c r="R116" s="126" t="s">
        <v>4920</v>
      </c>
      <c r="S116" s="7" t="s">
        <v>4172</v>
      </c>
      <c r="T116" s="7" t="s">
        <v>6681</v>
      </c>
      <c r="U116" s="7">
        <v>2045</v>
      </c>
      <c r="V116" s="7" cm="1">
        <f t="array" ref="V116">IF(U116="", "", IFERROR(MAX(--_xlfn.TEXTSPLIT(U116,"+")), U116))</f>
        <v>2045</v>
      </c>
      <c r="W116" s="7">
        <v>2020</v>
      </c>
      <c r="X116" s="7" t="s">
        <v>4920</v>
      </c>
      <c r="Y116" s="122" t="s">
        <v>4174</v>
      </c>
      <c r="Z116" s="7" t="s">
        <v>5037</v>
      </c>
      <c r="AA116" s="109" t="s">
        <v>6680</v>
      </c>
      <c r="AB116" s="7">
        <v>2022</v>
      </c>
      <c r="AC116" s="7">
        <v>384622</v>
      </c>
      <c r="AD116" s="7">
        <v>606096</v>
      </c>
      <c r="AE116" s="7">
        <v>298566</v>
      </c>
      <c r="AF116" s="7">
        <v>9916211</v>
      </c>
      <c r="AG116" s="7" t="s">
        <v>5032</v>
      </c>
      <c r="AH116" s="7">
        <v>683188</v>
      </c>
      <c r="AI116" s="7">
        <f>AH116+AF116</f>
        <v>10599399</v>
      </c>
      <c r="AJ116" s="7">
        <v>2021</v>
      </c>
      <c r="AK116" s="7">
        <v>269200</v>
      </c>
      <c r="AL116" s="7">
        <v>599735</v>
      </c>
      <c r="AM116" s="7">
        <v>381064</v>
      </c>
      <c r="AN116" s="7">
        <v>8971046</v>
      </c>
      <c r="AO116" s="7">
        <v>735270</v>
      </c>
      <c r="AP116" s="7">
        <f>AO116+AN116</f>
        <v>9706316</v>
      </c>
      <c r="AQ116" s="7" t="s">
        <v>6679</v>
      </c>
      <c r="AR116" s="7" t="str">
        <f>_xlfn.XLOOKUP(C116,Sheet1!A:A,Sheet1!B:B, "Other")</f>
        <v>North America</v>
      </c>
      <c r="AS116" t="str">
        <f>_xlfn.XLOOKUP(D116,Sheet1!D:D,Sheet1!E:E)</f>
        <v>Health care and pharmaceuticals</v>
      </c>
    </row>
    <row r="117" spans="1:45" ht="18" customHeight="1">
      <c r="A117" s="7">
        <v>113</v>
      </c>
      <c r="B117" s="7" t="s">
        <v>1267</v>
      </c>
      <c r="C117" s="7" t="s">
        <v>73</v>
      </c>
      <c r="D117" s="7" t="s">
        <v>91</v>
      </c>
      <c r="E117" s="7" t="s">
        <v>6678</v>
      </c>
      <c r="F117" s="7" t="s">
        <v>6677</v>
      </c>
      <c r="G117" s="122"/>
      <c r="H117" s="7"/>
      <c r="I117" s="7"/>
      <c r="J117" s="122" t="s">
        <v>1960</v>
      </c>
      <c r="K117" s="7"/>
      <c r="L117" s="127" t="s">
        <v>1960</v>
      </c>
      <c r="M117" s="122" t="s">
        <v>4519</v>
      </c>
      <c r="N117" s="7" t="s">
        <v>5131</v>
      </c>
      <c r="O117" s="7">
        <v>2060</v>
      </c>
      <c r="P117" s="7" cm="1">
        <f t="array" ref="P117">IF(O117="", "", IFERROR(MAX(--_xlfn.TEXTSPLIT(O117,"+")), O117))</f>
        <v>2060</v>
      </c>
      <c r="Q117" s="7">
        <v>2020</v>
      </c>
      <c r="R117" s="109" t="s">
        <v>6676</v>
      </c>
      <c r="S117" s="7"/>
      <c r="T117" s="7"/>
      <c r="U117" s="7"/>
      <c r="V117" s="7" t="str" cm="1">
        <f t="array" ref="V117">IF(U117="", "", IFERROR(MAX(--_xlfn.TEXTSPLIT(U117,"+")), U117))</f>
        <v/>
      </c>
      <c r="W117" s="7"/>
      <c r="X117" s="7"/>
      <c r="Y117" s="122"/>
      <c r="Z117" s="7"/>
      <c r="AA117" s="109"/>
      <c r="AB117" s="7">
        <v>2022</v>
      </c>
      <c r="AC117" s="123">
        <v>52434.34</v>
      </c>
      <c r="AD117" s="7"/>
      <c r="AE117" s="123">
        <v>200670.94</v>
      </c>
      <c r="AF117" s="123"/>
      <c r="AG117" s="7" t="s">
        <v>5032</v>
      </c>
      <c r="AH117" s="123">
        <f>AC117+AE117</f>
        <v>253105.28</v>
      </c>
      <c r="AI117" s="123">
        <f>AH117</f>
        <v>253105.28</v>
      </c>
      <c r="AJ117" s="7">
        <v>2021</v>
      </c>
      <c r="AK117" s="123">
        <v>51430.12</v>
      </c>
      <c r="AL117" s="7"/>
      <c r="AM117" s="123">
        <v>164261.32999999999</v>
      </c>
      <c r="AN117" s="7"/>
      <c r="AO117" s="123">
        <v>215691.45</v>
      </c>
      <c r="AP117" s="123">
        <f>AO117</f>
        <v>215691.45</v>
      </c>
      <c r="AQ117" s="7" t="s">
        <v>6676</v>
      </c>
      <c r="AR117" s="7" t="str">
        <f>_xlfn.XLOOKUP(C117,Sheet1!A:A,Sheet1!B:B, "Other")</f>
        <v>Asia</v>
      </c>
      <c r="AS117" t="str">
        <f>_xlfn.XLOOKUP(D117,Sheet1!D:D,Sheet1!E:E)</f>
        <v>Retail</v>
      </c>
    </row>
    <row r="118" spans="1:45" ht="18" customHeight="1">
      <c r="A118" s="7">
        <v>114</v>
      </c>
      <c r="B118" s="7" t="s">
        <v>1319</v>
      </c>
      <c r="C118" s="7" t="s">
        <v>4457</v>
      </c>
      <c r="D118" s="7" t="s">
        <v>178</v>
      </c>
      <c r="E118" s="7" t="s">
        <v>6675</v>
      </c>
      <c r="F118" s="7" t="s">
        <v>6674</v>
      </c>
      <c r="G118" s="122"/>
      <c r="H118" s="7"/>
      <c r="I118" s="7"/>
      <c r="J118" s="122" t="s">
        <v>1960</v>
      </c>
      <c r="K118" s="7"/>
      <c r="L118" s="127" t="s">
        <v>1960</v>
      </c>
      <c r="M118" s="122" t="s">
        <v>1957</v>
      </c>
      <c r="N118" s="7" t="s">
        <v>4354</v>
      </c>
      <c r="O118" s="7">
        <v>2040</v>
      </c>
      <c r="P118" s="7" cm="1">
        <f t="array" ref="P118">IF(O118="", "", IFERROR(MAX(--_xlfn.TEXTSPLIT(O118,"+")), O118))</f>
        <v>2040</v>
      </c>
      <c r="Q118" s="7">
        <v>2021</v>
      </c>
      <c r="R118" s="109" t="s">
        <v>6673</v>
      </c>
      <c r="S118" s="7"/>
      <c r="T118" s="7"/>
      <c r="U118" s="7"/>
      <c r="V118" s="7" t="str" cm="1">
        <f t="array" ref="V118">IF(U118="", "", IFERROR(MAX(--_xlfn.TEXTSPLIT(U118,"+")), U118))</f>
        <v/>
      </c>
      <c r="W118" s="7"/>
      <c r="X118" s="7"/>
      <c r="Y118" s="122" t="s">
        <v>4174</v>
      </c>
      <c r="Z118" s="7" t="s">
        <v>5037</v>
      </c>
      <c r="AA118" s="109" t="s">
        <v>6672</v>
      </c>
      <c r="AB118" s="7">
        <v>2022</v>
      </c>
      <c r="AC118" s="7">
        <f>16947988+4700+160929</f>
        <v>17113617</v>
      </c>
      <c r="AD118" s="7"/>
      <c r="AE118" s="7">
        <f>861710+1231+1770</f>
        <v>864711</v>
      </c>
      <c r="AF118" s="7">
        <v>4269004</v>
      </c>
      <c r="AG118" s="7" t="s">
        <v>5032</v>
      </c>
      <c r="AH118" s="7">
        <f>AC118+AE118</f>
        <v>17978328</v>
      </c>
      <c r="AI118" s="7">
        <f>AH118+AF118</f>
        <v>22247332</v>
      </c>
      <c r="AJ118" s="7">
        <v>2021</v>
      </c>
      <c r="AK118" s="7">
        <f>16496043+5161+158638</f>
        <v>16659842</v>
      </c>
      <c r="AL118" s="7"/>
      <c r="AM118" s="7">
        <f>930470+2165+3157</f>
        <v>935792</v>
      </c>
      <c r="AN118" s="7">
        <v>3852752</v>
      </c>
      <c r="AO118" s="7">
        <f>AK118+AM118</f>
        <v>17595634</v>
      </c>
      <c r="AP118" s="7">
        <f>AO118+AN118</f>
        <v>21448386</v>
      </c>
      <c r="AQ118" s="7" t="s">
        <v>6671</v>
      </c>
      <c r="AR118" s="7" t="str">
        <f>_xlfn.XLOOKUP(C118,Sheet1!A:A,Sheet1!B:B, "Other")</f>
        <v>North America</v>
      </c>
      <c r="AS118" t="str">
        <f>_xlfn.XLOOKUP(D118,Sheet1!D:D,Sheet1!E:E)</f>
        <v>Transportation and logistics</v>
      </c>
    </row>
    <row r="119" spans="1:45" ht="18" customHeight="1">
      <c r="A119" s="7">
        <v>115</v>
      </c>
      <c r="B119" s="7" t="s">
        <v>4892</v>
      </c>
      <c r="C119" s="7" t="s">
        <v>73</v>
      </c>
      <c r="D119" s="7" t="s">
        <v>178</v>
      </c>
      <c r="E119" s="7" t="s">
        <v>6670</v>
      </c>
      <c r="F119" s="7" t="s">
        <v>6669</v>
      </c>
      <c r="G119" s="122"/>
      <c r="H119" s="7"/>
      <c r="I119" s="7"/>
      <c r="J119" s="122" t="s">
        <v>4183</v>
      </c>
      <c r="K119" s="7">
        <v>2030</v>
      </c>
      <c r="L119" s="127">
        <v>2023</v>
      </c>
      <c r="M119" s="122" t="s">
        <v>4519</v>
      </c>
      <c r="N119" s="7" t="s">
        <v>5131</v>
      </c>
      <c r="O119" s="7">
        <v>2060</v>
      </c>
      <c r="P119" s="7" cm="1">
        <f t="array" ref="P119">IF(O119="", "", IFERROR(MAX(--_xlfn.TEXTSPLIT(O119,"+")), O119))</f>
        <v>2060</v>
      </c>
      <c r="Q119" s="7">
        <v>2021</v>
      </c>
      <c r="R119" s="109" t="s">
        <v>6668</v>
      </c>
      <c r="S119" s="7"/>
      <c r="T119" s="7"/>
      <c r="U119" s="7"/>
      <c r="V119" s="7" t="str" cm="1">
        <f t="array" ref="V119">IF(U119="", "", IFERROR(MAX(--_xlfn.TEXTSPLIT(U119,"+")), U119))</f>
        <v/>
      </c>
      <c r="W119" s="7"/>
      <c r="X119" s="7"/>
      <c r="Y119" s="122"/>
      <c r="Z119" s="7"/>
      <c r="AA119" s="109"/>
      <c r="AB119" s="7">
        <v>2022</v>
      </c>
      <c r="AC119" s="7">
        <v>15181289</v>
      </c>
      <c r="AD119" s="7"/>
      <c r="AE119" s="7">
        <v>2555</v>
      </c>
      <c r="AF119" s="7"/>
      <c r="AG119" s="7" t="s">
        <v>5032</v>
      </c>
      <c r="AH119" s="7">
        <f>AE119+AC119</f>
        <v>15183844</v>
      </c>
      <c r="AI119" s="7">
        <f>AH119+AF119</f>
        <v>15183844</v>
      </c>
      <c r="AJ119" s="7">
        <v>2021</v>
      </c>
      <c r="AK119" s="7">
        <v>16654623</v>
      </c>
      <c r="AL119" s="7"/>
      <c r="AM119" s="7">
        <v>3925</v>
      </c>
      <c r="AN119" s="7"/>
      <c r="AO119" s="7">
        <f>AK119+AM119</f>
        <v>16658548</v>
      </c>
      <c r="AP119" s="7">
        <f>AO119</f>
        <v>16658548</v>
      </c>
      <c r="AQ119" s="7" t="s">
        <v>6667</v>
      </c>
      <c r="AR119" s="7" t="str">
        <f>_xlfn.XLOOKUP(C119,Sheet1!A:A,Sheet1!B:B, "Other")</f>
        <v>Asia</v>
      </c>
      <c r="AS119" t="str">
        <f>_xlfn.XLOOKUP(D119,Sheet1!D:D,Sheet1!E:E)</f>
        <v>Transportation and logistics</v>
      </c>
    </row>
    <row r="120" spans="1:45" ht="18" customHeight="1">
      <c r="A120" s="7">
        <v>116</v>
      </c>
      <c r="B120" s="7" t="s">
        <v>1227</v>
      </c>
      <c r="C120" s="7" t="s">
        <v>4457</v>
      </c>
      <c r="D120" s="7" t="s">
        <v>319</v>
      </c>
      <c r="E120" s="7" t="s">
        <v>6666</v>
      </c>
      <c r="F120" s="7" t="s">
        <v>6665</v>
      </c>
      <c r="G120" s="122"/>
      <c r="H120" s="7"/>
      <c r="I120" s="7"/>
      <c r="J120" s="122" t="s">
        <v>1957</v>
      </c>
      <c r="K120" s="7"/>
      <c r="L120" s="127">
        <v>2021</v>
      </c>
      <c r="M120" s="122"/>
      <c r="N120" s="7"/>
      <c r="O120" s="7"/>
      <c r="P120" s="7" t="str" cm="1">
        <f t="array" ref="P120">IF(O120="", "", IFERROR(MAX(--_xlfn.TEXTSPLIT(O120,"+")), O120))</f>
        <v/>
      </c>
      <c r="Q120" s="7"/>
      <c r="R120" s="109"/>
      <c r="S120" s="7"/>
      <c r="T120" s="7"/>
      <c r="U120" s="7"/>
      <c r="V120" s="7" t="str" cm="1">
        <f t="array" ref="V120">IF(U120="", "", IFERROR(MAX(--_xlfn.TEXTSPLIT(U120,"+")), U120))</f>
        <v/>
      </c>
      <c r="W120" s="7"/>
      <c r="X120" s="7"/>
      <c r="Y120" s="122"/>
      <c r="Z120" s="7"/>
      <c r="AA120" s="109"/>
      <c r="AB120" s="7">
        <v>2022</v>
      </c>
      <c r="AC120" s="124">
        <v>47312</v>
      </c>
      <c r="AD120" s="124">
        <v>69892</v>
      </c>
      <c r="AE120" s="124">
        <v>74627</v>
      </c>
      <c r="AF120" s="124">
        <v>2478677.65</v>
      </c>
      <c r="AG120" s="7" t="s">
        <v>2082</v>
      </c>
      <c r="AH120" s="124">
        <f>AC120+AE120</f>
        <v>121939</v>
      </c>
      <c r="AI120" s="124">
        <f>AF120+AH120</f>
        <v>2600616.65</v>
      </c>
      <c r="AJ120" s="7">
        <v>2021</v>
      </c>
      <c r="AK120" s="124">
        <v>29481</v>
      </c>
      <c r="AL120" s="124">
        <v>68184</v>
      </c>
      <c r="AM120" s="124">
        <v>73675</v>
      </c>
      <c r="AN120" s="123">
        <v>1971180.33</v>
      </c>
      <c r="AO120" s="124">
        <f>AK120+AL120</f>
        <v>97665</v>
      </c>
      <c r="AP120" s="123">
        <f>AN120+AO120</f>
        <v>2068845.33</v>
      </c>
      <c r="AQ120" s="7" t="s">
        <v>6664</v>
      </c>
      <c r="AR120" s="7" t="str">
        <f>_xlfn.XLOOKUP(C120,Sheet1!A:A,Sheet1!B:B, "Other")</f>
        <v>North America</v>
      </c>
      <c r="AS120" t="str">
        <f>_xlfn.XLOOKUP(D120,Sheet1!D:D,Sheet1!E:E)</f>
        <v>Health care and pharmaceuticals</v>
      </c>
    </row>
    <row r="121" spans="1:45" ht="18" customHeight="1">
      <c r="A121" s="7">
        <v>117</v>
      </c>
      <c r="B121" s="7" t="s">
        <v>1225</v>
      </c>
      <c r="C121" s="7" t="s">
        <v>78</v>
      </c>
      <c r="D121" s="7" t="s">
        <v>76</v>
      </c>
      <c r="E121" s="7" t="s">
        <v>6663</v>
      </c>
      <c r="F121" s="7" t="s">
        <v>6662</v>
      </c>
      <c r="G121" s="122"/>
      <c r="H121" s="7"/>
      <c r="I121" s="7"/>
      <c r="J121" s="122" t="s">
        <v>1960</v>
      </c>
      <c r="K121" s="7"/>
      <c r="L121" s="127" t="s">
        <v>1960</v>
      </c>
      <c r="M121" s="122"/>
      <c r="N121" s="7"/>
      <c r="O121" s="7"/>
      <c r="P121" s="7" t="str" cm="1">
        <f t="array" ref="P121">IF(O121="", "", IFERROR(MAX(--_xlfn.TEXTSPLIT(O121,"+")), O121))</f>
        <v/>
      </c>
      <c r="Q121" s="7"/>
      <c r="R121" s="109"/>
      <c r="S121" s="7" t="s">
        <v>4172</v>
      </c>
      <c r="T121" s="7" t="s">
        <v>6661</v>
      </c>
      <c r="U121" s="7">
        <v>2050</v>
      </c>
      <c r="V121" s="7" cm="1">
        <f t="array" ref="V121">IF(U121="", "", IFERROR(MAX(--_xlfn.TEXTSPLIT(U121,"+")), U121))</f>
        <v>2050</v>
      </c>
      <c r="W121" s="7">
        <v>2021</v>
      </c>
      <c r="X121" s="7" t="s">
        <v>6660</v>
      </c>
      <c r="Y121" s="122"/>
      <c r="Z121" s="7"/>
      <c r="AA121" s="109"/>
      <c r="AB121" s="7">
        <v>2022</v>
      </c>
      <c r="AC121" s="124">
        <v>433</v>
      </c>
      <c r="AD121" s="7">
        <v>2204</v>
      </c>
      <c r="AE121" s="124">
        <v>1999</v>
      </c>
      <c r="AF121" s="7">
        <v>10945</v>
      </c>
      <c r="AG121" s="7" t="s">
        <v>5032</v>
      </c>
      <c r="AH121" s="124">
        <f>AC121+AE121</f>
        <v>2432</v>
      </c>
      <c r="AI121" s="124">
        <f>AF121+AH121</f>
        <v>13377</v>
      </c>
      <c r="AJ121" s="7">
        <v>2021</v>
      </c>
      <c r="AK121" s="7">
        <v>342</v>
      </c>
      <c r="AL121" s="7">
        <v>2135</v>
      </c>
      <c r="AM121" s="7">
        <v>2013</v>
      </c>
      <c r="AN121" s="7">
        <v>2646</v>
      </c>
      <c r="AO121" s="7">
        <f>AK121+AM121</f>
        <v>2355</v>
      </c>
      <c r="AP121" s="7">
        <f>AN121+AO121</f>
        <v>5001</v>
      </c>
      <c r="AQ121" s="7" t="s">
        <v>6660</v>
      </c>
      <c r="AR121" s="7" t="str">
        <f>_xlfn.XLOOKUP(C121,Sheet1!A:A,Sheet1!B:B, "Other")</f>
        <v>North America</v>
      </c>
      <c r="AS121" t="str">
        <f>_xlfn.XLOOKUP(D121,Sheet1!D:D,Sheet1!E:E)</f>
        <v>Financial services</v>
      </c>
    </row>
    <row r="122" spans="1:45" ht="18" customHeight="1">
      <c r="A122" s="7">
        <v>118</v>
      </c>
      <c r="B122" s="7" t="s">
        <v>1635</v>
      </c>
      <c r="C122" s="7" t="s">
        <v>146</v>
      </c>
      <c r="D122" s="7" t="s">
        <v>171</v>
      </c>
      <c r="E122" s="7" t="s">
        <v>6659</v>
      </c>
      <c r="F122" s="7" t="s">
        <v>6658</v>
      </c>
      <c r="G122" s="122"/>
      <c r="H122" s="7"/>
      <c r="I122" s="7"/>
      <c r="J122" s="122" t="s">
        <v>1960</v>
      </c>
      <c r="K122" s="7"/>
      <c r="L122" s="127" t="s">
        <v>1960</v>
      </c>
      <c r="M122" s="122" t="s">
        <v>1957</v>
      </c>
      <c r="N122" s="7" t="s">
        <v>5042</v>
      </c>
      <c r="O122" s="7">
        <v>2020</v>
      </c>
      <c r="P122" s="7" cm="1">
        <f t="array" ref="P122">IF(O122="", "", IFERROR(MAX(--_xlfn.TEXTSPLIT(O122,"+")), O122))</f>
        <v>2020</v>
      </c>
      <c r="Q122" s="7">
        <v>2019</v>
      </c>
      <c r="R122" s="109" t="s">
        <v>6657</v>
      </c>
      <c r="S122" s="7"/>
      <c r="T122" s="7"/>
      <c r="U122" s="7"/>
      <c r="V122" s="7" t="str" cm="1">
        <f t="array" ref="V122">IF(U122="", "", IFERROR(MAX(--_xlfn.TEXTSPLIT(U122,"+")), U122))</f>
        <v/>
      </c>
      <c r="W122" s="7"/>
      <c r="X122" s="7"/>
      <c r="Y122" s="122"/>
      <c r="Z122" s="7"/>
      <c r="AA122" s="109"/>
      <c r="AB122" s="7">
        <v>2022</v>
      </c>
      <c r="AC122" s="7">
        <v>523000</v>
      </c>
      <c r="AD122" s="7"/>
      <c r="AE122" s="7">
        <v>194000</v>
      </c>
      <c r="AF122" s="7"/>
      <c r="AG122" s="7" t="s">
        <v>5032</v>
      </c>
      <c r="AH122" s="7">
        <f>AC122+AE122</f>
        <v>717000</v>
      </c>
      <c r="AI122" s="7">
        <f>AH122</f>
        <v>717000</v>
      </c>
      <c r="AJ122" s="7">
        <v>2021</v>
      </c>
      <c r="AK122" s="7">
        <v>569000</v>
      </c>
      <c r="AL122" s="7"/>
      <c r="AM122" s="7">
        <v>338000</v>
      </c>
      <c r="AN122" s="7">
        <v>382100000</v>
      </c>
      <c r="AO122" s="7">
        <f>AK122+AM122</f>
        <v>907000</v>
      </c>
      <c r="AP122" s="7">
        <f>AN122+AO122</f>
        <v>383007000</v>
      </c>
      <c r="AQ122" s="7" t="s">
        <v>6656</v>
      </c>
      <c r="AR122" s="7" t="str">
        <f>_xlfn.XLOOKUP(C122,Sheet1!A:A,Sheet1!B:B, "Other")</f>
        <v>Europe</v>
      </c>
      <c r="AS122" t="str">
        <f>_xlfn.XLOOKUP(D122,Sheet1!D:D,Sheet1!E:E)</f>
        <v>Automotive</v>
      </c>
    </row>
    <row r="123" spans="1:45" ht="18" customHeight="1">
      <c r="A123" s="7">
        <v>119</v>
      </c>
      <c r="B123" s="7" t="s">
        <v>1446</v>
      </c>
      <c r="C123" s="7" t="s">
        <v>146</v>
      </c>
      <c r="D123" s="7" t="s">
        <v>66</v>
      </c>
      <c r="E123" s="7" t="s">
        <v>6655</v>
      </c>
      <c r="F123" s="7" t="s">
        <v>6654</v>
      </c>
      <c r="G123" s="122"/>
      <c r="H123" s="7"/>
      <c r="I123" s="7"/>
      <c r="J123" s="122" t="s">
        <v>1960</v>
      </c>
      <c r="K123" s="7"/>
      <c r="L123" s="127" t="s">
        <v>1960</v>
      </c>
      <c r="M123" s="122"/>
      <c r="N123" s="7"/>
      <c r="O123" s="7"/>
      <c r="P123" s="7" t="str" cm="1">
        <f t="array" ref="P123">IF(O123="", "", IFERROR(MAX(--_xlfn.TEXTSPLIT(O123,"+")), O123))</f>
        <v/>
      </c>
      <c r="Q123" s="7"/>
      <c r="R123" s="109"/>
      <c r="S123" s="7" t="s">
        <v>1957</v>
      </c>
      <c r="T123" s="7" t="s">
        <v>5042</v>
      </c>
      <c r="U123" s="7">
        <v>2050</v>
      </c>
      <c r="V123" s="7" cm="1">
        <f t="array" ref="V123">IF(U123="", "", IFERROR(MAX(--_xlfn.TEXTSPLIT(U123,"+")), U123))</f>
        <v>2050</v>
      </c>
      <c r="W123" s="7">
        <v>2021</v>
      </c>
      <c r="X123" s="125" t="s">
        <v>6653</v>
      </c>
      <c r="Y123" s="122"/>
      <c r="Z123" s="7"/>
      <c r="AA123" s="109"/>
      <c r="AB123" s="7">
        <v>2022</v>
      </c>
      <c r="AC123" s="7">
        <f>19185000-AE123</f>
        <v>16556000</v>
      </c>
      <c r="AD123" s="7"/>
      <c r="AE123" s="7">
        <v>2629000</v>
      </c>
      <c r="AF123" s="7">
        <v>92000000</v>
      </c>
      <c r="AG123" s="7" t="s">
        <v>4174</v>
      </c>
      <c r="AH123" s="7">
        <f>AE123+AC123</f>
        <v>19185000</v>
      </c>
      <c r="AI123" s="7">
        <f>AH123+AF123</f>
        <v>111185000</v>
      </c>
      <c r="AJ123" s="7">
        <v>2021</v>
      </c>
      <c r="AK123" s="7">
        <f>AO123-AM123</f>
        <v>17720000</v>
      </c>
      <c r="AL123" s="7"/>
      <c r="AM123" s="7">
        <v>2464000</v>
      </c>
      <c r="AN123" s="7">
        <v>101000000</v>
      </c>
      <c r="AO123" s="7">
        <v>20184000</v>
      </c>
      <c r="AP123" s="7">
        <f>AO123+AN123</f>
        <v>121184000</v>
      </c>
      <c r="AQ123" s="52" t="s">
        <v>6652</v>
      </c>
      <c r="AR123" s="7" t="str">
        <f>_xlfn.XLOOKUP(C123,Sheet1!A:A,Sheet1!B:B, "Other")</f>
        <v>Europe</v>
      </c>
      <c r="AS123" t="str">
        <f>_xlfn.XLOOKUP(D123,Sheet1!D:D,Sheet1!E:E)</f>
        <v>Chemicals</v>
      </c>
    </row>
    <row r="124" spans="1:45" ht="18" customHeight="1">
      <c r="A124" s="7">
        <v>120</v>
      </c>
      <c r="B124" s="7" t="s">
        <v>1437</v>
      </c>
      <c r="C124" s="7" t="s">
        <v>73</v>
      </c>
      <c r="D124" s="7" t="s">
        <v>76</v>
      </c>
      <c r="E124" s="7" t="s">
        <v>6651</v>
      </c>
      <c r="F124" s="7" t="s">
        <v>6650</v>
      </c>
      <c r="G124" s="122"/>
      <c r="H124" s="7"/>
      <c r="I124" s="7"/>
      <c r="J124" s="122" t="s">
        <v>1960</v>
      </c>
      <c r="K124" s="7"/>
      <c r="L124" s="127" t="s">
        <v>1960</v>
      </c>
      <c r="M124" s="122" t="s">
        <v>4519</v>
      </c>
      <c r="N124" s="7" t="s">
        <v>5131</v>
      </c>
      <c r="O124" s="7">
        <v>2060</v>
      </c>
      <c r="P124" s="7" cm="1">
        <f t="array" ref="P124">IF(O124="", "", IFERROR(MAX(--_xlfn.TEXTSPLIT(O124,"+")), O124))</f>
        <v>2060</v>
      </c>
      <c r="Q124" s="7">
        <v>2020</v>
      </c>
      <c r="R124" s="109" t="s">
        <v>6649</v>
      </c>
      <c r="S124" s="7"/>
      <c r="T124" s="7"/>
      <c r="U124" s="7"/>
      <c r="V124" s="7" t="str" cm="1">
        <f t="array" ref="V124">IF(U124="", "", IFERROR(MAX(--_xlfn.TEXTSPLIT(U124,"+")), U124))</f>
        <v/>
      </c>
      <c r="W124" s="7"/>
      <c r="X124" s="7"/>
      <c r="Y124" s="122"/>
      <c r="Z124" s="7"/>
      <c r="AA124" s="109"/>
      <c r="AB124" s="7">
        <v>2022</v>
      </c>
      <c r="AC124" s="7">
        <f>136+16.8</f>
        <v>152.80000000000001</v>
      </c>
      <c r="AD124" s="7"/>
      <c r="AE124" s="7">
        <f>3470.2+980.87+2.64</f>
        <v>4453.71</v>
      </c>
      <c r="AF124" s="7"/>
      <c r="AG124" s="7" t="s">
        <v>5032</v>
      </c>
      <c r="AH124" s="7">
        <f>AC124+AE124</f>
        <v>4606.51</v>
      </c>
      <c r="AI124" s="7">
        <f>AH124</f>
        <v>4606.51</v>
      </c>
      <c r="AJ124" s="7">
        <v>2021</v>
      </c>
      <c r="AK124" s="7">
        <f>149.4+37.9</f>
        <v>187.3</v>
      </c>
      <c r="AL124" s="7"/>
      <c r="AM124" s="7">
        <f>3741.1+997.59+3.61</f>
        <v>4742.2999999999993</v>
      </c>
      <c r="AN124" s="7"/>
      <c r="AO124" s="7">
        <f>AK124+AM124</f>
        <v>4929.5999999999995</v>
      </c>
      <c r="AP124" s="7">
        <f>AO124</f>
        <v>4929.5999999999995</v>
      </c>
      <c r="AQ124" s="7" t="s">
        <v>6649</v>
      </c>
      <c r="AR124" s="7" t="str">
        <f>_xlfn.XLOOKUP(C124,Sheet1!A:A,Sheet1!B:B, "Other")</f>
        <v>Asia</v>
      </c>
      <c r="AS124" t="str">
        <f>_xlfn.XLOOKUP(D124,Sheet1!D:D,Sheet1!E:E)</f>
        <v>Financial services</v>
      </c>
    </row>
    <row r="125" spans="1:45" ht="18" customHeight="1">
      <c r="A125" s="7">
        <v>121</v>
      </c>
      <c r="B125" s="7" t="s">
        <v>1414</v>
      </c>
      <c r="C125" s="7" t="s">
        <v>96</v>
      </c>
      <c r="D125" s="7" t="s">
        <v>342</v>
      </c>
      <c r="E125" s="7" t="s">
        <v>6648</v>
      </c>
      <c r="F125" s="7" t="s">
        <v>6647</v>
      </c>
      <c r="G125" s="122"/>
      <c r="H125" s="7"/>
      <c r="I125" s="7"/>
      <c r="J125" s="122" t="s">
        <v>4183</v>
      </c>
      <c r="K125" s="7">
        <v>2030</v>
      </c>
      <c r="L125" s="127">
        <v>2020</v>
      </c>
      <c r="M125" s="122"/>
      <c r="N125" s="7"/>
      <c r="O125" s="7"/>
      <c r="P125" s="7" t="str" cm="1">
        <f t="array" ref="P125">IF(O125="", "", IFERROR(MAX(--_xlfn.TEXTSPLIT(O125,"+")), O125))</f>
        <v/>
      </c>
      <c r="Q125" s="7"/>
      <c r="R125" s="109"/>
      <c r="S125" s="7" t="s">
        <v>4172</v>
      </c>
      <c r="T125" s="7" t="s">
        <v>4771</v>
      </c>
      <c r="U125" s="7" t="s">
        <v>4670</v>
      </c>
      <c r="V125" s="7" cm="1">
        <f t="array" ref="V125">IF(U125="", "", IFERROR(MAX(--_xlfn.TEXTSPLIT(U125,"+")), U125))</f>
        <v>2050</v>
      </c>
      <c r="W125" s="7">
        <v>2021</v>
      </c>
      <c r="X125" s="7" t="s">
        <v>6646</v>
      </c>
      <c r="Y125" s="122" t="s">
        <v>4174</v>
      </c>
      <c r="Z125" s="7" t="s">
        <v>5037</v>
      </c>
      <c r="AA125" s="109" t="s">
        <v>6645</v>
      </c>
      <c r="AB125" s="7">
        <v>2022</v>
      </c>
      <c r="AC125" s="7">
        <v>1823000</v>
      </c>
      <c r="AD125" s="7">
        <v>1668000</v>
      </c>
      <c r="AE125" s="7">
        <v>1014000</v>
      </c>
      <c r="AF125" s="7"/>
      <c r="AG125" s="7" t="s">
        <v>5032</v>
      </c>
      <c r="AH125" s="7">
        <f>AE125+AC125</f>
        <v>2837000</v>
      </c>
      <c r="AI125" s="7">
        <f>AH125+AF125</f>
        <v>2837000</v>
      </c>
      <c r="AJ125" s="7">
        <v>2021</v>
      </c>
      <c r="AK125" s="7">
        <v>1794000</v>
      </c>
      <c r="AL125" s="7">
        <v>1770000</v>
      </c>
      <c r="AM125" s="7">
        <v>1099000</v>
      </c>
      <c r="AN125" s="7"/>
      <c r="AO125" s="7">
        <f>AM125+AK125</f>
        <v>2893000</v>
      </c>
      <c r="AP125" s="7">
        <f>AO125+AN125</f>
        <v>2893000</v>
      </c>
      <c r="AQ125" s="7" t="s">
        <v>6644</v>
      </c>
      <c r="AR125" s="7" t="str">
        <f>_xlfn.XLOOKUP(C125,Sheet1!A:A,Sheet1!B:B, "Other")</f>
        <v>Europe</v>
      </c>
      <c r="AS125" t="str">
        <f>_xlfn.XLOOKUP(D125,Sheet1!D:D,Sheet1!E:E)</f>
        <v>Food, beverages and agriculture</v>
      </c>
    </row>
    <row r="126" spans="1:45" ht="18" customHeight="1">
      <c r="A126" s="7">
        <v>122</v>
      </c>
      <c r="B126" s="7" t="s">
        <v>3346</v>
      </c>
      <c r="C126" s="7" t="s">
        <v>207</v>
      </c>
      <c r="D126" s="7" t="s">
        <v>71</v>
      </c>
      <c r="E126" s="7" t="s">
        <v>6643</v>
      </c>
      <c r="F126" s="7" t="s">
        <v>6642</v>
      </c>
      <c r="G126" s="122"/>
      <c r="H126" s="7"/>
      <c r="I126" s="7"/>
      <c r="J126" s="122" t="s">
        <v>1960</v>
      </c>
      <c r="K126" s="7"/>
      <c r="L126" s="127" t="s">
        <v>1960</v>
      </c>
      <c r="M126" s="122" t="s">
        <v>4504</v>
      </c>
      <c r="N126" s="7" t="s">
        <v>6641</v>
      </c>
      <c r="O126" s="7">
        <v>2040</v>
      </c>
      <c r="P126" s="7" cm="1">
        <f t="array" ref="P126">IF(O126="", "", IFERROR(MAX(--_xlfn.TEXTSPLIT(O126,"+")), O126))</f>
        <v>2040</v>
      </c>
      <c r="Q126" s="7">
        <v>2022</v>
      </c>
      <c r="R126" s="109" t="s">
        <v>6640</v>
      </c>
      <c r="S126" s="7"/>
      <c r="T126" s="7"/>
      <c r="U126" s="7"/>
      <c r="V126" s="7" t="str" cm="1">
        <f t="array" ref="V126">IF(U126="", "", IFERROR(MAX(--_xlfn.TEXTSPLIT(U126,"+")), U126))</f>
        <v/>
      </c>
      <c r="W126" s="7"/>
      <c r="X126" s="7"/>
      <c r="Y126" s="122"/>
      <c r="Z126" s="7"/>
      <c r="AA126" s="109"/>
      <c r="AB126" s="7">
        <v>2021</v>
      </c>
      <c r="AC126" s="7">
        <v>19920000</v>
      </c>
      <c r="AD126" s="7"/>
      <c r="AE126" s="7">
        <v>2370000</v>
      </c>
      <c r="AF126" s="7">
        <f>1050000+129611</f>
        <v>1179611</v>
      </c>
      <c r="AG126" s="7" t="s">
        <v>5032</v>
      </c>
      <c r="AH126" s="7">
        <f>AC126+AE126</f>
        <v>22290000</v>
      </c>
      <c r="AI126" s="7">
        <v>23470000</v>
      </c>
      <c r="AJ126" s="7">
        <v>2020</v>
      </c>
      <c r="AK126" s="7">
        <v>22490000</v>
      </c>
      <c r="AL126" s="7"/>
      <c r="AM126" s="7">
        <f>2700000</f>
        <v>2700000</v>
      </c>
      <c r="AN126" s="7">
        <f>1040000+121880</f>
        <v>1161880</v>
      </c>
      <c r="AO126" s="7">
        <f>AK126+AM126</f>
        <v>25190000</v>
      </c>
      <c r="AP126" s="7">
        <v>22610000</v>
      </c>
      <c r="AQ126" s="7" t="s">
        <v>6639</v>
      </c>
      <c r="AR126" s="7" t="str">
        <f>_xlfn.XLOOKUP(C126,Sheet1!A:A,Sheet1!B:B, "Other")</f>
        <v>Asia</v>
      </c>
      <c r="AS126" t="str">
        <f>_xlfn.XLOOKUP(D126,Sheet1!D:D,Sheet1!E:E)</f>
        <v>Energy and utilities</v>
      </c>
    </row>
    <row r="127" spans="1:45" ht="18" customHeight="1">
      <c r="A127" s="7">
        <v>123</v>
      </c>
      <c r="B127" s="7" t="s">
        <v>1223</v>
      </c>
      <c r="C127" s="7" t="s">
        <v>73</v>
      </c>
      <c r="D127" s="7" t="s">
        <v>283</v>
      </c>
      <c r="E127" s="7" t="s">
        <v>6638</v>
      </c>
      <c r="F127" s="7" t="s">
        <v>5335</v>
      </c>
      <c r="G127" s="122"/>
      <c r="H127" s="7"/>
      <c r="I127" s="7"/>
      <c r="J127" s="122" t="s">
        <v>1960</v>
      </c>
      <c r="K127" s="7"/>
      <c r="L127" s="127" t="s">
        <v>1960</v>
      </c>
      <c r="M127" s="122" t="s">
        <v>4519</v>
      </c>
      <c r="N127" s="7"/>
      <c r="O127" s="7">
        <v>2060</v>
      </c>
      <c r="P127" s="7" cm="1">
        <f t="array" ref="P127">IF(O127="", "", IFERROR(MAX(--_xlfn.TEXTSPLIT(O127,"+")), O127))</f>
        <v>2060</v>
      </c>
      <c r="Q127" s="7">
        <v>2021</v>
      </c>
      <c r="R127" s="109" t="s">
        <v>6637</v>
      </c>
      <c r="S127" s="7"/>
      <c r="T127" s="7"/>
      <c r="U127" s="7"/>
      <c r="V127" s="7" t="str" cm="1">
        <f t="array" ref="V127">IF(U127="", "", IFERROR(MAX(--_xlfn.TEXTSPLIT(U127,"+")), U127))</f>
        <v/>
      </c>
      <c r="W127" s="7"/>
      <c r="X127" s="7"/>
      <c r="Y127" s="122"/>
      <c r="Z127" s="7"/>
      <c r="AA127" s="109"/>
      <c r="AB127" s="7" t="s">
        <v>5032</v>
      </c>
      <c r="AC127" s="7"/>
      <c r="AD127" s="7"/>
      <c r="AE127" s="7"/>
      <c r="AF127" s="7"/>
      <c r="AG127" s="7" t="s">
        <v>5032</v>
      </c>
      <c r="AH127" s="7"/>
      <c r="AI127" s="7"/>
      <c r="AJ127" s="7"/>
      <c r="AK127" s="7"/>
      <c r="AL127" s="7"/>
      <c r="AM127" s="7"/>
      <c r="AN127" s="7"/>
      <c r="AO127" s="7"/>
      <c r="AP127" s="7"/>
      <c r="AQ127" s="7"/>
      <c r="AR127" s="7" t="str">
        <f>_xlfn.XLOOKUP(C127,Sheet1!A:A,Sheet1!B:B, "Other")</f>
        <v>Asia</v>
      </c>
      <c r="AS127" t="str">
        <f>_xlfn.XLOOKUP(D127,Sheet1!D:D,Sheet1!E:E)</f>
        <v>Industrial goods</v>
      </c>
    </row>
    <row r="128" spans="1:45" ht="18" customHeight="1">
      <c r="A128" s="7">
        <v>124</v>
      </c>
      <c r="B128" s="7" t="s">
        <v>1451</v>
      </c>
      <c r="C128" s="7" t="s">
        <v>73</v>
      </c>
      <c r="D128" s="7" t="s">
        <v>85</v>
      </c>
      <c r="E128" s="7" t="s">
        <v>6636</v>
      </c>
      <c r="F128" s="7" t="s">
        <v>6635</v>
      </c>
      <c r="G128" s="122"/>
      <c r="H128" s="7"/>
      <c r="I128" s="7"/>
      <c r="J128" s="122" t="s">
        <v>1960</v>
      </c>
      <c r="K128" s="7"/>
      <c r="L128" s="127" t="s">
        <v>1960</v>
      </c>
      <c r="M128" s="122"/>
      <c r="N128" s="7"/>
      <c r="O128" s="7"/>
      <c r="P128" s="7" t="str" cm="1">
        <f t="array" ref="P128">IF(O128="", "", IFERROR(MAX(--_xlfn.TEXTSPLIT(O128,"+")), O128))</f>
        <v/>
      </c>
      <c r="Q128" s="7"/>
      <c r="R128" s="109"/>
      <c r="S128" s="7"/>
      <c r="T128" s="7"/>
      <c r="U128" s="7"/>
      <c r="V128" s="7" t="str" cm="1">
        <f t="array" ref="V128">IF(U128="", "", IFERROR(MAX(--_xlfn.TEXTSPLIT(U128,"+")), U128))</f>
        <v/>
      </c>
      <c r="W128" s="7"/>
      <c r="X128" s="7"/>
      <c r="Y128" s="122"/>
      <c r="Z128" s="7"/>
      <c r="AA128" s="109"/>
      <c r="AB128" s="7" t="s">
        <v>5032</v>
      </c>
      <c r="AC128" s="7"/>
      <c r="AD128" s="7"/>
      <c r="AE128" s="7"/>
      <c r="AF128" s="7"/>
      <c r="AG128" s="7" t="s">
        <v>5032</v>
      </c>
      <c r="AH128" s="7"/>
      <c r="AI128" s="7"/>
      <c r="AJ128" s="7" t="s">
        <v>5032</v>
      </c>
      <c r="AK128" s="7"/>
      <c r="AL128" s="7"/>
      <c r="AM128" s="7"/>
      <c r="AN128" s="7"/>
      <c r="AO128" s="7"/>
      <c r="AP128" s="7"/>
      <c r="AQ128" s="7"/>
      <c r="AR128" s="7" t="str">
        <f>_xlfn.XLOOKUP(C128,Sheet1!A:A,Sheet1!B:B, "Other")</f>
        <v>Asia</v>
      </c>
      <c r="AS128" t="str">
        <f>_xlfn.XLOOKUP(D128,Sheet1!D:D,Sheet1!E:E)</f>
        <v>Industrial goods</v>
      </c>
    </row>
    <row r="129" spans="1:45" ht="18" customHeight="1">
      <c r="A129" s="7">
        <v>125</v>
      </c>
      <c r="B129" s="7" t="s">
        <v>1615</v>
      </c>
      <c r="C129" s="7" t="s">
        <v>63</v>
      </c>
      <c r="D129" s="7" t="s">
        <v>342</v>
      </c>
      <c r="E129" s="7" t="s">
        <v>6634</v>
      </c>
      <c r="F129" s="7" t="s">
        <v>6633</v>
      </c>
      <c r="G129" s="122"/>
      <c r="H129" s="7"/>
      <c r="I129" s="7"/>
      <c r="J129" s="122" t="s">
        <v>4183</v>
      </c>
      <c r="K129" s="7">
        <v>2030</v>
      </c>
      <c r="L129" s="127">
        <v>2020</v>
      </c>
      <c r="M129" s="122" t="s">
        <v>1957</v>
      </c>
      <c r="N129" s="7" t="s">
        <v>4189</v>
      </c>
      <c r="O129" s="7">
        <v>2040</v>
      </c>
      <c r="P129" s="7" cm="1">
        <f t="array" ref="P129">IF(O129="", "", IFERROR(MAX(--_xlfn.TEXTSPLIT(O129,"+")), O129))</f>
        <v>2040</v>
      </c>
      <c r="Q129" s="7">
        <v>2021</v>
      </c>
      <c r="R129" s="109" t="s">
        <v>6632</v>
      </c>
      <c r="S129" s="7"/>
      <c r="T129" s="7"/>
      <c r="U129" s="7"/>
      <c r="V129" s="7" t="str" cm="1">
        <f t="array" ref="V129">IF(U129="", "", IFERROR(MAX(--_xlfn.TEXTSPLIT(U129,"+")), U129))</f>
        <v/>
      </c>
      <c r="W129" s="7"/>
      <c r="X129" s="7"/>
      <c r="Y129" s="122" t="s">
        <v>4174</v>
      </c>
      <c r="Z129" s="7" t="s">
        <v>5037</v>
      </c>
      <c r="AA129" s="109" t="s">
        <v>6631</v>
      </c>
      <c r="AB129" s="7">
        <v>2021</v>
      </c>
      <c r="AC129" s="124">
        <v>613932</v>
      </c>
      <c r="AD129" s="124"/>
      <c r="AE129" s="124">
        <v>869069</v>
      </c>
      <c r="AF129" s="7"/>
      <c r="AG129" s="7" t="s">
        <v>5032</v>
      </c>
      <c r="AH129" s="124">
        <v>1148001</v>
      </c>
      <c r="AI129" s="124">
        <f>AH129</f>
        <v>1148001</v>
      </c>
      <c r="AJ129" s="7">
        <v>2020</v>
      </c>
      <c r="AK129" s="124">
        <v>696742</v>
      </c>
      <c r="AL129" s="7"/>
      <c r="AM129" s="124">
        <v>902842</v>
      </c>
      <c r="AN129" s="7"/>
      <c r="AO129" s="124">
        <v>1599584</v>
      </c>
      <c r="AP129" s="124">
        <f>AO129</f>
        <v>1599584</v>
      </c>
      <c r="AQ129" s="7" t="s">
        <v>6630</v>
      </c>
      <c r="AR129" s="7" t="str">
        <f>_xlfn.XLOOKUP(C129,Sheet1!A:A,Sheet1!B:B, "Other")</f>
        <v>Europe</v>
      </c>
      <c r="AS129" t="str">
        <f>_xlfn.XLOOKUP(D129,Sheet1!D:D,Sheet1!E:E)</f>
        <v>Food, beverages and agriculture</v>
      </c>
    </row>
    <row r="130" spans="1:45" ht="18" customHeight="1">
      <c r="A130" s="7">
        <v>126</v>
      </c>
      <c r="B130" s="7" t="s">
        <v>1185</v>
      </c>
      <c r="C130" s="7" t="s">
        <v>4457</v>
      </c>
      <c r="D130" s="7" t="s">
        <v>71</v>
      </c>
      <c r="E130" s="7" t="s">
        <v>6629</v>
      </c>
      <c r="F130" s="7" t="s">
        <v>6628</v>
      </c>
      <c r="G130" s="122"/>
      <c r="H130" s="7"/>
      <c r="I130" s="7"/>
      <c r="J130" s="122" t="s">
        <v>1960</v>
      </c>
      <c r="K130" s="7"/>
      <c r="L130" s="127" t="s">
        <v>1960</v>
      </c>
      <c r="M130" s="122"/>
      <c r="N130" s="7"/>
      <c r="O130" s="7"/>
      <c r="P130" s="7" t="str" cm="1">
        <f t="array" ref="P130">IF(O130="", "", IFERROR(MAX(--_xlfn.TEXTSPLIT(O130,"+")), O130))</f>
        <v/>
      </c>
      <c r="Q130" s="7"/>
      <c r="R130" s="109"/>
      <c r="S130" s="7"/>
      <c r="T130" s="7"/>
      <c r="U130" s="7"/>
      <c r="V130" s="7" t="str" cm="1">
        <f t="array" ref="V130">IF(U130="", "", IFERROR(MAX(--_xlfn.TEXTSPLIT(U130,"+")), U130))</f>
        <v/>
      </c>
      <c r="W130" s="7"/>
      <c r="X130" s="7"/>
      <c r="Y130" s="122"/>
      <c r="Z130" s="7"/>
      <c r="AA130" s="109"/>
      <c r="AB130" s="7">
        <v>2020</v>
      </c>
      <c r="AC130" s="7">
        <v>12158505</v>
      </c>
      <c r="AD130" s="7"/>
      <c r="AE130" s="124">
        <v>2536129</v>
      </c>
      <c r="AF130" s="7"/>
      <c r="AG130" s="7" t="s">
        <v>5032</v>
      </c>
      <c r="AH130" s="124">
        <f>AC130+AE130</f>
        <v>14694634</v>
      </c>
      <c r="AI130" s="124">
        <f>AH130</f>
        <v>14694634</v>
      </c>
      <c r="AJ130" s="7">
        <v>2019</v>
      </c>
      <c r="AK130" s="124">
        <v>12672289</v>
      </c>
      <c r="AL130" s="7"/>
      <c r="AM130" s="124">
        <v>2214567</v>
      </c>
      <c r="AN130" s="7"/>
      <c r="AO130" s="124">
        <f>AK130+AM130</f>
        <v>14886856</v>
      </c>
      <c r="AP130" s="124">
        <f>AO130</f>
        <v>14886856</v>
      </c>
      <c r="AQ130" s="7" t="s">
        <v>6627</v>
      </c>
      <c r="AR130" s="7" t="str">
        <f>_xlfn.XLOOKUP(C130,Sheet1!A:A,Sheet1!B:B, "Other")</f>
        <v>North America</v>
      </c>
      <c r="AS130" t="str">
        <f>_xlfn.XLOOKUP(D130,Sheet1!D:D,Sheet1!E:E)</f>
        <v>Energy and utilities</v>
      </c>
    </row>
    <row r="131" spans="1:45" ht="18" customHeight="1">
      <c r="A131" s="7">
        <v>127</v>
      </c>
      <c r="B131" s="7" t="s">
        <v>1510</v>
      </c>
      <c r="C131" s="7" t="s">
        <v>63</v>
      </c>
      <c r="D131" s="7" t="s">
        <v>76</v>
      </c>
      <c r="E131" s="7" t="s">
        <v>6626</v>
      </c>
      <c r="F131" s="7" t="s">
        <v>6625</v>
      </c>
      <c r="G131" s="122"/>
      <c r="H131" s="7"/>
      <c r="I131" s="7"/>
      <c r="J131" s="122" t="s">
        <v>1957</v>
      </c>
      <c r="K131" s="7"/>
      <c r="L131" s="127">
        <v>2016</v>
      </c>
      <c r="M131" s="122" t="s">
        <v>5050</v>
      </c>
      <c r="N131" s="7" t="s">
        <v>6624</v>
      </c>
      <c r="O131" s="7">
        <v>2050</v>
      </c>
      <c r="P131" s="7" cm="1">
        <f t="array" ref="P131">IF(O131="", "", IFERROR(MAX(--_xlfn.TEXTSPLIT(O131,"+")), O131))</f>
        <v>2050</v>
      </c>
      <c r="Q131" s="7">
        <v>2021</v>
      </c>
      <c r="R131" s="109" t="s">
        <v>6623</v>
      </c>
      <c r="S131" s="7"/>
      <c r="T131" s="7"/>
      <c r="U131" s="7"/>
      <c r="V131" s="7" t="str" cm="1">
        <f t="array" ref="V131">IF(U131="", "", IFERROR(MAX(--_xlfn.TEXTSPLIT(U131,"+")), U131))</f>
        <v/>
      </c>
      <c r="W131" s="7"/>
      <c r="X131" s="7"/>
      <c r="Y131" s="122" t="s">
        <v>4174</v>
      </c>
      <c r="Z131" s="7" t="s">
        <v>6622</v>
      </c>
      <c r="AA131" s="126" t="s">
        <v>6621</v>
      </c>
      <c r="AB131" s="7" t="s">
        <v>5032</v>
      </c>
      <c r="AC131" s="7"/>
      <c r="AD131" s="7"/>
      <c r="AE131" s="7"/>
      <c r="AF131" s="7"/>
      <c r="AG131" s="7" t="s">
        <v>5032</v>
      </c>
      <c r="AH131" s="7"/>
      <c r="AI131" s="7"/>
      <c r="AJ131" s="7"/>
      <c r="AK131" s="7"/>
      <c r="AL131" s="7"/>
      <c r="AM131" s="7"/>
      <c r="AN131" s="7"/>
      <c r="AO131" s="7"/>
      <c r="AP131" s="7"/>
      <c r="AQ131" s="7"/>
      <c r="AR131" s="7" t="str">
        <f>_xlfn.XLOOKUP(C131,Sheet1!A:A,Sheet1!B:B, "Other")</f>
        <v>Europe</v>
      </c>
      <c r="AS131" t="str">
        <f>_xlfn.XLOOKUP(D131,Sheet1!D:D,Sheet1!E:E)</f>
        <v>Financial services</v>
      </c>
    </row>
    <row r="132" spans="1:45" ht="18" customHeight="1">
      <c r="A132" s="7">
        <v>128</v>
      </c>
      <c r="B132" s="7" t="s">
        <v>2369</v>
      </c>
      <c r="C132" s="7" t="s">
        <v>4457</v>
      </c>
      <c r="D132" s="7" t="s">
        <v>76</v>
      </c>
      <c r="E132" s="7" t="s">
        <v>6620</v>
      </c>
      <c r="F132" s="7" t="s">
        <v>6619</v>
      </c>
      <c r="G132" s="122"/>
      <c r="H132" s="7"/>
      <c r="I132" s="7"/>
      <c r="J132" s="122" t="s">
        <v>1960</v>
      </c>
      <c r="K132" s="7"/>
      <c r="L132" s="127" t="s">
        <v>1960</v>
      </c>
      <c r="M132" s="122"/>
      <c r="N132" s="7"/>
      <c r="O132" s="7"/>
      <c r="P132" s="7" t="str" cm="1">
        <f t="array" ref="P132">IF(O132="", "", IFERROR(MAX(--_xlfn.TEXTSPLIT(O132,"+")), O132))</f>
        <v/>
      </c>
      <c r="Q132" s="7"/>
      <c r="R132" s="109"/>
      <c r="S132" s="7"/>
      <c r="T132" s="7"/>
      <c r="U132" s="7"/>
      <c r="V132" s="7" t="str" cm="1">
        <f t="array" ref="V132">IF(U132="", "", IFERROR(MAX(--_xlfn.TEXTSPLIT(U132,"+")), U132))</f>
        <v/>
      </c>
      <c r="W132" s="7"/>
      <c r="X132" s="7"/>
      <c r="Y132" s="122"/>
      <c r="Z132" s="7"/>
      <c r="AA132" s="109"/>
      <c r="AB132" s="7">
        <v>2022</v>
      </c>
      <c r="AC132" s="7">
        <v>40504</v>
      </c>
      <c r="AD132" s="7">
        <v>137251</v>
      </c>
      <c r="AE132" s="7">
        <v>68008</v>
      </c>
      <c r="AF132" s="7"/>
      <c r="AG132" s="7" t="s">
        <v>6618</v>
      </c>
      <c r="AH132" s="7">
        <f>AC132+AE132</f>
        <v>108512</v>
      </c>
      <c r="AI132" s="7">
        <f>AH132+AF132</f>
        <v>108512</v>
      </c>
      <c r="AJ132" s="7">
        <v>2021</v>
      </c>
      <c r="AK132" s="7">
        <v>38412</v>
      </c>
      <c r="AL132" s="7">
        <v>139876</v>
      </c>
      <c r="AM132" s="7">
        <v>87110</v>
      </c>
      <c r="AN132" s="7"/>
      <c r="AO132" s="7">
        <f>AK132+AM132</f>
        <v>125522</v>
      </c>
      <c r="AP132" s="7">
        <f>AO132+AN132</f>
        <v>125522</v>
      </c>
      <c r="AQ132" s="7" t="s">
        <v>6617</v>
      </c>
      <c r="AR132" s="7" t="str">
        <f>_xlfn.XLOOKUP(C132,Sheet1!A:A,Sheet1!B:B, "Other")</f>
        <v>North America</v>
      </c>
      <c r="AS132" t="str">
        <f>_xlfn.XLOOKUP(D132,Sheet1!D:D,Sheet1!E:E)</f>
        <v>Financial services</v>
      </c>
    </row>
    <row r="133" spans="1:45" ht="18" customHeight="1">
      <c r="A133" s="7">
        <v>129</v>
      </c>
      <c r="B133" s="7" t="s">
        <v>1298</v>
      </c>
      <c r="C133" s="7" t="s">
        <v>207</v>
      </c>
      <c r="D133" s="7" t="s">
        <v>454</v>
      </c>
      <c r="E133" s="7" t="s">
        <v>6616</v>
      </c>
      <c r="F133" s="7" t="s">
        <v>6615</v>
      </c>
      <c r="G133" s="122" t="s">
        <v>4174</v>
      </c>
      <c r="H133" s="7">
        <v>2050</v>
      </c>
      <c r="I133" s="7">
        <v>2020</v>
      </c>
      <c r="J133" s="122" t="s">
        <v>1957</v>
      </c>
      <c r="K133" s="7"/>
      <c r="L133" s="127">
        <v>2021</v>
      </c>
      <c r="M133" s="122" t="s">
        <v>1957</v>
      </c>
      <c r="N133" s="7" t="s">
        <v>5131</v>
      </c>
      <c r="O133" s="7">
        <v>2050</v>
      </c>
      <c r="P133" s="7" cm="1">
        <f t="array" ref="P133">IF(O133="", "", IFERROR(MAX(--_xlfn.TEXTSPLIT(O133,"+")), O133))</f>
        <v>2050</v>
      </c>
      <c r="Q133" s="7">
        <v>2020</v>
      </c>
      <c r="R133" s="126" t="s">
        <v>6614</v>
      </c>
      <c r="S133" s="7"/>
      <c r="T133" s="7"/>
      <c r="U133" s="7"/>
      <c r="V133" s="7" t="str" cm="1">
        <f t="array" ref="V133">IF(U133="", "", IFERROR(MAX(--_xlfn.TEXTSPLIT(U133,"+")), U133))</f>
        <v/>
      </c>
      <c r="W133" s="7"/>
      <c r="X133" s="7"/>
      <c r="Y133" s="122"/>
      <c r="Z133" s="7"/>
      <c r="AA133" s="109"/>
      <c r="AB133" s="7">
        <v>2021</v>
      </c>
      <c r="AC133" s="7">
        <v>123766</v>
      </c>
      <c r="AD133" s="7"/>
      <c r="AE133" s="7">
        <v>2847126</v>
      </c>
      <c r="AF133" s="7">
        <v>18266748</v>
      </c>
      <c r="AG133" s="7" t="s">
        <v>4174</v>
      </c>
      <c r="AH133" s="7">
        <f>AC133+AE133</f>
        <v>2970892</v>
      </c>
      <c r="AI133" s="7">
        <f>AH133+AF133</f>
        <v>21237640</v>
      </c>
      <c r="AJ133" s="7">
        <v>2020</v>
      </c>
      <c r="AK133" s="7">
        <v>111752</v>
      </c>
      <c r="AL133" s="7"/>
      <c r="AM133" s="7">
        <v>2657180</v>
      </c>
      <c r="AN133" s="7">
        <v>10049038</v>
      </c>
      <c r="AO133" s="7">
        <f>AM133+AK133</f>
        <v>2768932</v>
      </c>
      <c r="AP133" s="7">
        <f>AO133+AN133</f>
        <v>12817970</v>
      </c>
      <c r="AQ133" s="7" t="s">
        <v>6613</v>
      </c>
      <c r="AR133" s="7" t="str">
        <f>_xlfn.XLOOKUP(C133,Sheet1!A:A,Sheet1!B:B, "Other")</f>
        <v>Asia</v>
      </c>
      <c r="AS133" t="str">
        <f>_xlfn.XLOOKUP(D133,Sheet1!D:D,Sheet1!E:E)</f>
        <v>Retail</v>
      </c>
    </row>
    <row r="134" spans="1:45" ht="18" customHeight="1">
      <c r="A134" s="7">
        <v>130</v>
      </c>
      <c r="B134" s="7" t="s">
        <v>1542</v>
      </c>
      <c r="C134" s="7" t="s">
        <v>4195</v>
      </c>
      <c r="D134" s="7" t="s">
        <v>76</v>
      </c>
      <c r="E134" s="7" t="s">
        <v>6612</v>
      </c>
      <c r="F134" s="7" t="s">
        <v>6611</v>
      </c>
      <c r="G134" s="122" t="s">
        <v>4174</v>
      </c>
      <c r="H134" s="7">
        <v>2030</v>
      </c>
      <c r="I134" s="7">
        <v>2017</v>
      </c>
      <c r="J134" s="122" t="s">
        <v>1960</v>
      </c>
      <c r="K134" s="7"/>
      <c r="L134" s="127" t="s">
        <v>1960</v>
      </c>
      <c r="M134" s="122"/>
      <c r="N134" s="7"/>
      <c r="O134" s="7"/>
      <c r="P134" s="7" t="str" cm="1">
        <f t="array" ref="P134">IF(O134="", "", IFERROR(MAX(--_xlfn.TEXTSPLIT(O134,"+")), O134))</f>
        <v/>
      </c>
      <c r="Q134" s="7"/>
      <c r="R134" s="109"/>
      <c r="S134" s="7" t="s">
        <v>4172</v>
      </c>
      <c r="T134" s="7" t="s">
        <v>6610</v>
      </c>
      <c r="U134" s="7" t="s">
        <v>4502</v>
      </c>
      <c r="V134" s="7" cm="1">
        <f t="array" ref="V134">IF(U134="", "", IFERROR(MAX(--_xlfn.TEXTSPLIT(U134,"+")), U134))</f>
        <v>2050</v>
      </c>
      <c r="W134" s="7">
        <v>2020</v>
      </c>
      <c r="X134" s="125" t="s">
        <v>6609</v>
      </c>
      <c r="Y134" s="122" t="s">
        <v>4174</v>
      </c>
      <c r="Z134" s="7" t="s">
        <v>5037</v>
      </c>
      <c r="AA134" s="109" t="s">
        <v>6608</v>
      </c>
      <c r="AB134" s="7">
        <v>2022</v>
      </c>
      <c r="AC134" s="7"/>
      <c r="AD134" s="7"/>
      <c r="AE134" s="7"/>
      <c r="AF134" s="7">
        <f>42000+648000+114000</f>
        <v>804000</v>
      </c>
      <c r="AG134" s="7" t="s">
        <v>5032</v>
      </c>
      <c r="AH134" s="7">
        <f>19000+22000+218000+30000</f>
        <v>289000</v>
      </c>
      <c r="AI134" s="7">
        <f>AH134+AF134</f>
        <v>1093000</v>
      </c>
      <c r="AJ134" s="7">
        <v>2021</v>
      </c>
      <c r="AK134" s="7"/>
      <c r="AL134" s="7"/>
      <c r="AM134" s="7"/>
      <c r="AN134" s="7">
        <f>12000+617000+96000</f>
        <v>725000</v>
      </c>
      <c r="AO134" s="7">
        <f>22000+307000+252000+31000</f>
        <v>612000</v>
      </c>
      <c r="AP134" s="7">
        <f>AO134+AN134</f>
        <v>1337000</v>
      </c>
      <c r="AQ134" s="7" t="s">
        <v>6607</v>
      </c>
      <c r="AR134" s="7" t="str">
        <f>_xlfn.XLOOKUP(C134,Sheet1!A:A,Sheet1!B:B, "Other")</f>
        <v>Europe</v>
      </c>
      <c r="AS134" t="str">
        <f>_xlfn.XLOOKUP(D134,Sheet1!D:D,Sheet1!E:E)</f>
        <v>Financial services</v>
      </c>
    </row>
    <row r="135" spans="1:45" ht="18" customHeight="1">
      <c r="A135" s="7">
        <v>131</v>
      </c>
      <c r="B135" s="7" t="s">
        <v>1593</v>
      </c>
      <c r="C135" s="7" t="s">
        <v>73</v>
      </c>
      <c r="D135" s="7" t="s">
        <v>171</v>
      </c>
      <c r="E135" s="7" t="s">
        <v>6606</v>
      </c>
      <c r="F135" s="7" t="s">
        <v>6605</v>
      </c>
      <c r="G135" s="122"/>
      <c r="H135" s="7"/>
      <c r="I135" s="7"/>
      <c r="J135" s="122" t="s">
        <v>1960</v>
      </c>
      <c r="K135" s="7"/>
      <c r="L135" s="127" t="s">
        <v>1960</v>
      </c>
      <c r="M135" s="122"/>
      <c r="N135" s="7"/>
      <c r="O135" s="7"/>
      <c r="P135" s="7" t="str" cm="1">
        <f t="array" ref="P135">IF(O135="", "", IFERROR(MAX(--_xlfn.TEXTSPLIT(O135,"+")), O135))</f>
        <v/>
      </c>
      <c r="Q135" s="7"/>
      <c r="R135" s="109"/>
      <c r="S135" s="7"/>
      <c r="T135" s="7"/>
      <c r="U135" s="7"/>
      <c r="V135" s="7" t="str" cm="1">
        <f t="array" ref="V135">IF(U135="", "", IFERROR(MAX(--_xlfn.TEXTSPLIT(U135,"+")), U135))</f>
        <v/>
      </c>
      <c r="W135" s="7"/>
      <c r="X135" s="7"/>
      <c r="Y135" s="122"/>
      <c r="Z135" s="7"/>
      <c r="AA135" s="109"/>
      <c r="AB135" s="7" t="s">
        <v>5032</v>
      </c>
      <c r="AC135" s="7"/>
      <c r="AD135" s="7"/>
      <c r="AE135" s="7"/>
      <c r="AF135" s="7"/>
      <c r="AG135" s="7" t="s">
        <v>5032</v>
      </c>
      <c r="AH135" s="7"/>
      <c r="AI135" s="7"/>
      <c r="AJ135" s="7"/>
      <c r="AK135" s="7"/>
      <c r="AL135" s="7"/>
      <c r="AM135" s="7"/>
      <c r="AN135" s="7"/>
      <c r="AO135" s="7"/>
      <c r="AP135" s="7"/>
      <c r="AQ135" s="7"/>
      <c r="AR135" s="7" t="str">
        <f>_xlfn.XLOOKUP(C135,Sheet1!A:A,Sheet1!B:B, "Other")</f>
        <v>Asia</v>
      </c>
      <c r="AS135" t="str">
        <f>_xlfn.XLOOKUP(D135,Sheet1!D:D,Sheet1!E:E)</f>
        <v>Automotive</v>
      </c>
    </row>
    <row r="136" spans="1:45" ht="18" customHeight="1">
      <c r="A136" s="7">
        <v>132</v>
      </c>
      <c r="B136" s="7" t="s">
        <v>1362</v>
      </c>
      <c r="C136" s="7" t="s">
        <v>73</v>
      </c>
      <c r="D136" s="7" t="s">
        <v>461</v>
      </c>
      <c r="E136" s="7" t="s">
        <v>6604</v>
      </c>
      <c r="F136" s="7" t="s">
        <v>6603</v>
      </c>
      <c r="G136" s="122"/>
      <c r="H136" s="7"/>
      <c r="I136" s="7"/>
      <c r="J136" s="122" t="s">
        <v>1960</v>
      </c>
      <c r="K136" s="7"/>
      <c r="L136" s="127" t="s">
        <v>1960</v>
      </c>
      <c r="M136" s="122" t="s">
        <v>4519</v>
      </c>
      <c r="N136" s="7" t="s">
        <v>5131</v>
      </c>
      <c r="O136" s="7">
        <v>2060</v>
      </c>
      <c r="P136" s="7" cm="1">
        <f t="array" ref="P136">IF(O136="", "", IFERROR(MAX(--_xlfn.TEXTSPLIT(O136,"+")), O136))</f>
        <v>2060</v>
      </c>
      <c r="Q136" s="7">
        <v>2020</v>
      </c>
      <c r="R136" s="109" t="s">
        <v>6602</v>
      </c>
      <c r="S136" s="7"/>
      <c r="T136" s="7"/>
      <c r="U136" s="7"/>
      <c r="V136" s="7" t="str" cm="1">
        <f t="array" ref="V136">IF(U136="", "", IFERROR(MAX(--_xlfn.TEXTSPLIT(U136,"+")), U136))</f>
        <v/>
      </c>
      <c r="W136" s="7"/>
      <c r="X136" s="7"/>
      <c r="Y136" s="122"/>
      <c r="Z136" s="7"/>
      <c r="AA136" s="109"/>
      <c r="AB136" s="7">
        <v>2022</v>
      </c>
      <c r="AC136" s="7">
        <v>200000</v>
      </c>
      <c r="AD136" s="7"/>
      <c r="AE136" s="7">
        <v>15570000</v>
      </c>
      <c r="AF136" s="7"/>
      <c r="AG136" s="7" t="s">
        <v>5032</v>
      </c>
      <c r="AH136" s="7">
        <v>15770000</v>
      </c>
      <c r="AI136" s="7">
        <v>15770000</v>
      </c>
      <c r="AJ136" s="7">
        <v>2021</v>
      </c>
      <c r="AK136" s="7">
        <v>280000</v>
      </c>
      <c r="AL136" s="7"/>
      <c r="AM136" s="7">
        <v>15180000</v>
      </c>
      <c r="AN136" s="7"/>
      <c r="AO136" s="7">
        <f>AK136+AM136</f>
        <v>15460000</v>
      </c>
      <c r="AP136" s="7">
        <f>AO136</f>
        <v>15460000</v>
      </c>
      <c r="AQ136" s="7" t="s">
        <v>6601</v>
      </c>
      <c r="AR136" s="7" t="str">
        <f>_xlfn.XLOOKUP(C136,Sheet1!A:A,Sheet1!B:B, "Other")</f>
        <v>Asia</v>
      </c>
      <c r="AS136" t="str">
        <f>_xlfn.XLOOKUP(D136,Sheet1!D:D,Sheet1!E:E)</f>
        <v>Telecommunications and media</v>
      </c>
    </row>
    <row r="137" spans="1:45" ht="18" customHeight="1">
      <c r="A137" s="7">
        <v>133</v>
      </c>
      <c r="B137" s="7" t="s">
        <v>1412</v>
      </c>
      <c r="C137" s="7" t="s">
        <v>4457</v>
      </c>
      <c r="D137" s="7" t="s">
        <v>76</v>
      </c>
      <c r="E137" s="7" t="s">
        <v>6600</v>
      </c>
      <c r="F137" s="7" t="s">
        <v>6599</v>
      </c>
      <c r="G137" s="122"/>
      <c r="H137" s="7"/>
      <c r="I137" s="7"/>
      <c r="J137" s="122" t="s">
        <v>1960</v>
      </c>
      <c r="K137" s="7"/>
      <c r="L137" s="127" t="s">
        <v>1960</v>
      </c>
      <c r="M137" s="122"/>
      <c r="N137" s="7"/>
      <c r="O137" s="7"/>
      <c r="P137" s="7" t="str" cm="1">
        <f t="array" ref="P137">IF(O137="", "", IFERROR(MAX(--_xlfn.TEXTSPLIT(O137,"+")), O137))</f>
        <v/>
      </c>
      <c r="Q137" s="7"/>
      <c r="R137" s="109"/>
      <c r="S137" s="7"/>
      <c r="T137" s="7"/>
      <c r="U137" s="7"/>
      <c r="V137" s="7" t="str" cm="1">
        <f t="array" ref="V137">IF(U137="", "", IFERROR(MAX(--_xlfn.TEXTSPLIT(U137,"+")), U137))</f>
        <v/>
      </c>
      <c r="W137" s="7"/>
      <c r="X137" s="7"/>
      <c r="Y137" s="122"/>
      <c r="Z137" s="7"/>
      <c r="AA137" s="109"/>
      <c r="AB137" s="7" t="s">
        <v>5032</v>
      </c>
      <c r="AC137" s="7"/>
      <c r="AD137" s="7"/>
      <c r="AE137" s="7"/>
      <c r="AF137" s="7"/>
      <c r="AG137" s="7" t="s">
        <v>5032</v>
      </c>
      <c r="AH137" s="7"/>
      <c r="AI137" s="7"/>
      <c r="AJ137" s="7"/>
      <c r="AK137" s="7"/>
      <c r="AL137" s="7"/>
      <c r="AM137" s="7"/>
      <c r="AN137" s="7"/>
      <c r="AO137" s="7"/>
      <c r="AP137" s="7"/>
      <c r="AQ137" s="7"/>
      <c r="AR137" s="7" t="str">
        <f>_xlfn.XLOOKUP(C137,Sheet1!A:A,Sheet1!B:B, "Other")</f>
        <v>North America</v>
      </c>
      <c r="AS137" t="str">
        <f>_xlfn.XLOOKUP(D137,Sheet1!D:D,Sheet1!E:E)</f>
        <v>Financial services</v>
      </c>
    </row>
    <row r="138" spans="1:45" ht="18" customHeight="1">
      <c r="A138" s="7">
        <v>134</v>
      </c>
      <c r="B138" s="7" t="s">
        <v>1573</v>
      </c>
      <c r="C138" s="7" t="s">
        <v>63</v>
      </c>
      <c r="D138" s="7" t="s">
        <v>76</v>
      </c>
      <c r="E138" s="7" t="s">
        <v>6598</v>
      </c>
      <c r="F138" s="7" t="s">
        <v>6597</v>
      </c>
      <c r="G138" s="122" t="s">
        <v>4174</v>
      </c>
      <c r="H138" s="7">
        <v>2030</v>
      </c>
      <c r="I138" s="7">
        <v>2016</v>
      </c>
      <c r="J138" s="122" t="s">
        <v>1957</v>
      </c>
      <c r="K138" s="7"/>
      <c r="L138" s="127">
        <v>2016</v>
      </c>
      <c r="M138" s="122" t="s">
        <v>5387</v>
      </c>
      <c r="N138" s="7" t="s">
        <v>4263</v>
      </c>
      <c r="O138" s="7" t="s">
        <v>5887</v>
      </c>
      <c r="P138" s="7" cm="1">
        <f t="array" ref="P138">IF(O138="", "", IFERROR(MAX(--_xlfn.TEXTSPLIT(O138,"+")), O138))</f>
        <v>2050</v>
      </c>
      <c r="Q138" s="7">
        <v>2021</v>
      </c>
      <c r="R138" s="126" t="s">
        <v>6596</v>
      </c>
      <c r="S138" s="7"/>
      <c r="T138" s="7"/>
      <c r="U138" s="7"/>
      <c r="V138" s="7" t="str" cm="1">
        <f t="array" ref="V138">IF(U138="", "", IFERROR(MAX(--_xlfn.TEXTSPLIT(U138,"+")), U138))</f>
        <v/>
      </c>
      <c r="W138" s="7"/>
      <c r="X138" s="7"/>
      <c r="Y138" s="122"/>
      <c r="Z138" s="7"/>
      <c r="AA138" s="126"/>
      <c r="AB138" s="7" t="s">
        <v>5032</v>
      </c>
      <c r="AC138" s="7"/>
      <c r="AD138" s="7"/>
      <c r="AE138" s="7"/>
      <c r="AF138" s="7"/>
      <c r="AG138" s="7" t="s">
        <v>5032</v>
      </c>
      <c r="AH138" s="7"/>
      <c r="AI138" s="7"/>
      <c r="AJ138" s="7" t="s">
        <v>5032</v>
      </c>
      <c r="AK138" s="7"/>
      <c r="AL138" s="7"/>
      <c r="AM138" s="7"/>
      <c r="AN138" s="7"/>
      <c r="AO138" s="7"/>
      <c r="AP138" s="7"/>
      <c r="AQ138" s="7"/>
      <c r="AR138" s="7" t="str">
        <f>_xlfn.XLOOKUP(C138,Sheet1!A:A,Sheet1!B:B, "Other")</f>
        <v>Europe</v>
      </c>
      <c r="AS138" t="str">
        <f>_xlfn.XLOOKUP(D138,Sheet1!D:D,Sheet1!E:E)</f>
        <v>Financial services</v>
      </c>
    </row>
    <row r="139" spans="1:45" ht="18" customHeight="1">
      <c r="A139" s="7">
        <v>135</v>
      </c>
      <c r="B139" s="7" t="s">
        <v>1312</v>
      </c>
      <c r="C139" s="7" t="s">
        <v>4457</v>
      </c>
      <c r="D139" s="7" t="s">
        <v>5091</v>
      </c>
      <c r="E139" s="7" t="s">
        <v>6595</v>
      </c>
      <c r="F139" s="7" t="s">
        <v>6594</v>
      </c>
      <c r="G139" s="122" t="s">
        <v>4174</v>
      </c>
      <c r="H139" s="7">
        <v>2040</v>
      </c>
      <c r="I139" s="7">
        <v>2020</v>
      </c>
      <c r="J139" s="122" t="s">
        <v>4183</v>
      </c>
      <c r="K139" s="7">
        <v>2030</v>
      </c>
      <c r="L139" s="127">
        <v>2021</v>
      </c>
      <c r="M139" s="122"/>
      <c r="N139" s="7"/>
      <c r="O139" s="7"/>
      <c r="P139" s="7" t="str" cm="1">
        <f t="array" ref="P139">IF(O139="", "", IFERROR(MAX(--_xlfn.TEXTSPLIT(O139,"+")), O139))</f>
        <v/>
      </c>
      <c r="Q139" s="7"/>
      <c r="R139" s="109"/>
      <c r="S139" s="7" t="s">
        <v>1957</v>
      </c>
      <c r="T139" s="7"/>
      <c r="U139" s="7">
        <v>2040</v>
      </c>
      <c r="V139" s="7" cm="1">
        <f t="array" ref="V139">IF(U139="", "", IFERROR(MAX(--_xlfn.TEXTSPLIT(U139,"+")), U139))</f>
        <v>2040</v>
      </c>
      <c r="W139" s="7">
        <v>2021</v>
      </c>
      <c r="X139" s="125" t="s">
        <v>6593</v>
      </c>
      <c r="Y139" s="122" t="s">
        <v>4174</v>
      </c>
      <c r="Z139" s="7" t="s">
        <v>5037</v>
      </c>
      <c r="AA139" s="109" t="s">
        <v>6592</v>
      </c>
      <c r="AB139" s="7">
        <v>2022</v>
      </c>
      <c r="AC139" s="7">
        <v>3500000</v>
      </c>
      <c r="AD139" s="7"/>
      <c r="AE139" s="7">
        <v>800000</v>
      </c>
      <c r="AF139" s="7">
        <v>57000000</v>
      </c>
      <c r="AG139" s="7" t="s">
        <v>4174</v>
      </c>
      <c r="AH139" s="7">
        <f>AC139+AE139</f>
        <v>4300000</v>
      </c>
      <c r="AI139" s="7">
        <f>AH139+AF139</f>
        <v>61300000</v>
      </c>
      <c r="AJ139" s="7">
        <v>2021</v>
      </c>
      <c r="AK139" s="7">
        <v>3552706</v>
      </c>
      <c r="AL139" s="7"/>
      <c r="AM139" s="7">
        <v>857398</v>
      </c>
      <c r="AN139" s="7">
        <v>54618773</v>
      </c>
      <c r="AO139" s="7">
        <f>AK139+AM139</f>
        <v>4410104</v>
      </c>
      <c r="AP139" s="7">
        <f>AO139+AN139</f>
        <v>59028877</v>
      </c>
      <c r="AQ139" s="7" t="s">
        <v>6591</v>
      </c>
      <c r="AR139" s="7" t="str">
        <f>_xlfn.XLOOKUP(C139,Sheet1!A:A,Sheet1!B:B, "Other")</f>
        <v>North America</v>
      </c>
      <c r="AS139" t="str">
        <f>_xlfn.XLOOKUP(D139,Sheet1!D:D,Sheet1!E:E)</f>
        <v>Food, beverages and agriculture</v>
      </c>
    </row>
    <row r="140" spans="1:45" ht="18" customHeight="1">
      <c r="A140" s="7">
        <v>136</v>
      </c>
      <c r="B140" s="7" t="s">
        <v>4177</v>
      </c>
      <c r="C140" s="7" t="s">
        <v>73</v>
      </c>
      <c r="D140" s="7" t="s">
        <v>66</v>
      </c>
      <c r="E140" s="7" t="s">
        <v>6590</v>
      </c>
      <c r="F140" s="7" t="s">
        <v>6589</v>
      </c>
      <c r="G140" s="122"/>
      <c r="H140" s="7"/>
      <c r="I140" s="7"/>
      <c r="J140" s="122" t="s">
        <v>1960</v>
      </c>
      <c r="K140" s="7"/>
      <c r="L140" s="127" t="s">
        <v>1960</v>
      </c>
      <c r="M140" s="122"/>
      <c r="N140" s="7"/>
      <c r="O140" s="7"/>
      <c r="P140" s="7" t="str" cm="1">
        <f t="array" ref="P140">IF(O140="", "", IFERROR(MAX(--_xlfn.TEXTSPLIT(O140,"+")), O140))</f>
        <v/>
      </c>
      <c r="Q140" s="7"/>
      <c r="R140" s="109"/>
      <c r="S140" s="7"/>
      <c r="T140" s="7"/>
      <c r="U140" s="7"/>
      <c r="V140" s="7" t="str" cm="1">
        <f t="array" ref="V140">IF(U140="", "", IFERROR(MAX(--_xlfn.TEXTSPLIT(U140,"+")), U140))</f>
        <v/>
      </c>
      <c r="W140" s="7"/>
      <c r="X140" s="7"/>
      <c r="Y140" s="122"/>
      <c r="Z140" s="7"/>
      <c r="AA140" s="109"/>
      <c r="AB140" s="7" t="s">
        <v>5032</v>
      </c>
      <c r="AC140" s="7"/>
      <c r="AD140" s="7"/>
      <c r="AE140" s="7"/>
      <c r="AF140" s="7"/>
      <c r="AG140" s="7" t="s">
        <v>5032</v>
      </c>
      <c r="AH140" s="7"/>
      <c r="AI140" s="7"/>
      <c r="AJ140" s="7" t="s">
        <v>5032</v>
      </c>
      <c r="AK140" s="7"/>
      <c r="AL140" s="7"/>
      <c r="AM140" s="7"/>
      <c r="AN140" s="7"/>
      <c r="AO140" s="7"/>
      <c r="AP140" s="7"/>
      <c r="AQ140" s="7"/>
      <c r="AR140" s="7" t="str">
        <f>_xlfn.XLOOKUP(C140,Sheet1!A:A,Sheet1!B:B, "Other")</f>
        <v>Asia</v>
      </c>
      <c r="AS140" t="str">
        <f>_xlfn.XLOOKUP(D140,Sheet1!D:D,Sheet1!E:E)</f>
        <v>Chemicals</v>
      </c>
    </row>
    <row r="141" spans="1:45" ht="18" customHeight="1">
      <c r="A141" s="7">
        <v>137</v>
      </c>
      <c r="B141" s="7" t="s">
        <v>1562</v>
      </c>
      <c r="C141" s="7" t="s">
        <v>376</v>
      </c>
      <c r="D141" s="7" t="s">
        <v>76</v>
      </c>
      <c r="E141" s="7" t="s">
        <v>6588</v>
      </c>
      <c r="F141" s="7" t="s">
        <v>6587</v>
      </c>
      <c r="G141" s="122"/>
      <c r="H141" s="7"/>
      <c r="I141" s="7"/>
      <c r="J141" s="122" t="s">
        <v>1960</v>
      </c>
      <c r="K141" s="7"/>
      <c r="L141" s="127" t="s">
        <v>1960</v>
      </c>
      <c r="M141" s="122"/>
      <c r="N141" s="7"/>
      <c r="O141" s="7"/>
      <c r="P141" s="7" t="str" cm="1">
        <f t="array" ref="P141">IF(O141="", "", IFERROR(MAX(--_xlfn.TEXTSPLIT(O141,"+")), O141))</f>
        <v/>
      </c>
      <c r="Q141" s="7"/>
      <c r="R141" s="109"/>
      <c r="S141" s="7" t="s">
        <v>4504</v>
      </c>
      <c r="T141" s="7" t="s">
        <v>4556</v>
      </c>
      <c r="U141" s="7" t="s">
        <v>4670</v>
      </c>
      <c r="V141" s="7" cm="1">
        <f t="array" ref="V141">IF(U141="", "", IFERROR(MAX(--_xlfn.TEXTSPLIT(U141,"+")), U141))</f>
        <v>2050</v>
      </c>
      <c r="W141" s="7">
        <v>2021</v>
      </c>
      <c r="X141" s="7" t="s">
        <v>6586</v>
      </c>
      <c r="Y141" s="122" t="s">
        <v>4174</v>
      </c>
      <c r="Z141" s="7" t="s">
        <v>5037</v>
      </c>
      <c r="AA141" s="109" t="s">
        <v>6585</v>
      </c>
      <c r="AB141" s="7">
        <v>2022</v>
      </c>
      <c r="AC141" s="7">
        <v>40789</v>
      </c>
      <c r="AD141" s="7">
        <v>62638</v>
      </c>
      <c r="AE141" s="7">
        <v>15015</v>
      </c>
      <c r="AF141" s="7">
        <v>42906</v>
      </c>
      <c r="AG141" s="7" t="s">
        <v>5032</v>
      </c>
      <c r="AH141" s="7">
        <v>55804</v>
      </c>
      <c r="AI141" s="7">
        <f>AC141+AE141+AF141</f>
        <v>98710</v>
      </c>
      <c r="AJ141" s="7">
        <v>2021</v>
      </c>
      <c r="AK141" s="7"/>
      <c r="AL141" s="7"/>
      <c r="AM141" s="7"/>
      <c r="AN141" s="7">
        <f>AP141-AO141</f>
        <v>25296</v>
      </c>
      <c r="AO141" s="7">
        <v>33964</v>
      </c>
      <c r="AP141" s="7">
        <v>59260</v>
      </c>
      <c r="AQ141" s="7" t="s">
        <v>6584</v>
      </c>
      <c r="AR141" s="7" t="str">
        <f>_xlfn.XLOOKUP(C141,Sheet1!A:A,Sheet1!B:B, "Other")</f>
        <v>Europe</v>
      </c>
      <c r="AS141" t="str">
        <f>_xlfn.XLOOKUP(D141,Sheet1!D:D,Sheet1!E:E)</f>
        <v>Financial services</v>
      </c>
    </row>
    <row r="142" spans="1:45" ht="18" customHeight="1">
      <c r="A142" s="7">
        <v>138</v>
      </c>
      <c r="B142" s="7" t="s">
        <v>991</v>
      </c>
      <c r="C142" s="7" t="s">
        <v>73</v>
      </c>
      <c r="D142" s="7" t="s">
        <v>91</v>
      </c>
      <c r="E142" s="7" t="s">
        <v>6583</v>
      </c>
      <c r="F142" s="7" t="s">
        <v>6582</v>
      </c>
      <c r="G142" s="122"/>
      <c r="H142" s="7"/>
      <c r="I142" s="7"/>
      <c r="J142" s="122" t="s">
        <v>1960</v>
      </c>
      <c r="K142" s="7"/>
      <c r="L142" s="127" t="s">
        <v>1960</v>
      </c>
      <c r="M142" s="122"/>
      <c r="N142" s="7"/>
      <c r="O142" s="7"/>
      <c r="P142" s="7" t="str" cm="1">
        <f t="array" ref="P142">IF(O142="", "", IFERROR(MAX(--_xlfn.TEXTSPLIT(O142,"+")), O142))</f>
        <v/>
      </c>
      <c r="Q142" s="7"/>
      <c r="R142" s="109"/>
      <c r="S142" s="7"/>
      <c r="T142" s="7"/>
      <c r="U142" s="7"/>
      <c r="V142" s="7" t="str" cm="1">
        <f t="array" ref="V142">IF(U142="", "", IFERROR(MAX(--_xlfn.TEXTSPLIT(U142,"+")), U142))</f>
        <v/>
      </c>
      <c r="W142" s="7"/>
      <c r="X142" s="7"/>
      <c r="Y142" s="122"/>
      <c r="Z142" s="7"/>
      <c r="AA142" s="109"/>
      <c r="AB142" s="7" t="s">
        <v>5032</v>
      </c>
      <c r="AC142" s="7"/>
      <c r="AD142" s="7"/>
      <c r="AE142" s="7"/>
      <c r="AF142" s="7"/>
      <c r="AG142" s="7" t="s">
        <v>5032</v>
      </c>
      <c r="AH142" s="7"/>
      <c r="AI142" s="7"/>
      <c r="AJ142" s="7" t="s">
        <v>5032</v>
      </c>
      <c r="AK142" s="7"/>
      <c r="AL142" s="7"/>
      <c r="AM142" s="7"/>
      <c r="AN142" s="7"/>
      <c r="AO142" s="7"/>
      <c r="AP142" s="7"/>
      <c r="AQ142" s="7" t="s">
        <v>6581</v>
      </c>
      <c r="AR142" s="7" t="str">
        <f>_xlfn.XLOOKUP(C142,Sheet1!A:A,Sheet1!B:B, "Other")</f>
        <v>Asia</v>
      </c>
      <c r="AS142" t="str">
        <f>_xlfn.XLOOKUP(D142,Sheet1!D:D,Sheet1!E:E)</f>
        <v>Retail</v>
      </c>
    </row>
    <row r="143" spans="1:45" ht="18" customHeight="1">
      <c r="A143" s="7">
        <v>139</v>
      </c>
      <c r="B143" s="7" t="s">
        <v>1300</v>
      </c>
      <c r="C143" s="7" t="s">
        <v>1301</v>
      </c>
      <c r="D143" s="7" t="s">
        <v>71</v>
      </c>
      <c r="E143" s="7" t="s">
        <v>6580</v>
      </c>
      <c r="F143" s="7" t="s">
        <v>6579</v>
      </c>
      <c r="G143" s="122"/>
      <c r="H143" s="7"/>
      <c r="I143" s="7"/>
      <c r="J143" s="122" t="s">
        <v>1960</v>
      </c>
      <c r="K143" s="7"/>
      <c r="L143" s="127" t="s">
        <v>1960</v>
      </c>
      <c r="M143" s="122"/>
      <c r="N143" s="7"/>
      <c r="O143" s="7"/>
      <c r="P143" s="7" t="str" cm="1">
        <f t="array" ref="P143">IF(O143="", "", IFERROR(MAX(--_xlfn.TEXTSPLIT(O143,"+")), O143))</f>
        <v/>
      </c>
      <c r="Q143" s="7"/>
      <c r="R143" s="109"/>
      <c r="S143" s="7" t="s">
        <v>1957</v>
      </c>
      <c r="T143" s="7" t="s">
        <v>6578</v>
      </c>
      <c r="U143" s="7">
        <v>2050</v>
      </c>
      <c r="V143" s="7" cm="1">
        <f t="array" ref="V143">IF(U143="", "", IFERROR(MAX(--_xlfn.TEXTSPLIT(U143,"+")), U143))</f>
        <v>2050</v>
      </c>
      <c r="W143" s="7">
        <v>2020</v>
      </c>
      <c r="X143" s="7" t="s">
        <v>6577</v>
      </c>
      <c r="Y143" s="122" t="s">
        <v>4174</v>
      </c>
      <c r="Z143" s="7" t="s">
        <v>6576</v>
      </c>
      <c r="AA143" s="109" t="s">
        <v>6575</v>
      </c>
      <c r="AB143" s="7">
        <v>2022</v>
      </c>
      <c r="AC143" s="7">
        <v>5700000</v>
      </c>
      <c r="AD143" s="7"/>
      <c r="AE143" s="7">
        <v>1350000</v>
      </c>
      <c r="AF143" s="7"/>
      <c r="AG143" s="7" t="s">
        <v>5032</v>
      </c>
      <c r="AH143" s="7">
        <f>AC143+AE143</f>
        <v>7050000</v>
      </c>
      <c r="AI143" s="7">
        <f>AH143</f>
        <v>7050000</v>
      </c>
      <c r="AJ143" s="7">
        <v>2021</v>
      </c>
      <c r="AK143" s="7">
        <v>5670000</v>
      </c>
      <c r="AL143" s="7"/>
      <c r="AM143" s="7">
        <v>1330000</v>
      </c>
      <c r="AN143" s="7"/>
      <c r="AO143" s="7">
        <f>AK143+AM143</f>
        <v>7000000</v>
      </c>
      <c r="AP143" s="7">
        <f>AO143</f>
        <v>7000000</v>
      </c>
      <c r="AQ143" s="7" t="s">
        <v>6574</v>
      </c>
      <c r="AR143" s="7" t="str">
        <f>_xlfn.XLOOKUP(C143,Sheet1!A:A,Sheet1!B:B, "Other")</f>
        <v>Asia</v>
      </c>
      <c r="AS143" t="str">
        <f>_xlfn.XLOOKUP(D143,Sheet1!D:D,Sheet1!E:E)</f>
        <v>Energy and utilities</v>
      </c>
    </row>
    <row r="144" spans="1:45" ht="18" customHeight="1">
      <c r="A144" s="7">
        <v>140</v>
      </c>
      <c r="B144" s="7" t="s">
        <v>1460</v>
      </c>
      <c r="C144" s="7" t="s">
        <v>207</v>
      </c>
      <c r="D144" s="7" t="s">
        <v>186</v>
      </c>
      <c r="E144" s="7" t="s">
        <v>6573</v>
      </c>
      <c r="F144" s="7" t="s">
        <v>6572</v>
      </c>
      <c r="G144" s="122" t="s">
        <v>4174</v>
      </c>
      <c r="H144" s="7">
        <v>2030</v>
      </c>
      <c r="I144" s="7">
        <v>2018</v>
      </c>
      <c r="J144" s="122" t="s">
        <v>4183</v>
      </c>
      <c r="K144" s="7">
        <v>2035</v>
      </c>
      <c r="L144" s="127">
        <v>2022</v>
      </c>
      <c r="M144" s="122" t="s">
        <v>4172</v>
      </c>
      <c r="N144" s="7" t="s">
        <v>5329</v>
      </c>
      <c r="O144" s="7" t="s">
        <v>4907</v>
      </c>
      <c r="P144" s="7" cm="1">
        <f t="array" ref="P144">IF(O144="", "", IFERROR(MAX(--_xlfn.TEXTSPLIT(O144,"+")), O144))</f>
        <v>2040</v>
      </c>
      <c r="Q144" s="7">
        <v>2022</v>
      </c>
      <c r="R144" s="109" t="s">
        <v>4906</v>
      </c>
      <c r="S144" s="7" t="s">
        <v>1957</v>
      </c>
      <c r="T144" s="7"/>
      <c r="U144" s="7">
        <v>2040</v>
      </c>
      <c r="V144" s="7" cm="1">
        <f t="array" ref="V144">IF(U144="", "", IFERROR(MAX(--_xlfn.TEXTSPLIT(U144,"+")), U144))</f>
        <v>2040</v>
      </c>
      <c r="W144" s="7">
        <v>2022</v>
      </c>
      <c r="X144" s="7" t="s">
        <v>6570</v>
      </c>
      <c r="Y144" s="122" t="s">
        <v>4174</v>
      </c>
      <c r="Z144" s="7" t="s">
        <v>6571</v>
      </c>
      <c r="AA144" s="109" t="s">
        <v>6570</v>
      </c>
      <c r="AB144" s="7">
        <v>2021</v>
      </c>
      <c r="AC144" s="7">
        <v>211000</v>
      </c>
      <c r="AD144" s="7"/>
      <c r="AE144" s="7">
        <v>984000</v>
      </c>
      <c r="AF144" s="7">
        <v>16160000</v>
      </c>
      <c r="AG144" s="7" t="s">
        <v>4174</v>
      </c>
      <c r="AH144" s="7">
        <f>AC144+AE144</f>
        <v>1195000</v>
      </c>
      <c r="AI144" s="7">
        <f>AF144+AH144</f>
        <v>17355000</v>
      </c>
      <c r="AJ144" s="7">
        <v>2020</v>
      </c>
      <c r="AK144" s="7">
        <v>203000</v>
      </c>
      <c r="AL144" s="7"/>
      <c r="AM144" s="7">
        <v>899000</v>
      </c>
      <c r="AN144" s="7">
        <v>16883000</v>
      </c>
      <c r="AO144" s="7">
        <f>AK144+AM144</f>
        <v>1102000</v>
      </c>
      <c r="AP144" s="7">
        <f>AN144+AO144</f>
        <v>17985000</v>
      </c>
      <c r="AQ144" s="7" t="s">
        <v>6570</v>
      </c>
      <c r="AR144" s="7" t="str">
        <f>_xlfn.XLOOKUP(C144,Sheet1!A:A,Sheet1!B:B, "Other")</f>
        <v>Asia</v>
      </c>
      <c r="AS144" t="str">
        <f>_xlfn.XLOOKUP(D144,Sheet1!D:D,Sheet1!E:E)</f>
        <v>Technology</v>
      </c>
    </row>
    <row r="145" spans="1:45" ht="18" customHeight="1">
      <c r="A145" s="7">
        <v>141</v>
      </c>
      <c r="B145" s="7" t="s">
        <v>1241</v>
      </c>
      <c r="C145" s="7" t="s">
        <v>1242</v>
      </c>
      <c r="D145" s="7" t="s">
        <v>71</v>
      </c>
      <c r="E145" s="7" t="s">
        <v>6569</v>
      </c>
      <c r="F145" s="7" t="s">
        <v>6568</v>
      </c>
      <c r="G145" s="122"/>
      <c r="H145" s="7"/>
      <c r="I145" s="7"/>
      <c r="J145" s="122" t="s">
        <v>1960</v>
      </c>
      <c r="K145" s="7"/>
      <c r="L145" s="127" t="s">
        <v>1960</v>
      </c>
      <c r="M145" s="122"/>
      <c r="N145" s="7"/>
      <c r="O145" s="7"/>
      <c r="P145" s="7" t="str" cm="1">
        <f t="array" ref="P145">IF(O145="", "", IFERROR(MAX(--_xlfn.TEXTSPLIT(O145,"+")), O145))</f>
        <v/>
      </c>
      <c r="Q145" s="7"/>
      <c r="R145" s="109"/>
      <c r="S145" s="7" t="s">
        <v>1957</v>
      </c>
      <c r="T145" s="7" t="s">
        <v>5131</v>
      </c>
      <c r="U145" s="7">
        <v>2060</v>
      </c>
      <c r="V145" s="7" cm="1">
        <f t="array" ref="V145">IF(U145="", "", IFERROR(MAX(--_xlfn.TEXTSPLIT(U145,"+")), U145))</f>
        <v>2060</v>
      </c>
      <c r="W145" s="7">
        <v>2022</v>
      </c>
      <c r="X145" s="7" t="s">
        <v>6567</v>
      </c>
      <c r="Y145" s="122"/>
      <c r="Z145" s="7"/>
      <c r="AA145" s="109"/>
      <c r="AB145" s="7">
        <v>2022</v>
      </c>
      <c r="AC145" s="7">
        <v>27380000</v>
      </c>
      <c r="AD145" s="7"/>
      <c r="AE145" s="7">
        <v>2006510</v>
      </c>
      <c r="AF145" s="7">
        <v>169630</v>
      </c>
      <c r="AG145" s="7" t="s">
        <v>5032</v>
      </c>
      <c r="AH145" s="7">
        <f>AC145+AE145</f>
        <v>29386510</v>
      </c>
      <c r="AI145" s="7">
        <f>AH145+AF145</f>
        <v>29556140</v>
      </c>
      <c r="AJ145" s="7">
        <v>2021</v>
      </c>
      <c r="AK145" s="7">
        <v>26430000</v>
      </c>
      <c r="AL145" s="7"/>
      <c r="AM145" s="7">
        <v>1114970</v>
      </c>
      <c r="AN145" s="7">
        <f>(1.98+154.45)*1000</f>
        <v>156429.99999999997</v>
      </c>
      <c r="AO145" s="7">
        <f>AK145+AM145</f>
        <v>27544970</v>
      </c>
      <c r="AP145" s="7">
        <f>AO145+AN145</f>
        <v>27701400</v>
      </c>
      <c r="AQ145" s="7" t="s">
        <v>6566</v>
      </c>
      <c r="AR145" s="7" t="str">
        <f>_xlfn.XLOOKUP(C145,Sheet1!A:A,Sheet1!B:B, "Other")</f>
        <v>Asia</v>
      </c>
      <c r="AS145" t="str">
        <f>_xlfn.XLOOKUP(D145,Sheet1!D:D,Sheet1!E:E)</f>
        <v>Energy and utilities</v>
      </c>
    </row>
    <row r="146" spans="1:45" ht="18" customHeight="1">
      <c r="A146" s="7">
        <v>142</v>
      </c>
      <c r="B146" s="7" t="s">
        <v>702</v>
      </c>
      <c r="C146" s="7" t="s">
        <v>73</v>
      </c>
      <c r="D146" s="7" t="s">
        <v>91</v>
      </c>
      <c r="E146" s="7" t="s">
        <v>6565</v>
      </c>
      <c r="F146" s="7" t="s">
        <v>6564</v>
      </c>
      <c r="G146" s="122"/>
      <c r="H146" s="7"/>
      <c r="I146" s="7"/>
      <c r="J146" s="122" t="s">
        <v>1960</v>
      </c>
      <c r="K146" s="7"/>
      <c r="L146" s="127" t="s">
        <v>1960</v>
      </c>
      <c r="M146" s="122"/>
      <c r="N146" s="7"/>
      <c r="O146" s="7"/>
      <c r="P146" s="7" t="str" cm="1">
        <f t="array" ref="P146">IF(O146="", "", IFERROR(MAX(--_xlfn.TEXTSPLIT(O146,"+")), O146))</f>
        <v/>
      </c>
      <c r="Q146" s="7"/>
      <c r="R146" s="109"/>
      <c r="S146" s="7"/>
      <c r="T146" s="7"/>
      <c r="U146" s="7"/>
      <c r="V146" s="7" t="str" cm="1">
        <f t="array" ref="V146">IF(U146="", "", IFERROR(MAX(--_xlfn.TEXTSPLIT(U146,"+")), U146))</f>
        <v/>
      </c>
      <c r="W146" s="7"/>
      <c r="X146" s="7"/>
      <c r="Y146" s="122"/>
      <c r="Z146" s="7"/>
      <c r="AA146" s="109"/>
      <c r="AB146" s="7" t="s">
        <v>5032</v>
      </c>
      <c r="AC146" s="7"/>
      <c r="AD146" s="7"/>
      <c r="AE146" s="7"/>
      <c r="AF146" s="7"/>
      <c r="AG146" s="7" t="s">
        <v>5032</v>
      </c>
      <c r="AH146" s="7"/>
      <c r="AI146" s="7"/>
      <c r="AJ146" s="7" t="s">
        <v>5032</v>
      </c>
      <c r="AK146" s="7"/>
      <c r="AL146" s="7"/>
      <c r="AM146" s="7"/>
      <c r="AN146" s="7"/>
      <c r="AO146" s="7"/>
      <c r="AP146" s="7"/>
      <c r="AQ146" s="7" t="s">
        <v>6563</v>
      </c>
      <c r="AR146" s="7" t="str">
        <f>_xlfn.XLOOKUP(C146,Sheet1!A:A,Sheet1!B:B, "Other")</f>
        <v>Asia</v>
      </c>
      <c r="AS146" t="str">
        <f>_xlfn.XLOOKUP(D146,Sheet1!D:D,Sheet1!E:E)</f>
        <v>Retail</v>
      </c>
    </row>
    <row r="147" spans="1:45" ht="18" customHeight="1">
      <c r="A147" s="7">
        <v>143</v>
      </c>
      <c r="B147" s="7" t="s">
        <v>1203</v>
      </c>
      <c r="C147" s="7" t="s">
        <v>63</v>
      </c>
      <c r="D147" s="7" t="s">
        <v>149</v>
      </c>
      <c r="E147" s="7" t="s">
        <v>6562</v>
      </c>
      <c r="F147" s="7" t="s">
        <v>6561</v>
      </c>
      <c r="G147" s="122"/>
      <c r="H147" s="7"/>
      <c r="I147" s="7"/>
      <c r="J147" s="122" t="s">
        <v>1960</v>
      </c>
      <c r="K147" s="7"/>
      <c r="L147" s="127" t="s">
        <v>1960</v>
      </c>
      <c r="M147" s="122"/>
      <c r="N147" s="7"/>
      <c r="O147" s="7"/>
      <c r="P147" s="7" t="str" cm="1">
        <f t="array" ref="P147">IF(O147="", "", IFERROR(MAX(--_xlfn.TEXTSPLIT(O147,"+")), O147))</f>
        <v/>
      </c>
      <c r="Q147" s="7"/>
      <c r="R147" s="109"/>
      <c r="S147" s="7"/>
      <c r="T147" s="7"/>
      <c r="U147" s="7"/>
      <c r="V147" s="7" t="str" cm="1">
        <f t="array" ref="V147">IF(U147="", "", IFERROR(MAX(--_xlfn.TEXTSPLIT(U147,"+")), U147))</f>
        <v/>
      </c>
      <c r="W147" s="7"/>
      <c r="X147" s="7"/>
      <c r="Y147" s="122"/>
      <c r="Z147" s="7"/>
      <c r="AA147" s="126"/>
      <c r="AB147" s="7" t="s">
        <v>5032</v>
      </c>
      <c r="AC147" s="7"/>
      <c r="AD147" s="7"/>
      <c r="AE147" s="7"/>
      <c r="AF147" s="7"/>
      <c r="AG147" s="7" t="s">
        <v>5032</v>
      </c>
      <c r="AH147" s="7"/>
      <c r="AI147" s="7"/>
      <c r="AJ147" s="7" t="s">
        <v>5032</v>
      </c>
      <c r="AK147" s="7"/>
      <c r="AL147" s="7"/>
      <c r="AM147" s="7"/>
      <c r="AN147" s="7"/>
      <c r="AO147" s="7"/>
      <c r="AP147" s="7"/>
      <c r="AQ147" s="7"/>
      <c r="AR147" s="7" t="str">
        <f>_xlfn.XLOOKUP(C147,Sheet1!A:A,Sheet1!B:B, "Other")</f>
        <v>Europe</v>
      </c>
      <c r="AS147" t="str">
        <f>_xlfn.XLOOKUP(D147,Sheet1!D:D,Sheet1!E:E)</f>
        <v>Retail</v>
      </c>
    </row>
    <row r="148" spans="1:45" ht="18" customHeight="1">
      <c r="A148" s="7">
        <v>144</v>
      </c>
      <c r="B148" s="7" t="s">
        <v>1661</v>
      </c>
      <c r="C148" s="7" t="s">
        <v>4457</v>
      </c>
      <c r="D148" s="7" t="s">
        <v>76</v>
      </c>
      <c r="E148" s="7" t="s">
        <v>6560</v>
      </c>
      <c r="F148" s="7" t="s">
        <v>6559</v>
      </c>
      <c r="G148" s="122"/>
      <c r="H148" s="7"/>
      <c r="I148" s="7"/>
      <c r="J148" s="122" t="s">
        <v>1960</v>
      </c>
      <c r="K148" s="7"/>
      <c r="L148" s="127" t="s">
        <v>1960</v>
      </c>
      <c r="M148" s="122" t="s">
        <v>1957</v>
      </c>
      <c r="N148" s="7" t="s">
        <v>5042</v>
      </c>
      <c r="O148" s="7">
        <v>2019</v>
      </c>
      <c r="P148" s="7" cm="1">
        <f t="array" ref="P148">IF(O148="", "", IFERROR(MAX(--_xlfn.TEXTSPLIT(O148,"+")), O148))</f>
        <v>2019</v>
      </c>
      <c r="Q148" s="7">
        <v>2019</v>
      </c>
      <c r="R148" s="109" t="s">
        <v>2024</v>
      </c>
      <c r="S148" s="7" t="s">
        <v>5387</v>
      </c>
      <c r="T148" s="7" t="s">
        <v>6558</v>
      </c>
      <c r="U148" s="7">
        <v>2050</v>
      </c>
      <c r="V148" s="7" cm="1">
        <f t="array" ref="V148">IF(U148="", "", IFERROR(MAX(--_xlfn.TEXTSPLIT(U148,"+")), U148))</f>
        <v>2050</v>
      </c>
      <c r="W148" s="7">
        <v>2021</v>
      </c>
      <c r="X148" s="7" t="s">
        <v>6557</v>
      </c>
      <c r="Y148" s="122" t="s">
        <v>4174</v>
      </c>
      <c r="Z148" s="7" t="s">
        <v>5037</v>
      </c>
      <c r="AA148" s="109" t="s">
        <v>6556</v>
      </c>
      <c r="AB148" s="7">
        <v>2021</v>
      </c>
      <c r="AC148" s="124">
        <v>73319</v>
      </c>
      <c r="AD148" s="124">
        <v>569633</v>
      </c>
      <c r="AE148" s="124">
        <v>1792</v>
      </c>
      <c r="AF148" s="7">
        <f>1429619+348249+121357+13058+4795+218795</f>
        <v>2135873</v>
      </c>
      <c r="AG148" s="7" t="s">
        <v>5032</v>
      </c>
      <c r="AH148" s="124">
        <f>AC148+AE148</f>
        <v>75111</v>
      </c>
      <c r="AI148" s="124">
        <f>AF148+AH148</f>
        <v>2210984</v>
      </c>
      <c r="AJ148" s="7">
        <v>2020</v>
      </c>
      <c r="AK148" s="124">
        <v>78087</v>
      </c>
      <c r="AL148" s="124">
        <v>694011</v>
      </c>
      <c r="AM148" s="124">
        <v>3614</v>
      </c>
      <c r="AN148" s="7">
        <f>1639281+358268+123970+7622+14111+313757</f>
        <v>2457009</v>
      </c>
      <c r="AO148" s="124">
        <f>AK148+AM148</f>
        <v>81701</v>
      </c>
      <c r="AP148" s="124">
        <f>AN148+AO148</f>
        <v>2538710</v>
      </c>
      <c r="AQ148" s="7" t="s">
        <v>2024</v>
      </c>
      <c r="AR148" s="7" t="str">
        <f>_xlfn.XLOOKUP(C148,Sheet1!A:A,Sheet1!B:B, "Other")</f>
        <v>North America</v>
      </c>
      <c r="AS148" t="str">
        <f>_xlfn.XLOOKUP(D148,Sheet1!D:D,Sheet1!E:E)</f>
        <v>Financial services</v>
      </c>
    </row>
    <row r="149" spans="1:45" ht="18" customHeight="1">
      <c r="A149" s="7">
        <v>145</v>
      </c>
      <c r="B149" s="7" t="s">
        <v>1263</v>
      </c>
      <c r="C149" s="7" t="s">
        <v>4457</v>
      </c>
      <c r="D149" s="7" t="s">
        <v>258</v>
      </c>
      <c r="E149" s="7" t="s">
        <v>6555</v>
      </c>
      <c r="F149" s="7" t="s">
        <v>6554</v>
      </c>
      <c r="G149" s="122"/>
      <c r="H149" s="7"/>
      <c r="I149" s="7"/>
      <c r="J149" s="122" t="s">
        <v>1960</v>
      </c>
      <c r="K149" s="7"/>
      <c r="L149" s="127" t="s">
        <v>1960</v>
      </c>
      <c r="M149" s="122"/>
      <c r="N149" s="7"/>
      <c r="O149" s="7"/>
      <c r="P149" s="7" t="str" cm="1">
        <f t="array" ref="P149">IF(O149="", "", IFERROR(MAX(--_xlfn.TEXTSPLIT(O149,"+")), O149))</f>
        <v/>
      </c>
      <c r="Q149" s="7"/>
      <c r="R149" s="109"/>
      <c r="S149" s="7" t="s">
        <v>1957</v>
      </c>
      <c r="T149" s="7" t="s">
        <v>4189</v>
      </c>
      <c r="U149" s="7">
        <v>2030</v>
      </c>
      <c r="V149" s="7" cm="1">
        <f t="array" ref="V149">IF(U149="", "", IFERROR(MAX(--_xlfn.TEXTSPLIT(U149,"+")), U149))</f>
        <v>2030</v>
      </c>
      <c r="W149" s="7">
        <v>2021</v>
      </c>
      <c r="X149" s="7" t="s">
        <v>6553</v>
      </c>
      <c r="Y149" s="122" t="s">
        <v>4174</v>
      </c>
      <c r="Z149" s="7" t="s">
        <v>6552</v>
      </c>
      <c r="AA149" s="109" t="s">
        <v>6551</v>
      </c>
      <c r="AB149" s="7">
        <v>2022</v>
      </c>
      <c r="AC149" s="7">
        <v>901714</v>
      </c>
      <c r="AD149" s="7">
        <v>702062</v>
      </c>
      <c r="AE149" s="7">
        <v>679506</v>
      </c>
      <c r="AF149" s="7"/>
      <c r="AG149" s="7" t="s">
        <v>5032</v>
      </c>
      <c r="AH149" s="7">
        <f>AC149+AE149</f>
        <v>1581220</v>
      </c>
      <c r="AI149" s="7">
        <f>AH149</f>
        <v>1581220</v>
      </c>
      <c r="AJ149" s="7">
        <v>2021</v>
      </c>
      <c r="AK149" s="7">
        <v>503221</v>
      </c>
      <c r="AL149" s="7">
        <v>675984</v>
      </c>
      <c r="AM149" s="7">
        <v>687042</v>
      </c>
      <c r="AN149" s="7"/>
      <c r="AO149" s="7">
        <f>AK149+AM149</f>
        <v>1190263</v>
      </c>
      <c r="AP149" s="7">
        <f>AO149</f>
        <v>1190263</v>
      </c>
      <c r="AQ149" s="7" t="s">
        <v>6551</v>
      </c>
      <c r="AR149" s="7" t="str">
        <f>_xlfn.XLOOKUP(C149,Sheet1!A:A,Sheet1!B:B, "Other")</f>
        <v>North America</v>
      </c>
      <c r="AS149" t="str">
        <f>_xlfn.XLOOKUP(D149,Sheet1!D:D,Sheet1!E:E)</f>
        <v>Telecommunications and media</v>
      </c>
    </row>
    <row r="150" spans="1:45" ht="18" customHeight="1">
      <c r="A150" s="7">
        <v>146</v>
      </c>
      <c r="B150" s="7" t="s">
        <v>1366</v>
      </c>
      <c r="C150" s="7" t="s">
        <v>73</v>
      </c>
      <c r="D150" s="7" t="s">
        <v>5398</v>
      </c>
      <c r="E150" s="7" t="s">
        <v>6550</v>
      </c>
      <c r="F150" s="7" t="s">
        <v>6549</v>
      </c>
      <c r="G150" s="122"/>
      <c r="H150" s="7"/>
      <c r="I150" s="7"/>
      <c r="J150" s="122" t="s">
        <v>1960</v>
      </c>
      <c r="K150" s="7"/>
      <c r="L150" s="127" t="s">
        <v>1960</v>
      </c>
      <c r="M150" s="122"/>
      <c r="N150" s="7"/>
      <c r="O150" s="7"/>
      <c r="P150" s="7" t="str" cm="1">
        <f t="array" ref="P150">IF(O150="", "", IFERROR(MAX(--_xlfn.TEXTSPLIT(O150,"+")), O150))</f>
        <v/>
      </c>
      <c r="Q150" s="7"/>
      <c r="R150" s="109"/>
      <c r="S150" s="7"/>
      <c r="T150" s="7"/>
      <c r="U150" s="7"/>
      <c r="V150" s="7" t="str" cm="1">
        <f t="array" ref="V150">IF(U150="", "", IFERROR(MAX(--_xlfn.TEXTSPLIT(U150,"+")), U150))</f>
        <v/>
      </c>
      <c r="W150" s="7"/>
      <c r="X150" s="7"/>
      <c r="Y150" s="122"/>
      <c r="Z150" s="7"/>
      <c r="AA150" s="109"/>
      <c r="AB150" s="7" t="s">
        <v>5032</v>
      </c>
      <c r="AC150" s="7"/>
      <c r="AD150" s="7"/>
      <c r="AE150" s="7"/>
      <c r="AF150" s="7"/>
      <c r="AG150" s="7" t="s">
        <v>5032</v>
      </c>
      <c r="AH150" s="7"/>
      <c r="AI150" s="7"/>
      <c r="AJ150" s="7" t="s">
        <v>5032</v>
      </c>
      <c r="AK150" s="7"/>
      <c r="AL150" s="7"/>
      <c r="AM150" s="7"/>
      <c r="AN150" s="7"/>
      <c r="AO150" s="7"/>
      <c r="AP150" s="7"/>
      <c r="AQ150" s="7"/>
      <c r="AR150" s="7" t="str">
        <f>_xlfn.XLOOKUP(C150,Sheet1!A:A,Sheet1!B:B, "Other")</f>
        <v>Asia</v>
      </c>
      <c r="AS150" t="str">
        <f>_xlfn.XLOOKUP(D150,Sheet1!D:D,Sheet1!E:E)</f>
        <v>Aerospace and defense</v>
      </c>
    </row>
    <row r="151" spans="1:45" ht="18" customHeight="1">
      <c r="A151" s="7">
        <v>147</v>
      </c>
      <c r="B151" s="7" t="s">
        <v>1031</v>
      </c>
      <c r="C151" s="7" t="s">
        <v>73</v>
      </c>
      <c r="D151" s="7" t="s">
        <v>186</v>
      </c>
      <c r="E151" s="7" t="s">
        <v>6548</v>
      </c>
      <c r="F151" s="7" t="s">
        <v>6547</v>
      </c>
      <c r="G151" s="122"/>
      <c r="H151" s="7"/>
      <c r="I151" s="7"/>
      <c r="J151" s="122" t="s">
        <v>4183</v>
      </c>
      <c r="K151" s="7">
        <v>2030</v>
      </c>
      <c r="L151" s="127">
        <v>2023</v>
      </c>
      <c r="M151" s="122" t="s">
        <v>4504</v>
      </c>
      <c r="N151" s="7" t="s">
        <v>6546</v>
      </c>
      <c r="O151" s="7">
        <v>2030</v>
      </c>
      <c r="P151" s="7" cm="1">
        <f t="array" ref="P151">IF(O151="", "", IFERROR(MAX(--_xlfn.TEXTSPLIT(O151,"+")), O151))</f>
        <v>2030</v>
      </c>
      <c r="Q151" s="7">
        <v>2022</v>
      </c>
      <c r="R151" s="109" t="s">
        <v>6545</v>
      </c>
      <c r="S151" s="7"/>
      <c r="T151" s="7"/>
      <c r="U151" s="7"/>
      <c r="V151" s="7" t="str" cm="1">
        <f t="array" ref="V151">IF(U151="", "", IFERROR(MAX(--_xlfn.TEXTSPLIT(U151,"+")), U151))</f>
        <v/>
      </c>
      <c r="W151" s="7"/>
      <c r="X151" s="7"/>
      <c r="Y151" s="122"/>
      <c r="Z151" s="7"/>
      <c r="AA151" s="109"/>
      <c r="AB151" s="7">
        <v>2022</v>
      </c>
      <c r="AC151" s="7">
        <v>172137.9</v>
      </c>
      <c r="AD151" s="7"/>
      <c r="AE151" s="7">
        <v>2650073.2999999998</v>
      </c>
      <c r="AF151" s="7">
        <v>2917512.5</v>
      </c>
      <c r="AG151" s="7" t="s">
        <v>5032</v>
      </c>
      <c r="AH151" s="7">
        <f>AE151+AC151</f>
        <v>2822211.1999999997</v>
      </c>
      <c r="AI151" s="7">
        <f>AH151+AF151</f>
        <v>5739723.6999999993</v>
      </c>
      <c r="AJ151" s="7">
        <v>2021</v>
      </c>
      <c r="AK151" s="7">
        <v>18797.8</v>
      </c>
      <c r="AL151" s="7"/>
      <c r="AM151" s="7">
        <v>2471041.1</v>
      </c>
      <c r="AN151" s="7">
        <v>3381941.8</v>
      </c>
      <c r="AO151" s="7">
        <f>AK151+AM151</f>
        <v>2489838.9</v>
      </c>
      <c r="AP151" s="7">
        <f>AN151+AO151</f>
        <v>5871780.6999999993</v>
      </c>
      <c r="AQ151" s="7" t="s">
        <v>6544</v>
      </c>
      <c r="AR151" s="7" t="str">
        <f>_xlfn.XLOOKUP(C151,Sheet1!A:A,Sheet1!B:B, "Other")</f>
        <v>Asia</v>
      </c>
      <c r="AS151" t="str">
        <f>_xlfn.XLOOKUP(D151,Sheet1!D:D,Sheet1!E:E)</f>
        <v>Technology</v>
      </c>
    </row>
    <row r="152" spans="1:45" ht="18" customHeight="1">
      <c r="A152" s="7">
        <v>148</v>
      </c>
      <c r="B152" s="7" t="s">
        <v>1712</v>
      </c>
      <c r="C152" s="7" t="s">
        <v>207</v>
      </c>
      <c r="D152" s="7" t="s">
        <v>76</v>
      </c>
      <c r="E152" s="7" t="s">
        <v>6543</v>
      </c>
      <c r="F152" s="7" t="s">
        <v>6542</v>
      </c>
      <c r="G152" s="122"/>
      <c r="H152" s="7"/>
      <c r="I152" s="7"/>
      <c r="J152" s="122" t="s">
        <v>1960</v>
      </c>
      <c r="K152" s="7"/>
      <c r="L152" s="127" t="s">
        <v>1960</v>
      </c>
      <c r="M152" s="122" t="s">
        <v>1957</v>
      </c>
      <c r="N152" s="7" t="s">
        <v>2126</v>
      </c>
      <c r="O152" s="7">
        <v>2050</v>
      </c>
      <c r="P152" s="7" cm="1">
        <f t="array" ref="P152">IF(O152="", "", IFERROR(MAX(--_xlfn.TEXTSPLIT(O152,"+")), O152))</f>
        <v>2050</v>
      </c>
      <c r="Q152" s="7">
        <v>2021</v>
      </c>
      <c r="R152" s="126" t="s">
        <v>4933</v>
      </c>
      <c r="S152" s="7"/>
      <c r="T152" s="7"/>
      <c r="U152" s="7"/>
      <c r="V152" s="7" t="str" cm="1">
        <f t="array" ref="V152">IF(U152="", "", IFERROR(MAX(--_xlfn.TEXTSPLIT(U152,"+")), U152))</f>
        <v/>
      </c>
      <c r="W152" s="7"/>
      <c r="X152" s="7"/>
      <c r="Y152" s="122"/>
      <c r="Z152" s="7"/>
      <c r="AA152" s="126"/>
      <c r="AB152" s="7">
        <v>2021</v>
      </c>
      <c r="AC152" s="7">
        <v>533772.9</v>
      </c>
      <c r="AD152" s="7"/>
      <c r="AE152" s="7">
        <v>608411.9</v>
      </c>
      <c r="AF152" s="7">
        <v>1133874.3999999999</v>
      </c>
      <c r="AG152" s="7" t="s">
        <v>5032</v>
      </c>
      <c r="AH152" s="7">
        <f>AC152+AE152</f>
        <v>1142184.8</v>
      </c>
      <c r="AI152" s="7">
        <f>AH152+AF152</f>
        <v>2276059.2000000002</v>
      </c>
      <c r="AJ152" s="7">
        <v>2020</v>
      </c>
      <c r="AK152" s="7">
        <v>872102</v>
      </c>
      <c r="AL152" s="7"/>
      <c r="AM152" s="7">
        <v>636544.80000000005</v>
      </c>
      <c r="AN152" s="7">
        <v>1169251.2</v>
      </c>
      <c r="AO152" s="7">
        <f>AK152+AM152</f>
        <v>1508646.8</v>
      </c>
      <c r="AP152" s="7">
        <f>AO152+AN152</f>
        <v>2677898</v>
      </c>
      <c r="AQ152" s="27" t="s">
        <v>6541</v>
      </c>
      <c r="AR152" s="7" t="str">
        <f>_xlfn.XLOOKUP(C152,Sheet1!A:A,Sheet1!B:B, "Other")</f>
        <v>Asia</v>
      </c>
      <c r="AS152" t="str">
        <f>_xlfn.XLOOKUP(D152,Sheet1!D:D,Sheet1!E:E)</f>
        <v>Financial services</v>
      </c>
    </row>
    <row r="153" spans="1:45" ht="18" customHeight="1">
      <c r="A153" s="7">
        <v>149</v>
      </c>
      <c r="B153" s="7" t="s">
        <v>761</v>
      </c>
      <c r="C153" s="7" t="s">
        <v>4457</v>
      </c>
      <c r="D153" s="7" t="s">
        <v>71</v>
      </c>
      <c r="E153" s="7" t="s">
        <v>6540</v>
      </c>
      <c r="F153" s="7" t="s">
        <v>6539</v>
      </c>
      <c r="G153" s="122"/>
      <c r="H153" s="7"/>
      <c r="I153" s="7"/>
      <c r="J153" s="122" t="s">
        <v>1960</v>
      </c>
      <c r="K153" s="7"/>
      <c r="L153" s="127" t="s">
        <v>1960</v>
      </c>
      <c r="M153" s="122"/>
      <c r="N153" s="7"/>
      <c r="O153" s="7"/>
      <c r="P153" s="7" t="str" cm="1">
        <f t="array" ref="P153">IF(O153="", "", IFERROR(MAX(--_xlfn.TEXTSPLIT(O153,"+")), O153))</f>
        <v/>
      </c>
      <c r="Q153" s="7"/>
      <c r="R153" s="109"/>
      <c r="S153" s="7" t="s">
        <v>1957</v>
      </c>
      <c r="T153" s="7" t="s">
        <v>5122</v>
      </c>
      <c r="U153" s="7">
        <v>2050</v>
      </c>
      <c r="V153" s="7" cm="1">
        <f t="array" ref="V153">IF(U153="", "", IFERROR(MAX(--_xlfn.TEXTSPLIT(U153,"+")), U153))</f>
        <v>2050</v>
      </c>
      <c r="W153" s="7">
        <v>2020</v>
      </c>
      <c r="X153" s="125" t="s">
        <v>6536</v>
      </c>
      <c r="Y153" s="122" t="s">
        <v>4174</v>
      </c>
      <c r="Z153" s="7" t="s">
        <v>6538</v>
      </c>
      <c r="AA153" s="126" t="s">
        <v>6537</v>
      </c>
      <c r="AB153" s="7">
        <v>2022</v>
      </c>
      <c r="AC153" s="7">
        <v>15000000</v>
      </c>
      <c r="AD153" s="7"/>
      <c r="AE153" s="7">
        <v>1060000</v>
      </c>
      <c r="AF153" s="7"/>
      <c r="AG153" s="7" t="s">
        <v>5032</v>
      </c>
      <c r="AH153" s="7">
        <f>AC153+AE153</f>
        <v>16060000</v>
      </c>
      <c r="AI153" s="7">
        <f>AH153+AF153</f>
        <v>16060000</v>
      </c>
      <c r="AJ153" s="7">
        <v>2021</v>
      </c>
      <c r="AK153" s="7">
        <v>17700000</v>
      </c>
      <c r="AL153" s="7"/>
      <c r="AM153" s="7">
        <v>1030000</v>
      </c>
      <c r="AN153" s="7"/>
      <c r="AO153" s="7">
        <f>AK153+AM153</f>
        <v>18730000</v>
      </c>
      <c r="AP153" s="7">
        <f>AO153+AN153</f>
        <v>18730000</v>
      </c>
      <c r="AQ153" s="27" t="s">
        <v>6536</v>
      </c>
      <c r="AR153" s="7" t="str">
        <f>_xlfn.XLOOKUP(C153,Sheet1!A:A,Sheet1!B:B, "Other")</f>
        <v>North America</v>
      </c>
      <c r="AS153" t="str">
        <f>_xlfn.XLOOKUP(D153,Sheet1!D:D,Sheet1!E:E)</f>
        <v>Energy and utilities</v>
      </c>
    </row>
    <row r="154" spans="1:45" ht="18" customHeight="1">
      <c r="A154" s="7">
        <v>150</v>
      </c>
      <c r="B154" s="7" t="s">
        <v>1325</v>
      </c>
      <c r="C154" s="7" t="s">
        <v>73</v>
      </c>
      <c r="D154" s="7" t="s">
        <v>5398</v>
      </c>
      <c r="E154" s="7" t="s">
        <v>6535</v>
      </c>
      <c r="F154" s="7" t="s">
        <v>6534</v>
      </c>
      <c r="G154" s="122"/>
      <c r="H154" s="7"/>
      <c r="I154" s="7"/>
      <c r="J154" s="122" t="s">
        <v>1960</v>
      </c>
      <c r="K154" s="7"/>
      <c r="L154" s="127" t="s">
        <v>1960</v>
      </c>
      <c r="M154" s="122" t="s">
        <v>4519</v>
      </c>
      <c r="N154" s="7" t="s">
        <v>5131</v>
      </c>
      <c r="O154" s="7">
        <v>2060</v>
      </c>
      <c r="P154" s="7" cm="1">
        <f t="array" ref="P154">IF(O154="", "", IFERROR(MAX(--_xlfn.TEXTSPLIT(O154,"+")), O154))</f>
        <v>2060</v>
      </c>
      <c r="Q154" s="7">
        <v>2020</v>
      </c>
      <c r="R154" s="109" t="s">
        <v>6533</v>
      </c>
      <c r="S154" s="7"/>
      <c r="T154" s="7"/>
      <c r="U154" s="7"/>
      <c r="V154" s="7" t="str" cm="1">
        <f t="array" ref="V154">IF(U154="", "", IFERROR(MAX(--_xlfn.TEXTSPLIT(U154,"+")), U154))</f>
        <v/>
      </c>
      <c r="W154" s="7"/>
      <c r="X154" s="7"/>
      <c r="Y154" s="122"/>
      <c r="Z154" s="7"/>
      <c r="AA154" s="109"/>
      <c r="AB154" s="7" t="s">
        <v>5032</v>
      </c>
      <c r="AC154" s="7"/>
      <c r="AD154" s="7"/>
      <c r="AE154" s="7"/>
      <c r="AF154" s="7"/>
      <c r="AG154" s="7" t="s">
        <v>5032</v>
      </c>
      <c r="AH154" s="7"/>
      <c r="AI154" s="7"/>
      <c r="AJ154" s="7" t="s">
        <v>5032</v>
      </c>
      <c r="AK154" s="7"/>
      <c r="AL154" s="7"/>
      <c r="AM154" s="7"/>
      <c r="AN154" s="7"/>
      <c r="AO154" s="7"/>
      <c r="AP154" s="7"/>
      <c r="AQ154" s="7" t="s">
        <v>6533</v>
      </c>
      <c r="AR154" s="7" t="str">
        <f>_xlfn.XLOOKUP(C154,Sheet1!A:A,Sheet1!B:B, "Other")</f>
        <v>Asia</v>
      </c>
      <c r="AS154" t="str">
        <f>_xlfn.XLOOKUP(D154,Sheet1!D:D,Sheet1!E:E)</f>
        <v>Aerospace and defense</v>
      </c>
    </row>
    <row r="155" spans="1:45" ht="18" customHeight="1">
      <c r="A155" s="7">
        <v>151</v>
      </c>
      <c r="B155" s="7" t="s">
        <v>854</v>
      </c>
      <c r="C155" s="7" t="s">
        <v>858</v>
      </c>
      <c r="D155" s="7" t="s">
        <v>178</v>
      </c>
      <c r="E155" s="7" t="s">
        <v>6532</v>
      </c>
      <c r="F155" s="7" t="s">
        <v>6531</v>
      </c>
      <c r="G155" s="122"/>
      <c r="H155" s="7"/>
      <c r="I155" s="7"/>
      <c r="J155" s="122" t="s">
        <v>1957</v>
      </c>
      <c r="K155" s="7"/>
      <c r="L155" s="127">
        <v>2019</v>
      </c>
      <c r="M155" s="122"/>
      <c r="N155" s="7"/>
      <c r="O155" s="7"/>
      <c r="P155" s="7" t="str" cm="1">
        <f t="array" ref="P155">IF(O155="", "", IFERROR(MAX(--_xlfn.TEXTSPLIT(O155,"+")), O155))</f>
        <v/>
      </c>
      <c r="Q155" s="7"/>
      <c r="R155" s="109"/>
      <c r="S155" s="7" t="s">
        <v>4172</v>
      </c>
      <c r="T155" s="7" t="s">
        <v>6530</v>
      </c>
      <c r="U155" s="7">
        <v>2040</v>
      </c>
      <c r="V155" s="7" cm="1">
        <f t="array" ref="V155">IF(U155="", "", IFERROR(MAX(--_xlfn.TEXTSPLIT(U155,"+")), U155))</f>
        <v>2040</v>
      </c>
      <c r="W155" s="7">
        <v>2022</v>
      </c>
      <c r="X155" s="7" t="s">
        <v>6527</v>
      </c>
      <c r="Y155" s="122" t="s">
        <v>4174</v>
      </c>
      <c r="Z155" s="7" t="s">
        <v>6529</v>
      </c>
      <c r="AA155" s="109" t="s">
        <v>6528</v>
      </c>
      <c r="AB155" s="7">
        <v>2022</v>
      </c>
      <c r="AC155" s="124">
        <v>34150000</v>
      </c>
      <c r="AD155" s="7">
        <v>356000</v>
      </c>
      <c r="AE155" s="7">
        <v>331000</v>
      </c>
      <c r="AF155" s="124">
        <v>43451000</v>
      </c>
      <c r="AG155" s="7" t="s">
        <v>2082</v>
      </c>
      <c r="AH155" s="124">
        <f>AC155+AE155</f>
        <v>34481000</v>
      </c>
      <c r="AI155" s="124">
        <f>AF155+AH155</f>
        <v>77932000</v>
      </c>
      <c r="AJ155" s="7">
        <v>2021</v>
      </c>
      <c r="AK155" s="124">
        <v>36596000</v>
      </c>
      <c r="AL155" s="7">
        <v>351000</v>
      </c>
      <c r="AM155" s="7">
        <v>335000</v>
      </c>
      <c r="AN155" s="124">
        <v>39436000</v>
      </c>
      <c r="AO155" s="124">
        <f>AK155+AM155</f>
        <v>36931000</v>
      </c>
      <c r="AP155" s="124">
        <f>AN155+AO155</f>
        <v>76367000</v>
      </c>
      <c r="AQ155" s="7" t="s">
        <v>6527</v>
      </c>
      <c r="AR155" s="7" t="str">
        <f>_xlfn.XLOOKUP(C155,Sheet1!A:A,Sheet1!B:B, "Other")</f>
        <v>Europe</v>
      </c>
      <c r="AS155" t="str">
        <f>_xlfn.XLOOKUP(D155,Sheet1!D:D,Sheet1!E:E)</f>
        <v>Transportation and logistics</v>
      </c>
    </row>
    <row r="156" spans="1:45" ht="18" customHeight="1">
      <c r="A156" s="7">
        <v>152</v>
      </c>
      <c r="B156" s="7" t="s">
        <v>4222</v>
      </c>
      <c r="C156" s="7" t="s">
        <v>4457</v>
      </c>
      <c r="D156" s="7" t="s">
        <v>171</v>
      </c>
      <c r="E156" s="7" t="s">
        <v>6526</v>
      </c>
      <c r="F156" s="7" t="s">
        <v>6525</v>
      </c>
      <c r="G156" s="122"/>
      <c r="H156" s="7"/>
      <c r="I156" s="7"/>
      <c r="J156" s="122" t="s">
        <v>1957</v>
      </c>
      <c r="K156" s="7"/>
      <c r="L156" s="127">
        <v>2021</v>
      </c>
      <c r="M156" s="122"/>
      <c r="N156" s="7"/>
      <c r="O156" s="7"/>
      <c r="P156" s="7" t="str" cm="1">
        <f t="array" ref="P156">IF(O156="", "", IFERROR(MAX(--_xlfn.TEXTSPLIT(O156,"+")), O156))</f>
        <v/>
      </c>
      <c r="Q156" s="7"/>
      <c r="R156" s="109"/>
      <c r="S156" s="7"/>
      <c r="T156" s="7"/>
      <c r="U156" s="7"/>
      <c r="V156" s="7" t="str" cm="1">
        <f t="array" ref="V156">IF(U156="", "", IFERROR(MAX(--_xlfn.TEXTSPLIT(U156,"+")), U156))</f>
        <v/>
      </c>
      <c r="W156" s="7"/>
      <c r="X156" s="125"/>
      <c r="Y156" s="122"/>
      <c r="Z156" s="7"/>
      <c r="AA156" s="126"/>
      <c r="AB156" s="7">
        <v>2022</v>
      </c>
      <c r="AC156" s="7">
        <v>202000</v>
      </c>
      <c r="AD156" s="7"/>
      <c r="AE156" s="7">
        <v>408000</v>
      </c>
      <c r="AF156" s="7">
        <f>22334000+227000+577000+478000+37000+608000+77000+2373000+3409000</f>
        <v>30120000</v>
      </c>
      <c r="AG156" s="7" t="s">
        <v>5032</v>
      </c>
      <c r="AH156" s="7">
        <f>AC156+AE156</f>
        <v>610000</v>
      </c>
      <c r="AI156" s="7">
        <f>AH156+AF156</f>
        <v>30730000</v>
      </c>
      <c r="AJ156" s="7">
        <v>2021</v>
      </c>
      <c r="AK156" s="7">
        <v>185000</v>
      </c>
      <c r="AL156" s="7"/>
      <c r="AM156" s="7">
        <v>403000</v>
      </c>
      <c r="AN156" s="7">
        <f>1954000</f>
        <v>1954000</v>
      </c>
      <c r="AO156" s="7">
        <f>AK156+AM156</f>
        <v>588000</v>
      </c>
      <c r="AP156" s="7">
        <f>AO156+AN156</f>
        <v>2542000</v>
      </c>
      <c r="AQ156" s="52" t="s">
        <v>6524</v>
      </c>
      <c r="AR156" s="7" t="str">
        <f>_xlfn.XLOOKUP(C156,Sheet1!A:A,Sheet1!B:B, "Other")</f>
        <v>North America</v>
      </c>
      <c r="AS156" t="str">
        <f>_xlfn.XLOOKUP(D156,Sheet1!D:D,Sheet1!E:E)</f>
        <v>Automotive</v>
      </c>
    </row>
    <row r="157" spans="1:45" ht="18" customHeight="1">
      <c r="A157" s="7">
        <v>153</v>
      </c>
      <c r="B157" s="7" t="s">
        <v>1528</v>
      </c>
      <c r="C157" s="7" t="s">
        <v>207</v>
      </c>
      <c r="D157" s="7" t="s">
        <v>186</v>
      </c>
      <c r="E157" s="7" t="s">
        <v>6523</v>
      </c>
      <c r="F157" s="7" t="s">
        <v>6522</v>
      </c>
      <c r="G157" s="122"/>
      <c r="H157" s="7"/>
      <c r="I157" s="7"/>
      <c r="J157" s="122" t="s">
        <v>4183</v>
      </c>
      <c r="K157" s="7">
        <v>2030</v>
      </c>
      <c r="L157" s="127">
        <v>2020</v>
      </c>
      <c r="M157" s="122" t="s">
        <v>4504</v>
      </c>
      <c r="N157" s="7" t="s">
        <v>6521</v>
      </c>
      <c r="O157" s="7" t="s">
        <v>4502</v>
      </c>
      <c r="P157" s="7" cm="1">
        <f t="array" ref="P157">IF(O157="", "", IFERROR(MAX(--_xlfn.TEXTSPLIT(O157,"+")), O157))</f>
        <v>2050</v>
      </c>
      <c r="Q157" s="7">
        <v>2020</v>
      </c>
      <c r="R157" s="109" t="s">
        <v>6520</v>
      </c>
      <c r="S157" s="7"/>
      <c r="T157" s="7"/>
      <c r="U157" s="7"/>
      <c r="V157" s="7" t="str" cm="1">
        <f t="array" ref="V157">IF(U157="", "", IFERROR(MAX(--_xlfn.TEXTSPLIT(U157,"+")), U157))</f>
        <v/>
      </c>
      <c r="W157" s="7"/>
      <c r="X157" s="7"/>
      <c r="Y157" s="122" t="s">
        <v>4174</v>
      </c>
      <c r="Z157" s="7" t="s">
        <v>5037</v>
      </c>
      <c r="AA157" s="109" t="s">
        <v>6520</v>
      </c>
      <c r="AB157" s="7">
        <v>2021</v>
      </c>
      <c r="AC157" s="7">
        <v>1270000</v>
      </c>
      <c r="AD157" s="7"/>
      <c r="AE157" s="7">
        <v>2140000</v>
      </c>
      <c r="AF157" s="7">
        <v>67340000</v>
      </c>
      <c r="AG157" s="7" t="s">
        <v>4174</v>
      </c>
      <c r="AH157" s="7">
        <f>AC157+AE157</f>
        <v>3410000</v>
      </c>
      <c r="AI157" s="7">
        <f>AH157+AF157</f>
        <v>70750000</v>
      </c>
      <c r="AJ157" s="7">
        <v>2020</v>
      </c>
      <c r="AK157" s="7">
        <v>1220000</v>
      </c>
      <c r="AL157" s="7"/>
      <c r="AM157" s="7">
        <v>2090000</v>
      </c>
      <c r="AN157" s="7">
        <v>69050000</v>
      </c>
      <c r="AO157" s="7">
        <f>AM157+AK157</f>
        <v>3310000</v>
      </c>
      <c r="AP157" s="7">
        <f>AO157+AN157</f>
        <v>72360000</v>
      </c>
      <c r="AQ157" s="7" t="s">
        <v>6519</v>
      </c>
      <c r="AR157" s="7" t="str">
        <f>_xlfn.XLOOKUP(C157,Sheet1!A:A,Sheet1!B:B, "Other")</f>
        <v>Asia</v>
      </c>
      <c r="AS157" t="str">
        <f>_xlfn.XLOOKUP(D157,Sheet1!D:D,Sheet1!E:E)</f>
        <v>Technology</v>
      </c>
    </row>
    <row r="158" spans="1:45" ht="18" customHeight="1">
      <c r="A158" s="7">
        <v>154</v>
      </c>
      <c r="B158" s="7" t="s">
        <v>1339</v>
      </c>
      <c r="C158" s="7" t="s">
        <v>4457</v>
      </c>
      <c r="D158" s="7" t="s">
        <v>511</v>
      </c>
      <c r="E158" s="7" t="s">
        <v>6518</v>
      </c>
      <c r="F158" s="7" t="s">
        <v>6517</v>
      </c>
      <c r="G158" s="122" t="s">
        <v>4174</v>
      </c>
      <c r="H158" s="7">
        <v>2030</v>
      </c>
      <c r="I158" s="7">
        <v>2015</v>
      </c>
      <c r="J158" s="122" t="s">
        <v>4183</v>
      </c>
      <c r="K158" s="7">
        <v>2030</v>
      </c>
      <c r="L158" s="127">
        <v>2022</v>
      </c>
      <c r="M158" s="122" t="s">
        <v>1957</v>
      </c>
      <c r="N158" s="7" t="s">
        <v>6516</v>
      </c>
      <c r="O158" s="7">
        <v>2020</v>
      </c>
      <c r="P158" s="7" cm="1">
        <f t="array" ref="P158">IF(O158="", "", IFERROR(MAX(--_xlfn.TEXTSPLIT(O158,"+")), O158))</f>
        <v>2020</v>
      </c>
      <c r="Q158" s="7">
        <v>2020</v>
      </c>
      <c r="R158" s="109" t="s">
        <v>6515</v>
      </c>
      <c r="S158" s="7" t="s">
        <v>4172</v>
      </c>
      <c r="T158" s="7" t="s">
        <v>6514</v>
      </c>
      <c r="U158" s="7">
        <v>2040</v>
      </c>
      <c r="V158" s="7" cm="1">
        <f t="array" ref="V158">IF(U158="", "", IFERROR(MAX(--_xlfn.TEXTSPLIT(U158,"+")), U158))</f>
        <v>2040</v>
      </c>
      <c r="W158" s="7">
        <v>2021</v>
      </c>
      <c r="X158" s="7" t="s">
        <v>6513</v>
      </c>
      <c r="Y158" s="122" t="s">
        <v>4174</v>
      </c>
      <c r="Z158" s="7" t="s">
        <v>5037</v>
      </c>
      <c r="AA158" s="109" t="s">
        <v>6512</v>
      </c>
      <c r="AB158" s="7">
        <v>2022</v>
      </c>
      <c r="AC158" s="7">
        <v>2160000</v>
      </c>
      <c r="AD158" s="7">
        <v>2323446</v>
      </c>
      <c r="AE158" s="7">
        <v>156000</v>
      </c>
      <c r="AF158" s="7">
        <f>16700000+3900000+163100000+7100000+40000</f>
        <v>190840000</v>
      </c>
      <c r="AG158" s="7" t="s">
        <v>4174</v>
      </c>
      <c r="AH158" s="7">
        <f>AC158+AE158</f>
        <v>2316000</v>
      </c>
      <c r="AI158" s="7">
        <f>AF158+AE158</f>
        <v>190996000</v>
      </c>
      <c r="AJ158" s="7">
        <v>2021</v>
      </c>
      <c r="AK158" s="7">
        <v>2238000</v>
      </c>
      <c r="AL158" s="7"/>
      <c r="AM158" s="7">
        <v>160000</v>
      </c>
      <c r="AN158" s="7"/>
      <c r="AO158" s="7">
        <f>AK158+AM158</f>
        <v>2398000</v>
      </c>
      <c r="AP158" s="7">
        <f>AO158</f>
        <v>2398000</v>
      </c>
      <c r="AQ158" s="7" t="s">
        <v>6511</v>
      </c>
      <c r="AR158" s="7" t="str">
        <f>_xlfn.XLOOKUP(C158,Sheet1!A:A,Sheet1!B:B, "Other")</f>
        <v>North America</v>
      </c>
      <c r="AS158" t="str">
        <f>_xlfn.XLOOKUP(D158,Sheet1!D:D,Sheet1!E:E)</f>
        <v>Household and personal products</v>
      </c>
    </row>
    <row r="159" spans="1:45" ht="18" customHeight="1">
      <c r="A159" s="7">
        <v>155</v>
      </c>
      <c r="B159" s="7" t="s">
        <v>1445</v>
      </c>
      <c r="C159" s="7" t="s">
        <v>1443</v>
      </c>
      <c r="D159" s="7" t="s">
        <v>85</v>
      </c>
      <c r="E159" s="7" t="s">
        <v>6510</v>
      </c>
      <c r="F159" s="7" t="s">
        <v>6509</v>
      </c>
      <c r="G159" s="122"/>
      <c r="H159" s="7"/>
      <c r="I159" s="7"/>
      <c r="J159" s="122" t="s">
        <v>1957</v>
      </c>
      <c r="K159" s="7"/>
      <c r="L159" s="127">
        <v>2022</v>
      </c>
      <c r="M159" s="122" t="s">
        <v>1957</v>
      </c>
      <c r="N159" s="7" t="s">
        <v>6508</v>
      </c>
      <c r="O159" s="7">
        <v>2050</v>
      </c>
      <c r="P159" s="7" cm="1">
        <f t="array" ref="P159">IF(O159="", "", IFERROR(MAX(--_xlfn.TEXTSPLIT(O159,"+")), O159))</f>
        <v>2050</v>
      </c>
      <c r="Q159" s="7">
        <v>2019</v>
      </c>
      <c r="R159" s="109" t="s">
        <v>4862</v>
      </c>
      <c r="S159" s="7"/>
      <c r="T159" s="7"/>
      <c r="U159" s="7"/>
      <c r="V159" s="7" t="str" cm="1">
        <f t="array" ref="V159">IF(U159="", "", IFERROR(MAX(--_xlfn.TEXTSPLIT(U159,"+")), U159))</f>
        <v/>
      </c>
      <c r="W159" s="7"/>
      <c r="X159" s="7"/>
      <c r="Y159" s="122"/>
      <c r="Z159" s="7"/>
      <c r="AA159" s="109"/>
      <c r="AB159" s="7">
        <v>2020</v>
      </c>
      <c r="AC159" s="7"/>
      <c r="AD159" s="7"/>
      <c r="AE159" s="7"/>
      <c r="AF159" s="7"/>
      <c r="AG159" s="7" t="s">
        <v>5032</v>
      </c>
      <c r="AH159" s="7">
        <f>124.4+51.2</f>
        <v>175.60000000000002</v>
      </c>
      <c r="AI159" s="7">
        <f>AH159</f>
        <v>175.60000000000002</v>
      </c>
      <c r="AJ159" s="7">
        <v>2019</v>
      </c>
      <c r="AK159" s="7"/>
      <c r="AL159" s="7"/>
      <c r="AM159" s="7"/>
      <c r="AN159" s="7"/>
      <c r="AO159" s="7">
        <f>145.8+63.8</f>
        <v>209.60000000000002</v>
      </c>
      <c r="AP159" s="7">
        <f>AO159</f>
        <v>209.60000000000002</v>
      </c>
      <c r="AQ159" s="7" t="s">
        <v>4862</v>
      </c>
      <c r="AR159" s="7" t="str">
        <f>_xlfn.XLOOKUP(C159,Sheet1!A:A,Sheet1!B:B, "Other")</f>
        <v>Other</v>
      </c>
      <c r="AS159" t="str">
        <f>_xlfn.XLOOKUP(D159,Sheet1!D:D,Sheet1!E:E)</f>
        <v>Industrial goods</v>
      </c>
    </row>
    <row r="160" spans="1:45" ht="18" customHeight="1">
      <c r="A160" s="7">
        <v>156</v>
      </c>
      <c r="B160" s="7" t="s">
        <v>1517</v>
      </c>
      <c r="C160" s="7" t="s">
        <v>4195</v>
      </c>
      <c r="D160" s="7" t="s">
        <v>342</v>
      </c>
      <c r="E160" s="7" t="s">
        <v>6507</v>
      </c>
      <c r="F160" s="7" t="s">
        <v>6506</v>
      </c>
      <c r="G160" s="122" t="s">
        <v>4174</v>
      </c>
      <c r="H160" s="7">
        <v>2030</v>
      </c>
      <c r="I160" s="7">
        <v>2017</v>
      </c>
      <c r="J160" s="122" t="s">
        <v>4183</v>
      </c>
      <c r="K160" s="7">
        <v>2025</v>
      </c>
      <c r="L160" s="127">
        <v>2017</v>
      </c>
      <c r="M160" s="122" t="s">
        <v>1957</v>
      </c>
      <c r="N160" s="7" t="s">
        <v>4223</v>
      </c>
      <c r="O160" s="7">
        <v>2035</v>
      </c>
      <c r="P160" s="7" cm="1">
        <f t="array" ref="P160">IF(O160="", "", IFERROR(MAX(--_xlfn.TEXTSPLIT(O160,"+")), O160))</f>
        <v>2035</v>
      </c>
      <c r="Q160" s="7">
        <v>2021</v>
      </c>
      <c r="R160" s="109" t="s">
        <v>6505</v>
      </c>
      <c r="S160" s="7" t="s">
        <v>4172</v>
      </c>
      <c r="T160" s="7" t="s">
        <v>3452</v>
      </c>
      <c r="U160" s="7">
        <v>2050</v>
      </c>
      <c r="V160" s="7" cm="1">
        <f t="array" ref="V160">IF(U160="", "", IFERROR(MAX(--_xlfn.TEXTSPLIT(U160,"+")), U160))</f>
        <v>2050</v>
      </c>
      <c r="W160" s="7">
        <v>2021</v>
      </c>
      <c r="X160" s="7" t="s">
        <v>6505</v>
      </c>
      <c r="Y160" s="122" t="s">
        <v>4174</v>
      </c>
      <c r="Z160" s="7" t="s">
        <v>6504</v>
      </c>
      <c r="AA160" s="126" t="s">
        <v>6503</v>
      </c>
      <c r="AB160" s="7">
        <v>2022</v>
      </c>
      <c r="AC160" s="124">
        <v>1039346</v>
      </c>
      <c r="AD160" s="124">
        <v>575462</v>
      </c>
      <c r="AE160" s="124">
        <v>7796</v>
      </c>
      <c r="AF160" s="124">
        <v>567191</v>
      </c>
      <c r="AG160" s="7" t="s">
        <v>5032</v>
      </c>
      <c r="AH160" s="124">
        <f>AC160+AD160</f>
        <v>1614808</v>
      </c>
      <c r="AI160" s="124">
        <f>AF160+AH160</f>
        <v>2181999</v>
      </c>
      <c r="AJ160" s="7">
        <v>2021</v>
      </c>
      <c r="AK160" s="124">
        <v>1110098</v>
      </c>
      <c r="AL160" s="124">
        <v>642337</v>
      </c>
      <c r="AM160" s="124">
        <v>16107</v>
      </c>
      <c r="AN160" s="124">
        <v>593405</v>
      </c>
      <c r="AO160" s="124">
        <f>AK160+AM160</f>
        <v>1126205</v>
      </c>
      <c r="AP160" s="124">
        <f>AN160+AO160</f>
        <v>1719610</v>
      </c>
      <c r="AQ160" s="7" t="s">
        <v>6502</v>
      </c>
      <c r="AR160" s="7" t="str">
        <f>_xlfn.XLOOKUP(C160,Sheet1!A:A,Sheet1!B:B, "Other")</f>
        <v>Europe</v>
      </c>
      <c r="AS160" t="str">
        <f>_xlfn.XLOOKUP(D160,Sheet1!D:D,Sheet1!E:E)</f>
        <v>Food, beverages and agriculture</v>
      </c>
    </row>
    <row r="161" spans="1:45" ht="18" customHeight="1">
      <c r="A161" s="7">
        <v>157</v>
      </c>
      <c r="B161" s="7" t="s">
        <v>1550</v>
      </c>
      <c r="C161" s="7" t="s">
        <v>73</v>
      </c>
      <c r="D161" s="7" t="s">
        <v>135</v>
      </c>
      <c r="E161" s="7" t="s">
        <v>6501</v>
      </c>
      <c r="F161" s="7" t="s">
        <v>6500</v>
      </c>
      <c r="G161" s="122"/>
      <c r="H161" s="7"/>
      <c r="I161" s="7"/>
      <c r="J161" s="122" t="s">
        <v>1960</v>
      </c>
      <c r="K161" s="7"/>
      <c r="L161" s="127" t="s">
        <v>1960</v>
      </c>
      <c r="M161" s="122"/>
      <c r="N161" s="7"/>
      <c r="O161" s="7"/>
      <c r="P161" s="7" t="str" cm="1">
        <f t="array" ref="P161">IF(O161="", "", IFERROR(MAX(--_xlfn.TEXTSPLIT(O161,"+")), O161))</f>
        <v/>
      </c>
      <c r="Q161" s="7"/>
      <c r="R161" s="126"/>
      <c r="S161" s="7"/>
      <c r="T161" s="7"/>
      <c r="U161" s="7"/>
      <c r="V161" s="7" t="str" cm="1">
        <f t="array" ref="V161">IF(U161="", "", IFERROR(MAX(--_xlfn.TEXTSPLIT(U161,"+")), U161))</f>
        <v/>
      </c>
      <c r="W161" s="7"/>
      <c r="X161" s="7"/>
      <c r="Y161" s="122"/>
      <c r="Z161" s="7"/>
      <c r="AA161" s="109"/>
      <c r="AB161" s="7" t="s">
        <v>5032</v>
      </c>
      <c r="AC161" s="7"/>
      <c r="AD161" s="7"/>
      <c r="AE161" s="7"/>
      <c r="AF161" s="7"/>
      <c r="AG161" s="7" t="s">
        <v>5032</v>
      </c>
      <c r="AH161" s="7"/>
      <c r="AI161" s="7"/>
      <c r="AJ161" s="7" t="s">
        <v>5032</v>
      </c>
      <c r="AK161" s="7"/>
      <c r="AL161" s="7"/>
      <c r="AM161" s="7"/>
      <c r="AN161" s="7"/>
      <c r="AO161" s="7"/>
      <c r="AP161" s="7"/>
      <c r="AQ161" s="7"/>
      <c r="AR161" s="7" t="str">
        <f>_xlfn.XLOOKUP(C161,Sheet1!A:A,Sheet1!B:B, "Other")</f>
        <v>Asia</v>
      </c>
      <c r="AS161" t="str">
        <f>_xlfn.XLOOKUP(D161,Sheet1!D:D,Sheet1!E:E)</f>
        <v>Engineering and construction</v>
      </c>
    </row>
    <row r="162" spans="1:45" ht="18" customHeight="1">
      <c r="A162" s="7">
        <v>158</v>
      </c>
      <c r="B162" s="7" t="s">
        <v>1296</v>
      </c>
      <c r="C162" s="7" t="s">
        <v>87</v>
      </c>
      <c r="D162" s="7" t="s">
        <v>71</v>
      </c>
      <c r="E162" s="7" t="s">
        <v>6499</v>
      </c>
      <c r="F162" s="7" t="s">
        <v>6498</v>
      </c>
      <c r="G162" s="122"/>
      <c r="H162" s="7"/>
      <c r="I162" s="7"/>
      <c r="J162" s="122" t="s">
        <v>1960</v>
      </c>
      <c r="K162" s="7"/>
      <c r="L162" s="127" t="s">
        <v>1960</v>
      </c>
      <c r="M162" s="122"/>
      <c r="N162" s="7"/>
      <c r="O162" s="7"/>
      <c r="P162" s="7" t="str" cm="1">
        <f t="array" ref="P162">IF(O162="", "", IFERROR(MAX(--_xlfn.TEXTSPLIT(O162,"+")), O162))</f>
        <v/>
      </c>
      <c r="Q162" s="7"/>
      <c r="R162" s="109"/>
      <c r="S162" s="7" t="s">
        <v>4519</v>
      </c>
      <c r="T162" s="7"/>
      <c r="U162" s="7">
        <v>2070</v>
      </c>
      <c r="V162" s="7" cm="1">
        <f t="array" ref="V162">IF(U162="", "", IFERROR(MAX(--_xlfn.TEXTSPLIT(U162,"+")), U162))</f>
        <v>2070</v>
      </c>
      <c r="W162" s="7"/>
      <c r="X162" s="7" t="s">
        <v>6497</v>
      </c>
      <c r="Y162" s="122"/>
      <c r="Z162" s="7"/>
      <c r="AA162" s="109"/>
      <c r="AB162" s="7">
        <v>2022</v>
      </c>
      <c r="AC162" s="7">
        <v>8920000</v>
      </c>
      <c r="AD162" s="7"/>
      <c r="AE162" s="7">
        <v>210000</v>
      </c>
      <c r="AF162" s="7"/>
      <c r="AG162" s="7" t="s">
        <v>5032</v>
      </c>
      <c r="AH162" s="7">
        <f>AC162+AE162</f>
        <v>9130000</v>
      </c>
      <c r="AI162" s="7">
        <f>AH162</f>
        <v>9130000</v>
      </c>
      <c r="AJ162" s="7">
        <v>2021</v>
      </c>
      <c r="AK162" s="7">
        <v>9154942</v>
      </c>
      <c r="AL162" s="7"/>
      <c r="AM162" s="7">
        <v>260306</v>
      </c>
      <c r="AN162" s="7"/>
      <c r="AO162" s="7">
        <f>AK162+AM162</f>
        <v>9415248</v>
      </c>
      <c r="AP162" s="7">
        <f>AO162</f>
        <v>9415248</v>
      </c>
      <c r="AQ162" s="27" t="s">
        <v>6497</v>
      </c>
      <c r="AR162" s="7" t="str">
        <f>_xlfn.XLOOKUP(C162,Sheet1!A:A,Sheet1!B:B, "Other")</f>
        <v>Asia</v>
      </c>
      <c r="AS162" t="str">
        <f>_xlfn.XLOOKUP(D162,Sheet1!D:D,Sheet1!E:E)</f>
        <v>Energy and utilities</v>
      </c>
    </row>
    <row r="163" spans="1:45" ht="18" customHeight="1">
      <c r="A163" s="7">
        <v>159</v>
      </c>
      <c r="B163" s="7" t="s">
        <v>1375</v>
      </c>
      <c r="C163" s="7" t="s">
        <v>4457</v>
      </c>
      <c r="D163" s="7" t="s">
        <v>178</v>
      </c>
      <c r="E163" s="7" t="s">
        <v>6496</v>
      </c>
      <c r="F163" s="7" t="s">
        <v>6495</v>
      </c>
      <c r="G163" s="122"/>
      <c r="H163" s="7"/>
      <c r="I163" s="7"/>
      <c r="J163" s="122" t="s">
        <v>1960</v>
      </c>
      <c r="K163" s="7"/>
      <c r="L163" s="127" t="s">
        <v>1960</v>
      </c>
      <c r="M163" s="122"/>
      <c r="N163" s="7"/>
      <c r="O163" s="7"/>
      <c r="P163" s="7" t="str" cm="1">
        <f t="array" ref="P163">IF(O163="", "", IFERROR(MAX(--_xlfn.TEXTSPLIT(O163,"+")), O163))</f>
        <v/>
      </c>
      <c r="Q163" s="7"/>
      <c r="R163" s="109"/>
      <c r="S163" s="7"/>
      <c r="T163" s="7"/>
      <c r="U163" s="7"/>
      <c r="V163" s="7" t="str" cm="1">
        <f t="array" ref="V163">IF(U163="", "", IFERROR(MAX(--_xlfn.TEXTSPLIT(U163,"+")), U163))</f>
        <v/>
      </c>
      <c r="W163" s="7"/>
      <c r="X163" s="7"/>
      <c r="Y163" s="122"/>
      <c r="Z163" s="7"/>
      <c r="AA163" s="126"/>
      <c r="AB163" s="7">
        <v>2021</v>
      </c>
      <c r="AC163" s="7">
        <v>2204848</v>
      </c>
      <c r="AD163" s="7"/>
      <c r="AE163" s="7">
        <v>1661220</v>
      </c>
      <c r="AF163" s="7">
        <v>2425432</v>
      </c>
      <c r="AG163" s="7" t="s">
        <v>5032</v>
      </c>
      <c r="AH163" s="7">
        <f>AC163+AE163</f>
        <v>3866068</v>
      </c>
      <c r="AI163" s="7">
        <f>AF163+AH163</f>
        <v>6291500</v>
      </c>
      <c r="AJ163" s="7">
        <v>2020</v>
      </c>
      <c r="AK163" s="124">
        <v>2235217</v>
      </c>
      <c r="AL163" s="7"/>
      <c r="AM163" s="124">
        <v>1708431</v>
      </c>
      <c r="AN163" s="124">
        <v>2119147</v>
      </c>
      <c r="AO163" s="124">
        <f>AK163+AM163</f>
        <v>3943648</v>
      </c>
      <c r="AP163" s="124">
        <f>AN163+AO163</f>
        <v>6062795</v>
      </c>
      <c r="AQ163" s="27" t="s">
        <v>6494</v>
      </c>
      <c r="AR163" s="7" t="str">
        <f>_xlfn.XLOOKUP(C163,Sheet1!A:A,Sheet1!B:B, "Other")</f>
        <v>North America</v>
      </c>
      <c r="AS163" t="str">
        <f>_xlfn.XLOOKUP(D163,Sheet1!D:D,Sheet1!E:E)</f>
        <v>Transportation and logistics</v>
      </c>
    </row>
    <row r="164" spans="1:45" ht="18" customHeight="1">
      <c r="A164" s="7">
        <v>160</v>
      </c>
      <c r="B164" s="7" t="s">
        <v>1671</v>
      </c>
      <c r="C164" s="7" t="s">
        <v>207</v>
      </c>
      <c r="D164" s="7" t="s">
        <v>171</v>
      </c>
      <c r="E164" s="7" t="s">
        <v>6493</v>
      </c>
      <c r="F164" s="7" t="s">
        <v>6222</v>
      </c>
      <c r="G164" s="122"/>
      <c r="H164" s="7"/>
      <c r="I164" s="7"/>
      <c r="J164" s="122" t="s">
        <v>4183</v>
      </c>
      <c r="K164" s="7">
        <v>2030</v>
      </c>
      <c r="L164" s="127">
        <v>2021</v>
      </c>
      <c r="M164" s="122" t="s">
        <v>1957</v>
      </c>
      <c r="N164" s="7" t="s">
        <v>6492</v>
      </c>
      <c r="O164" s="7">
        <v>2050</v>
      </c>
      <c r="P164" s="7" cm="1">
        <f t="array" ref="P164">IF(O164="", "", IFERROR(MAX(--_xlfn.TEXTSPLIT(O164,"+")), O164))</f>
        <v>2050</v>
      </c>
      <c r="Q164" s="7">
        <v>2021</v>
      </c>
      <c r="R164" s="109" t="s">
        <v>6490</v>
      </c>
      <c r="S164" s="7"/>
      <c r="T164" s="7"/>
      <c r="U164" s="7"/>
      <c r="V164" s="7" t="str" cm="1">
        <f t="array" ref="V164">IF(U164="", "", IFERROR(MAX(--_xlfn.TEXTSPLIT(U164,"+")), U164))</f>
        <v/>
      </c>
      <c r="W164" s="7"/>
      <c r="X164" s="7"/>
      <c r="Y164" s="122" t="s">
        <v>4174</v>
      </c>
      <c r="Z164" s="7" t="s">
        <v>5037</v>
      </c>
      <c r="AA164" s="109" t="s">
        <v>6491</v>
      </c>
      <c r="AB164" s="7">
        <v>2021</v>
      </c>
      <c r="AC164" s="7">
        <v>697851</v>
      </c>
      <c r="AD164" s="7"/>
      <c r="AE164" s="7">
        <v>1541276</v>
      </c>
      <c r="AF164" s="7">
        <v>127735901</v>
      </c>
      <c r="AG164" s="7" t="s">
        <v>4174</v>
      </c>
      <c r="AH164" s="7">
        <f>AE164+AC164</f>
        <v>2239127</v>
      </c>
      <c r="AI164" s="7">
        <f>AH164+AF164</f>
        <v>129975028</v>
      </c>
      <c r="AJ164" s="7">
        <v>2020</v>
      </c>
      <c r="AK164" s="7">
        <v>754553</v>
      </c>
      <c r="AL164" s="7"/>
      <c r="AM164" s="7">
        <v>1631551</v>
      </c>
      <c r="AN164" s="7">
        <v>135068055</v>
      </c>
      <c r="AO164" s="7">
        <f>AM164+AK164</f>
        <v>2386104</v>
      </c>
      <c r="AP164" s="7">
        <f>AO164+AN164</f>
        <v>137454159</v>
      </c>
      <c r="AQ164" s="7" t="s">
        <v>6490</v>
      </c>
      <c r="AR164" s="7" t="str">
        <f>_xlfn.XLOOKUP(C164,Sheet1!A:A,Sheet1!B:B, "Other")</f>
        <v>Asia</v>
      </c>
      <c r="AS164" t="str">
        <f>_xlfn.XLOOKUP(D164,Sheet1!D:D,Sheet1!E:E)</f>
        <v>Automotive</v>
      </c>
    </row>
    <row r="165" spans="1:45" ht="18" customHeight="1">
      <c r="A165" s="7">
        <v>161</v>
      </c>
      <c r="B165" s="7" t="s">
        <v>1327</v>
      </c>
      <c r="C165" s="7" t="s">
        <v>73</v>
      </c>
      <c r="D165" s="7" t="s">
        <v>76</v>
      </c>
      <c r="E165" s="7" t="s">
        <v>6489</v>
      </c>
      <c r="F165" s="7" t="s">
        <v>6488</v>
      </c>
      <c r="G165" s="122"/>
      <c r="H165" s="7"/>
      <c r="I165" s="7"/>
      <c r="J165" s="122" t="s">
        <v>1960</v>
      </c>
      <c r="K165" s="7"/>
      <c r="L165" s="127" t="s">
        <v>1960</v>
      </c>
      <c r="M165" s="122" t="s">
        <v>4519</v>
      </c>
      <c r="N165" s="7" t="s">
        <v>5131</v>
      </c>
      <c r="O165" s="7">
        <v>2060</v>
      </c>
      <c r="P165" s="7" cm="1">
        <f t="array" ref="P165">IF(O165="", "", IFERROR(MAX(--_xlfn.TEXTSPLIT(O165,"+")), O165))</f>
        <v>2060</v>
      </c>
      <c r="Q165" s="7">
        <v>2021</v>
      </c>
      <c r="R165" s="109" t="s">
        <v>6487</v>
      </c>
      <c r="S165" s="7"/>
      <c r="T165" s="7"/>
      <c r="U165" s="7"/>
      <c r="V165" s="7" t="str" cm="1">
        <f t="array" ref="V165">IF(U165="", "", IFERROR(MAX(--_xlfn.TEXTSPLIT(U165,"+")), U165))</f>
        <v/>
      </c>
      <c r="W165" s="7"/>
      <c r="X165" s="7"/>
      <c r="Y165" s="122"/>
      <c r="Z165" s="7"/>
      <c r="AA165" s="109"/>
      <c r="AB165" s="7">
        <v>2022</v>
      </c>
      <c r="AC165" s="7">
        <v>3525.28</v>
      </c>
      <c r="AD165" s="7"/>
      <c r="AE165" s="7">
        <v>55279.72</v>
      </c>
      <c r="AF165" s="7"/>
      <c r="AG165" s="7" t="s">
        <v>5032</v>
      </c>
      <c r="AH165" s="7">
        <f>AC165+AE165</f>
        <v>58805</v>
      </c>
      <c r="AI165" s="7">
        <f>AH165+AF165</f>
        <v>58805</v>
      </c>
      <c r="AJ165" s="7">
        <v>2021</v>
      </c>
      <c r="AK165" s="7">
        <v>3255.22</v>
      </c>
      <c r="AL165" s="7"/>
      <c r="AM165" s="7">
        <v>94272.4</v>
      </c>
      <c r="AN165" s="7"/>
      <c r="AO165" s="7">
        <f>AM165+AK165</f>
        <v>97527.62</v>
      </c>
      <c r="AP165" s="7">
        <f>AO165+AN165</f>
        <v>97527.62</v>
      </c>
      <c r="AQ165" s="7" t="s">
        <v>6486</v>
      </c>
      <c r="AR165" s="7" t="str">
        <f>_xlfn.XLOOKUP(C165,Sheet1!A:A,Sheet1!B:B, "Other")</f>
        <v>Asia</v>
      </c>
      <c r="AS165" t="str">
        <f>_xlfn.XLOOKUP(D165,Sheet1!D:D,Sheet1!E:E)</f>
        <v>Financial services</v>
      </c>
    </row>
    <row r="166" spans="1:45" ht="18" customHeight="1">
      <c r="A166" s="7">
        <v>162</v>
      </c>
      <c r="B166" s="7" t="s">
        <v>1656</v>
      </c>
      <c r="C166" s="7" t="s">
        <v>146</v>
      </c>
      <c r="D166" s="7" t="s">
        <v>283</v>
      </c>
      <c r="E166" s="7" t="s">
        <v>6485</v>
      </c>
      <c r="F166" s="7" t="s">
        <v>6484</v>
      </c>
      <c r="G166" s="122" t="s">
        <v>4174</v>
      </c>
      <c r="H166" s="7">
        <v>2030</v>
      </c>
      <c r="I166" s="7">
        <v>2021</v>
      </c>
      <c r="J166" s="122" t="s">
        <v>4183</v>
      </c>
      <c r="K166" s="7">
        <v>2030</v>
      </c>
      <c r="L166" s="127">
        <v>2021</v>
      </c>
      <c r="M166" s="122"/>
      <c r="N166" s="7"/>
      <c r="O166" s="7"/>
      <c r="P166" s="7" t="str" cm="1">
        <f t="array" ref="P166">IF(O166="", "", IFERROR(MAX(--_xlfn.TEXTSPLIT(O166,"+")), O166))</f>
        <v/>
      </c>
      <c r="Q166" s="7"/>
      <c r="R166" s="109"/>
      <c r="S166" s="7" t="s">
        <v>4504</v>
      </c>
      <c r="T166" s="7" t="s">
        <v>4771</v>
      </c>
      <c r="U166" s="7" t="s">
        <v>4502</v>
      </c>
      <c r="V166" s="7" cm="1">
        <f t="array" ref="V166">IF(U166="", "", IFERROR(MAX(--_xlfn.TEXTSPLIT(U166,"+")), U166))</f>
        <v>2050</v>
      </c>
      <c r="W166" s="7">
        <v>2022</v>
      </c>
      <c r="X166" s="7" t="s">
        <v>6483</v>
      </c>
      <c r="Y166" s="122" t="s">
        <v>4174</v>
      </c>
      <c r="Z166" s="7" t="s">
        <v>6482</v>
      </c>
      <c r="AA166" s="109" t="s">
        <v>6481</v>
      </c>
      <c r="AB166" s="7">
        <v>2022</v>
      </c>
      <c r="AC166" s="7">
        <v>393000</v>
      </c>
      <c r="AD166" s="7">
        <v>670000</v>
      </c>
      <c r="AE166" s="7">
        <v>189000</v>
      </c>
      <c r="AF166" s="7">
        <v>457606000</v>
      </c>
      <c r="AG166" s="7" t="s">
        <v>4174</v>
      </c>
      <c r="AH166" s="7">
        <f>AE166+AC166</f>
        <v>582000</v>
      </c>
      <c r="AI166" s="7">
        <f>AH166+AF166</f>
        <v>458188000</v>
      </c>
      <c r="AJ166" s="7">
        <v>2021</v>
      </c>
      <c r="AK166" s="7">
        <v>386000</v>
      </c>
      <c r="AL166" s="7">
        <v>755000</v>
      </c>
      <c r="AM166" s="7">
        <v>208000</v>
      </c>
      <c r="AN166" s="7">
        <v>481713000</v>
      </c>
      <c r="AO166" s="7">
        <f>AM166+AK166</f>
        <v>594000</v>
      </c>
      <c r="AP166" s="7">
        <f>AO166+AN166</f>
        <v>482307000</v>
      </c>
      <c r="AQ166" s="7" t="s">
        <v>6480</v>
      </c>
      <c r="AR166" s="7" t="str">
        <f>_xlfn.XLOOKUP(C166,Sheet1!A:A,Sheet1!B:B, "Other")</f>
        <v>Europe</v>
      </c>
      <c r="AS166" t="str">
        <f>_xlfn.XLOOKUP(D166,Sheet1!D:D,Sheet1!E:E)</f>
        <v>Industrial goods</v>
      </c>
    </row>
    <row r="167" spans="1:45" ht="18" customHeight="1">
      <c r="A167" s="7">
        <v>163</v>
      </c>
      <c r="B167" s="7" t="s">
        <v>4311</v>
      </c>
      <c r="C167" s="7" t="s">
        <v>73</v>
      </c>
      <c r="D167" s="7" t="s">
        <v>71</v>
      </c>
      <c r="E167" s="7" t="s">
        <v>6479</v>
      </c>
      <c r="F167" s="7" t="s">
        <v>6478</v>
      </c>
      <c r="G167" s="122"/>
      <c r="H167" s="7"/>
      <c r="I167" s="7"/>
      <c r="J167" s="122" t="s">
        <v>1960</v>
      </c>
      <c r="K167" s="7"/>
      <c r="L167" s="127" t="s">
        <v>1960</v>
      </c>
      <c r="M167" s="122"/>
      <c r="N167" s="7"/>
      <c r="O167" s="7"/>
      <c r="P167" s="7" t="str" cm="1">
        <f t="array" ref="P167">IF(O167="", "", IFERROR(MAX(--_xlfn.TEXTSPLIT(O167,"+")), O167))</f>
        <v/>
      </c>
      <c r="Q167" s="7"/>
      <c r="R167" s="109"/>
      <c r="S167" s="7"/>
      <c r="T167" s="7"/>
      <c r="U167" s="7"/>
      <c r="V167" s="7" t="str" cm="1">
        <f t="array" ref="V167">IF(U167="", "", IFERROR(MAX(--_xlfn.TEXTSPLIT(U167,"+")), U167))</f>
        <v/>
      </c>
      <c r="W167" s="7"/>
      <c r="X167" s="7"/>
      <c r="Y167" s="122"/>
      <c r="Z167" s="7"/>
      <c r="AA167" s="109"/>
      <c r="AB167" s="7" t="s">
        <v>5032</v>
      </c>
      <c r="AC167" s="7"/>
      <c r="AD167" s="7"/>
      <c r="AE167" s="7"/>
      <c r="AF167" s="7"/>
      <c r="AG167" s="7" t="s">
        <v>5032</v>
      </c>
      <c r="AH167" s="7"/>
      <c r="AI167" s="7"/>
      <c r="AJ167" s="7"/>
      <c r="AK167" s="7"/>
      <c r="AL167" s="7"/>
      <c r="AM167" s="7"/>
      <c r="AN167" s="7"/>
      <c r="AO167" s="7"/>
      <c r="AP167" s="7"/>
      <c r="AQ167" s="7"/>
      <c r="AR167" s="7" t="str">
        <f>_xlfn.XLOOKUP(C167,Sheet1!A:A,Sheet1!B:B, "Other")</f>
        <v>Asia</v>
      </c>
      <c r="AS167" t="str">
        <f>_xlfn.XLOOKUP(D167,Sheet1!D:D,Sheet1!E:E)</f>
        <v>Energy and utilities</v>
      </c>
    </row>
    <row r="168" spans="1:45" ht="18" customHeight="1">
      <c r="A168" s="7">
        <v>164</v>
      </c>
      <c r="B168" s="7" t="s">
        <v>4032</v>
      </c>
      <c r="C168" s="7" t="s">
        <v>4457</v>
      </c>
      <c r="D168" s="7" t="s">
        <v>342</v>
      </c>
      <c r="E168" s="7" t="s">
        <v>6477</v>
      </c>
      <c r="F168" s="7" t="s">
        <v>6476</v>
      </c>
      <c r="G168" s="122"/>
      <c r="H168" s="7"/>
      <c r="I168" s="7"/>
      <c r="J168" s="122" t="s">
        <v>4183</v>
      </c>
      <c r="K168" s="7">
        <v>2030</v>
      </c>
      <c r="L168" s="127">
        <v>2022</v>
      </c>
      <c r="M168" s="122"/>
      <c r="N168" s="7"/>
      <c r="O168" s="7"/>
      <c r="P168" s="7" t="str" cm="1">
        <f t="array" ref="P168">IF(O168="", "", IFERROR(MAX(--_xlfn.TEXTSPLIT(O168,"+")), O168))</f>
        <v/>
      </c>
      <c r="Q168" s="7"/>
      <c r="R168" s="109"/>
      <c r="S168" s="7" t="s">
        <v>1957</v>
      </c>
      <c r="T168" s="7" t="s">
        <v>1659</v>
      </c>
      <c r="U168" s="7">
        <v>2040</v>
      </c>
      <c r="V168" s="7" cm="1">
        <f t="array" ref="V168">IF(U168="", "", IFERROR(MAX(--_xlfn.TEXTSPLIT(U168,"+")), U168))</f>
        <v>2040</v>
      </c>
      <c r="W168" s="7">
        <v>2022</v>
      </c>
      <c r="X168" s="125" t="s">
        <v>6475</v>
      </c>
      <c r="Y168" s="122" t="s">
        <v>4174</v>
      </c>
      <c r="Z168" s="7" t="s">
        <v>5037</v>
      </c>
      <c r="AA168" s="109" t="s">
        <v>6474</v>
      </c>
      <c r="AB168" s="7">
        <v>2021</v>
      </c>
      <c r="AC168" s="124">
        <v>2487920</v>
      </c>
      <c r="AD168" s="124">
        <v>1583471</v>
      </c>
      <c r="AE168" s="124">
        <v>1521677</v>
      </c>
      <c r="AF168" s="7"/>
      <c r="AG168" s="7" t="s">
        <v>5032</v>
      </c>
      <c r="AH168" s="124">
        <f>AC168+AE168</f>
        <v>4009597</v>
      </c>
      <c r="AI168" s="124">
        <f>AH168</f>
        <v>4009597</v>
      </c>
      <c r="AJ168" s="7">
        <v>2020</v>
      </c>
      <c r="AK168" s="124">
        <v>2767382</v>
      </c>
      <c r="AL168" s="124">
        <v>1663522</v>
      </c>
      <c r="AM168" s="124">
        <v>1646087</v>
      </c>
      <c r="AN168" s="7"/>
      <c r="AO168" s="124">
        <v>4413469</v>
      </c>
      <c r="AP168" s="124">
        <f>AO168</f>
        <v>4413469</v>
      </c>
      <c r="AQ168" s="7" t="s">
        <v>6474</v>
      </c>
      <c r="AR168" s="7" t="str">
        <f>_xlfn.XLOOKUP(C168,Sheet1!A:A,Sheet1!B:B, "Other")</f>
        <v>North America</v>
      </c>
      <c r="AS168" t="str">
        <f>_xlfn.XLOOKUP(D168,Sheet1!D:D,Sheet1!E:E)</f>
        <v>Food, beverages and agriculture</v>
      </c>
    </row>
    <row r="169" spans="1:45" ht="18" customHeight="1">
      <c r="A169" s="7">
        <v>165</v>
      </c>
      <c r="B169" s="7" t="s">
        <v>1199</v>
      </c>
      <c r="C169" s="7" t="s">
        <v>73</v>
      </c>
      <c r="D169" s="7" t="s">
        <v>171</v>
      </c>
      <c r="E169" s="7" t="s">
        <v>6473</v>
      </c>
      <c r="F169" s="7" t="s">
        <v>6472</v>
      </c>
      <c r="G169" s="122"/>
      <c r="H169" s="7"/>
      <c r="I169" s="7"/>
      <c r="J169" s="122" t="s">
        <v>1960</v>
      </c>
      <c r="K169" s="7"/>
      <c r="L169" s="127" t="s">
        <v>1960</v>
      </c>
      <c r="M169" s="122" t="s">
        <v>1957</v>
      </c>
      <c r="N169" s="7" t="s">
        <v>6471</v>
      </c>
      <c r="O169" s="7">
        <v>2050</v>
      </c>
      <c r="P169" s="7" cm="1">
        <f t="array" ref="P169">IF(O169="", "", IFERROR(MAX(--_xlfn.TEXTSPLIT(O169,"+")), O169))</f>
        <v>2050</v>
      </c>
      <c r="Q169" s="7">
        <v>2021</v>
      </c>
      <c r="R169" s="109" t="s">
        <v>6470</v>
      </c>
      <c r="S169" s="7"/>
      <c r="T169" s="7"/>
      <c r="U169" s="7"/>
      <c r="V169" s="7" t="str" cm="1">
        <f t="array" ref="V169">IF(U169="", "", IFERROR(MAX(--_xlfn.TEXTSPLIT(U169,"+")), U169))</f>
        <v/>
      </c>
      <c r="W169" s="7"/>
      <c r="X169" s="7"/>
      <c r="Y169" s="122"/>
      <c r="Z169" s="7"/>
      <c r="AA169" s="109"/>
      <c r="AB169" s="7">
        <v>2022</v>
      </c>
      <c r="AC169" s="123">
        <v>200668.2</v>
      </c>
      <c r="AD169" s="7"/>
      <c r="AE169" s="123">
        <v>1128740.8</v>
      </c>
      <c r="AF169" s="7"/>
      <c r="AG169" s="7" t="s">
        <v>5032</v>
      </c>
      <c r="AH169" s="123">
        <v>1329409</v>
      </c>
      <c r="AI169" s="123">
        <f>AH169</f>
        <v>1329409</v>
      </c>
      <c r="AJ169" s="7">
        <v>2021</v>
      </c>
      <c r="AK169" s="124">
        <v>137357</v>
      </c>
      <c r="AL169" s="7"/>
      <c r="AM169" s="124">
        <v>882214</v>
      </c>
      <c r="AN169" s="7"/>
      <c r="AO169" s="124">
        <v>1019571</v>
      </c>
      <c r="AP169" s="124">
        <f>AO169</f>
        <v>1019571</v>
      </c>
      <c r="AQ169" s="7" t="s">
        <v>6469</v>
      </c>
      <c r="AR169" s="7" t="str">
        <f>_xlfn.XLOOKUP(C169,Sheet1!A:A,Sheet1!B:B, "Other")</f>
        <v>Asia</v>
      </c>
      <c r="AS169" t="str">
        <f>_xlfn.XLOOKUP(D169,Sheet1!D:D,Sheet1!E:E)</f>
        <v>Automotive</v>
      </c>
    </row>
    <row r="170" spans="1:45" ht="18" customHeight="1">
      <c r="A170" s="7">
        <v>166</v>
      </c>
      <c r="B170" s="7" t="s">
        <v>987</v>
      </c>
      <c r="C170" s="7" t="s">
        <v>73</v>
      </c>
      <c r="D170" s="7" t="s">
        <v>85</v>
      </c>
      <c r="E170" s="7" t="s">
        <v>6468</v>
      </c>
      <c r="F170" s="7" t="s">
        <v>6467</v>
      </c>
      <c r="G170" s="122"/>
      <c r="H170" s="7"/>
      <c r="I170" s="7"/>
      <c r="J170" s="122" t="s">
        <v>1960</v>
      </c>
      <c r="K170" s="7"/>
      <c r="L170" s="127" t="s">
        <v>1960</v>
      </c>
      <c r="M170" s="122" t="s">
        <v>4519</v>
      </c>
      <c r="N170" s="7" t="s">
        <v>1659</v>
      </c>
      <c r="O170" s="7">
        <v>2060</v>
      </c>
      <c r="P170" s="7" cm="1">
        <f t="array" ref="P170">IF(O170="", "", IFERROR(MAX(--_xlfn.TEXTSPLIT(O170,"+")), O170))</f>
        <v>2060</v>
      </c>
      <c r="Q170" s="7">
        <v>2021</v>
      </c>
      <c r="R170" s="109" t="s">
        <v>6466</v>
      </c>
      <c r="S170" s="7"/>
      <c r="T170" s="7"/>
      <c r="U170" s="7"/>
      <c r="V170" s="7" t="str" cm="1">
        <f t="array" ref="V170">IF(U170="", "", IFERROR(MAX(--_xlfn.TEXTSPLIT(U170,"+")), U170))</f>
        <v/>
      </c>
      <c r="W170" s="7"/>
      <c r="X170" s="7"/>
      <c r="Y170" s="122"/>
      <c r="Z170" s="7"/>
      <c r="AA170" s="109"/>
      <c r="AB170" s="7">
        <v>2021</v>
      </c>
      <c r="AC170" s="7"/>
      <c r="AD170" s="7"/>
      <c r="AE170" s="7"/>
      <c r="AF170" s="7"/>
      <c r="AG170" s="7" t="s">
        <v>5032</v>
      </c>
      <c r="AH170" s="7">
        <v>8680.11</v>
      </c>
      <c r="AI170" s="7">
        <f>AH170</f>
        <v>8680.11</v>
      </c>
      <c r="AJ170" s="7">
        <v>2020</v>
      </c>
      <c r="AK170" s="7"/>
      <c r="AL170" s="7"/>
      <c r="AM170" s="7"/>
      <c r="AN170" s="7"/>
      <c r="AO170" s="7">
        <v>8904</v>
      </c>
      <c r="AP170" s="7">
        <f>AO170</f>
        <v>8904</v>
      </c>
      <c r="AQ170" s="7" t="s">
        <v>6466</v>
      </c>
      <c r="AR170" s="7" t="str">
        <f>_xlfn.XLOOKUP(C170,Sheet1!A:A,Sheet1!B:B, "Other")</f>
        <v>Asia</v>
      </c>
      <c r="AS170" t="str">
        <f>_xlfn.XLOOKUP(D170,Sheet1!D:D,Sheet1!E:E)</f>
        <v>Industrial goods</v>
      </c>
    </row>
    <row r="171" spans="1:45" ht="18" customHeight="1">
      <c r="A171" s="7">
        <v>167</v>
      </c>
      <c r="B171" s="7" t="s">
        <v>1720</v>
      </c>
      <c r="C171" s="7" t="s">
        <v>4457</v>
      </c>
      <c r="D171" s="7" t="s">
        <v>283</v>
      </c>
      <c r="E171" s="7" t="s">
        <v>6465</v>
      </c>
      <c r="F171" s="7" t="s">
        <v>6464</v>
      </c>
      <c r="G171" s="122"/>
      <c r="H171" s="7"/>
      <c r="I171" s="7"/>
      <c r="J171" s="122" t="s">
        <v>1960</v>
      </c>
      <c r="K171" s="7"/>
      <c r="L171" s="127" t="s">
        <v>1960</v>
      </c>
      <c r="M171" s="122" t="s">
        <v>1957</v>
      </c>
      <c r="N171" s="7" t="s">
        <v>6463</v>
      </c>
      <c r="O171" s="7">
        <v>2030</v>
      </c>
      <c r="P171" s="7" cm="1">
        <f t="array" ref="P171">IF(O171="", "", IFERROR(MAX(--_xlfn.TEXTSPLIT(O171,"+")), O171))</f>
        <v>2030</v>
      </c>
      <c r="Q171" s="7">
        <v>2020</v>
      </c>
      <c r="R171" s="109" t="s">
        <v>6460</v>
      </c>
      <c r="S171" s="7" t="s">
        <v>4172</v>
      </c>
      <c r="T171" s="7" t="s">
        <v>6462</v>
      </c>
      <c r="U171" s="7">
        <v>2050</v>
      </c>
      <c r="V171" s="7" cm="1">
        <f t="array" ref="V171">IF(U171="", "", IFERROR(MAX(--_xlfn.TEXTSPLIT(U171,"+")), U171))</f>
        <v>2050</v>
      </c>
      <c r="W171" s="7">
        <v>2021</v>
      </c>
      <c r="X171" s="7" t="s">
        <v>6460</v>
      </c>
      <c r="Y171" s="122" t="s">
        <v>4174</v>
      </c>
      <c r="Z171" s="7" t="s">
        <v>5037</v>
      </c>
      <c r="AA171" s="109" t="s">
        <v>6461</v>
      </c>
      <c r="AB171" s="7">
        <v>2022</v>
      </c>
      <c r="AC171" s="7">
        <v>670000</v>
      </c>
      <c r="AD171" s="7"/>
      <c r="AE171" s="7">
        <v>960000</v>
      </c>
      <c r="AF171" s="7">
        <f>34000000+320000000</f>
        <v>354000000</v>
      </c>
      <c r="AG171" s="7" t="s">
        <v>5032</v>
      </c>
      <c r="AH171" s="7">
        <f>AC171+AE171</f>
        <v>1630000</v>
      </c>
      <c r="AI171" s="7">
        <f>AF171+AH171</f>
        <v>355630000</v>
      </c>
      <c r="AJ171" s="7">
        <v>2021</v>
      </c>
      <c r="AK171" s="7">
        <v>740000</v>
      </c>
      <c r="AL171" s="7"/>
      <c r="AM171" s="7">
        <v>1070000</v>
      </c>
      <c r="AN171" s="7">
        <f>477000000+28000000</f>
        <v>505000000</v>
      </c>
      <c r="AO171" s="7">
        <f>AK171+AM171</f>
        <v>1810000</v>
      </c>
      <c r="AP171" s="7">
        <f>AN171+AO171</f>
        <v>506810000</v>
      </c>
      <c r="AQ171" s="7" t="s">
        <v>6460</v>
      </c>
      <c r="AR171" s="7" t="str">
        <f>_xlfn.XLOOKUP(C171,Sheet1!A:A,Sheet1!B:B, "Other")</f>
        <v>North America</v>
      </c>
      <c r="AS171" t="str">
        <f>_xlfn.XLOOKUP(D171,Sheet1!D:D,Sheet1!E:E)</f>
        <v>Industrial goods</v>
      </c>
    </row>
    <row r="172" spans="1:45" ht="18" customHeight="1">
      <c r="A172" s="7">
        <v>168</v>
      </c>
      <c r="B172" s="7" t="s">
        <v>626</v>
      </c>
      <c r="C172" s="7" t="s">
        <v>3277</v>
      </c>
      <c r="D172" s="7" t="s">
        <v>186</v>
      </c>
      <c r="E172" s="7" t="s">
        <v>6459</v>
      </c>
      <c r="F172" s="7" t="s">
        <v>6458</v>
      </c>
      <c r="G172" s="122" t="s">
        <v>4174</v>
      </c>
      <c r="H172" s="7">
        <v>2050</v>
      </c>
      <c r="I172" s="7">
        <v>2020</v>
      </c>
      <c r="J172" s="122" t="s">
        <v>1960</v>
      </c>
      <c r="K172" s="7"/>
      <c r="L172" s="127" t="s">
        <v>1960</v>
      </c>
      <c r="M172" s="122"/>
      <c r="N172" s="7"/>
      <c r="O172" s="7"/>
      <c r="P172" s="7" t="str" cm="1">
        <f t="array" ref="P172">IF(O172="", "", IFERROR(MAX(--_xlfn.TEXTSPLIT(O172,"+")), O172))</f>
        <v/>
      </c>
      <c r="Q172" s="7"/>
      <c r="R172" s="109"/>
      <c r="S172" s="7" t="s">
        <v>4172</v>
      </c>
      <c r="T172" s="7" t="s">
        <v>6457</v>
      </c>
      <c r="U172" s="7">
        <v>2050</v>
      </c>
      <c r="V172" s="7" cm="1">
        <f t="array" ref="V172">IF(U172="", "", IFERROR(MAX(--_xlfn.TEXTSPLIT(U172,"+")), U172))</f>
        <v>2050</v>
      </c>
      <c r="W172" s="7">
        <v>2021</v>
      </c>
      <c r="X172" s="7" t="s">
        <v>6456</v>
      </c>
      <c r="Y172" s="122"/>
      <c r="Z172" s="7"/>
      <c r="AA172" s="109"/>
      <c r="AB172" s="7">
        <v>2021</v>
      </c>
      <c r="AC172" s="7">
        <f>1808427+343510</f>
        <v>2151937</v>
      </c>
      <c r="AD172" s="7"/>
      <c r="AE172" s="7">
        <f>8116440+36057</f>
        <v>8152497</v>
      </c>
      <c r="AF172" s="7">
        <f>4395879+1549426+70073+3117+647+29907+208</f>
        <v>6049257</v>
      </c>
      <c r="AG172" s="7" t="s">
        <v>4174</v>
      </c>
      <c r="AH172" s="7">
        <f>AC172+AE172</f>
        <v>10304434</v>
      </c>
      <c r="AI172" s="7">
        <f>AH172+AF172</f>
        <v>16353691</v>
      </c>
      <c r="AJ172" s="7">
        <v>2020</v>
      </c>
      <c r="AK172" s="7">
        <f>1710677+294164</f>
        <v>2004841</v>
      </c>
      <c r="AL172" s="7"/>
      <c r="AM172" s="7">
        <f>7429951+29905</f>
        <v>7459856</v>
      </c>
      <c r="AN172" s="7">
        <f>3788115+1637711+53178+2119+1064+28916+383</f>
        <v>5511486</v>
      </c>
      <c r="AO172" s="7">
        <f>AK172+AM172</f>
        <v>9464697</v>
      </c>
      <c r="AP172" s="7">
        <f>AO172+AN172</f>
        <v>14976183</v>
      </c>
      <c r="AQ172" s="7" t="s">
        <v>6456</v>
      </c>
      <c r="AR172" s="7" t="str">
        <f>_xlfn.XLOOKUP(C172,Sheet1!A:A,Sheet1!B:B, "Other")</f>
        <v>Asia</v>
      </c>
      <c r="AS172" t="str">
        <f>_xlfn.XLOOKUP(D172,Sheet1!D:D,Sheet1!E:E)</f>
        <v>Technology</v>
      </c>
    </row>
    <row r="173" spans="1:45" ht="18" customHeight="1">
      <c r="A173" s="7">
        <v>169</v>
      </c>
      <c r="B173" s="7" t="s">
        <v>902</v>
      </c>
      <c r="C173" s="7" t="s">
        <v>73</v>
      </c>
      <c r="D173" s="7" t="s">
        <v>71</v>
      </c>
      <c r="E173" s="7" t="s">
        <v>6455</v>
      </c>
      <c r="F173" s="7" t="s">
        <v>6454</v>
      </c>
      <c r="G173" s="122"/>
      <c r="H173" s="7"/>
      <c r="I173" s="7"/>
      <c r="J173" s="122" t="s">
        <v>1960</v>
      </c>
      <c r="K173" s="7"/>
      <c r="L173" s="127" t="s">
        <v>1960</v>
      </c>
      <c r="M173" s="122" t="s">
        <v>4519</v>
      </c>
      <c r="N173" s="7" t="s">
        <v>5131</v>
      </c>
      <c r="O173" s="7">
        <v>2060</v>
      </c>
      <c r="P173" s="7" cm="1">
        <f t="array" ref="P173">IF(O173="", "", IFERROR(MAX(--_xlfn.TEXTSPLIT(O173,"+")), O173))</f>
        <v>2060</v>
      </c>
      <c r="Q173" s="7">
        <v>2021</v>
      </c>
      <c r="R173" s="109" t="s">
        <v>6453</v>
      </c>
      <c r="S173" s="7"/>
      <c r="T173" s="7"/>
      <c r="U173" s="7"/>
      <c r="V173" s="7" t="str" cm="1">
        <f t="array" ref="V173">IF(U173="", "", IFERROR(MAX(--_xlfn.TEXTSPLIT(U173,"+")), U173))</f>
        <v/>
      </c>
      <c r="W173" s="7"/>
      <c r="X173" s="7"/>
      <c r="Y173" s="122"/>
      <c r="Z173" s="7"/>
      <c r="AA173" s="109"/>
      <c r="AB173" s="7" t="s">
        <v>5032</v>
      </c>
      <c r="AC173" s="7"/>
      <c r="AD173" s="7"/>
      <c r="AE173" s="7"/>
      <c r="AF173" s="7"/>
      <c r="AG173" s="7" t="s">
        <v>5032</v>
      </c>
      <c r="AH173" s="7"/>
      <c r="AI173" s="7"/>
      <c r="AJ173" s="7"/>
      <c r="AK173" s="7"/>
      <c r="AL173" s="7"/>
      <c r="AM173" s="7"/>
      <c r="AN173" s="7"/>
      <c r="AO173" s="7"/>
      <c r="AP173" s="7"/>
      <c r="AQ173" s="7"/>
      <c r="AR173" s="7" t="str">
        <f>_xlfn.XLOOKUP(C173,Sheet1!A:A,Sheet1!B:B, "Other")</f>
        <v>Asia</v>
      </c>
      <c r="AS173" t="str">
        <f>_xlfn.XLOOKUP(D173,Sheet1!D:D,Sheet1!E:E)</f>
        <v>Energy and utilities</v>
      </c>
    </row>
    <row r="174" spans="1:45" ht="18" customHeight="1">
      <c r="A174" s="7">
        <v>170</v>
      </c>
      <c r="B174" s="7" t="s">
        <v>1351</v>
      </c>
      <c r="C174" s="7" t="s">
        <v>146</v>
      </c>
      <c r="D174" s="7" t="s">
        <v>76</v>
      </c>
      <c r="E174" s="7" t="s">
        <v>6452</v>
      </c>
      <c r="F174" s="7" t="s">
        <v>6451</v>
      </c>
      <c r="G174" s="122"/>
      <c r="H174" s="7"/>
      <c r="I174" s="7"/>
      <c r="J174" s="122" t="s">
        <v>1960</v>
      </c>
      <c r="K174" s="7"/>
      <c r="L174" s="127" t="s">
        <v>1960</v>
      </c>
      <c r="M174" s="122" t="s">
        <v>1957</v>
      </c>
      <c r="N174" s="7"/>
      <c r="O174" s="7">
        <v>2015</v>
      </c>
      <c r="P174" s="7" cm="1">
        <f t="array" ref="P174">IF(O174="", "", IFERROR(MAX(--_xlfn.TEXTSPLIT(O174,"+")), O174))</f>
        <v>2015</v>
      </c>
      <c r="Q174" s="7">
        <v>2015</v>
      </c>
      <c r="R174" s="109" t="s">
        <v>6449</v>
      </c>
      <c r="S174" s="7" t="s">
        <v>5387</v>
      </c>
      <c r="T174" s="7" t="s">
        <v>6450</v>
      </c>
      <c r="U174" s="7" t="s">
        <v>4502</v>
      </c>
      <c r="V174" s="7" cm="1">
        <f t="array" ref="V174">IF(U174="", "", IFERROR(MAX(--_xlfn.TEXTSPLIT(U174,"+")), U174))</f>
        <v>2050</v>
      </c>
      <c r="W174" s="7">
        <v>2020</v>
      </c>
      <c r="X174" s="7" t="s">
        <v>6449</v>
      </c>
      <c r="Y174" s="122"/>
      <c r="Z174" s="7"/>
      <c r="AA174" s="109"/>
      <c r="AB174" s="7">
        <v>2022</v>
      </c>
      <c r="AC174" s="7">
        <v>43664</v>
      </c>
      <c r="AD174" s="7">
        <v>41770</v>
      </c>
      <c r="AE174" s="7">
        <v>18310</v>
      </c>
      <c r="AF174" s="7">
        <f>3113093+17731</f>
        <v>3130824</v>
      </c>
      <c r="AG174" s="7" t="s">
        <v>4174</v>
      </c>
      <c r="AH174" s="7">
        <f>AC174+AE174</f>
        <v>61974</v>
      </c>
      <c r="AI174" s="7">
        <f>AH174+AF174</f>
        <v>3192798</v>
      </c>
      <c r="AJ174" s="7">
        <v>2021</v>
      </c>
      <c r="AK174" s="7">
        <v>47598</v>
      </c>
      <c r="AL174" s="7">
        <v>47751</v>
      </c>
      <c r="AM174" s="7">
        <v>19677</v>
      </c>
      <c r="AN174" s="7">
        <f>3963799+6015</f>
        <v>3969814</v>
      </c>
      <c r="AO174" s="7">
        <f>AK174+AM174</f>
        <v>67275</v>
      </c>
      <c r="AP174" s="7">
        <f>AO174+AN174</f>
        <v>4037089</v>
      </c>
      <c r="AQ174" s="7" t="s">
        <v>6449</v>
      </c>
      <c r="AR174" s="7" t="str">
        <f>_xlfn.XLOOKUP(C174,Sheet1!A:A,Sheet1!B:B, "Other")</f>
        <v>Europe</v>
      </c>
      <c r="AS174" t="str">
        <f>_xlfn.XLOOKUP(D174,Sheet1!D:D,Sheet1!E:E)</f>
        <v>Financial services</v>
      </c>
    </row>
    <row r="175" spans="1:45" ht="18" customHeight="1">
      <c r="A175" s="7">
        <v>171</v>
      </c>
      <c r="B175" s="7" t="s">
        <v>640</v>
      </c>
      <c r="C175" s="7" t="s">
        <v>73</v>
      </c>
      <c r="D175" s="7" t="s">
        <v>85</v>
      </c>
      <c r="E175" s="7" t="s">
        <v>6448</v>
      </c>
      <c r="F175" s="7" t="s">
        <v>6447</v>
      </c>
      <c r="G175" s="122"/>
      <c r="H175" s="7"/>
      <c r="I175" s="7"/>
      <c r="J175" s="122" t="s">
        <v>1960</v>
      </c>
      <c r="K175" s="7"/>
      <c r="L175" s="127" t="s">
        <v>1960</v>
      </c>
      <c r="M175" s="122" t="s">
        <v>4519</v>
      </c>
      <c r="N175" s="7" t="s">
        <v>5131</v>
      </c>
      <c r="O175" s="7">
        <v>2060</v>
      </c>
      <c r="P175" s="7" cm="1">
        <f t="array" ref="P175">IF(O175="", "", IFERROR(MAX(--_xlfn.TEXTSPLIT(O175,"+")), O175))</f>
        <v>2060</v>
      </c>
      <c r="Q175" s="7">
        <v>2021</v>
      </c>
      <c r="R175" s="126" t="s">
        <v>6446</v>
      </c>
      <c r="S175" s="7"/>
      <c r="T175" s="7"/>
      <c r="U175" s="7"/>
      <c r="V175" s="7" t="str" cm="1">
        <f t="array" ref="V175">IF(U175="", "", IFERROR(MAX(--_xlfn.TEXTSPLIT(U175,"+")), U175))</f>
        <v/>
      </c>
      <c r="W175" s="7"/>
      <c r="X175" s="7"/>
      <c r="Y175" s="122"/>
      <c r="Z175" s="7"/>
      <c r="AA175" s="109"/>
      <c r="AB175" s="7">
        <v>2022</v>
      </c>
      <c r="AC175" s="7">
        <v>272200</v>
      </c>
      <c r="AD175" s="7"/>
      <c r="AE175" s="7">
        <v>1850400</v>
      </c>
      <c r="AF175" s="7"/>
      <c r="AG175" s="7" t="s">
        <v>5032</v>
      </c>
      <c r="AH175" s="7">
        <f>AC175+AE175</f>
        <v>2122600</v>
      </c>
      <c r="AI175" s="7">
        <f>AF175+AH175</f>
        <v>2122600</v>
      </c>
      <c r="AJ175" s="7">
        <v>2021</v>
      </c>
      <c r="AK175" s="7">
        <v>288100</v>
      </c>
      <c r="AL175" s="7"/>
      <c r="AM175" s="7">
        <v>1881600</v>
      </c>
      <c r="AN175" s="7"/>
      <c r="AO175" s="7">
        <f>AK175+AM175</f>
        <v>2169700</v>
      </c>
      <c r="AP175" s="7">
        <f>AK175+AM175</f>
        <v>2169700</v>
      </c>
      <c r="AQ175" s="27" t="s">
        <v>6446</v>
      </c>
      <c r="AR175" s="7" t="str">
        <f>_xlfn.XLOOKUP(C175,Sheet1!A:A,Sheet1!B:B, "Other")</f>
        <v>Asia</v>
      </c>
      <c r="AS175" t="str">
        <f>_xlfn.XLOOKUP(D175,Sheet1!D:D,Sheet1!E:E)</f>
        <v>Industrial goods</v>
      </c>
    </row>
    <row r="176" spans="1:45" ht="18" customHeight="1">
      <c r="A176" s="7">
        <v>172</v>
      </c>
      <c r="B176" s="7" t="s">
        <v>926</v>
      </c>
      <c r="C176" s="7" t="s">
        <v>73</v>
      </c>
      <c r="D176" s="7" t="s">
        <v>283</v>
      </c>
      <c r="E176" s="7" t="s">
        <v>6445</v>
      </c>
      <c r="F176" s="7" t="s">
        <v>6444</v>
      </c>
      <c r="G176" s="122"/>
      <c r="H176" s="7"/>
      <c r="I176" s="7"/>
      <c r="J176" s="122" t="s">
        <v>1960</v>
      </c>
      <c r="K176" s="7"/>
      <c r="L176" s="127" t="s">
        <v>1960</v>
      </c>
      <c r="M176" s="122"/>
      <c r="N176" s="7"/>
      <c r="O176" s="7"/>
      <c r="P176" s="7" t="str" cm="1">
        <f t="array" ref="P176">IF(O176="", "", IFERROR(MAX(--_xlfn.TEXTSPLIT(O176,"+")), O176))</f>
        <v/>
      </c>
      <c r="Q176" s="7"/>
      <c r="R176" s="109"/>
      <c r="S176" s="7"/>
      <c r="T176" s="7"/>
      <c r="U176" s="7"/>
      <c r="V176" s="7" t="str" cm="1">
        <f t="array" ref="V176">IF(U176="", "", IFERROR(MAX(--_xlfn.TEXTSPLIT(U176,"+")), U176))</f>
        <v/>
      </c>
      <c r="W176" s="7"/>
      <c r="X176" s="7"/>
      <c r="Y176" s="122"/>
      <c r="Z176" s="7"/>
      <c r="AA176" s="109"/>
      <c r="AB176" s="7" t="s">
        <v>5032</v>
      </c>
      <c r="AC176" s="7"/>
      <c r="AD176" s="7"/>
      <c r="AE176" s="7"/>
      <c r="AF176" s="7"/>
      <c r="AG176" s="7" t="s">
        <v>5032</v>
      </c>
      <c r="AH176" s="7"/>
      <c r="AI176" s="7"/>
      <c r="AJ176" s="7" t="s">
        <v>5032</v>
      </c>
      <c r="AK176" s="7"/>
      <c r="AL176" s="7"/>
      <c r="AM176" s="7"/>
      <c r="AN176" s="7"/>
      <c r="AO176" s="7"/>
      <c r="AP176" s="7"/>
      <c r="AQ176" s="7"/>
      <c r="AR176" s="7" t="str">
        <f>_xlfn.XLOOKUP(C176,Sheet1!A:A,Sheet1!B:B, "Other")</f>
        <v>Asia</v>
      </c>
      <c r="AS176" t="str">
        <f>_xlfn.XLOOKUP(D176,Sheet1!D:D,Sheet1!E:E)</f>
        <v>Industrial goods</v>
      </c>
    </row>
    <row r="177" spans="1:45" ht="18" customHeight="1">
      <c r="A177" s="7">
        <v>173</v>
      </c>
      <c r="B177" s="7" t="s">
        <v>974</v>
      </c>
      <c r="C177" s="7" t="s">
        <v>73</v>
      </c>
      <c r="D177" s="7" t="s">
        <v>76</v>
      </c>
      <c r="E177" s="7" t="s">
        <v>6443</v>
      </c>
      <c r="F177" s="7" t="s">
        <v>6442</v>
      </c>
      <c r="G177" s="122"/>
      <c r="H177" s="7"/>
      <c r="I177" s="7"/>
      <c r="J177" s="122" t="s">
        <v>1960</v>
      </c>
      <c r="K177" s="7"/>
      <c r="L177" s="127" t="s">
        <v>1960</v>
      </c>
      <c r="M177" s="122" t="s">
        <v>4519</v>
      </c>
      <c r="N177" s="7" t="s">
        <v>5131</v>
      </c>
      <c r="O177" s="7">
        <v>2060</v>
      </c>
      <c r="P177" s="7" cm="1">
        <f t="array" ref="P177">IF(O177="", "", IFERROR(MAX(--_xlfn.TEXTSPLIT(O177,"+")), O177))</f>
        <v>2060</v>
      </c>
      <c r="Q177" s="7">
        <v>2021</v>
      </c>
      <c r="R177" s="109" t="s">
        <v>6441</v>
      </c>
      <c r="S177" s="7"/>
      <c r="T177" s="7"/>
      <c r="U177" s="7"/>
      <c r="V177" s="7" t="str" cm="1">
        <f t="array" ref="V177">IF(U177="", "", IFERROR(MAX(--_xlfn.TEXTSPLIT(U177,"+")), U177))</f>
        <v/>
      </c>
      <c r="W177" s="7"/>
      <c r="X177" s="7"/>
      <c r="Y177" s="122"/>
      <c r="Z177" s="7"/>
      <c r="AA177" s="109"/>
      <c r="AB177" s="7">
        <v>2022</v>
      </c>
      <c r="AC177" s="7">
        <f>4063.0607+664.2122+4528.1603+56825+1196.3282+672.4479+14184.0211</f>
        <v>82133.2304</v>
      </c>
      <c r="AD177" s="7"/>
      <c r="AE177" s="7">
        <f>8600.0966+7526.788+31233.4674+146.9059+97287.4701+15265.3799+194335.4139</f>
        <v>354395.52179999999</v>
      </c>
      <c r="AF177" s="7">
        <v>345161.18670000002</v>
      </c>
      <c r="AG177" s="7" t="s">
        <v>6440</v>
      </c>
      <c r="AH177" s="7">
        <f>AC177+AE177</f>
        <v>436528.75219999999</v>
      </c>
      <c r="AI177" s="7">
        <f>AH177+AF177</f>
        <v>781689.93889999995</v>
      </c>
      <c r="AJ177" s="7">
        <v>2021</v>
      </c>
      <c r="AK177" s="7">
        <f>2173.0754+247.4091+5709.5424+15.3209+945.337+381.7157+11153.8928</f>
        <v>20626.293300000001</v>
      </c>
      <c r="AL177" s="7"/>
      <c r="AM177" s="7">
        <f>8642.8996+3585.6436+30988.1787+110.4597+127218.7024+54440.4826+179473.388</f>
        <v>404459.75459999999</v>
      </c>
      <c r="AN177" s="123">
        <v>15948.4105</v>
      </c>
      <c r="AO177" s="7">
        <f>AK177+AM177</f>
        <v>425086.04790000001</v>
      </c>
      <c r="AP177" s="123">
        <f>AO177+AN177</f>
        <v>441034.4584</v>
      </c>
      <c r="AQ177" s="7" t="s">
        <v>6439</v>
      </c>
      <c r="AR177" s="7" t="str">
        <f>_xlfn.XLOOKUP(C177,Sheet1!A:A,Sheet1!B:B, "Other")</f>
        <v>Asia</v>
      </c>
      <c r="AS177" t="str">
        <f>_xlfn.XLOOKUP(D177,Sheet1!D:D,Sheet1!E:E)</f>
        <v>Financial services</v>
      </c>
    </row>
    <row r="178" spans="1:45" ht="18" customHeight="1">
      <c r="A178" s="7">
        <v>174</v>
      </c>
      <c r="B178" s="7" t="s">
        <v>962</v>
      </c>
      <c r="C178" s="7" t="s">
        <v>183</v>
      </c>
      <c r="D178" s="7" t="s">
        <v>5091</v>
      </c>
      <c r="E178" s="7" t="s">
        <v>6438</v>
      </c>
      <c r="F178" s="7" t="s">
        <v>6437</v>
      </c>
      <c r="G178" s="122"/>
      <c r="H178" s="7"/>
      <c r="I178" s="7"/>
      <c r="J178" s="122" t="s">
        <v>1957</v>
      </c>
      <c r="K178" s="7"/>
      <c r="L178" s="127">
        <v>2022</v>
      </c>
      <c r="M178" s="122"/>
      <c r="N178" s="7"/>
      <c r="O178" s="7"/>
      <c r="P178" s="7" t="str" cm="1">
        <f t="array" ref="P178">IF(O178="", "", IFERROR(MAX(--_xlfn.TEXTSPLIT(O178,"+")), O178))</f>
        <v/>
      </c>
      <c r="Q178" s="7"/>
      <c r="R178" s="109"/>
      <c r="S178" s="7"/>
      <c r="T178" s="7"/>
      <c r="U178" s="7"/>
      <c r="V178" s="7" t="str" cm="1">
        <f t="array" ref="V178">IF(U178="", "", IFERROR(MAX(--_xlfn.TEXTSPLIT(U178,"+")), U178))</f>
        <v/>
      </c>
      <c r="W178" s="7"/>
      <c r="X178" s="7"/>
      <c r="Y178" s="122" t="s">
        <v>4174</v>
      </c>
      <c r="Z178" s="7" t="s">
        <v>5037</v>
      </c>
      <c r="AA178" s="109" t="s">
        <v>6436</v>
      </c>
      <c r="AB178" s="7">
        <v>2022</v>
      </c>
      <c r="AC178" s="7">
        <v>10300000</v>
      </c>
      <c r="AD178" s="7"/>
      <c r="AE178" s="7">
        <v>4900000</v>
      </c>
      <c r="AF178" s="7"/>
      <c r="AG178" s="7" t="s">
        <v>5032</v>
      </c>
      <c r="AH178" s="7">
        <f>AC178+AE178</f>
        <v>15200000</v>
      </c>
      <c r="AI178" s="7">
        <f>AH178</f>
        <v>15200000</v>
      </c>
      <c r="AJ178" s="7">
        <v>2021</v>
      </c>
      <c r="AK178" s="7">
        <v>9600000</v>
      </c>
      <c r="AL178" s="7">
        <v>4400000</v>
      </c>
      <c r="AM178" s="7">
        <v>4400000</v>
      </c>
      <c r="AN178" s="7"/>
      <c r="AO178" s="7">
        <f>AK178+AM178</f>
        <v>14000000</v>
      </c>
      <c r="AP178" s="7">
        <f>AO178</f>
        <v>14000000</v>
      </c>
      <c r="AQ178" s="7" t="s">
        <v>6435</v>
      </c>
      <c r="AR178" s="7" t="str">
        <f>_xlfn.XLOOKUP(C178,Sheet1!A:A,Sheet1!B:B, "Other")</f>
        <v>Asia</v>
      </c>
      <c r="AS178" t="str">
        <f>_xlfn.XLOOKUP(D178,Sheet1!D:D,Sheet1!E:E)</f>
        <v>Food, beverages and agriculture</v>
      </c>
    </row>
    <row r="179" spans="1:45" ht="18" customHeight="1">
      <c r="A179" s="7">
        <v>175</v>
      </c>
      <c r="B179" s="7" t="s">
        <v>1010</v>
      </c>
      <c r="C179" s="7" t="s">
        <v>73</v>
      </c>
      <c r="D179" s="7" t="s">
        <v>178</v>
      </c>
      <c r="E179" s="7" t="s">
        <v>6434</v>
      </c>
      <c r="F179" s="7" t="s">
        <v>6433</v>
      </c>
      <c r="G179" s="122"/>
      <c r="H179" s="7"/>
      <c r="I179" s="7"/>
      <c r="J179" s="122" t="s">
        <v>1960</v>
      </c>
      <c r="K179" s="7"/>
      <c r="L179" s="127" t="s">
        <v>1960</v>
      </c>
      <c r="M179" s="122"/>
      <c r="N179" s="7"/>
      <c r="O179" s="7"/>
      <c r="P179" s="7" t="str" cm="1">
        <f t="array" ref="P179">IF(O179="", "", IFERROR(MAX(--_xlfn.TEXTSPLIT(O179,"+")), O179))</f>
        <v/>
      </c>
      <c r="Q179" s="7"/>
      <c r="R179" s="109"/>
      <c r="S179" s="7"/>
      <c r="T179" s="7"/>
      <c r="U179" s="7"/>
      <c r="V179" s="7" t="str" cm="1">
        <f t="array" ref="V179">IF(U179="", "", IFERROR(MAX(--_xlfn.TEXTSPLIT(U179,"+")), U179))</f>
        <v/>
      </c>
      <c r="W179" s="7"/>
      <c r="X179" s="7"/>
      <c r="Y179" s="122"/>
      <c r="Z179" s="7"/>
      <c r="AA179" s="109"/>
      <c r="AB179" s="7" t="s">
        <v>5032</v>
      </c>
      <c r="AC179" s="7"/>
      <c r="AD179" s="7"/>
      <c r="AE179" s="7"/>
      <c r="AF179" s="7"/>
      <c r="AG179" s="7" t="s">
        <v>5032</v>
      </c>
      <c r="AH179" s="7"/>
      <c r="AI179" s="7"/>
      <c r="AJ179" s="7" t="s">
        <v>5032</v>
      </c>
      <c r="AK179" s="7"/>
      <c r="AL179" s="7"/>
      <c r="AM179" s="7"/>
      <c r="AN179" s="7"/>
      <c r="AO179" s="7"/>
      <c r="AP179" s="7"/>
      <c r="AQ179" s="7" t="s">
        <v>6432</v>
      </c>
      <c r="AR179" s="7" t="str">
        <f>_xlfn.XLOOKUP(C179,Sheet1!A:A,Sheet1!B:B, "Other")</f>
        <v>Asia</v>
      </c>
      <c r="AS179" t="str">
        <f>_xlfn.XLOOKUP(D179,Sheet1!D:D,Sheet1!E:E)</f>
        <v>Transportation and logistics</v>
      </c>
    </row>
    <row r="180" spans="1:45" ht="18" customHeight="1">
      <c r="A180" s="7">
        <v>176</v>
      </c>
      <c r="B180" s="7" t="s">
        <v>1289</v>
      </c>
      <c r="C180" s="7" t="s">
        <v>207</v>
      </c>
      <c r="D180" s="7" t="s">
        <v>91</v>
      </c>
      <c r="E180" s="7" t="s">
        <v>6431</v>
      </c>
      <c r="F180" s="7" t="s">
        <v>6430</v>
      </c>
      <c r="G180" s="122"/>
      <c r="H180" s="7"/>
      <c r="I180" s="7"/>
      <c r="J180" s="122" t="s">
        <v>1960</v>
      </c>
      <c r="K180" s="7"/>
      <c r="L180" s="127" t="s">
        <v>1960</v>
      </c>
      <c r="M180" s="122" t="s">
        <v>1957</v>
      </c>
      <c r="N180" s="7" t="s">
        <v>5122</v>
      </c>
      <c r="O180" s="7">
        <v>2050</v>
      </c>
      <c r="P180" s="7" cm="1">
        <f t="array" ref="P180">IF(O180="", "", IFERROR(MAX(--_xlfn.TEXTSPLIT(O180,"+")), O180))</f>
        <v>2050</v>
      </c>
      <c r="Q180" s="7">
        <v>2021</v>
      </c>
      <c r="R180" s="109" t="s">
        <v>6429</v>
      </c>
      <c r="S180" s="7"/>
      <c r="T180" s="7"/>
      <c r="U180" s="7"/>
      <c r="V180" s="7" t="str" cm="1">
        <f t="array" ref="V180">IF(U180="", "", IFERROR(MAX(--_xlfn.TEXTSPLIT(U180,"+")), U180))</f>
        <v/>
      </c>
      <c r="W180" s="7"/>
      <c r="X180" s="7"/>
      <c r="Y180" s="122"/>
      <c r="Z180" s="7"/>
      <c r="AA180" s="109"/>
      <c r="AB180" s="7">
        <v>2022</v>
      </c>
      <c r="AC180" s="7">
        <v>122122</v>
      </c>
      <c r="AD180" s="7"/>
      <c r="AE180" s="7">
        <v>56872</v>
      </c>
      <c r="AF180" s="7"/>
      <c r="AG180" s="7" t="s">
        <v>5032</v>
      </c>
      <c r="AH180" s="7">
        <f>AC180+AE180</f>
        <v>178994</v>
      </c>
      <c r="AI180" s="7">
        <f>AH180</f>
        <v>178994</v>
      </c>
      <c r="AJ180" s="7">
        <v>2021</v>
      </c>
      <c r="AK180" s="7">
        <v>123634</v>
      </c>
      <c r="AL180" s="7"/>
      <c r="AM180" s="7">
        <v>58537</v>
      </c>
      <c r="AN180" s="7"/>
      <c r="AO180" s="7">
        <f>AK180+AM180</f>
        <v>182171</v>
      </c>
      <c r="AP180" s="7">
        <f>AO180</f>
        <v>182171</v>
      </c>
      <c r="AQ180" s="7" t="s">
        <v>6428</v>
      </c>
      <c r="AR180" s="7" t="str">
        <f>_xlfn.XLOOKUP(C180,Sheet1!A:A,Sheet1!B:B, "Other")</f>
        <v>Asia</v>
      </c>
      <c r="AS180" t="str">
        <f>_xlfn.XLOOKUP(D180,Sheet1!D:D,Sheet1!E:E)</f>
        <v>Retail</v>
      </c>
    </row>
    <row r="181" spans="1:45" ht="18" customHeight="1">
      <c r="A181" s="7">
        <v>177</v>
      </c>
      <c r="B181" s="7" t="s">
        <v>1104</v>
      </c>
      <c r="C181" s="7" t="s">
        <v>68</v>
      </c>
      <c r="D181" s="7" t="s">
        <v>5091</v>
      </c>
      <c r="E181" s="7" t="s">
        <v>6427</v>
      </c>
      <c r="F181" s="7" t="s">
        <v>6426</v>
      </c>
      <c r="G181" s="122"/>
      <c r="H181" s="7"/>
      <c r="I181" s="7"/>
      <c r="J181" s="122" t="s">
        <v>1957</v>
      </c>
      <c r="K181" s="7"/>
      <c r="L181" s="127">
        <v>2021</v>
      </c>
      <c r="M181" s="122"/>
      <c r="N181" s="7"/>
      <c r="O181" s="7"/>
      <c r="P181" s="7" t="str" cm="1">
        <f t="array" ref="P181">IF(O181="", "", IFERROR(MAX(--_xlfn.TEXTSPLIT(O181,"+")), O181))</f>
        <v/>
      </c>
      <c r="Q181" s="7"/>
      <c r="R181" s="109"/>
      <c r="S181" s="7" t="s">
        <v>4172</v>
      </c>
      <c r="T181" s="7" t="s">
        <v>4259</v>
      </c>
      <c r="U181" s="7">
        <v>2040</v>
      </c>
      <c r="V181" s="7" cm="1">
        <f t="array" ref="V181">IF(U181="", "", IFERROR(MAX(--_xlfn.TEXTSPLIT(U181,"+")), U181))</f>
        <v>2040</v>
      </c>
      <c r="W181" s="7">
        <v>2021</v>
      </c>
      <c r="X181" s="7" t="s">
        <v>6425</v>
      </c>
      <c r="Y181" s="122" t="s">
        <v>4174</v>
      </c>
      <c r="Z181" s="7" t="s">
        <v>5037</v>
      </c>
      <c r="AA181" s="109" t="s">
        <v>6424</v>
      </c>
      <c r="AB181" s="7">
        <v>2021</v>
      </c>
      <c r="AC181" s="124">
        <v>4675368</v>
      </c>
      <c r="AD181" s="7"/>
      <c r="AE181" s="124">
        <v>1399521</v>
      </c>
      <c r="AF181" s="124">
        <v>65032995</v>
      </c>
      <c r="AG181" s="7" t="s">
        <v>4174</v>
      </c>
      <c r="AH181" s="124">
        <f>AC181+AE181</f>
        <v>6074889</v>
      </c>
      <c r="AI181" s="124">
        <f>AF181+AH181</f>
        <v>71107884</v>
      </c>
      <c r="AJ181" s="7">
        <v>2020</v>
      </c>
      <c r="AK181" s="124">
        <v>4625832</v>
      </c>
      <c r="AL181" s="124"/>
      <c r="AM181" s="124">
        <v>1554087</v>
      </c>
      <c r="AN181" s="124">
        <v>61121337</v>
      </c>
      <c r="AO181" s="124">
        <f>AK181+AM181</f>
        <v>6179919</v>
      </c>
      <c r="AP181" s="124">
        <f>AN181+AO181</f>
        <v>67301256</v>
      </c>
      <c r="AQ181" s="7" t="s">
        <v>6423</v>
      </c>
      <c r="AR181" s="7" t="str">
        <f>_xlfn.XLOOKUP(C181,Sheet1!A:A,Sheet1!B:B, "Other")</f>
        <v>Other</v>
      </c>
      <c r="AS181" t="str">
        <f>_xlfn.XLOOKUP(D181,Sheet1!D:D,Sheet1!E:E)</f>
        <v>Food, beverages and agriculture</v>
      </c>
    </row>
    <row r="182" spans="1:45" ht="18" customHeight="1">
      <c r="A182" s="7">
        <v>178</v>
      </c>
      <c r="B182" s="7" t="s">
        <v>1161</v>
      </c>
      <c r="C182" s="7" t="s">
        <v>267</v>
      </c>
      <c r="D182" s="7" t="s">
        <v>71</v>
      </c>
      <c r="E182" s="7" t="s">
        <v>6422</v>
      </c>
      <c r="F182" s="7" t="s">
        <v>6421</v>
      </c>
      <c r="G182" s="122"/>
      <c r="H182" s="7"/>
      <c r="I182" s="7"/>
      <c r="J182" s="122" t="s">
        <v>1960</v>
      </c>
      <c r="K182" s="7"/>
      <c r="L182" s="127" t="s">
        <v>1960</v>
      </c>
      <c r="M182" s="122"/>
      <c r="N182" s="7"/>
      <c r="O182" s="7"/>
      <c r="P182" s="7" t="str" cm="1">
        <f t="array" ref="P182">IF(O182="", "", IFERROR(MAX(--_xlfn.TEXTSPLIT(O182,"+")), O182))</f>
        <v/>
      </c>
      <c r="Q182" s="7"/>
      <c r="R182" s="109"/>
      <c r="S182" s="7" t="s">
        <v>1957</v>
      </c>
      <c r="T182" s="7" t="s">
        <v>418</v>
      </c>
      <c r="U182" s="7">
        <v>2050</v>
      </c>
      <c r="V182" s="7" cm="1">
        <f t="array" ref="V182">IF(U182="", "", IFERROR(MAX(--_xlfn.TEXTSPLIT(U182,"+")), U182))</f>
        <v>2050</v>
      </c>
      <c r="W182" s="7">
        <v>2021</v>
      </c>
      <c r="X182" s="7" t="s">
        <v>6419</v>
      </c>
      <c r="Y182" s="122" t="s">
        <v>4174</v>
      </c>
      <c r="Z182" s="7" t="s">
        <v>6420</v>
      </c>
      <c r="AA182" s="109" t="s">
        <v>6419</v>
      </c>
      <c r="AB182" s="7">
        <v>2022</v>
      </c>
      <c r="AC182" s="7">
        <v>15700000</v>
      </c>
      <c r="AD182" s="7"/>
      <c r="AE182" s="7">
        <v>400000</v>
      </c>
      <c r="AF182" s="7">
        <f>AI182-AH182</f>
        <v>63000000</v>
      </c>
      <c r="AG182" s="7" t="s">
        <v>5032</v>
      </c>
      <c r="AH182" s="7">
        <f>AC182+AE182</f>
        <v>16100000</v>
      </c>
      <c r="AI182" s="7">
        <v>79100000</v>
      </c>
      <c r="AJ182" s="7">
        <v>2021</v>
      </c>
      <c r="AK182" s="7">
        <v>19400000</v>
      </c>
      <c r="AL182" s="7"/>
      <c r="AM182" s="7">
        <v>400000</v>
      </c>
      <c r="AN182" s="7">
        <f>AP182-AO182</f>
        <v>67300000</v>
      </c>
      <c r="AO182" s="7">
        <f>AK182+AM182</f>
        <v>19800000</v>
      </c>
      <c r="AP182" s="7">
        <v>87100000</v>
      </c>
      <c r="AQ182" s="27" t="s">
        <v>6418</v>
      </c>
      <c r="AR182" s="7" t="str">
        <f>_xlfn.XLOOKUP(C182,Sheet1!A:A,Sheet1!B:B, "Other")</f>
        <v>Europe</v>
      </c>
      <c r="AS182" t="str">
        <f>_xlfn.XLOOKUP(D182,Sheet1!D:D,Sheet1!E:E)</f>
        <v>Energy and utilities</v>
      </c>
    </row>
    <row r="183" spans="1:45" ht="18" customHeight="1">
      <c r="A183" s="7">
        <v>179</v>
      </c>
      <c r="B183" s="7" t="s">
        <v>1201</v>
      </c>
      <c r="C183" s="7" t="s">
        <v>73</v>
      </c>
      <c r="D183" s="7" t="s">
        <v>76</v>
      </c>
      <c r="E183" s="7" t="s">
        <v>6417</v>
      </c>
      <c r="F183" s="7" t="s">
        <v>6416</v>
      </c>
      <c r="G183" s="122"/>
      <c r="H183" s="7"/>
      <c r="I183" s="7"/>
      <c r="J183" s="122" t="s">
        <v>1960</v>
      </c>
      <c r="K183" s="7"/>
      <c r="L183" s="127" t="s">
        <v>1960</v>
      </c>
      <c r="M183" s="122" t="s">
        <v>4519</v>
      </c>
      <c r="N183" s="7" t="s">
        <v>5131</v>
      </c>
      <c r="O183" s="7">
        <v>2060</v>
      </c>
      <c r="P183" s="7" cm="1">
        <f t="array" ref="P183">IF(O183="", "", IFERROR(MAX(--_xlfn.TEXTSPLIT(O183,"+")), O183))</f>
        <v>2060</v>
      </c>
      <c r="Q183" s="7">
        <v>2021</v>
      </c>
      <c r="R183" s="109" t="s">
        <v>6415</v>
      </c>
      <c r="S183" s="7"/>
      <c r="T183" s="7"/>
      <c r="U183" s="7"/>
      <c r="V183" s="7" t="str" cm="1">
        <f t="array" ref="V183">IF(U183="", "", IFERROR(MAX(--_xlfn.TEXTSPLIT(U183,"+")), U183))</f>
        <v/>
      </c>
      <c r="W183" s="7"/>
      <c r="X183" s="7"/>
      <c r="Y183" s="122"/>
      <c r="Z183" s="7"/>
      <c r="AA183" s="109"/>
      <c r="AB183" s="7">
        <v>2022</v>
      </c>
      <c r="AC183" s="7">
        <v>10200</v>
      </c>
      <c r="AD183" s="7"/>
      <c r="AE183" s="7">
        <v>247800</v>
      </c>
      <c r="AF183" s="7"/>
      <c r="AG183" s="7" t="s">
        <v>5032</v>
      </c>
      <c r="AH183" s="7">
        <f>AC183+AE183</f>
        <v>258000</v>
      </c>
      <c r="AI183" s="7">
        <f>AH183</f>
        <v>258000</v>
      </c>
      <c r="AJ183" s="7">
        <v>2021</v>
      </c>
      <c r="AK183" s="7">
        <v>10000</v>
      </c>
      <c r="AL183" s="7"/>
      <c r="AM183" s="7">
        <v>233000</v>
      </c>
      <c r="AN183" s="7"/>
      <c r="AO183" s="7">
        <f>AK183+AM183</f>
        <v>243000</v>
      </c>
      <c r="AP183" s="7">
        <f>AO183</f>
        <v>243000</v>
      </c>
      <c r="AQ183" s="7" t="s">
        <v>6415</v>
      </c>
      <c r="AR183" s="7" t="str">
        <f>_xlfn.XLOOKUP(C183,Sheet1!A:A,Sheet1!B:B, "Other")</f>
        <v>Asia</v>
      </c>
      <c r="AS183" t="str">
        <f>_xlfn.XLOOKUP(D183,Sheet1!D:D,Sheet1!E:E)</f>
        <v>Financial services</v>
      </c>
    </row>
    <row r="184" spans="1:45" ht="18" customHeight="1">
      <c r="A184" s="7">
        <v>180</v>
      </c>
      <c r="B184" s="7" t="s">
        <v>1005</v>
      </c>
      <c r="C184" s="7" t="s">
        <v>161</v>
      </c>
      <c r="D184" s="7" t="s">
        <v>71</v>
      </c>
      <c r="E184" s="7" t="s">
        <v>6414</v>
      </c>
      <c r="F184" s="7" t="s">
        <v>6413</v>
      </c>
      <c r="G184" s="122"/>
      <c r="H184" s="7"/>
      <c r="I184" s="7"/>
      <c r="J184" s="122" t="s">
        <v>1960</v>
      </c>
      <c r="K184" s="7"/>
      <c r="L184" s="127" t="s">
        <v>1960</v>
      </c>
      <c r="M184" s="122"/>
      <c r="N184" s="7"/>
      <c r="O184" s="7"/>
      <c r="P184" s="7" t="str" cm="1">
        <f t="array" ref="P184">IF(O184="", "", IFERROR(MAX(--_xlfn.TEXTSPLIT(O184,"+")), O184))</f>
        <v/>
      </c>
      <c r="Q184" s="7"/>
      <c r="R184" s="109"/>
      <c r="S184" s="7" t="s">
        <v>1957</v>
      </c>
      <c r="T184" s="7" t="s">
        <v>6412</v>
      </c>
      <c r="U184" s="7">
        <v>2050</v>
      </c>
      <c r="V184" s="7" cm="1">
        <f t="array" ref="V184">IF(U184="", "", IFERROR(MAX(--_xlfn.TEXTSPLIT(U184,"+")), U184))</f>
        <v>2050</v>
      </c>
      <c r="W184" s="7">
        <v>2020</v>
      </c>
      <c r="X184" s="125" t="s">
        <v>6411</v>
      </c>
      <c r="Y184" s="122"/>
      <c r="Z184" s="7"/>
      <c r="AA184" s="109"/>
      <c r="AB184" s="7">
        <v>2022</v>
      </c>
      <c r="AC184" s="7">
        <v>9200000</v>
      </c>
      <c r="AD184" s="7"/>
      <c r="AE184" s="7">
        <v>3100000</v>
      </c>
      <c r="AF184" s="7">
        <v>401200000</v>
      </c>
      <c r="AG184" s="7" t="s">
        <v>4174</v>
      </c>
      <c r="AH184" s="7">
        <f>AE184+AC184</f>
        <v>12300000</v>
      </c>
      <c r="AI184" s="7">
        <f>AH184+AF184</f>
        <v>413500000</v>
      </c>
      <c r="AJ184" s="7">
        <v>2021</v>
      </c>
      <c r="AK184" s="7">
        <v>10100000</v>
      </c>
      <c r="AL184" s="7"/>
      <c r="AM184" s="7">
        <v>6200000</v>
      </c>
      <c r="AN184" s="7">
        <v>400100000</v>
      </c>
      <c r="AO184" s="7">
        <f>AM184+AK184</f>
        <v>16300000</v>
      </c>
      <c r="AP184" s="7">
        <f>AO184+AN184</f>
        <v>416400000</v>
      </c>
      <c r="AQ184" s="7" t="s">
        <v>6410</v>
      </c>
      <c r="AR184" s="7" t="str">
        <f>_xlfn.XLOOKUP(C184,Sheet1!A:A,Sheet1!B:B, "Other")</f>
        <v>Other</v>
      </c>
      <c r="AS184" t="str">
        <f>_xlfn.XLOOKUP(D184,Sheet1!D:D,Sheet1!E:E)</f>
        <v>Energy and utilities</v>
      </c>
    </row>
    <row r="185" spans="1:45" ht="18" customHeight="1">
      <c r="A185" s="7">
        <v>181</v>
      </c>
      <c r="B185" s="7" t="s">
        <v>1421</v>
      </c>
      <c r="C185" s="7" t="s">
        <v>207</v>
      </c>
      <c r="D185" s="7" t="s">
        <v>76</v>
      </c>
      <c r="E185" s="7" t="s">
        <v>6409</v>
      </c>
      <c r="F185" s="7" t="s">
        <v>6408</v>
      </c>
      <c r="G185" s="122"/>
      <c r="H185" s="7"/>
      <c r="I185" s="7"/>
      <c r="J185" s="122" t="s">
        <v>1960</v>
      </c>
      <c r="K185" s="7"/>
      <c r="L185" s="127" t="s">
        <v>1960</v>
      </c>
      <c r="M185" s="122"/>
      <c r="N185" s="7"/>
      <c r="O185" s="7"/>
      <c r="P185" s="7" t="str" cm="1">
        <f t="array" ref="P185">IF(O185="", "", IFERROR(MAX(--_xlfn.TEXTSPLIT(O185,"+")), O185))</f>
        <v/>
      </c>
      <c r="Q185" s="7"/>
      <c r="R185" s="109"/>
      <c r="S185" s="7" t="s">
        <v>4172</v>
      </c>
      <c r="T185" s="7" t="s">
        <v>6407</v>
      </c>
      <c r="U185" s="7">
        <v>2050</v>
      </c>
      <c r="V185" s="7" cm="1">
        <f t="array" ref="V185">IF(U185="", "", IFERROR(MAX(--_xlfn.TEXTSPLIT(U185,"+")), U185))</f>
        <v>2050</v>
      </c>
      <c r="W185" s="7">
        <v>2020</v>
      </c>
      <c r="X185" s="7" t="s">
        <v>6404</v>
      </c>
      <c r="Y185" s="122" t="s">
        <v>4174</v>
      </c>
      <c r="Z185" s="7" t="s">
        <v>6406</v>
      </c>
      <c r="AA185" s="109" t="s">
        <v>6405</v>
      </c>
      <c r="AB185" s="7">
        <v>2021</v>
      </c>
      <c r="AC185" s="7">
        <v>34476</v>
      </c>
      <c r="AD185" s="7"/>
      <c r="AE185" s="7">
        <v>71694</v>
      </c>
      <c r="AF185" s="7">
        <v>84806</v>
      </c>
      <c r="AG185" s="7" t="s">
        <v>5032</v>
      </c>
      <c r="AH185" s="7">
        <f>AC185+AE185</f>
        <v>106170</v>
      </c>
      <c r="AI185" s="7">
        <f>AF185+AH185</f>
        <v>190976</v>
      </c>
      <c r="AJ185" s="7">
        <v>2020</v>
      </c>
      <c r="AK185" s="7">
        <v>33458</v>
      </c>
      <c r="AL185" s="7"/>
      <c r="AM185" s="7">
        <v>75397</v>
      </c>
      <c r="AN185" s="7">
        <v>90267</v>
      </c>
      <c r="AO185" s="7">
        <f t="shared" ref="AO185:AO194" si="26">AK185+AM185</f>
        <v>108855</v>
      </c>
      <c r="AP185" s="7">
        <f>AN185+AO185</f>
        <v>199122</v>
      </c>
      <c r="AQ185" s="7" t="s">
        <v>6404</v>
      </c>
      <c r="AR185" s="7" t="str">
        <f>_xlfn.XLOOKUP(C185,Sheet1!A:A,Sheet1!B:B, "Other")</f>
        <v>Asia</v>
      </c>
      <c r="AS185" t="str">
        <f>_xlfn.XLOOKUP(D185,Sheet1!D:D,Sheet1!E:E)</f>
        <v>Financial services</v>
      </c>
    </row>
    <row r="186" spans="1:45" ht="18" customHeight="1">
      <c r="A186" s="7">
        <v>182</v>
      </c>
      <c r="B186" s="7" t="s">
        <v>1318</v>
      </c>
      <c r="C186" s="7" t="s">
        <v>207</v>
      </c>
      <c r="D186" s="7" t="s">
        <v>76</v>
      </c>
      <c r="E186" s="7" t="s">
        <v>6403</v>
      </c>
      <c r="F186" s="7" t="s">
        <v>5174</v>
      </c>
      <c r="G186" s="122"/>
      <c r="H186" s="7"/>
      <c r="I186" s="7"/>
      <c r="J186" s="122" t="s">
        <v>1960</v>
      </c>
      <c r="K186" s="7"/>
      <c r="L186" s="127" t="s">
        <v>1960</v>
      </c>
      <c r="M186" s="122"/>
      <c r="N186" s="7"/>
      <c r="O186" s="7"/>
      <c r="P186" s="7" t="str" cm="1">
        <f t="array" ref="P186">IF(O186="", "", IFERROR(MAX(--_xlfn.TEXTSPLIT(O186,"+")), O186))</f>
        <v/>
      </c>
      <c r="Q186" s="7"/>
      <c r="R186" s="109"/>
      <c r="S186" s="7" t="s">
        <v>4172</v>
      </c>
      <c r="T186" s="7" t="s">
        <v>1968</v>
      </c>
      <c r="U186" s="7">
        <v>2050</v>
      </c>
      <c r="V186" s="7" cm="1">
        <f t="array" ref="V186">IF(U186="", "", IFERROR(MAX(--_xlfn.TEXTSPLIT(U186,"+")), U186))</f>
        <v>2050</v>
      </c>
      <c r="W186" s="7">
        <v>2021</v>
      </c>
      <c r="X186" s="7" t="s">
        <v>6402</v>
      </c>
      <c r="Y186" s="122" t="s">
        <v>4174</v>
      </c>
      <c r="Z186" s="7" t="s">
        <v>5037</v>
      </c>
      <c r="AA186" s="109" t="s">
        <v>6401</v>
      </c>
      <c r="AB186" s="7">
        <v>2021</v>
      </c>
      <c r="AC186" s="7">
        <v>10700</v>
      </c>
      <c r="AD186" s="7">
        <v>94500</v>
      </c>
      <c r="AE186" s="7">
        <v>88200</v>
      </c>
      <c r="AF186" s="7">
        <v>247300</v>
      </c>
      <c r="AG186" s="7" t="s">
        <v>4174</v>
      </c>
      <c r="AH186" s="7">
        <f>AE186+AC186</f>
        <v>98900</v>
      </c>
      <c r="AI186" s="7">
        <f>AH186+AF186</f>
        <v>346200</v>
      </c>
      <c r="AJ186" s="7">
        <v>2020</v>
      </c>
      <c r="AK186" s="7">
        <v>9600</v>
      </c>
      <c r="AL186" s="7">
        <v>120000</v>
      </c>
      <c r="AM186" s="7">
        <v>116000</v>
      </c>
      <c r="AN186" s="7">
        <v>105788</v>
      </c>
      <c r="AO186" s="7">
        <f t="shared" si="26"/>
        <v>125600</v>
      </c>
      <c r="AP186" s="7">
        <f>AO186+AN186</f>
        <v>231388</v>
      </c>
      <c r="AQ186" s="7" t="s">
        <v>6400</v>
      </c>
      <c r="AR186" s="7" t="str">
        <f>_xlfn.XLOOKUP(C186,Sheet1!A:A,Sheet1!B:B, "Other")</f>
        <v>Asia</v>
      </c>
      <c r="AS186" t="str">
        <f>_xlfn.XLOOKUP(D186,Sheet1!D:D,Sheet1!E:E)</f>
        <v>Financial services</v>
      </c>
    </row>
    <row r="187" spans="1:45" ht="18" customHeight="1">
      <c r="A187" s="7">
        <v>183</v>
      </c>
      <c r="B187" s="7" t="s">
        <v>1358</v>
      </c>
      <c r="C187" s="7" t="s">
        <v>4457</v>
      </c>
      <c r="D187" s="7" t="s">
        <v>76</v>
      </c>
      <c r="E187" s="7" t="s">
        <v>6399</v>
      </c>
      <c r="F187" s="7" t="s">
        <v>6398</v>
      </c>
      <c r="G187" s="122"/>
      <c r="H187" s="7"/>
      <c r="I187" s="7"/>
      <c r="J187" s="122" t="s">
        <v>1957</v>
      </c>
      <c r="K187" s="7"/>
      <c r="L187" s="127">
        <v>2016</v>
      </c>
      <c r="M187" s="122" t="s">
        <v>1957</v>
      </c>
      <c r="N187" s="7" t="s">
        <v>6397</v>
      </c>
      <c r="O187" s="7">
        <v>2016</v>
      </c>
      <c r="P187" s="7" cm="1">
        <f t="array" ref="P187">IF(O187="", "", IFERROR(MAX(--_xlfn.TEXTSPLIT(O187,"+")), O187))</f>
        <v>2016</v>
      </c>
      <c r="Q187" s="7">
        <v>2016</v>
      </c>
      <c r="R187" s="109" t="s">
        <v>6394</v>
      </c>
      <c r="S187" s="7" t="s">
        <v>5387</v>
      </c>
      <c r="T187" s="7" t="s">
        <v>6396</v>
      </c>
      <c r="U187" s="7">
        <v>2050</v>
      </c>
      <c r="V187" s="7" cm="1">
        <f t="array" ref="V187">IF(U187="", "", IFERROR(MAX(--_xlfn.TEXTSPLIT(U187,"+")), U187))</f>
        <v>2050</v>
      </c>
      <c r="W187" s="7">
        <v>2022</v>
      </c>
      <c r="X187" s="7" t="s">
        <v>6394</v>
      </c>
      <c r="Y187" s="122" t="s">
        <v>4174</v>
      </c>
      <c r="Z187" s="7" t="s">
        <v>5037</v>
      </c>
      <c r="AA187" s="109" t="s">
        <v>6395</v>
      </c>
      <c r="AB187" s="7">
        <v>2022</v>
      </c>
      <c r="AC187" s="7">
        <v>12464</v>
      </c>
      <c r="AD187" s="7">
        <v>47108</v>
      </c>
      <c r="AE187" s="7">
        <v>7667</v>
      </c>
      <c r="AF187" s="7">
        <v>7079</v>
      </c>
      <c r="AG187" s="7" t="s">
        <v>5032</v>
      </c>
      <c r="AH187" s="7">
        <f>AC187+AE187</f>
        <v>20131</v>
      </c>
      <c r="AI187" s="7">
        <f>AH187+AF187</f>
        <v>27210</v>
      </c>
      <c r="AJ187" s="7">
        <v>2021</v>
      </c>
      <c r="AK187" s="7">
        <v>12052</v>
      </c>
      <c r="AL187" s="7">
        <v>51893</v>
      </c>
      <c r="AM187" s="7">
        <v>9231</v>
      </c>
      <c r="AN187" s="7">
        <v>3224</v>
      </c>
      <c r="AO187" s="7">
        <f t="shared" si="26"/>
        <v>21283</v>
      </c>
      <c r="AP187" s="7">
        <f>AN187+AO187</f>
        <v>24507</v>
      </c>
      <c r="AQ187" s="7" t="s">
        <v>6394</v>
      </c>
      <c r="AR187" s="7" t="str">
        <f>_xlfn.XLOOKUP(C187,Sheet1!A:A,Sheet1!B:B, "Other")</f>
        <v>North America</v>
      </c>
      <c r="AS187" t="str">
        <f>_xlfn.XLOOKUP(D187,Sheet1!D:D,Sheet1!E:E)</f>
        <v>Financial services</v>
      </c>
    </row>
    <row r="188" spans="1:45" ht="18" customHeight="1">
      <c r="A188" s="7">
        <v>184</v>
      </c>
      <c r="B188" s="7" t="s">
        <v>1285</v>
      </c>
      <c r="C188" s="7" t="s">
        <v>287</v>
      </c>
      <c r="D188" s="7" t="s">
        <v>319</v>
      </c>
      <c r="E188" s="7" t="s">
        <v>6393</v>
      </c>
      <c r="F188" s="7" t="s">
        <v>6392</v>
      </c>
      <c r="G188" s="122"/>
      <c r="H188" s="7"/>
      <c r="I188" s="7"/>
      <c r="J188" s="122" t="s">
        <v>1960</v>
      </c>
      <c r="K188" s="7"/>
      <c r="L188" s="127" t="s">
        <v>1960</v>
      </c>
      <c r="M188" s="122"/>
      <c r="N188" s="7"/>
      <c r="O188" s="7"/>
      <c r="P188" s="7" t="str" cm="1">
        <f t="array" ref="P188">IF(O188="", "", IFERROR(MAX(--_xlfn.TEXTSPLIT(O188,"+")), O188))</f>
        <v/>
      </c>
      <c r="Q188" s="7"/>
      <c r="R188" s="109"/>
      <c r="S188" s="7" t="s">
        <v>4172</v>
      </c>
      <c r="T188" s="7" t="s">
        <v>1968</v>
      </c>
      <c r="U188" s="7">
        <v>2050</v>
      </c>
      <c r="V188" s="7" cm="1">
        <f t="array" ref="V188">IF(U188="", "", IFERROR(MAX(--_xlfn.TEXTSPLIT(U188,"+")), U188))</f>
        <v>2050</v>
      </c>
      <c r="W188" s="7">
        <v>2022</v>
      </c>
      <c r="X188" s="7" t="s">
        <v>6391</v>
      </c>
      <c r="Y188" s="122" t="s">
        <v>4174</v>
      </c>
      <c r="Z188" s="29" t="s">
        <v>6390</v>
      </c>
      <c r="AA188" s="109" t="s">
        <v>6389</v>
      </c>
      <c r="AB188" s="7">
        <v>2022</v>
      </c>
      <c r="AC188" s="7">
        <v>249961</v>
      </c>
      <c r="AD188" s="7"/>
      <c r="AE188" s="7">
        <v>114519</v>
      </c>
      <c r="AF188" s="7">
        <v>4550518</v>
      </c>
      <c r="AG188" s="7" t="s">
        <v>4174</v>
      </c>
      <c r="AH188" s="7">
        <f>AC188+AE188</f>
        <v>364480</v>
      </c>
      <c r="AI188" s="7">
        <f>AF188+AH188</f>
        <v>4914998</v>
      </c>
      <c r="AJ188" s="7">
        <v>2021</v>
      </c>
      <c r="AK188" s="7">
        <v>254060</v>
      </c>
      <c r="AL188" s="7"/>
      <c r="AM188" s="7">
        <v>168735</v>
      </c>
      <c r="AN188" s="7">
        <v>7898074</v>
      </c>
      <c r="AO188" s="7">
        <f t="shared" si="26"/>
        <v>422795</v>
      </c>
      <c r="AP188" s="7">
        <f>AO188+AN188</f>
        <v>8320869</v>
      </c>
      <c r="AQ188" s="7" t="s">
        <v>6388</v>
      </c>
      <c r="AR188" s="7" t="str">
        <f>_xlfn.XLOOKUP(C188,Sheet1!A:A,Sheet1!B:B, "Other")</f>
        <v>Europe</v>
      </c>
      <c r="AS188" t="str">
        <f>_xlfn.XLOOKUP(D188,Sheet1!D:D,Sheet1!E:E)</f>
        <v>Health care and pharmaceuticals</v>
      </c>
    </row>
    <row r="189" spans="1:45" ht="18" customHeight="1">
      <c r="A189" s="7">
        <v>185</v>
      </c>
      <c r="B189" s="7" t="s">
        <v>1146</v>
      </c>
      <c r="C189" s="7" t="s">
        <v>4457</v>
      </c>
      <c r="D189" s="7" t="s">
        <v>76</v>
      </c>
      <c r="E189" s="7" t="s">
        <v>6387</v>
      </c>
      <c r="F189" s="7" t="s">
        <v>6386</v>
      </c>
      <c r="G189" s="122" t="s">
        <v>4174</v>
      </c>
      <c r="H189" s="7">
        <v>2021</v>
      </c>
      <c r="I189" s="7">
        <v>2015</v>
      </c>
      <c r="J189" s="122" t="s">
        <v>1960</v>
      </c>
      <c r="K189" s="7"/>
      <c r="L189" s="127" t="s">
        <v>1960</v>
      </c>
      <c r="M189" s="122" t="s">
        <v>1957</v>
      </c>
      <c r="N189" s="7" t="s">
        <v>4344</v>
      </c>
      <c r="O189" s="7">
        <v>2015</v>
      </c>
      <c r="P189" s="7" cm="1">
        <f t="array" ref="P189">IF(O189="", "", IFERROR(MAX(--_xlfn.TEXTSPLIT(O189,"+")), O189))</f>
        <v>2015</v>
      </c>
      <c r="Q189" s="7">
        <v>2015</v>
      </c>
      <c r="R189" s="109" t="s">
        <v>6384</v>
      </c>
      <c r="S189" s="7" t="s">
        <v>4172</v>
      </c>
      <c r="T189" s="7" t="s">
        <v>4569</v>
      </c>
      <c r="U189" s="7">
        <v>2030</v>
      </c>
      <c r="V189" s="7" cm="1">
        <f t="array" ref="V189">IF(U189="", "", IFERROR(MAX(--_xlfn.TEXTSPLIT(U189,"+")), U189))</f>
        <v>2030</v>
      </c>
      <c r="W189" s="7">
        <v>2021</v>
      </c>
      <c r="X189" s="7" t="s">
        <v>6385</v>
      </c>
      <c r="Y189" s="122"/>
      <c r="Z189" s="7"/>
      <c r="AA189" s="109"/>
      <c r="AB189" s="7">
        <v>2022</v>
      </c>
      <c r="AC189" s="124">
        <v>11980</v>
      </c>
      <c r="AD189" s="124">
        <v>158151</v>
      </c>
      <c r="AE189" s="124">
        <v>9840</v>
      </c>
      <c r="AF189" s="124">
        <v>57233</v>
      </c>
      <c r="AG189" s="7" t="s">
        <v>5032</v>
      </c>
      <c r="AH189" s="124">
        <f>AC189+AE189</f>
        <v>21820</v>
      </c>
      <c r="AI189" s="124">
        <f>AF189+AH189</f>
        <v>79053</v>
      </c>
      <c r="AJ189" s="7">
        <v>2021</v>
      </c>
      <c r="AK189" s="124">
        <v>11847</v>
      </c>
      <c r="AL189" s="124">
        <v>145264</v>
      </c>
      <c r="AM189" s="124">
        <v>12635</v>
      </c>
      <c r="AN189" s="124">
        <v>23802</v>
      </c>
      <c r="AO189" s="124">
        <f t="shared" si="26"/>
        <v>24482</v>
      </c>
      <c r="AP189" s="124">
        <f>AN189+AO189</f>
        <v>48284</v>
      </c>
      <c r="AQ189" s="7" t="s">
        <v>6384</v>
      </c>
      <c r="AR189" s="7" t="str">
        <f>_xlfn.XLOOKUP(C189,Sheet1!A:A,Sheet1!B:B, "Other")</f>
        <v>North America</v>
      </c>
      <c r="AS189" t="str">
        <f>_xlfn.XLOOKUP(D189,Sheet1!D:D,Sheet1!E:E)</f>
        <v>Financial services</v>
      </c>
    </row>
    <row r="190" spans="1:45" ht="18" customHeight="1">
      <c r="A190" s="7">
        <v>186</v>
      </c>
      <c r="B190" s="7" t="s">
        <v>1259</v>
      </c>
      <c r="C190" s="7" t="s">
        <v>4457</v>
      </c>
      <c r="D190" s="7" t="s">
        <v>91</v>
      </c>
      <c r="E190" s="7" t="s">
        <v>6383</v>
      </c>
      <c r="F190" s="7" t="s">
        <v>6382</v>
      </c>
      <c r="G190" s="122"/>
      <c r="H190" s="7"/>
      <c r="I190" s="7"/>
      <c r="J190" s="122" t="s">
        <v>4183</v>
      </c>
      <c r="K190" s="7">
        <v>2030</v>
      </c>
      <c r="L190" s="127">
        <v>2022</v>
      </c>
      <c r="M190" s="122"/>
      <c r="N190" s="7"/>
      <c r="O190" s="7"/>
      <c r="P190" s="7" t="str" cm="1">
        <f t="array" ref="P190">IF(O190="", "", IFERROR(MAX(--_xlfn.TEXTSPLIT(O190,"+")), O190))</f>
        <v/>
      </c>
      <c r="Q190" s="7"/>
      <c r="R190" s="109"/>
      <c r="S190" s="7"/>
      <c r="T190" s="7"/>
      <c r="U190" s="7"/>
      <c r="V190" s="7" t="str" cm="1">
        <f t="array" ref="V190">IF(U190="", "", IFERROR(MAX(--_xlfn.TEXTSPLIT(U190,"+")), U190))</f>
        <v/>
      </c>
      <c r="W190" s="7"/>
      <c r="X190" s="7"/>
      <c r="Y190" s="122"/>
      <c r="Z190" s="7"/>
      <c r="AA190" s="109"/>
      <c r="AB190" s="7">
        <v>2022</v>
      </c>
      <c r="AC190" s="7">
        <v>979339</v>
      </c>
      <c r="AD190" s="7">
        <v>238435</v>
      </c>
      <c r="AE190" s="7">
        <v>227934</v>
      </c>
      <c r="AF190" s="7">
        <f>63736000+173000+1942000+6219000+19000+4223+209000+500+2243000+59000+434000+560</f>
        <v>75039283</v>
      </c>
      <c r="AG190" s="7" t="s">
        <v>4174</v>
      </c>
      <c r="AH190" s="7">
        <f>AC190+AE190</f>
        <v>1207273</v>
      </c>
      <c r="AI190" s="7">
        <f>AH190+AF190</f>
        <v>76246556</v>
      </c>
      <c r="AJ190" s="7">
        <v>2021</v>
      </c>
      <c r="AK190" s="7">
        <v>918026</v>
      </c>
      <c r="AL190" s="7">
        <v>245656</v>
      </c>
      <c r="AM190" s="7">
        <v>236574</v>
      </c>
      <c r="AN190" s="7">
        <f>3587</f>
        <v>3587</v>
      </c>
      <c r="AO190" s="7">
        <f t="shared" si="26"/>
        <v>1154600</v>
      </c>
      <c r="AP190" s="7">
        <f>AO190+AN190</f>
        <v>1158187</v>
      </c>
      <c r="AQ190" s="7" t="s">
        <v>6381</v>
      </c>
      <c r="AR190" s="7" t="str">
        <f>_xlfn.XLOOKUP(C190,Sheet1!A:A,Sheet1!B:B, "Other")</f>
        <v>North America</v>
      </c>
      <c r="AS190" t="str">
        <f>_xlfn.XLOOKUP(D190,Sheet1!D:D,Sheet1!E:E)</f>
        <v>Retail</v>
      </c>
    </row>
    <row r="191" spans="1:45" ht="18" customHeight="1">
      <c r="A191" s="7">
        <v>187</v>
      </c>
      <c r="B191" s="7" t="s">
        <v>1279</v>
      </c>
      <c r="C191" s="7" t="s">
        <v>207</v>
      </c>
      <c r="D191" s="7" t="s">
        <v>76</v>
      </c>
      <c r="E191" s="7" t="s">
        <v>6380</v>
      </c>
      <c r="F191" s="7" t="s">
        <v>6379</v>
      </c>
      <c r="G191" s="122"/>
      <c r="H191" s="7"/>
      <c r="I191" s="7"/>
      <c r="J191" s="122" t="s">
        <v>1960</v>
      </c>
      <c r="K191" s="7"/>
      <c r="L191" s="127" t="s">
        <v>1960</v>
      </c>
      <c r="M191" s="122" t="s">
        <v>5387</v>
      </c>
      <c r="N191" s="7" t="s">
        <v>6378</v>
      </c>
      <c r="O191" s="7" t="s">
        <v>4502</v>
      </c>
      <c r="P191" s="7" cm="1">
        <f t="array" ref="P191">IF(O191="", "", IFERROR(MAX(--_xlfn.TEXTSPLIT(O191,"+")), O191))</f>
        <v>2050</v>
      </c>
      <c r="Q191" s="7">
        <v>2021</v>
      </c>
      <c r="R191" s="109" t="s">
        <v>6377</v>
      </c>
      <c r="S191" s="7"/>
      <c r="T191" s="7"/>
      <c r="U191" s="7"/>
      <c r="V191" s="7" t="str" cm="1">
        <f t="array" ref="V191">IF(U191="", "", IFERROR(MAX(--_xlfn.TEXTSPLIT(U191,"+")), U191))</f>
        <v/>
      </c>
      <c r="W191" s="7"/>
      <c r="X191" s="7"/>
      <c r="Y191" s="122" t="s">
        <v>4174</v>
      </c>
      <c r="Z191" s="7" t="s">
        <v>5037</v>
      </c>
      <c r="AA191" s="109" t="s">
        <v>6376</v>
      </c>
      <c r="AB191" s="7">
        <v>2021</v>
      </c>
      <c r="AC191" s="124">
        <v>35000</v>
      </c>
      <c r="AD191" s="7"/>
      <c r="AE191" s="124">
        <v>214000</v>
      </c>
      <c r="AF191" s="7"/>
      <c r="AG191" s="7" t="s">
        <v>5032</v>
      </c>
      <c r="AH191" s="7">
        <f>AC191+AE191</f>
        <v>249000</v>
      </c>
      <c r="AI191" s="7">
        <f>AH191+AF191</f>
        <v>249000</v>
      </c>
      <c r="AJ191" s="7">
        <v>2020</v>
      </c>
      <c r="AK191" s="7">
        <v>31000</v>
      </c>
      <c r="AL191" s="7"/>
      <c r="AM191" s="7">
        <v>121000</v>
      </c>
      <c r="AN191" s="7"/>
      <c r="AO191" s="7">
        <f t="shared" si="26"/>
        <v>152000</v>
      </c>
      <c r="AP191" s="7">
        <f>AO191+AN191</f>
        <v>152000</v>
      </c>
      <c r="AQ191" s="7" t="s">
        <v>6375</v>
      </c>
      <c r="AR191" s="7" t="str">
        <f>_xlfn.XLOOKUP(C191,Sheet1!A:A,Sheet1!B:B, "Other")</f>
        <v>Asia</v>
      </c>
      <c r="AS191" t="str">
        <f>_xlfn.XLOOKUP(D191,Sheet1!D:D,Sheet1!E:E)</f>
        <v>Financial services</v>
      </c>
    </row>
    <row r="192" spans="1:45" ht="18" customHeight="1">
      <c r="A192" s="7">
        <v>188</v>
      </c>
      <c r="B192" s="7" t="s">
        <v>1614</v>
      </c>
      <c r="C192" s="7" t="s">
        <v>73</v>
      </c>
      <c r="D192" s="7" t="s">
        <v>171</v>
      </c>
      <c r="E192" s="7" t="s">
        <v>6374</v>
      </c>
      <c r="F192" s="7" t="s">
        <v>6373</v>
      </c>
      <c r="G192" s="122"/>
      <c r="H192" s="7"/>
      <c r="I192" s="7"/>
      <c r="J192" s="122" t="s">
        <v>1960</v>
      </c>
      <c r="K192" s="7"/>
      <c r="L192" s="127" t="s">
        <v>1960</v>
      </c>
      <c r="M192" s="122" t="s">
        <v>4519</v>
      </c>
      <c r="N192" s="7" t="s">
        <v>5131</v>
      </c>
      <c r="O192" s="7">
        <v>2060</v>
      </c>
      <c r="P192" s="7" cm="1">
        <f t="array" ref="P192">IF(O192="", "", IFERROR(MAX(--_xlfn.TEXTSPLIT(O192,"+")), O192))</f>
        <v>2060</v>
      </c>
      <c r="Q192" s="7">
        <v>2020</v>
      </c>
      <c r="R192" s="109" t="s">
        <v>6372</v>
      </c>
      <c r="S192" s="7"/>
      <c r="T192" s="7"/>
      <c r="U192" s="7"/>
      <c r="V192" s="7" t="str" cm="1">
        <f t="array" ref="V192">IF(U192="", "", IFERROR(MAX(--_xlfn.TEXTSPLIT(U192,"+")), U192))</f>
        <v/>
      </c>
      <c r="W192" s="7"/>
      <c r="X192" s="7"/>
      <c r="Y192" s="122"/>
      <c r="Z192" s="7"/>
      <c r="AA192" s="109"/>
      <c r="AB192" s="7">
        <v>2022</v>
      </c>
      <c r="AC192" s="7">
        <v>396900</v>
      </c>
      <c r="AD192" s="7"/>
      <c r="AE192" s="7">
        <v>1290700</v>
      </c>
      <c r="AF192" s="7"/>
      <c r="AG192" s="7" t="s">
        <v>5032</v>
      </c>
      <c r="AH192" s="124">
        <v>1687642</v>
      </c>
      <c r="AI192" s="124">
        <f>AH192</f>
        <v>1687642</v>
      </c>
      <c r="AJ192" s="7">
        <v>2021</v>
      </c>
      <c r="AK192" s="7">
        <v>494900</v>
      </c>
      <c r="AL192" s="7"/>
      <c r="AM192" s="7">
        <v>1571600</v>
      </c>
      <c r="AN192" s="7"/>
      <c r="AO192" s="7">
        <f t="shared" si="26"/>
        <v>2066500</v>
      </c>
      <c r="AP192" s="7">
        <f>AO192</f>
        <v>2066500</v>
      </c>
      <c r="AQ192" s="7" t="s">
        <v>6372</v>
      </c>
      <c r="AR192" s="7" t="str">
        <f>_xlfn.XLOOKUP(C192,Sheet1!A:A,Sheet1!B:B, "Other")</f>
        <v>Asia</v>
      </c>
      <c r="AS192" t="str">
        <f>_xlfn.XLOOKUP(D192,Sheet1!D:D,Sheet1!E:E)</f>
        <v>Automotive</v>
      </c>
    </row>
    <row r="193" spans="1:45" ht="18" customHeight="1">
      <c r="A193" s="7">
        <v>189</v>
      </c>
      <c r="B193" s="7" t="s">
        <v>1453</v>
      </c>
      <c r="C193" s="7" t="s">
        <v>207</v>
      </c>
      <c r="D193" s="7" t="s">
        <v>342</v>
      </c>
      <c r="E193" s="7" t="s">
        <v>6371</v>
      </c>
      <c r="F193" s="7" t="s">
        <v>5033</v>
      </c>
      <c r="G193" s="122" t="s">
        <v>4174</v>
      </c>
      <c r="H193" s="7">
        <v>2030</v>
      </c>
      <c r="I193" s="7">
        <v>2018</v>
      </c>
      <c r="J193" s="122" t="s">
        <v>4183</v>
      </c>
      <c r="K193" s="7">
        <v>2030</v>
      </c>
      <c r="L193" s="127">
        <v>2021</v>
      </c>
      <c r="M193" s="122"/>
      <c r="N193" s="7"/>
      <c r="O193" s="7"/>
      <c r="P193" s="7" t="str" cm="1">
        <f t="array" ref="P193">IF(O193="", "", IFERROR(MAX(--_xlfn.TEXTSPLIT(O193,"+")), O193))</f>
        <v/>
      </c>
      <c r="Q193" s="7"/>
      <c r="R193" s="109"/>
      <c r="S193" s="7" t="s">
        <v>1957</v>
      </c>
      <c r="T193" s="7" t="s">
        <v>6370</v>
      </c>
      <c r="U193" s="7">
        <v>2040</v>
      </c>
      <c r="V193" s="7" cm="1">
        <f t="array" ref="V193">IF(U193="", "", IFERROR(MAX(--_xlfn.TEXTSPLIT(U193,"+")), U193))</f>
        <v>2040</v>
      </c>
      <c r="W193" s="7">
        <v>2021</v>
      </c>
      <c r="X193" s="7" t="s">
        <v>6369</v>
      </c>
      <c r="Y193" s="122" t="s">
        <v>4174</v>
      </c>
      <c r="Z193" s="7" t="s">
        <v>5037</v>
      </c>
      <c r="AA193" s="109" t="s">
        <v>6368</v>
      </c>
      <c r="AB193" s="7">
        <v>2021</v>
      </c>
      <c r="AC193" s="7">
        <v>212755</v>
      </c>
      <c r="AD193" s="7"/>
      <c r="AE193" s="7">
        <v>2195266</v>
      </c>
      <c r="AF193" s="7">
        <v>6567878</v>
      </c>
      <c r="AG193" s="7" t="s">
        <v>4174</v>
      </c>
      <c r="AH193" s="7">
        <f>AC193+AE193</f>
        <v>2408021</v>
      </c>
      <c r="AI193" s="7">
        <f>AF193+AH193</f>
        <v>8975899</v>
      </c>
      <c r="AJ193" s="7">
        <v>2020</v>
      </c>
      <c r="AK193" s="7">
        <v>203584</v>
      </c>
      <c r="AL193" s="7"/>
      <c r="AM193" s="7">
        <v>2160016</v>
      </c>
      <c r="AN193" s="7">
        <v>6373247</v>
      </c>
      <c r="AO193" s="7">
        <f t="shared" si="26"/>
        <v>2363600</v>
      </c>
      <c r="AP193" s="7">
        <f>AN193+AO193</f>
        <v>8736847</v>
      </c>
      <c r="AQ193" s="7" t="s">
        <v>6367</v>
      </c>
      <c r="AR193" s="7" t="str">
        <f>_xlfn.XLOOKUP(C193,Sheet1!A:A,Sheet1!B:B, "Other")</f>
        <v>Asia</v>
      </c>
      <c r="AS193" t="str">
        <f>_xlfn.XLOOKUP(D193,Sheet1!D:D,Sheet1!E:E)</f>
        <v>Food, beverages and agriculture</v>
      </c>
    </row>
    <row r="194" spans="1:45" ht="18" customHeight="1">
      <c r="A194" s="7">
        <v>190</v>
      </c>
      <c r="B194" s="7" t="s">
        <v>1335</v>
      </c>
      <c r="C194" s="7" t="s">
        <v>207</v>
      </c>
      <c r="D194" s="7" t="s">
        <v>91</v>
      </c>
      <c r="E194" s="7" t="s">
        <v>6366</v>
      </c>
      <c r="F194" s="7" t="s">
        <v>6365</v>
      </c>
      <c r="G194" s="122"/>
      <c r="H194" s="7"/>
      <c r="I194" s="7"/>
      <c r="J194" s="122" t="s">
        <v>1960</v>
      </c>
      <c r="K194" s="7"/>
      <c r="L194" s="127" t="s">
        <v>1960</v>
      </c>
      <c r="M194" s="122"/>
      <c r="N194" s="7"/>
      <c r="O194" s="7"/>
      <c r="P194" s="7" t="str" cm="1">
        <f t="array" ref="P194">IF(O194="", "", IFERROR(MAX(--_xlfn.TEXTSPLIT(O194,"+")), O194))</f>
        <v/>
      </c>
      <c r="Q194" s="7"/>
      <c r="R194" s="109"/>
      <c r="S194" s="7" t="s">
        <v>5387</v>
      </c>
      <c r="T194" s="7" t="s">
        <v>6364</v>
      </c>
      <c r="U194" s="7">
        <v>2050</v>
      </c>
      <c r="V194" s="7" cm="1">
        <f t="array" ref="V194">IF(U194="", "", IFERROR(MAX(--_xlfn.TEXTSPLIT(U194,"+")), U194))</f>
        <v>2050</v>
      </c>
      <c r="W194" s="7">
        <v>2021</v>
      </c>
      <c r="X194" s="125" t="s">
        <v>6363</v>
      </c>
      <c r="Y194" s="122" t="s">
        <v>4174</v>
      </c>
      <c r="Z194" s="7" t="s">
        <v>6362</v>
      </c>
      <c r="AA194" s="109" t="s">
        <v>6361</v>
      </c>
      <c r="AB194" s="7">
        <v>2022</v>
      </c>
      <c r="AC194" s="7">
        <v>1016487</v>
      </c>
      <c r="AD194" s="7"/>
      <c r="AE194" s="7">
        <v>222559</v>
      </c>
      <c r="AF194" s="7">
        <v>25000000</v>
      </c>
      <c r="AG194" s="7" t="s">
        <v>5032</v>
      </c>
      <c r="AH194" s="7">
        <f>AE194+AC194</f>
        <v>1239046</v>
      </c>
      <c r="AI194" s="7">
        <f>AH194+AF194</f>
        <v>26239046</v>
      </c>
      <c r="AJ194" s="7">
        <v>2021</v>
      </c>
      <c r="AK194" s="7">
        <v>797975</v>
      </c>
      <c r="AL194" s="7"/>
      <c r="AM194" s="7">
        <v>282171</v>
      </c>
      <c r="AN194" s="7">
        <v>25000000</v>
      </c>
      <c r="AO194" s="7">
        <f t="shared" si="26"/>
        <v>1080146</v>
      </c>
      <c r="AP194" s="7">
        <f>AO194+AN194</f>
        <v>26080146</v>
      </c>
      <c r="AQ194" s="7" t="s">
        <v>6360</v>
      </c>
      <c r="AR194" s="7" t="str">
        <f>_xlfn.XLOOKUP(C194,Sheet1!A:A,Sheet1!B:B, "Other")</f>
        <v>Asia</v>
      </c>
      <c r="AS194" t="str">
        <f>_xlfn.XLOOKUP(D194,Sheet1!D:D,Sheet1!E:E)</f>
        <v>Retail</v>
      </c>
    </row>
    <row r="195" spans="1:45" ht="18" customHeight="1">
      <c r="A195" s="7">
        <v>191</v>
      </c>
      <c r="B195" s="7" t="s">
        <v>1014</v>
      </c>
      <c r="C195" s="7" t="s">
        <v>73</v>
      </c>
      <c r="D195" s="7" t="s">
        <v>976</v>
      </c>
      <c r="E195" s="7" t="s">
        <v>6357</v>
      </c>
      <c r="F195" s="7" t="s">
        <v>6359</v>
      </c>
      <c r="G195" s="122"/>
      <c r="H195" s="7"/>
      <c r="I195" s="7"/>
      <c r="J195" s="122" t="s">
        <v>1960</v>
      </c>
      <c r="K195" s="7"/>
      <c r="L195" s="127" t="s">
        <v>1960</v>
      </c>
      <c r="M195" s="122"/>
      <c r="N195" s="7"/>
      <c r="O195" s="7"/>
      <c r="P195" s="7" t="str" cm="1">
        <f t="array" ref="P195">IF(O195="", "", IFERROR(MAX(--_xlfn.TEXTSPLIT(O195,"+")), O195))</f>
        <v/>
      </c>
      <c r="Q195" s="7"/>
      <c r="R195" s="109"/>
      <c r="S195" s="7"/>
      <c r="T195" s="7"/>
      <c r="U195" s="7"/>
      <c r="V195" s="7" t="str" cm="1">
        <f t="array" ref="V195">IF(U195="", "", IFERROR(MAX(--_xlfn.TEXTSPLIT(U195,"+")), U195))</f>
        <v/>
      </c>
      <c r="W195" s="7"/>
      <c r="X195" s="7"/>
      <c r="Y195" s="122"/>
      <c r="Z195" s="7"/>
      <c r="AA195" s="109"/>
      <c r="AB195" s="7" t="s">
        <v>5032</v>
      </c>
      <c r="AC195" s="7"/>
      <c r="AD195" s="7"/>
      <c r="AE195" s="7"/>
      <c r="AF195" s="7"/>
      <c r="AG195" s="7" t="s">
        <v>5032</v>
      </c>
      <c r="AH195" s="7"/>
      <c r="AI195" s="7"/>
      <c r="AJ195" s="7"/>
      <c r="AK195" s="7"/>
      <c r="AL195" s="7"/>
      <c r="AM195" s="7"/>
      <c r="AN195" s="7"/>
      <c r="AO195" s="7"/>
      <c r="AP195" s="7"/>
      <c r="AQ195" s="7"/>
      <c r="AR195" s="7" t="str">
        <f>_xlfn.XLOOKUP(C195,Sheet1!A:A,Sheet1!B:B, "Other")</f>
        <v>Asia</v>
      </c>
      <c r="AS195" t="str">
        <f>_xlfn.XLOOKUP(D195,Sheet1!D:D,Sheet1!E:E)</f>
        <v>Real estate</v>
      </c>
    </row>
    <row r="196" spans="1:45" ht="18" customHeight="1">
      <c r="A196" s="7">
        <v>192</v>
      </c>
      <c r="B196" s="7" t="s">
        <v>1170</v>
      </c>
      <c r="C196" s="7" t="s">
        <v>73</v>
      </c>
      <c r="D196" s="7" t="s">
        <v>6358</v>
      </c>
      <c r="E196" s="7" t="s">
        <v>6357</v>
      </c>
      <c r="F196" s="7" t="s">
        <v>6356</v>
      </c>
      <c r="G196" s="122"/>
      <c r="H196" s="7"/>
      <c r="I196" s="7"/>
      <c r="J196" s="122" t="s">
        <v>1960</v>
      </c>
      <c r="K196" s="7"/>
      <c r="L196" s="127" t="s">
        <v>1960</v>
      </c>
      <c r="M196" s="122" t="s">
        <v>4519</v>
      </c>
      <c r="N196" s="7" t="s">
        <v>5131</v>
      </c>
      <c r="O196" s="7">
        <v>2060</v>
      </c>
      <c r="P196" s="7" cm="1">
        <f t="array" ref="P196">IF(O196="", "", IFERROR(MAX(--_xlfn.TEXTSPLIT(O196,"+")), O196))</f>
        <v>2060</v>
      </c>
      <c r="Q196" s="7">
        <v>2021</v>
      </c>
      <c r="R196" s="109" t="s">
        <v>6355</v>
      </c>
      <c r="S196" s="7"/>
      <c r="T196" s="7"/>
      <c r="U196" s="7"/>
      <c r="V196" s="7" t="str" cm="1">
        <f t="array" ref="V196">IF(U196="", "", IFERROR(MAX(--_xlfn.TEXTSPLIT(U196,"+")), U196))</f>
        <v/>
      </c>
      <c r="W196" s="7"/>
      <c r="X196" s="7"/>
      <c r="Y196" s="122"/>
      <c r="Z196" s="7"/>
      <c r="AA196" s="109"/>
      <c r="AB196" s="7">
        <v>2022</v>
      </c>
      <c r="AC196" s="124">
        <v>5027</v>
      </c>
      <c r="AD196" s="7"/>
      <c r="AE196" s="124">
        <v>77739</v>
      </c>
      <c r="AF196" s="7"/>
      <c r="AG196" s="7" t="s">
        <v>5032</v>
      </c>
      <c r="AH196" s="124">
        <f t="shared" ref="AH196:AH201" si="27">AC196+AE196</f>
        <v>82766</v>
      </c>
      <c r="AI196" s="124">
        <f>AH196</f>
        <v>82766</v>
      </c>
      <c r="AJ196" s="7">
        <v>2021</v>
      </c>
      <c r="AK196" s="124">
        <v>5931</v>
      </c>
      <c r="AL196" s="7"/>
      <c r="AM196" s="124">
        <v>99993</v>
      </c>
      <c r="AN196" s="7"/>
      <c r="AO196" s="124">
        <f>AM196+AK196</f>
        <v>105924</v>
      </c>
      <c r="AP196" s="124">
        <f>AO196</f>
        <v>105924</v>
      </c>
      <c r="AQ196" s="7" t="s">
        <v>6355</v>
      </c>
      <c r="AR196" s="7" t="str">
        <f>_xlfn.XLOOKUP(C196,Sheet1!A:A,Sheet1!B:B, "Other")</f>
        <v>Asia</v>
      </c>
      <c r="AS196" t="str">
        <f>_xlfn.XLOOKUP(D196,Sheet1!D:D,Sheet1!E:E)</f>
        <v>Financial services</v>
      </c>
    </row>
    <row r="197" spans="1:45" ht="18" customHeight="1">
      <c r="A197" s="7">
        <v>193</v>
      </c>
      <c r="B197" s="7" t="s">
        <v>1410</v>
      </c>
      <c r="C197" s="7" t="s">
        <v>73</v>
      </c>
      <c r="D197" s="7" t="s">
        <v>171</v>
      </c>
      <c r="E197" s="7" t="s">
        <v>6354</v>
      </c>
      <c r="F197" s="7" t="s">
        <v>6353</v>
      </c>
      <c r="G197" s="122"/>
      <c r="H197" s="7"/>
      <c r="I197" s="7"/>
      <c r="J197" s="122" t="s">
        <v>1960</v>
      </c>
      <c r="K197" s="7"/>
      <c r="L197" s="127" t="s">
        <v>1960</v>
      </c>
      <c r="M197" s="122" t="s">
        <v>1957</v>
      </c>
      <c r="N197" s="7" t="s">
        <v>6352</v>
      </c>
      <c r="O197" s="7">
        <v>2050</v>
      </c>
      <c r="P197" s="7" cm="1">
        <f t="array" ref="P197">IF(O197="", "", IFERROR(MAX(--_xlfn.TEXTSPLIT(O197,"+")), O197))</f>
        <v>2050</v>
      </c>
      <c r="Q197" s="7">
        <v>2022</v>
      </c>
      <c r="R197" s="109" t="s">
        <v>6351</v>
      </c>
      <c r="S197" s="7"/>
      <c r="T197" s="7"/>
      <c r="U197" s="7"/>
      <c r="V197" s="7" t="str" cm="1">
        <f t="array" ref="V197">IF(U197="", "", IFERROR(MAX(--_xlfn.TEXTSPLIT(U197,"+")), U197))</f>
        <v/>
      </c>
      <c r="W197" s="7"/>
      <c r="X197" s="7"/>
      <c r="Y197" s="122"/>
      <c r="Z197" s="7"/>
      <c r="AA197" s="109"/>
      <c r="AB197" s="7">
        <v>2022</v>
      </c>
      <c r="AC197" s="123">
        <v>210962.63</v>
      </c>
      <c r="AD197" s="123"/>
      <c r="AE197" s="123">
        <v>569541.35</v>
      </c>
      <c r="AF197" s="7"/>
      <c r="AG197" s="7" t="s">
        <v>5032</v>
      </c>
      <c r="AH197" s="123">
        <f t="shared" si="27"/>
        <v>780503.98</v>
      </c>
      <c r="AI197" s="123">
        <f>AH197</f>
        <v>780503.98</v>
      </c>
      <c r="AJ197" s="7">
        <v>2021</v>
      </c>
      <c r="AK197" s="123">
        <v>221782.18</v>
      </c>
      <c r="AL197" s="7"/>
      <c r="AM197" s="123">
        <v>552913.93999999994</v>
      </c>
      <c r="AN197" s="7"/>
      <c r="AO197" s="123">
        <f>AK197+AM197</f>
        <v>774696.11999999988</v>
      </c>
      <c r="AP197" s="123">
        <f>AO197</f>
        <v>774696.11999999988</v>
      </c>
      <c r="AQ197" s="7" t="s">
        <v>6350</v>
      </c>
      <c r="AR197" s="7" t="str">
        <f>_xlfn.XLOOKUP(C197,Sheet1!A:A,Sheet1!B:B, "Other")</f>
        <v>Asia</v>
      </c>
      <c r="AS197" t="str">
        <f>_xlfn.XLOOKUP(D197,Sheet1!D:D,Sheet1!E:E)</f>
        <v>Automotive</v>
      </c>
    </row>
    <row r="198" spans="1:45" ht="18" customHeight="1">
      <c r="A198" s="7">
        <v>194</v>
      </c>
      <c r="B198" s="7" t="s">
        <v>995</v>
      </c>
      <c r="C198" s="7" t="s">
        <v>4457</v>
      </c>
      <c r="D198" s="7" t="s">
        <v>5091</v>
      </c>
      <c r="E198" s="7" t="s">
        <v>6349</v>
      </c>
      <c r="F198" s="7" t="s">
        <v>6348</v>
      </c>
      <c r="G198" s="122"/>
      <c r="H198" s="7"/>
      <c r="I198" s="7"/>
      <c r="J198" s="122" t="s">
        <v>4183</v>
      </c>
      <c r="K198" s="7">
        <v>2030</v>
      </c>
      <c r="L198" s="127">
        <v>2021</v>
      </c>
      <c r="M198" s="122"/>
      <c r="N198" s="7"/>
      <c r="O198" s="7"/>
      <c r="P198" s="7" t="str" cm="1">
        <f t="array" ref="P198">IF(O198="", "", IFERROR(MAX(--_xlfn.TEXTSPLIT(O198,"+")), O198))</f>
        <v/>
      </c>
      <c r="Q198" s="7"/>
      <c r="R198" s="109"/>
      <c r="S198" s="7"/>
      <c r="T198" s="7"/>
      <c r="U198" s="7"/>
      <c r="V198" s="7" t="str" cm="1">
        <f t="array" ref="V198">IF(U198="", "", IFERROR(MAX(--_xlfn.TEXTSPLIT(U198,"+")), U198))</f>
        <v/>
      </c>
      <c r="W198" s="7"/>
      <c r="X198" s="7"/>
      <c r="Y198" s="122" t="s">
        <v>4174</v>
      </c>
      <c r="Z198" s="7" t="s">
        <v>6347</v>
      </c>
      <c r="AA198" s="109" t="s">
        <v>6346</v>
      </c>
      <c r="AB198" s="7">
        <v>2022</v>
      </c>
      <c r="AC198" s="7">
        <v>1769771</v>
      </c>
      <c r="AD198" s="7"/>
      <c r="AE198" s="7">
        <v>1098606</v>
      </c>
      <c r="AF198" s="7">
        <v>93040805</v>
      </c>
      <c r="AG198" s="7" t="s">
        <v>4174</v>
      </c>
      <c r="AH198" s="7">
        <f t="shared" si="27"/>
        <v>2868377</v>
      </c>
      <c r="AI198" s="7">
        <f>AH198+AF198</f>
        <v>95909182</v>
      </c>
      <c r="AJ198" s="7">
        <v>2021</v>
      </c>
      <c r="AK198" s="7">
        <v>1789793</v>
      </c>
      <c r="AL198" s="7"/>
      <c r="AM198" s="7">
        <v>1402799</v>
      </c>
      <c r="AN198" s="7">
        <v>103438427</v>
      </c>
      <c r="AO198" s="7">
        <f>AK198+AM198</f>
        <v>3192592</v>
      </c>
      <c r="AP198" s="7">
        <f>AO198+AN198</f>
        <v>106631019</v>
      </c>
      <c r="AQ198" s="7" t="s">
        <v>6345</v>
      </c>
      <c r="AR198" s="7" t="str">
        <f>_xlfn.XLOOKUP(C198,Sheet1!A:A,Sheet1!B:B, "Other")</f>
        <v>North America</v>
      </c>
      <c r="AS198" t="str">
        <f>_xlfn.XLOOKUP(D198,Sheet1!D:D,Sheet1!E:E)</f>
        <v>Food, beverages and agriculture</v>
      </c>
    </row>
    <row r="199" spans="1:45" ht="18" customHeight="1">
      <c r="A199" s="7">
        <v>195</v>
      </c>
      <c r="B199" s="7" t="s">
        <v>6344</v>
      </c>
      <c r="C199" s="7" t="s">
        <v>4457</v>
      </c>
      <c r="D199" s="7" t="s">
        <v>5398</v>
      </c>
      <c r="E199" s="7" t="s">
        <v>6343</v>
      </c>
      <c r="F199" s="7" t="s">
        <v>6342</v>
      </c>
      <c r="G199" s="122"/>
      <c r="H199" s="7"/>
      <c r="I199" s="7"/>
      <c r="J199" s="122"/>
      <c r="K199" s="7"/>
      <c r="L199" s="127"/>
      <c r="M199" s="122"/>
      <c r="N199" s="7"/>
      <c r="O199" s="7"/>
      <c r="P199" s="7" t="str" cm="1">
        <f t="array" ref="P199">IF(O199="", "", IFERROR(MAX(--_xlfn.TEXTSPLIT(O199,"+")), O199))</f>
        <v/>
      </c>
      <c r="Q199" s="7"/>
      <c r="R199" s="109"/>
      <c r="S199" s="7" t="s">
        <v>1957</v>
      </c>
      <c r="T199" s="7" t="s">
        <v>5131</v>
      </c>
      <c r="U199" s="7">
        <v>2050</v>
      </c>
      <c r="V199" s="7" cm="1">
        <f t="array" ref="V199">IF(U199="", "", IFERROR(MAX(--_xlfn.TEXTSPLIT(U199,"+")), U199))</f>
        <v>2050</v>
      </c>
      <c r="W199" s="7">
        <v>2021</v>
      </c>
      <c r="X199" s="125" t="s">
        <v>6341</v>
      </c>
      <c r="Y199" s="122"/>
      <c r="Z199" s="7"/>
      <c r="AA199" s="109"/>
      <c r="AB199" s="7">
        <v>2022</v>
      </c>
      <c r="AC199" s="124">
        <v>506700</v>
      </c>
      <c r="AD199" s="124">
        <v>936100</v>
      </c>
      <c r="AE199" s="124">
        <v>926600</v>
      </c>
      <c r="AF199" s="124">
        <v>22256400</v>
      </c>
      <c r="AG199" s="7" t="s">
        <v>5032</v>
      </c>
      <c r="AH199" s="124">
        <f t="shared" si="27"/>
        <v>1433300</v>
      </c>
      <c r="AI199" s="124">
        <f>AF199+AH199</f>
        <v>23689700</v>
      </c>
      <c r="AJ199" s="7">
        <v>2021</v>
      </c>
      <c r="AK199" s="124">
        <v>510400</v>
      </c>
      <c r="AL199" s="124">
        <v>941700</v>
      </c>
      <c r="AM199" s="124">
        <v>924200</v>
      </c>
      <c r="AN199" s="124">
        <v>24667900</v>
      </c>
      <c r="AO199" s="124">
        <f>AK199+AM199</f>
        <v>1434600</v>
      </c>
      <c r="AP199" s="124">
        <f>AN199+AO199</f>
        <v>26102500</v>
      </c>
      <c r="AQ199" s="27" t="s">
        <v>6341</v>
      </c>
      <c r="AR199" s="7" t="str">
        <f>_xlfn.XLOOKUP(C199,Sheet1!A:A,Sheet1!B:B, "Other")</f>
        <v>North America</v>
      </c>
      <c r="AS199" t="str">
        <f>_xlfn.XLOOKUP(D199,Sheet1!D:D,Sheet1!E:E)</f>
        <v>Aerospace and defense</v>
      </c>
    </row>
    <row r="200" spans="1:45" ht="18" customHeight="1">
      <c r="A200" s="7">
        <v>196</v>
      </c>
      <c r="B200" s="7" t="s">
        <v>4308</v>
      </c>
      <c r="C200" s="7" t="s">
        <v>114</v>
      </c>
      <c r="D200" s="7" t="s">
        <v>171</v>
      </c>
      <c r="E200" s="7" t="s">
        <v>6340</v>
      </c>
      <c r="F200" s="7" t="s">
        <v>6339</v>
      </c>
      <c r="G200" s="122" t="s">
        <v>4174</v>
      </c>
      <c r="H200" s="7">
        <v>2040</v>
      </c>
      <c r="I200" s="7">
        <v>2022</v>
      </c>
      <c r="J200" s="122" t="s">
        <v>1960</v>
      </c>
      <c r="K200" s="7"/>
      <c r="L200" s="127" t="s">
        <v>1960</v>
      </c>
      <c r="M200" s="122" t="s">
        <v>1957</v>
      </c>
      <c r="N200" s="7" t="s">
        <v>4832</v>
      </c>
      <c r="O200" s="7">
        <v>2045</v>
      </c>
      <c r="P200" s="7" cm="1">
        <f t="array" ref="P200">IF(O200="", "", IFERROR(MAX(--_xlfn.TEXTSPLIT(O200,"+")), O200))</f>
        <v>2045</v>
      </c>
      <c r="Q200" s="7">
        <v>2021</v>
      </c>
      <c r="R200" s="109" t="s">
        <v>6338</v>
      </c>
      <c r="S200" s="7"/>
      <c r="T200" s="7"/>
      <c r="U200" s="7"/>
      <c r="V200" s="7" t="str" cm="1">
        <f t="array" ref="V200">IF(U200="", "", IFERROR(MAX(--_xlfn.TEXTSPLIT(U200,"+")), U200))</f>
        <v/>
      </c>
      <c r="W200" s="7"/>
      <c r="X200" s="7"/>
      <c r="Y200" s="122"/>
      <c r="Z200" s="7"/>
      <c r="AA200" s="109"/>
      <c r="AB200" s="7">
        <v>2021</v>
      </c>
      <c r="AC200" s="7">
        <v>260500</v>
      </c>
      <c r="AD200" s="7"/>
      <c r="AE200" s="7">
        <v>470200</v>
      </c>
      <c r="AF200" s="7"/>
      <c r="AG200" s="7" t="s">
        <v>5032</v>
      </c>
      <c r="AH200" s="7">
        <f t="shared" si="27"/>
        <v>730700</v>
      </c>
      <c r="AI200" s="7">
        <f>AH200</f>
        <v>730700</v>
      </c>
      <c r="AJ200" s="7">
        <v>2020</v>
      </c>
      <c r="AK200" s="7">
        <v>256000</v>
      </c>
      <c r="AL200" s="7"/>
      <c r="AM200" s="7">
        <v>452000</v>
      </c>
      <c r="AN200" s="7"/>
      <c r="AO200" s="7">
        <f>AK200+AM200</f>
        <v>708000</v>
      </c>
      <c r="AP200" s="7">
        <f>AO200</f>
        <v>708000</v>
      </c>
      <c r="AQ200" s="7" t="s">
        <v>6337</v>
      </c>
      <c r="AR200" s="7" t="str">
        <f>_xlfn.XLOOKUP(C200,Sheet1!A:A,Sheet1!B:B, "Other")</f>
        <v>Asia</v>
      </c>
      <c r="AS200" t="str">
        <f>_xlfn.XLOOKUP(D200,Sheet1!D:D,Sheet1!E:E)</f>
        <v>Automotive</v>
      </c>
    </row>
    <row r="201" spans="1:45" ht="18" customHeight="1">
      <c r="A201" s="7">
        <v>197</v>
      </c>
      <c r="B201" s="7" t="s">
        <v>1664</v>
      </c>
      <c r="C201" s="7" t="s">
        <v>4457</v>
      </c>
      <c r="D201" s="7" t="s">
        <v>5398</v>
      </c>
      <c r="E201" s="7" t="s">
        <v>6336</v>
      </c>
      <c r="F201" s="7" t="s">
        <v>6335</v>
      </c>
      <c r="G201" s="122"/>
      <c r="H201" s="7"/>
      <c r="I201" s="7"/>
      <c r="J201" s="122" t="s">
        <v>1960</v>
      </c>
      <c r="K201" s="7"/>
      <c r="L201" s="127" t="s">
        <v>1960</v>
      </c>
      <c r="M201" s="122"/>
      <c r="N201" s="7"/>
      <c r="O201" s="7"/>
      <c r="P201" s="7" t="str" cm="1">
        <f t="array" ref="P201">IF(O201="", "", IFERROR(MAX(--_xlfn.TEXTSPLIT(O201,"+")), O201))</f>
        <v/>
      </c>
      <c r="Q201" s="7"/>
      <c r="R201" s="109"/>
      <c r="S201" s="7" t="s">
        <v>1957</v>
      </c>
      <c r="T201" s="7" t="s">
        <v>6334</v>
      </c>
      <c r="U201" s="7">
        <v>2020</v>
      </c>
      <c r="V201" s="7" cm="1">
        <f t="array" ref="V201">IF(U201="", "", IFERROR(MAX(--_xlfn.TEXTSPLIT(U201,"+")), U201))</f>
        <v>2020</v>
      </c>
      <c r="W201" s="7">
        <v>2020</v>
      </c>
      <c r="X201" s="7" t="s">
        <v>4811</v>
      </c>
      <c r="Y201" s="122" t="s">
        <v>4174</v>
      </c>
      <c r="Z201" s="7" t="s">
        <v>5037</v>
      </c>
      <c r="AA201" s="109" t="s">
        <v>6333</v>
      </c>
      <c r="AB201" s="7">
        <v>2022</v>
      </c>
      <c r="AC201" s="124">
        <v>642000</v>
      </c>
      <c r="AD201" s="124">
        <v>779000</v>
      </c>
      <c r="AE201" s="124">
        <v>401000</v>
      </c>
      <c r="AF201" s="7">
        <f>186000+363000000+22000000</f>
        <v>385186000</v>
      </c>
      <c r="AG201" s="7" t="s">
        <v>5032</v>
      </c>
      <c r="AH201" s="124">
        <f t="shared" si="27"/>
        <v>1043000</v>
      </c>
      <c r="AI201" s="124">
        <f>AH201+AF201</f>
        <v>386229000</v>
      </c>
      <c r="AJ201" s="7">
        <v>2021</v>
      </c>
      <c r="AK201" s="124">
        <v>612000</v>
      </c>
      <c r="AL201" s="124">
        <v>753000</v>
      </c>
      <c r="AM201" s="124">
        <v>447000</v>
      </c>
      <c r="AN201" s="7">
        <f>88000+278000000+22000000</f>
        <v>300088000</v>
      </c>
      <c r="AO201" s="124">
        <f>AK201+AM201</f>
        <v>1059000</v>
      </c>
      <c r="AP201" s="124">
        <f>AN201+AO201</f>
        <v>301147000</v>
      </c>
      <c r="AQ201" s="7" t="s">
        <v>6332</v>
      </c>
      <c r="AR201" s="7" t="str">
        <f>_xlfn.XLOOKUP(C201,Sheet1!A:A,Sheet1!B:B, "Other")</f>
        <v>North America</v>
      </c>
      <c r="AS201" t="str">
        <f>_xlfn.XLOOKUP(D201,Sheet1!D:D,Sheet1!E:E)</f>
        <v>Aerospace and defense</v>
      </c>
    </row>
    <row r="202" spans="1:45" ht="18" customHeight="1">
      <c r="A202" s="7">
        <v>198</v>
      </c>
      <c r="B202" s="7" t="s">
        <v>4240</v>
      </c>
      <c r="C202" s="7" t="s">
        <v>4457</v>
      </c>
      <c r="D202" s="7" t="s">
        <v>76</v>
      </c>
      <c r="E202" s="7" t="s">
        <v>6331</v>
      </c>
      <c r="F202" s="7" t="s">
        <v>6330</v>
      </c>
      <c r="G202" s="122"/>
      <c r="H202" s="7"/>
      <c r="I202" s="7"/>
      <c r="J202" s="122" t="s">
        <v>1960</v>
      </c>
      <c r="K202" s="7"/>
      <c r="L202" s="127" t="s">
        <v>1960</v>
      </c>
      <c r="M202" s="122"/>
      <c r="N202" s="7"/>
      <c r="O202" s="7"/>
      <c r="P202" s="7" t="str" cm="1">
        <f t="array" ref="P202">IF(O202="", "", IFERROR(MAX(--_xlfn.TEXTSPLIT(O202,"+")), O202))</f>
        <v/>
      </c>
      <c r="Q202" s="7"/>
      <c r="R202" s="109"/>
      <c r="S202" s="7"/>
      <c r="T202" s="7"/>
      <c r="U202" s="7"/>
      <c r="V202" s="7" t="str" cm="1">
        <f t="array" ref="V202">IF(U202="", "", IFERROR(MAX(--_xlfn.TEXTSPLIT(U202,"+")), U202))</f>
        <v/>
      </c>
      <c r="W202" s="7"/>
      <c r="X202" s="7"/>
      <c r="Y202" s="122"/>
      <c r="Z202" s="7"/>
      <c r="AA202" s="109"/>
      <c r="AB202" s="7" t="s">
        <v>5032</v>
      </c>
      <c r="AC202" s="7"/>
      <c r="AD202" s="7"/>
      <c r="AE202" s="7"/>
      <c r="AF202" s="7"/>
      <c r="AG202" s="7" t="s">
        <v>5032</v>
      </c>
      <c r="AH202" s="7"/>
      <c r="AI202" s="7"/>
      <c r="AJ202" s="7"/>
      <c r="AK202" s="7"/>
      <c r="AL202" s="7"/>
      <c r="AM202" s="7"/>
      <c r="AN202" s="7"/>
      <c r="AO202" s="7"/>
      <c r="AP202" s="7"/>
      <c r="AQ202" s="7"/>
      <c r="AR202" s="7" t="str">
        <f>_xlfn.XLOOKUP(C202,Sheet1!A:A,Sheet1!B:B, "Other")</f>
        <v>North America</v>
      </c>
      <c r="AS202" t="str">
        <f>_xlfn.XLOOKUP(D202,Sheet1!D:D,Sheet1!E:E)</f>
        <v>Financial services</v>
      </c>
    </row>
    <row r="203" spans="1:45" ht="18" customHeight="1">
      <c r="A203" s="7">
        <v>199</v>
      </c>
      <c r="B203" s="7" t="s">
        <v>1176</v>
      </c>
      <c r="C203" s="7" t="s">
        <v>4457</v>
      </c>
      <c r="D203" s="7" t="s">
        <v>5398</v>
      </c>
      <c r="E203" s="7" t="s">
        <v>6329</v>
      </c>
      <c r="F203" s="7" t="s">
        <v>6328</v>
      </c>
      <c r="G203" s="122"/>
      <c r="H203" s="7"/>
      <c r="I203" s="7"/>
      <c r="J203" s="122" t="s">
        <v>1960</v>
      </c>
      <c r="K203" s="7"/>
      <c r="L203" s="127" t="s">
        <v>1960</v>
      </c>
      <c r="M203" s="122"/>
      <c r="N203" s="7"/>
      <c r="O203" s="7"/>
      <c r="P203" s="7" t="str" cm="1">
        <f t="array" ref="P203">IF(O203="", "", IFERROR(MAX(--_xlfn.TEXTSPLIT(O203,"+")), O203))</f>
        <v/>
      </c>
      <c r="Q203" s="7"/>
      <c r="R203" s="109"/>
      <c r="S203" s="7"/>
      <c r="T203" s="7"/>
      <c r="U203" s="7"/>
      <c r="V203" s="7" t="str" cm="1">
        <f t="array" ref="V203">IF(U203="", "", IFERROR(MAX(--_xlfn.TEXTSPLIT(U203,"+")), U203))</f>
        <v/>
      </c>
      <c r="W203" s="7"/>
      <c r="X203" s="7"/>
      <c r="Y203" s="122" t="s">
        <v>4174</v>
      </c>
      <c r="Z203" s="7" t="s">
        <v>6327</v>
      </c>
      <c r="AA203" s="109" t="s">
        <v>6326</v>
      </c>
      <c r="AB203" s="7">
        <v>2022</v>
      </c>
      <c r="AC203" s="124">
        <v>317143</v>
      </c>
      <c r="AD203" s="124">
        <v>508459</v>
      </c>
      <c r="AE203" s="124">
        <v>361479</v>
      </c>
      <c r="AF203" s="124">
        <v>28431587</v>
      </c>
      <c r="AG203" s="7" t="s">
        <v>5032</v>
      </c>
      <c r="AH203" s="124">
        <f>AC203+AE203</f>
        <v>678622</v>
      </c>
      <c r="AI203" s="124">
        <f>AF203+AH203</f>
        <v>29110209</v>
      </c>
      <c r="AJ203" s="7">
        <v>2021</v>
      </c>
      <c r="AK203" s="124">
        <v>311088</v>
      </c>
      <c r="AL203" s="124">
        <v>558842</v>
      </c>
      <c r="AM203" s="124">
        <v>396387</v>
      </c>
      <c r="AN203" s="124">
        <v>29265474</v>
      </c>
      <c r="AO203" s="124">
        <f>AK203+AM203</f>
        <v>707475</v>
      </c>
      <c r="AP203" s="124">
        <f>AN203+AO203</f>
        <v>29972949</v>
      </c>
      <c r="AQ203" s="7" t="s">
        <v>6325</v>
      </c>
      <c r="AR203" s="7" t="str">
        <f>_xlfn.XLOOKUP(C203,Sheet1!A:A,Sheet1!B:B, "Other")</f>
        <v>North America</v>
      </c>
      <c r="AS203" t="str">
        <f>_xlfn.XLOOKUP(D203,Sheet1!D:D,Sheet1!E:E)</f>
        <v>Aerospace and defense</v>
      </c>
    </row>
    <row r="204" spans="1:45" ht="18" customHeight="1">
      <c r="A204" s="7">
        <v>200</v>
      </c>
      <c r="B204" s="7" t="s">
        <v>1106</v>
      </c>
      <c r="C204" s="7" t="s">
        <v>4457</v>
      </c>
      <c r="D204" s="7" t="s">
        <v>76</v>
      </c>
      <c r="E204" s="7" t="s">
        <v>6324</v>
      </c>
      <c r="F204" s="7" t="s">
        <v>6323</v>
      </c>
      <c r="G204" s="122" t="s">
        <v>4174</v>
      </c>
      <c r="H204" s="7">
        <v>2022</v>
      </c>
      <c r="I204" s="7">
        <v>2017</v>
      </c>
      <c r="J204" s="122" t="s">
        <v>1960</v>
      </c>
      <c r="K204" s="7"/>
      <c r="L204" s="127" t="s">
        <v>1960</v>
      </c>
      <c r="M204" s="122" t="s">
        <v>1957</v>
      </c>
      <c r="N204" s="7" t="s">
        <v>6322</v>
      </c>
      <c r="O204" s="7">
        <v>2022</v>
      </c>
      <c r="P204" s="7" cm="1">
        <f t="array" ref="P204">IF(O204="", "", IFERROR(MAX(--_xlfn.TEXTSPLIT(O204,"+")), O204))</f>
        <v>2022</v>
      </c>
      <c r="Q204" s="7">
        <v>2017</v>
      </c>
      <c r="R204" s="126" t="s">
        <v>6321</v>
      </c>
      <c r="S204" s="7" t="s">
        <v>4172</v>
      </c>
      <c r="T204" s="7" t="s">
        <v>4284</v>
      </c>
      <c r="U204" s="7">
        <v>2050</v>
      </c>
      <c r="V204" s="7" cm="1">
        <f t="array" ref="V204">IF(U204="", "", IFERROR(MAX(--_xlfn.TEXTSPLIT(U204,"+")), U204))</f>
        <v>2050</v>
      </c>
      <c r="W204" s="7">
        <v>2020</v>
      </c>
      <c r="X204" s="125" t="s">
        <v>6320</v>
      </c>
      <c r="Y204" s="122" t="s">
        <v>4174</v>
      </c>
      <c r="Z204" s="7" t="s">
        <v>5037</v>
      </c>
      <c r="AA204" s="109" t="s">
        <v>6319</v>
      </c>
      <c r="AB204" s="7">
        <v>2021</v>
      </c>
      <c r="AC204" s="124">
        <v>25189</v>
      </c>
      <c r="AD204" s="7"/>
      <c r="AE204" s="124">
        <v>166176</v>
      </c>
      <c r="AF204" s="124">
        <v>24127</v>
      </c>
      <c r="AG204" s="7" t="s">
        <v>5032</v>
      </c>
      <c r="AH204" s="124">
        <f>AC204+AE204</f>
        <v>191365</v>
      </c>
      <c r="AI204" s="124">
        <f>AF204+AH204</f>
        <v>215492</v>
      </c>
      <c r="AJ204" s="7">
        <v>2020</v>
      </c>
      <c r="AK204" s="124">
        <v>25422</v>
      </c>
      <c r="AL204" s="7"/>
      <c r="AM204" s="124">
        <v>155988</v>
      </c>
      <c r="AN204" s="124">
        <v>21639</v>
      </c>
      <c r="AO204" s="124">
        <f>AK204+AM204</f>
        <v>181410</v>
      </c>
      <c r="AP204" s="124">
        <f>AN204+AO204</f>
        <v>203049</v>
      </c>
      <c r="AQ204" s="27" t="s">
        <v>6318</v>
      </c>
      <c r="AR204" s="7" t="str">
        <f>_xlfn.XLOOKUP(C204,Sheet1!A:A,Sheet1!B:B, "Other")</f>
        <v>North America</v>
      </c>
      <c r="AS204" t="str">
        <f>_xlfn.XLOOKUP(D204,Sheet1!D:D,Sheet1!E:E)</f>
        <v>Financial services</v>
      </c>
    </row>
    <row r="205" spans="1:45" ht="18" customHeight="1">
      <c r="A205" s="7">
        <v>201</v>
      </c>
      <c r="B205" s="7" t="s">
        <v>1261</v>
      </c>
      <c r="C205" s="7" t="s">
        <v>114</v>
      </c>
      <c r="D205" s="7" t="s">
        <v>85</v>
      </c>
      <c r="E205" s="7" t="s">
        <v>6317</v>
      </c>
      <c r="F205" s="7" t="s">
        <v>6316</v>
      </c>
      <c r="G205" s="122"/>
      <c r="H205" s="7"/>
      <c r="I205" s="7"/>
      <c r="J205" s="122" t="s">
        <v>1957</v>
      </c>
      <c r="K205" s="7"/>
      <c r="L205" s="127">
        <v>2023</v>
      </c>
      <c r="M205" s="122"/>
      <c r="N205" s="7"/>
      <c r="O205" s="7"/>
      <c r="P205" s="7" t="str" cm="1">
        <f t="array" ref="P205">IF(O205="", "", IFERROR(MAX(--_xlfn.TEXTSPLIT(O205,"+")), O205))</f>
        <v/>
      </c>
      <c r="Q205" s="7"/>
      <c r="R205" s="109"/>
      <c r="S205" s="7" t="s">
        <v>4172</v>
      </c>
      <c r="T205" s="7" t="s">
        <v>1968</v>
      </c>
      <c r="U205" s="7">
        <v>2050</v>
      </c>
      <c r="V205" s="7" cm="1">
        <f t="array" ref="V205">IF(U205="", "", IFERROR(MAX(--_xlfn.TEXTSPLIT(U205,"+")), U205))</f>
        <v>2050</v>
      </c>
      <c r="W205" s="7">
        <v>2022</v>
      </c>
      <c r="X205" s="7" t="s">
        <v>6315</v>
      </c>
      <c r="Y205" s="122"/>
      <c r="Z205" s="7"/>
      <c r="AA205" s="109"/>
      <c r="AB205" s="7">
        <v>2021</v>
      </c>
      <c r="AC205" s="124">
        <v>77101095</v>
      </c>
      <c r="AD205" s="7"/>
      <c r="AE205" s="124">
        <v>1389117</v>
      </c>
      <c r="AF205" s="124">
        <v>12872905</v>
      </c>
      <c r="AG205" s="7" t="s">
        <v>5032</v>
      </c>
      <c r="AH205" s="124">
        <v>78490205</v>
      </c>
      <c r="AI205" s="124">
        <f>AH205+AF205</f>
        <v>91363110</v>
      </c>
      <c r="AJ205" s="7">
        <v>2020</v>
      </c>
      <c r="AK205" s="124">
        <v>75069656</v>
      </c>
      <c r="AL205" s="7"/>
      <c r="AM205" s="124">
        <v>580226</v>
      </c>
      <c r="AN205" s="124">
        <v>11951000</v>
      </c>
      <c r="AO205" s="124">
        <f>AK205+AM205</f>
        <v>75649882</v>
      </c>
      <c r="AP205" s="124">
        <f>AN205+AO205</f>
        <v>87600882</v>
      </c>
      <c r="AQ205" s="7" t="s">
        <v>6315</v>
      </c>
      <c r="AR205" s="7" t="str">
        <f>_xlfn.XLOOKUP(C205,Sheet1!A:A,Sheet1!B:B, "Other")</f>
        <v>Asia</v>
      </c>
      <c r="AS205" t="str">
        <f>_xlfn.XLOOKUP(D205,Sheet1!D:D,Sheet1!E:E)</f>
        <v>Industrial goods</v>
      </c>
    </row>
    <row r="206" spans="1:45" ht="18" customHeight="1">
      <c r="A206" s="7">
        <v>202</v>
      </c>
      <c r="B206" s="7" t="s">
        <v>1141</v>
      </c>
      <c r="C206" s="7" t="s">
        <v>63</v>
      </c>
      <c r="D206" s="7" t="s">
        <v>135</v>
      </c>
      <c r="E206" s="7" t="s">
        <v>6314</v>
      </c>
      <c r="F206" s="7" t="s">
        <v>6313</v>
      </c>
      <c r="G206" s="122"/>
      <c r="H206" s="7"/>
      <c r="I206" s="7"/>
      <c r="J206" s="122" t="s">
        <v>4183</v>
      </c>
      <c r="K206" s="7">
        <v>2030</v>
      </c>
      <c r="L206" s="127">
        <v>2022</v>
      </c>
      <c r="M206" s="122" t="s">
        <v>1957</v>
      </c>
      <c r="N206" s="7" t="s">
        <v>5042</v>
      </c>
      <c r="O206" s="7">
        <v>2050</v>
      </c>
      <c r="P206" s="7" cm="1">
        <f t="array" ref="P206">IF(O206="", "", IFERROR(MAX(--_xlfn.TEXTSPLIT(O206,"+")), O206))</f>
        <v>2050</v>
      </c>
      <c r="Q206" s="7">
        <v>2020</v>
      </c>
      <c r="R206" s="109" t="s">
        <v>6312</v>
      </c>
      <c r="S206" s="7"/>
      <c r="T206" s="7"/>
      <c r="U206" s="7"/>
      <c r="V206" s="7" t="str" cm="1">
        <f t="array" ref="V206">IF(U206="", "", IFERROR(MAX(--_xlfn.TEXTSPLIT(U206,"+")), U206))</f>
        <v/>
      </c>
      <c r="W206" s="7"/>
      <c r="X206" s="7"/>
      <c r="Y206" s="122" t="s">
        <v>4174</v>
      </c>
      <c r="Z206" s="7" t="s">
        <v>6311</v>
      </c>
      <c r="AA206" s="109" t="s">
        <v>6310</v>
      </c>
      <c r="AB206" s="7">
        <v>2022</v>
      </c>
      <c r="AC206" s="7">
        <v>1900000</v>
      </c>
      <c r="AD206" s="7"/>
      <c r="AE206" s="7">
        <v>200000</v>
      </c>
      <c r="AF206" s="7"/>
      <c r="AG206" s="7" t="s">
        <v>5032</v>
      </c>
      <c r="AH206" s="7">
        <f>AC206+AE206</f>
        <v>2100000</v>
      </c>
      <c r="AI206" s="7">
        <f>AH206</f>
        <v>2100000</v>
      </c>
      <c r="AJ206" s="7" t="s">
        <v>5032</v>
      </c>
      <c r="AK206" s="7"/>
      <c r="AL206" s="7"/>
      <c r="AM206" s="7"/>
      <c r="AN206" s="7"/>
      <c r="AO206" s="7"/>
      <c r="AP206" s="7"/>
      <c r="AQ206" s="7" t="s">
        <v>6309</v>
      </c>
      <c r="AR206" s="7" t="str">
        <f>_xlfn.XLOOKUP(C206,Sheet1!A:A,Sheet1!B:B, "Other")</f>
        <v>Europe</v>
      </c>
      <c r="AS206" t="str">
        <f>_xlfn.XLOOKUP(D206,Sheet1!D:D,Sheet1!E:E)</f>
        <v>Engineering and construction</v>
      </c>
    </row>
    <row r="207" spans="1:45" ht="18" customHeight="1">
      <c r="A207" s="7">
        <v>203</v>
      </c>
      <c r="B207" s="7" t="s">
        <v>245</v>
      </c>
      <c r="C207" s="7" t="s">
        <v>246</v>
      </c>
      <c r="D207" s="7" t="s">
        <v>71</v>
      </c>
      <c r="E207" s="7" t="s">
        <v>6308</v>
      </c>
      <c r="F207" s="7" t="s">
        <v>2607</v>
      </c>
      <c r="G207" s="122"/>
      <c r="H207" s="7"/>
      <c r="I207" s="7"/>
      <c r="J207" s="122" t="s">
        <v>1960</v>
      </c>
      <c r="K207" s="7"/>
      <c r="L207" s="127" t="s">
        <v>1960</v>
      </c>
      <c r="M207" s="122"/>
      <c r="N207" s="7"/>
      <c r="O207" s="7"/>
      <c r="P207" s="7" t="str" cm="1">
        <f t="array" ref="P207">IF(O207="", "", IFERROR(MAX(--_xlfn.TEXTSPLIT(O207,"+")), O207))</f>
        <v/>
      </c>
      <c r="Q207" s="7"/>
      <c r="R207" s="109"/>
      <c r="S207" s="7" t="s">
        <v>4172</v>
      </c>
      <c r="T207" s="7" t="s">
        <v>1968</v>
      </c>
      <c r="U207" s="7">
        <v>2050</v>
      </c>
      <c r="V207" s="7" cm="1">
        <f t="array" ref="V207">IF(U207="", "", IFERROR(MAX(--_xlfn.TEXTSPLIT(U207,"+")), U207))</f>
        <v>2050</v>
      </c>
      <c r="W207" s="7">
        <v>2022</v>
      </c>
      <c r="X207" s="7" t="s">
        <v>6307</v>
      </c>
      <c r="Y207" s="122"/>
      <c r="Z207" s="7"/>
      <c r="AA207" s="109"/>
      <c r="AB207" s="7">
        <v>2022</v>
      </c>
      <c r="AC207" s="7">
        <v>11700000</v>
      </c>
      <c r="AD207" s="7"/>
      <c r="AE207" s="7">
        <v>900000</v>
      </c>
      <c r="AF207" s="7">
        <v>132800000</v>
      </c>
      <c r="AG207" s="7" t="s">
        <v>5032</v>
      </c>
      <c r="AH207" s="7">
        <f>AC207+AE207</f>
        <v>12600000</v>
      </c>
      <c r="AI207" s="7">
        <f>AF207+AH207</f>
        <v>145400000</v>
      </c>
      <c r="AJ207" s="7">
        <v>2021</v>
      </c>
      <c r="AK207" s="7">
        <v>13500000</v>
      </c>
      <c r="AL207" s="7"/>
      <c r="AM207" s="7">
        <v>1100000</v>
      </c>
      <c r="AN207" s="7">
        <v>156400000</v>
      </c>
      <c r="AO207" s="7">
        <f>AK207+AM207</f>
        <v>14600000</v>
      </c>
      <c r="AP207" s="7">
        <f>AN207+AO207</f>
        <v>171000000</v>
      </c>
      <c r="AQ207" s="7" t="s">
        <v>6306</v>
      </c>
      <c r="AR207" s="7" t="str">
        <f>_xlfn.XLOOKUP(C207,Sheet1!A:A,Sheet1!B:B, "Other")</f>
        <v>Other</v>
      </c>
      <c r="AS207" t="str">
        <f>_xlfn.XLOOKUP(D207,Sheet1!D:D,Sheet1!E:E)</f>
        <v>Energy and utilities</v>
      </c>
    </row>
    <row r="208" spans="1:45" ht="18" customHeight="1">
      <c r="A208" s="7">
        <v>204</v>
      </c>
      <c r="B208" s="7" t="s">
        <v>1208</v>
      </c>
      <c r="C208" s="7" t="s">
        <v>114</v>
      </c>
      <c r="D208" s="7" t="s">
        <v>186</v>
      </c>
      <c r="E208" s="7" t="s">
        <v>6305</v>
      </c>
      <c r="F208" s="7" t="s">
        <v>6304</v>
      </c>
      <c r="G208" s="122" t="s">
        <v>4174</v>
      </c>
      <c r="H208" s="7">
        <v>2050</v>
      </c>
      <c r="I208" s="7">
        <v>2023</v>
      </c>
      <c r="J208" s="122" t="s">
        <v>4183</v>
      </c>
      <c r="K208" s="7">
        <v>2030</v>
      </c>
      <c r="L208" s="127">
        <v>2023</v>
      </c>
      <c r="M208" s="122" t="s">
        <v>1957</v>
      </c>
      <c r="N208" s="7" t="s">
        <v>6170</v>
      </c>
      <c r="O208" s="7">
        <v>2030</v>
      </c>
      <c r="P208" s="7" cm="1">
        <f t="array" ref="P208">IF(O208="", "", IFERROR(MAX(--_xlfn.TEXTSPLIT(O208,"+")), O208))</f>
        <v>2030</v>
      </c>
      <c r="Q208" s="7">
        <v>2019</v>
      </c>
      <c r="R208" s="109" t="s">
        <v>6303</v>
      </c>
      <c r="S208" s="7"/>
      <c r="T208" s="7"/>
      <c r="U208" s="7"/>
      <c r="V208" s="7" t="str" cm="1">
        <f t="array" ref="V208">IF(U208="", "", IFERROR(MAX(--_xlfn.TEXTSPLIT(U208,"+")), U208))</f>
        <v/>
      </c>
      <c r="W208" s="7"/>
      <c r="X208" s="7"/>
      <c r="Y208" s="122"/>
      <c r="Z208" s="7"/>
      <c r="AA208" s="109"/>
      <c r="AB208" s="7">
        <v>2021</v>
      </c>
      <c r="AC208" s="7">
        <v>333000</v>
      </c>
      <c r="AD208" s="7"/>
      <c r="AE208" s="7">
        <v>819000</v>
      </c>
      <c r="AF208" s="7">
        <f>11581+63154027+4827</f>
        <v>63170435</v>
      </c>
      <c r="AG208" s="7" t="s">
        <v>5032</v>
      </c>
      <c r="AH208" s="7">
        <f>AC208+AE208</f>
        <v>1152000</v>
      </c>
      <c r="AI208" s="7">
        <f>AF208+AH208</f>
        <v>64322435</v>
      </c>
      <c r="AJ208" s="7">
        <v>2020</v>
      </c>
      <c r="AK208" s="7">
        <v>440000</v>
      </c>
      <c r="AL208" s="7"/>
      <c r="AM208" s="7">
        <v>854000</v>
      </c>
      <c r="AN208" s="7">
        <f>20692+58069372+5067</f>
        <v>58095131</v>
      </c>
      <c r="AO208" s="7">
        <f>AK208+AM208</f>
        <v>1294000</v>
      </c>
      <c r="AP208" s="7">
        <f>AN208+AO208</f>
        <v>59389131</v>
      </c>
      <c r="AQ208" s="7" t="s">
        <v>6302</v>
      </c>
      <c r="AR208" s="7" t="str">
        <f>_xlfn.XLOOKUP(C208,Sheet1!A:A,Sheet1!B:B, "Other")</f>
        <v>Asia</v>
      </c>
      <c r="AS208" t="str">
        <f>_xlfn.XLOOKUP(D208,Sheet1!D:D,Sheet1!E:E)</f>
        <v>Technology</v>
      </c>
    </row>
    <row r="209" spans="1:45" ht="18" customHeight="1">
      <c r="A209" s="7">
        <v>205</v>
      </c>
      <c r="B209" s="7" t="s">
        <v>1153</v>
      </c>
      <c r="C209" s="7" t="s">
        <v>73</v>
      </c>
      <c r="D209" s="7" t="s">
        <v>76</v>
      </c>
      <c r="E209" s="7" t="s">
        <v>6301</v>
      </c>
      <c r="F209" s="7" t="s">
        <v>5537</v>
      </c>
      <c r="G209" s="122"/>
      <c r="H209" s="7"/>
      <c r="I209" s="7"/>
      <c r="J209" s="122" t="s">
        <v>1960</v>
      </c>
      <c r="K209" s="7"/>
      <c r="L209" s="127" t="s">
        <v>1960</v>
      </c>
      <c r="M209" s="122"/>
      <c r="N209" s="7"/>
      <c r="O209" s="7"/>
      <c r="P209" s="7" t="str" cm="1">
        <f t="array" ref="P209">IF(O209="", "", IFERROR(MAX(--_xlfn.TEXTSPLIT(O209,"+")), O209))</f>
        <v/>
      </c>
      <c r="Q209" s="7"/>
      <c r="R209" s="109"/>
      <c r="S209" s="7"/>
      <c r="T209" s="7"/>
      <c r="U209" s="7"/>
      <c r="V209" s="7" t="str" cm="1">
        <f t="array" ref="V209">IF(U209="", "", IFERROR(MAX(--_xlfn.TEXTSPLIT(U209,"+")), U209))</f>
        <v/>
      </c>
      <c r="W209" s="7"/>
      <c r="X209" s="7"/>
      <c r="Y209" s="122"/>
      <c r="Z209" s="7"/>
      <c r="AA209" s="109"/>
      <c r="AB209" s="7" t="s">
        <v>5032</v>
      </c>
      <c r="AC209" s="7"/>
      <c r="AD209" s="7"/>
      <c r="AE209" s="7"/>
      <c r="AF209" s="7"/>
      <c r="AG209" s="7" t="s">
        <v>5032</v>
      </c>
      <c r="AH209" s="7"/>
      <c r="AI209" s="7"/>
      <c r="AJ209" s="7"/>
      <c r="AK209" s="7"/>
      <c r="AL209" s="7"/>
      <c r="AM209" s="7"/>
      <c r="AN209" s="7"/>
      <c r="AO209" s="7"/>
      <c r="AP209" s="7"/>
      <c r="AQ209" s="7"/>
      <c r="AR209" s="7" t="str">
        <f>_xlfn.XLOOKUP(C209,Sheet1!A:A,Sheet1!B:B, "Other")</f>
        <v>Asia</v>
      </c>
      <c r="AS209" t="str">
        <f>_xlfn.XLOOKUP(D209,Sheet1!D:D,Sheet1!E:E)</f>
        <v>Financial services</v>
      </c>
    </row>
    <row r="210" spans="1:45" ht="18" customHeight="1">
      <c r="A210" s="7">
        <v>206</v>
      </c>
      <c r="B210" s="7" t="s">
        <v>1232</v>
      </c>
      <c r="C210" s="7" t="s">
        <v>73</v>
      </c>
      <c r="D210" s="7" t="s">
        <v>76</v>
      </c>
      <c r="E210" s="7" t="s">
        <v>6300</v>
      </c>
      <c r="F210" s="7" t="s">
        <v>6299</v>
      </c>
      <c r="G210" s="122"/>
      <c r="H210" s="7"/>
      <c r="I210" s="7"/>
      <c r="J210" s="122" t="s">
        <v>1960</v>
      </c>
      <c r="K210" s="7"/>
      <c r="L210" s="127" t="s">
        <v>1960</v>
      </c>
      <c r="M210" s="122" t="s">
        <v>4519</v>
      </c>
      <c r="N210" s="7" t="s">
        <v>5131</v>
      </c>
      <c r="O210" s="7">
        <v>2060</v>
      </c>
      <c r="P210" s="7" cm="1">
        <f t="array" ref="P210">IF(O210="", "", IFERROR(MAX(--_xlfn.TEXTSPLIT(O210,"+")), O210))</f>
        <v>2060</v>
      </c>
      <c r="Q210" s="7">
        <v>2020</v>
      </c>
      <c r="R210" s="109" t="s">
        <v>6298</v>
      </c>
      <c r="S210" s="7"/>
      <c r="T210" s="7"/>
      <c r="U210" s="7"/>
      <c r="V210" s="7" t="str" cm="1">
        <f t="array" ref="V210">IF(U210="", "", IFERROR(MAX(--_xlfn.TEXTSPLIT(U210,"+")), U210))</f>
        <v/>
      </c>
      <c r="W210" s="7"/>
      <c r="X210" s="7"/>
      <c r="Y210" s="122"/>
      <c r="Z210" s="7"/>
      <c r="AA210" s="109"/>
      <c r="AB210" s="7">
        <v>2022</v>
      </c>
      <c r="AC210" s="123">
        <v>3236.52</v>
      </c>
      <c r="AD210" s="7"/>
      <c r="AE210" s="123">
        <v>111191.22</v>
      </c>
      <c r="AF210" s="7"/>
      <c r="AG210" s="7" t="s">
        <v>5032</v>
      </c>
      <c r="AH210" s="123">
        <v>114427.74</v>
      </c>
      <c r="AI210" s="123">
        <f>AH210</f>
        <v>114427.74</v>
      </c>
      <c r="AJ210" s="7">
        <v>2021</v>
      </c>
      <c r="AK210" s="123">
        <v>23175.91</v>
      </c>
      <c r="AL210" s="7"/>
      <c r="AM210" s="123">
        <v>465865.22</v>
      </c>
      <c r="AN210" s="7"/>
      <c r="AO210" s="123">
        <f>AK210+AM210</f>
        <v>489041.12999999995</v>
      </c>
      <c r="AP210" s="123">
        <f>AO210</f>
        <v>489041.12999999995</v>
      </c>
      <c r="AQ210" s="27" t="s">
        <v>6297</v>
      </c>
      <c r="AR210" s="7" t="str">
        <f>_xlfn.XLOOKUP(C210,Sheet1!A:A,Sheet1!B:B, "Other")</f>
        <v>Asia</v>
      </c>
      <c r="AS210" t="str">
        <f>_xlfn.XLOOKUP(D210,Sheet1!D:D,Sheet1!E:E)</f>
        <v>Financial services</v>
      </c>
    </row>
    <row r="211" spans="1:45" ht="18" customHeight="1">
      <c r="A211" s="7">
        <v>207</v>
      </c>
      <c r="B211" s="7" t="s">
        <v>1194</v>
      </c>
      <c r="C211" s="7" t="s">
        <v>68</v>
      </c>
      <c r="D211" s="7" t="s">
        <v>76</v>
      </c>
      <c r="E211" s="7" t="s">
        <v>6296</v>
      </c>
      <c r="F211" s="7" t="s">
        <v>6295</v>
      </c>
      <c r="G211" s="122"/>
      <c r="H211" s="7"/>
      <c r="I211" s="7"/>
      <c r="J211" s="122" t="s">
        <v>1960</v>
      </c>
      <c r="K211" s="7"/>
      <c r="L211" s="127" t="s">
        <v>1960</v>
      </c>
      <c r="M211" s="122" t="s">
        <v>1957</v>
      </c>
      <c r="N211" s="7" t="s">
        <v>5042</v>
      </c>
      <c r="O211" s="7">
        <v>2018</v>
      </c>
      <c r="P211" s="7" cm="1">
        <f t="array" ref="P211">IF(O211="", "", IFERROR(MAX(--_xlfn.TEXTSPLIT(O211,"+")), O211))</f>
        <v>2018</v>
      </c>
      <c r="Q211" s="7">
        <v>2018</v>
      </c>
      <c r="R211" s="126" t="s">
        <v>6293</v>
      </c>
      <c r="S211" s="7" t="s">
        <v>5387</v>
      </c>
      <c r="T211" s="7" t="s">
        <v>6294</v>
      </c>
      <c r="U211" s="7">
        <v>2050</v>
      </c>
      <c r="V211" s="7" cm="1">
        <f t="array" ref="V211">IF(U211="", "", IFERROR(MAX(--_xlfn.TEXTSPLIT(U211,"+")), U211))</f>
        <v>2050</v>
      </c>
      <c r="W211" s="7">
        <v>2021</v>
      </c>
      <c r="X211" s="125" t="s">
        <v>6293</v>
      </c>
      <c r="Y211" s="122"/>
      <c r="Z211" s="7"/>
      <c r="AA211" s="126"/>
      <c r="AB211" s="7">
        <v>2022</v>
      </c>
      <c r="AC211" s="7">
        <v>22925</v>
      </c>
      <c r="AD211" s="7">
        <v>18335</v>
      </c>
      <c r="AE211" s="7">
        <v>2537</v>
      </c>
      <c r="AF211" s="7">
        <v>20600000</v>
      </c>
      <c r="AG211" s="7" t="s">
        <v>4174</v>
      </c>
      <c r="AH211" s="7">
        <f>AC211+AE211</f>
        <v>25462</v>
      </c>
      <c r="AI211" s="21">
        <f>AH211+AF211</f>
        <v>20625462</v>
      </c>
      <c r="AJ211" s="7">
        <v>2021</v>
      </c>
      <c r="AK211" s="7">
        <v>17048</v>
      </c>
      <c r="AL211" s="7">
        <v>54907</v>
      </c>
      <c r="AM211" s="7">
        <v>2739</v>
      </c>
      <c r="AN211" s="7">
        <v>19000000</v>
      </c>
      <c r="AO211" s="7">
        <f>AM211+AK211</f>
        <v>19787</v>
      </c>
      <c r="AP211" s="7">
        <f>AO211+AN211</f>
        <v>19019787</v>
      </c>
      <c r="AQ211" s="27" t="s">
        <v>6293</v>
      </c>
      <c r="AR211" s="7" t="str">
        <f>_xlfn.XLOOKUP(C211,Sheet1!A:A,Sheet1!B:B, "Other")</f>
        <v>Other</v>
      </c>
      <c r="AS211" t="str">
        <f>_xlfn.XLOOKUP(D211,Sheet1!D:D,Sheet1!E:E)</f>
        <v>Financial services</v>
      </c>
    </row>
    <row r="212" spans="1:45" ht="18" customHeight="1">
      <c r="A212" s="7">
        <v>208</v>
      </c>
      <c r="B212" s="7" t="s">
        <v>1249</v>
      </c>
      <c r="C212" s="7" t="s">
        <v>63</v>
      </c>
      <c r="D212" s="7" t="s">
        <v>76</v>
      </c>
      <c r="E212" s="7" t="s">
        <v>6292</v>
      </c>
      <c r="F212" s="7" t="s">
        <v>6291</v>
      </c>
      <c r="G212" s="122"/>
      <c r="H212" s="7"/>
      <c r="I212" s="7"/>
      <c r="J212" s="122" t="s">
        <v>1960</v>
      </c>
      <c r="K212" s="7"/>
      <c r="L212" s="127" t="s">
        <v>1960</v>
      </c>
      <c r="M212" s="122" t="s">
        <v>5050</v>
      </c>
      <c r="N212" s="7" t="s">
        <v>6290</v>
      </c>
      <c r="O212" s="7">
        <v>2050</v>
      </c>
      <c r="P212" s="7" cm="1">
        <f t="array" ref="P212">IF(O212="", "", IFERROR(MAX(--_xlfn.TEXTSPLIT(O212,"+")), O212))</f>
        <v>2050</v>
      </c>
      <c r="Q212" s="7">
        <v>2020</v>
      </c>
      <c r="R212" s="126" t="s">
        <v>6289</v>
      </c>
      <c r="S212" s="7"/>
      <c r="T212" s="7"/>
      <c r="U212" s="7"/>
      <c r="V212" s="7" t="str" cm="1">
        <f t="array" ref="V212">IF(U212="", "", IFERROR(MAX(--_xlfn.TEXTSPLIT(U212,"+")), U212))</f>
        <v/>
      </c>
      <c r="W212" s="7"/>
      <c r="X212" s="7"/>
      <c r="Y212" s="122" t="s">
        <v>4174</v>
      </c>
      <c r="Z212" s="7" t="s">
        <v>5037</v>
      </c>
      <c r="AA212" s="109" t="s">
        <v>6288</v>
      </c>
      <c r="AB212" s="7">
        <v>2022</v>
      </c>
      <c r="AC212" s="7">
        <v>25000</v>
      </c>
      <c r="AD212" s="7">
        <v>76000</v>
      </c>
      <c r="AE212" s="7">
        <v>76000</v>
      </c>
      <c r="AF212" s="7">
        <v>67000</v>
      </c>
      <c r="AG212" s="7" t="s">
        <v>2082</v>
      </c>
      <c r="AH212" s="7">
        <f>AC212+AE212</f>
        <v>101000</v>
      </c>
      <c r="AI212" s="7">
        <f>AF212+AH212</f>
        <v>168000</v>
      </c>
      <c r="AJ212" s="7">
        <v>2021</v>
      </c>
      <c r="AK212" s="7">
        <v>24000</v>
      </c>
      <c r="AL212" s="7">
        <v>76000</v>
      </c>
      <c r="AM212" s="7">
        <v>111000</v>
      </c>
      <c r="AN212" s="7">
        <v>56000</v>
      </c>
      <c r="AO212" s="7">
        <f>AK212+AM212</f>
        <v>135000</v>
      </c>
      <c r="AP212" s="7">
        <f>AN212+AO212</f>
        <v>191000</v>
      </c>
      <c r="AQ212" s="7" t="s">
        <v>6287</v>
      </c>
      <c r="AR212" s="7" t="str">
        <f>_xlfn.XLOOKUP(C212,Sheet1!A:A,Sheet1!B:B, "Other")</f>
        <v>Europe</v>
      </c>
      <c r="AS212" t="str">
        <f>_xlfn.XLOOKUP(D212,Sheet1!D:D,Sheet1!E:E)</f>
        <v>Financial services</v>
      </c>
    </row>
    <row r="213" spans="1:45" ht="18" customHeight="1">
      <c r="A213" s="7">
        <v>209</v>
      </c>
      <c r="B213" s="7" t="s">
        <v>885</v>
      </c>
      <c r="C213" s="7" t="s">
        <v>73</v>
      </c>
      <c r="D213" s="7" t="s">
        <v>71</v>
      </c>
      <c r="E213" s="7" t="s">
        <v>6286</v>
      </c>
      <c r="F213" s="7" t="s">
        <v>6285</v>
      </c>
      <c r="G213" s="122"/>
      <c r="H213" s="7"/>
      <c r="I213" s="7"/>
      <c r="J213" s="122" t="s">
        <v>1960</v>
      </c>
      <c r="K213" s="7"/>
      <c r="L213" s="127" t="s">
        <v>1960</v>
      </c>
      <c r="M213" s="122" t="s">
        <v>4519</v>
      </c>
      <c r="N213" s="7" t="s">
        <v>5131</v>
      </c>
      <c r="O213" s="7">
        <v>2060</v>
      </c>
      <c r="P213" s="7" cm="1">
        <f t="array" ref="P213">IF(O213="", "", IFERROR(MAX(--_xlfn.TEXTSPLIT(O213,"+")), O213))</f>
        <v>2060</v>
      </c>
      <c r="Q213" s="7">
        <v>2021</v>
      </c>
      <c r="R213" s="109" t="s">
        <v>6284</v>
      </c>
      <c r="S213" s="7"/>
      <c r="T213" s="7"/>
      <c r="U213" s="7"/>
      <c r="V213" s="7" t="str" cm="1">
        <f t="array" ref="V213">IF(U213="", "", IFERROR(MAX(--_xlfn.TEXTSPLIT(U213,"+")), U213))</f>
        <v/>
      </c>
      <c r="W213" s="7"/>
      <c r="X213" s="7"/>
      <c r="Y213" s="122"/>
      <c r="Z213" s="7"/>
      <c r="AA213" s="109"/>
      <c r="AB213" s="7" t="s">
        <v>5032</v>
      </c>
      <c r="AC213" s="7"/>
      <c r="AD213" s="7"/>
      <c r="AE213" s="7"/>
      <c r="AF213" s="7"/>
      <c r="AG213" s="7" t="s">
        <v>5032</v>
      </c>
      <c r="AH213" s="7"/>
      <c r="AI213" s="7"/>
      <c r="AJ213" s="7"/>
      <c r="AK213" s="7"/>
      <c r="AL213" s="7"/>
      <c r="AM213" s="7"/>
      <c r="AN213" s="7"/>
      <c r="AO213" s="7"/>
      <c r="AP213" s="7"/>
      <c r="AQ213" s="7"/>
      <c r="AR213" s="7" t="str">
        <f>_xlfn.XLOOKUP(C213,Sheet1!A:A,Sheet1!B:B, "Other")</f>
        <v>Asia</v>
      </c>
      <c r="AS213" t="str">
        <f>_xlfn.XLOOKUP(D213,Sheet1!D:D,Sheet1!E:E)</f>
        <v>Energy and utilities</v>
      </c>
    </row>
    <row r="214" spans="1:45" ht="18" customHeight="1">
      <c r="A214" s="7">
        <v>210</v>
      </c>
      <c r="B214" s="7" t="s">
        <v>1273</v>
      </c>
      <c r="C214" s="7" t="s">
        <v>4195</v>
      </c>
      <c r="D214" s="7" t="s">
        <v>511</v>
      </c>
      <c r="E214" s="7" t="s">
        <v>6283</v>
      </c>
      <c r="F214" s="7" t="s">
        <v>6282</v>
      </c>
      <c r="G214" s="122" t="s">
        <v>4174</v>
      </c>
      <c r="H214" s="7">
        <v>2030</v>
      </c>
      <c r="I214" s="7">
        <v>2015</v>
      </c>
      <c r="J214" s="122" t="s">
        <v>4183</v>
      </c>
      <c r="K214" s="7">
        <v>2030</v>
      </c>
      <c r="L214" s="127">
        <v>2017</v>
      </c>
      <c r="M214" s="122"/>
      <c r="N214" s="7"/>
      <c r="O214" s="7"/>
      <c r="P214" s="7" t="str" cm="1">
        <f t="array" ref="P214">IF(O214="", "", IFERROR(MAX(--_xlfn.TEXTSPLIT(O214,"+")), O214))</f>
        <v/>
      </c>
      <c r="Q214" s="7"/>
      <c r="R214" s="109"/>
      <c r="S214" s="7" t="s">
        <v>4504</v>
      </c>
      <c r="T214" s="7" t="s">
        <v>4569</v>
      </c>
      <c r="U214" s="7" t="s">
        <v>6281</v>
      </c>
      <c r="V214" s="7" cm="1">
        <f t="array" ref="V214">IF(U214="", "", IFERROR(MAX(--_xlfn.TEXTSPLIT(U214,"+")), U214))</f>
        <v>2039</v>
      </c>
      <c r="W214" s="7">
        <v>2020</v>
      </c>
      <c r="X214" s="125" t="s">
        <v>6280</v>
      </c>
      <c r="Y214" s="122" t="s">
        <v>4174</v>
      </c>
      <c r="Z214" s="7" t="s">
        <v>5037</v>
      </c>
      <c r="AA214" s="126" t="s">
        <v>6279</v>
      </c>
      <c r="AB214" s="7">
        <v>2022</v>
      </c>
      <c r="AC214" s="7">
        <v>502909</v>
      </c>
      <c r="AD214" s="7"/>
      <c r="AE214" s="7">
        <v>117773</v>
      </c>
      <c r="AF214" s="124">
        <f>33690000+57540000</f>
        <v>91230000</v>
      </c>
      <c r="AG214" s="7" t="s">
        <v>4174</v>
      </c>
      <c r="AH214" s="7">
        <f>AC214+AE214</f>
        <v>620682</v>
      </c>
      <c r="AI214" s="124">
        <f>AH214+AF214</f>
        <v>91850682</v>
      </c>
      <c r="AJ214" s="7">
        <v>2021</v>
      </c>
      <c r="AK214" s="7">
        <v>565988</v>
      </c>
      <c r="AL214" s="7"/>
      <c r="AM214" s="7">
        <v>144752</v>
      </c>
      <c r="AN214" s="7">
        <f>33030000+64870000</f>
        <v>97900000</v>
      </c>
      <c r="AO214" s="7">
        <f>AK214+AM214</f>
        <v>710740</v>
      </c>
      <c r="AP214" s="7">
        <f>AO214+AN214</f>
        <v>98610740</v>
      </c>
      <c r="AQ214" s="7" t="s">
        <v>6278</v>
      </c>
      <c r="AR214" s="7" t="str">
        <f>_xlfn.XLOOKUP(C214,Sheet1!A:A,Sheet1!B:B, "Other")</f>
        <v>Europe</v>
      </c>
      <c r="AS214" t="str">
        <f>_xlfn.XLOOKUP(D214,Sheet1!D:D,Sheet1!E:E)</f>
        <v>Household and personal products</v>
      </c>
    </row>
    <row r="215" spans="1:45" ht="18" customHeight="1">
      <c r="A215" s="7">
        <v>211</v>
      </c>
      <c r="B215" s="7" t="s">
        <v>1394</v>
      </c>
      <c r="C215" s="7" t="s">
        <v>4457</v>
      </c>
      <c r="D215" s="7" t="s">
        <v>186</v>
      </c>
      <c r="E215" s="7" t="s">
        <v>6277</v>
      </c>
      <c r="F215" s="7" t="s">
        <v>6276</v>
      </c>
      <c r="G215" s="122" t="s">
        <v>4174</v>
      </c>
      <c r="H215" s="7">
        <v>2030</v>
      </c>
      <c r="I215" s="7">
        <v>2020</v>
      </c>
      <c r="J215" s="122" t="s">
        <v>1960</v>
      </c>
      <c r="K215" s="7"/>
      <c r="L215" s="127" t="s">
        <v>1960</v>
      </c>
      <c r="M215" s="122"/>
      <c r="N215" s="7"/>
      <c r="O215" s="7"/>
      <c r="P215" s="7" t="str" cm="1">
        <f t="array" ref="P215">IF(O215="", "", IFERROR(MAX(--_xlfn.TEXTSPLIT(O215,"+")), O215))</f>
        <v/>
      </c>
      <c r="Q215" s="7"/>
      <c r="R215" s="109"/>
      <c r="S215" s="7" t="s">
        <v>1957</v>
      </c>
      <c r="T215" s="7" t="s">
        <v>4596</v>
      </c>
      <c r="U215" s="7">
        <v>2040</v>
      </c>
      <c r="V215" s="7" cm="1">
        <f t="array" ref="V215">IF(U215="", "", IFERROR(MAX(--_xlfn.TEXTSPLIT(U215,"+")), U215))</f>
        <v>2040</v>
      </c>
      <c r="W215" s="7">
        <v>2022</v>
      </c>
      <c r="X215" s="125" t="s">
        <v>6274</v>
      </c>
      <c r="Y215" s="122" t="s">
        <v>4174</v>
      </c>
      <c r="Z215" s="7" t="s">
        <v>6275</v>
      </c>
      <c r="AA215" s="126" t="s">
        <v>6274</v>
      </c>
      <c r="AB215" s="7">
        <v>2022</v>
      </c>
      <c r="AC215" s="7">
        <v>1190900</v>
      </c>
      <c r="AD215" s="7"/>
      <c r="AE215" s="7">
        <v>347600</v>
      </c>
      <c r="AF215" s="7">
        <v>22791000</v>
      </c>
      <c r="AG215" s="7" t="s">
        <v>4174</v>
      </c>
      <c r="AH215" s="7">
        <f>AC215+AE215</f>
        <v>1538500</v>
      </c>
      <c r="AI215" s="7">
        <f>AH215+AF215</f>
        <v>24329500</v>
      </c>
      <c r="AJ215" s="7">
        <v>2021</v>
      </c>
      <c r="AK215" s="7">
        <v>2181000</v>
      </c>
      <c r="AL215" s="7"/>
      <c r="AM215" s="7">
        <v>1093000</v>
      </c>
      <c r="AN215" s="7">
        <v>28863000</v>
      </c>
      <c r="AO215" s="7">
        <f>AK215+AM215</f>
        <v>3274000</v>
      </c>
      <c r="AP215" s="7">
        <f>AO215+AN215</f>
        <v>32137000</v>
      </c>
      <c r="AQ215" s="7" t="s">
        <v>6273</v>
      </c>
      <c r="AR215" s="7" t="str">
        <f>_xlfn.XLOOKUP(C215,Sheet1!A:A,Sheet1!B:B, "Other")</f>
        <v>North America</v>
      </c>
      <c r="AS215" t="str">
        <f>_xlfn.XLOOKUP(D215,Sheet1!D:D,Sheet1!E:E)</f>
        <v>Technology</v>
      </c>
    </row>
    <row r="216" spans="1:45" ht="18" customHeight="1">
      <c r="A216" s="7">
        <v>212</v>
      </c>
      <c r="B216" s="7" t="s">
        <v>4539</v>
      </c>
      <c r="C216" s="7" t="s">
        <v>73</v>
      </c>
      <c r="D216" s="7" t="s">
        <v>171</v>
      </c>
      <c r="E216" s="7" t="s">
        <v>6272</v>
      </c>
      <c r="F216" s="7" t="s">
        <v>6271</v>
      </c>
      <c r="G216" s="122"/>
      <c r="H216" s="7"/>
      <c r="I216" s="7"/>
      <c r="J216" s="122" t="s">
        <v>1960</v>
      </c>
      <c r="K216" s="7"/>
      <c r="L216" s="127" t="s">
        <v>1960</v>
      </c>
      <c r="M216" s="122" t="s">
        <v>4519</v>
      </c>
      <c r="N216" s="7" t="s">
        <v>5131</v>
      </c>
      <c r="O216" s="7">
        <v>2060</v>
      </c>
      <c r="P216" s="7" cm="1">
        <f t="array" ref="P216">IF(O216="", "", IFERROR(MAX(--_xlfn.TEXTSPLIT(O216,"+")), O216))</f>
        <v>2060</v>
      </c>
      <c r="Q216" s="7">
        <v>2021</v>
      </c>
      <c r="R216" s="126" t="s">
        <v>6270</v>
      </c>
      <c r="S216" s="7"/>
      <c r="T216" s="7"/>
      <c r="U216" s="7"/>
      <c r="V216" s="7" t="str" cm="1">
        <f t="array" ref="V216">IF(U216="", "", IFERROR(MAX(--_xlfn.TEXTSPLIT(U216,"+")), U216))</f>
        <v/>
      </c>
      <c r="W216" s="7"/>
      <c r="X216" s="7"/>
      <c r="Y216" s="122"/>
      <c r="Z216" s="7"/>
      <c r="AA216" s="109"/>
      <c r="AB216" s="7">
        <v>2022</v>
      </c>
      <c r="AC216" s="124">
        <v>550932</v>
      </c>
      <c r="AD216" s="7"/>
      <c r="AE216" s="124">
        <v>7511038</v>
      </c>
      <c r="AF216" s="7"/>
      <c r="AG216" s="7" t="s">
        <v>5032</v>
      </c>
      <c r="AH216" s="124">
        <f>AC216+AE216</f>
        <v>8061970</v>
      </c>
      <c r="AI216" s="124">
        <f>AH216+AF216</f>
        <v>8061970</v>
      </c>
      <c r="AJ216" s="7">
        <v>2021</v>
      </c>
      <c r="AK216" s="124">
        <v>315610</v>
      </c>
      <c r="AL216" s="7"/>
      <c r="AM216" s="124">
        <v>4903502</v>
      </c>
      <c r="AN216" s="7"/>
      <c r="AO216" s="7">
        <f>AK216+AM216</f>
        <v>5219112</v>
      </c>
      <c r="AP216" s="7">
        <f>AN216+AO216</f>
        <v>5219112</v>
      </c>
      <c r="AQ216" s="27" t="s">
        <v>6270</v>
      </c>
      <c r="AR216" s="7" t="str">
        <f>_xlfn.XLOOKUP(C216,Sheet1!A:A,Sheet1!B:B, "Other")</f>
        <v>Asia</v>
      </c>
      <c r="AS216" t="str">
        <f>_xlfn.XLOOKUP(D216,Sheet1!D:D,Sheet1!E:E)</f>
        <v>Automotive</v>
      </c>
    </row>
    <row r="217" spans="1:45" ht="18" customHeight="1">
      <c r="A217" s="7">
        <v>213</v>
      </c>
      <c r="B217" s="7" t="s">
        <v>1252</v>
      </c>
      <c r="C217" s="7" t="s">
        <v>4457</v>
      </c>
      <c r="D217" s="7" t="s">
        <v>186</v>
      </c>
      <c r="E217" s="7" t="s">
        <v>6269</v>
      </c>
      <c r="F217" s="7" t="s">
        <v>6268</v>
      </c>
      <c r="G217" s="122" t="s">
        <v>4174</v>
      </c>
      <c r="H217" s="7">
        <v>2025</v>
      </c>
      <c r="I217" s="7">
        <v>2016</v>
      </c>
      <c r="J217" s="122" t="s">
        <v>4183</v>
      </c>
      <c r="K217" s="7">
        <v>2025</v>
      </c>
      <c r="L217" s="127">
        <v>2022</v>
      </c>
      <c r="M217" s="122" t="s">
        <v>1957</v>
      </c>
      <c r="N217" s="7" t="s">
        <v>6267</v>
      </c>
      <c r="O217" s="7">
        <v>2025</v>
      </c>
      <c r="P217" s="7" cm="1">
        <f t="array" ref="P217">IF(O217="", "", IFERROR(MAX(--_xlfn.TEXTSPLIT(O217,"+")), O217))</f>
        <v>2025</v>
      </c>
      <c r="Q217" s="7">
        <v>2021</v>
      </c>
      <c r="R217" s="109" t="s">
        <v>6266</v>
      </c>
      <c r="S217" s="7" t="s">
        <v>4172</v>
      </c>
      <c r="T217" s="7" t="s">
        <v>6265</v>
      </c>
      <c r="U217" s="7">
        <v>2040</v>
      </c>
      <c r="V217" s="7" cm="1">
        <f t="array" ref="V217">IF(U217="", "", IFERROR(MAX(--_xlfn.TEXTSPLIT(U217,"+")), U217))</f>
        <v>2040</v>
      </c>
      <c r="W217" s="7">
        <v>2021</v>
      </c>
      <c r="X217" s="7" t="s">
        <v>4814</v>
      </c>
      <c r="Y217" s="122" t="s">
        <v>4174</v>
      </c>
      <c r="Z217" s="7" t="s">
        <v>5037</v>
      </c>
      <c r="AA217" s="109" t="s">
        <v>6264</v>
      </c>
      <c r="AB217" s="7">
        <v>2021</v>
      </c>
      <c r="AC217" s="7">
        <v>48700</v>
      </c>
      <c r="AD217" s="7">
        <v>198200</v>
      </c>
      <c r="AE217" s="7">
        <v>110800</v>
      </c>
      <c r="AF217" s="7">
        <v>28300000</v>
      </c>
      <c r="AG217" s="7" t="s">
        <v>4174</v>
      </c>
      <c r="AH217" s="7">
        <f>AE217+AC217</f>
        <v>159500</v>
      </c>
      <c r="AI217" s="7">
        <f>AH217+AF217</f>
        <v>28459500</v>
      </c>
      <c r="AJ217" s="7">
        <v>2020</v>
      </c>
      <c r="AK217" s="124">
        <v>50600</v>
      </c>
      <c r="AL217" s="124">
        <v>203600</v>
      </c>
      <c r="AM217" s="124">
        <v>120400</v>
      </c>
      <c r="AN217" s="124">
        <v>29020000</v>
      </c>
      <c r="AO217" s="124">
        <f>AM217+AK217</f>
        <v>171000</v>
      </c>
      <c r="AP217" s="7">
        <f>AO217+AN217</f>
        <v>29191000</v>
      </c>
      <c r="AQ217" s="7" t="s">
        <v>4814</v>
      </c>
      <c r="AR217" s="7" t="str">
        <f>_xlfn.XLOOKUP(C217,Sheet1!A:A,Sheet1!B:B, "Other")</f>
        <v>North America</v>
      </c>
      <c r="AS217" t="str">
        <f>_xlfn.XLOOKUP(D217,Sheet1!D:D,Sheet1!E:E)</f>
        <v>Technology</v>
      </c>
    </row>
    <row r="218" spans="1:45" ht="18" customHeight="1">
      <c r="A218" s="7">
        <v>214</v>
      </c>
      <c r="B218" s="7" t="s">
        <v>1130</v>
      </c>
      <c r="C218" s="7" t="s">
        <v>78</v>
      </c>
      <c r="D218" s="7" t="s">
        <v>454</v>
      </c>
      <c r="E218" s="7" t="s">
        <v>6263</v>
      </c>
      <c r="F218" s="7" t="s">
        <v>6262</v>
      </c>
      <c r="G218" s="122"/>
      <c r="H218" s="7"/>
      <c r="I218" s="7"/>
      <c r="J218" s="122" t="s">
        <v>1960</v>
      </c>
      <c r="K218" s="7"/>
      <c r="L218" s="127" t="s">
        <v>1960</v>
      </c>
      <c r="M218" s="122"/>
      <c r="N218" s="7"/>
      <c r="O218" s="7"/>
      <c r="P218" s="7" t="str" cm="1">
        <f t="array" ref="P218">IF(O218="", "", IFERROR(MAX(--_xlfn.TEXTSPLIT(O218,"+")), O218))</f>
        <v/>
      </c>
      <c r="Q218" s="7"/>
      <c r="R218" s="109"/>
      <c r="S218" s="7"/>
      <c r="T218" s="7"/>
      <c r="U218" s="7"/>
      <c r="V218" s="7" t="str" cm="1">
        <f t="array" ref="V218">IF(U218="", "", IFERROR(MAX(--_xlfn.TEXTSPLIT(U218,"+")), U218))</f>
        <v/>
      </c>
      <c r="W218" s="7"/>
      <c r="X218" s="7"/>
      <c r="Y218" s="122" t="s">
        <v>4174</v>
      </c>
      <c r="Z218" s="7" t="s">
        <v>6261</v>
      </c>
      <c r="AA218" s="126" t="s">
        <v>6260</v>
      </c>
      <c r="AB218" s="7">
        <v>2022</v>
      </c>
      <c r="AC218" s="124">
        <v>121557</v>
      </c>
      <c r="AD218" s="124"/>
      <c r="AE218" s="124">
        <v>643930</v>
      </c>
      <c r="AF218" s="7"/>
      <c r="AG218" s="7" t="s">
        <v>5032</v>
      </c>
      <c r="AH218" s="124">
        <f>AC218+AE218</f>
        <v>765487</v>
      </c>
      <c r="AI218" s="124">
        <f>AH218</f>
        <v>765487</v>
      </c>
      <c r="AJ218" s="7">
        <v>2021</v>
      </c>
      <c r="AK218" s="124">
        <v>31548</v>
      </c>
      <c r="AL218" s="7"/>
      <c r="AM218" s="124">
        <v>819943</v>
      </c>
      <c r="AN218" s="7"/>
      <c r="AO218" s="124">
        <f>AK218+AM218</f>
        <v>851491</v>
      </c>
      <c r="AP218" s="124">
        <f>AO218</f>
        <v>851491</v>
      </c>
      <c r="AQ218" s="7" t="s">
        <v>6259</v>
      </c>
      <c r="AR218" s="7" t="str">
        <f>_xlfn.XLOOKUP(C218,Sheet1!A:A,Sheet1!B:B, "Other")</f>
        <v>North America</v>
      </c>
      <c r="AS218" t="str">
        <f>_xlfn.XLOOKUP(D218,Sheet1!D:D,Sheet1!E:E)</f>
        <v>Retail</v>
      </c>
    </row>
    <row r="219" spans="1:45" ht="18" customHeight="1">
      <c r="A219" s="7">
        <v>215</v>
      </c>
      <c r="B219" s="7" t="s">
        <v>4521</v>
      </c>
      <c r="C219" s="7" t="s">
        <v>4457</v>
      </c>
      <c r="D219" s="7" t="s">
        <v>91</v>
      </c>
      <c r="E219" s="7" t="s">
        <v>6258</v>
      </c>
      <c r="F219" s="7" t="s">
        <v>5456</v>
      </c>
      <c r="G219" s="122"/>
      <c r="H219" s="7"/>
      <c r="I219" s="7"/>
      <c r="J219" s="122" t="s">
        <v>1957</v>
      </c>
      <c r="K219" s="7"/>
      <c r="L219" s="127">
        <v>2021</v>
      </c>
      <c r="M219" s="122"/>
      <c r="N219" s="7"/>
      <c r="O219" s="7"/>
      <c r="P219" s="7" t="str" cm="1">
        <f t="array" ref="P219">IF(O219="", "", IFERROR(MAX(--_xlfn.TEXTSPLIT(O219,"+")), O219))</f>
        <v/>
      </c>
      <c r="Q219" s="7"/>
      <c r="R219" s="109"/>
      <c r="S219" s="7" t="s">
        <v>1957</v>
      </c>
      <c r="T219" s="7" t="s">
        <v>160</v>
      </c>
      <c r="U219" s="7">
        <v>2045</v>
      </c>
      <c r="V219" s="7" cm="1">
        <f t="array" ref="V219">IF(U219="", "", IFERROR(MAX(--_xlfn.TEXTSPLIT(U219,"+")), U219))</f>
        <v>2045</v>
      </c>
      <c r="W219" s="7">
        <v>2021</v>
      </c>
      <c r="X219" s="125" t="s">
        <v>6257</v>
      </c>
      <c r="Y219" s="122"/>
      <c r="Z219" s="7"/>
      <c r="AA219" s="126"/>
      <c r="AB219" s="7">
        <v>2022</v>
      </c>
      <c r="AC219" s="7">
        <v>14254</v>
      </c>
      <c r="AD219" s="7">
        <v>38914</v>
      </c>
      <c r="AE219" s="7">
        <v>43932</v>
      </c>
      <c r="AF219" s="7"/>
      <c r="AG219" s="7" t="s">
        <v>5032</v>
      </c>
      <c r="AH219" s="7">
        <f>AC219+AE219</f>
        <v>58186</v>
      </c>
      <c r="AI219" s="7">
        <f>AH219</f>
        <v>58186</v>
      </c>
      <c r="AJ219" s="7" t="s">
        <v>5032</v>
      </c>
      <c r="AK219" s="7"/>
      <c r="AL219" s="7"/>
      <c r="AM219" s="7"/>
      <c r="AN219" s="7"/>
      <c r="AO219" s="7"/>
      <c r="AP219" s="7"/>
      <c r="AQ219" s="7"/>
      <c r="AR219" s="7" t="str">
        <f>_xlfn.XLOOKUP(C219,Sheet1!A:A,Sheet1!B:B, "Other")</f>
        <v>North America</v>
      </c>
      <c r="AS219" t="str">
        <f>_xlfn.XLOOKUP(D219,Sheet1!D:D,Sheet1!E:E)</f>
        <v>Retail</v>
      </c>
    </row>
    <row r="220" spans="1:45" ht="18" customHeight="1">
      <c r="A220" s="7">
        <v>216</v>
      </c>
      <c r="B220" s="7" t="s">
        <v>438</v>
      </c>
      <c r="C220" s="7" t="s">
        <v>439</v>
      </c>
      <c r="D220" s="7" t="s">
        <v>71</v>
      </c>
      <c r="E220" s="7" t="s">
        <v>6256</v>
      </c>
      <c r="F220" s="7" t="s">
        <v>6255</v>
      </c>
      <c r="G220" s="122"/>
      <c r="H220" s="7"/>
      <c r="I220" s="7"/>
      <c r="J220" s="122" t="s">
        <v>1960</v>
      </c>
      <c r="K220" s="7"/>
      <c r="L220" s="127" t="s">
        <v>1960</v>
      </c>
      <c r="M220" s="122" t="s">
        <v>4172</v>
      </c>
      <c r="N220" s="7" t="s">
        <v>1968</v>
      </c>
      <c r="O220" s="7">
        <v>2050</v>
      </c>
      <c r="P220" s="7" cm="1">
        <f t="array" ref="P220">IF(O220="", "", IFERROR(MAX(--_xlfn.TEXTSPLIT(O220,"+")), O220))</f>
        <v>2050</v>
      </c>
      <c r="Q220" s="7">
        <v>2023</v>
      </c>
      <c r="R220" s="126" t="s">
        <v>6254</v>
      </c>
      <c r="S220" s="7"/>
      <c r="T220" s="7"/>
      <c r="U220" s="7"/>
      <c r="V220" s="7" t="str" cm="1">
        <f t="array" ref="V220">IF(U220="", "", IFERROR(MAX(--_xlfn.TEXTSPLIT(U220,"+")), U220))</f>
        <v/>
      </c>
      <c r="W220" s="7"/>
      <c r="X220" s="7"/>
      <c r="Y220" s="122"/>
      <c r="Z220" s="7"/>
      <c r="AA220" s="126"/>
      <c r="AB220" s="7">
        <v>2021</v>
      </c>
      <c r="AC220" s="124">
        <v>8148456</v>
      </c>
      <c r="AD220" s="7"/>
      <c r="AE220" s="124">
        <v>28123</v>
      </c>
      <c r="AF220" s="7"/>
      <c r="AG220" s="7" t="s">
        <v>5032</v>
      </c>
      <c r="AH220" s="124">
        <f>AC220+AE220</f>
        <v>8176579</v>
      </c>
      <c r="AI220" s="124">
        <f>AF220+AH220</f>
        <v>8176579</v>
      </c>
      <c r="AJ220" s="7">
        <v>2020</v>
      </c>
      <c r="AK220" s="124">
        <v>8854752</v>
      </c>
      <c r="AL220" s="7"/>
      <c r="AM220" s="124">
        <v>17096</v>
      </c>
      <c r="AN220" s="7"/>
      <c r="AO220" s="123">
        <f>AK220+AM220</f>
        <v>8871848</v>
      </c>
      <c r="AP220" s="123">
        <f>AN220+AO220</f>
        <v>8871848</v>
      </c>
      <c r="AQ220" s="27" t="s">
        <v>6253</v>
      </c>
      <c r="AR220" s="7" t="str">
        <f>_xlfn.XLOOKUP(C220,Sheet1!A:A,Sheet1!B:B, "Other")</f>
        <v>Other</v>
      </c>
      <c r="AS220" t="str">
        <f>_xlfn.XLOOKUP(D220,Sheet1!D:D,Sheet1!E:E)</f>
        <v>Energy and utilities</v>
      </c>
    </row>
    <row r="221" spans="1:45" ht="18" customHeight="1">
      <c r="A221" s="7">
        <v>217</v>
      </c>
      <c r="B221" s="7" t="s">
        <v>1123</v>
      </c>
      <c r="C221" s="7" t="s">
        <v>73</v>
      </c>
      <c r="D221" s="7" t="s">
        <v>186</v>
      </c>
      <c r="E221" s="7" t="s">
        <v>6252</v>
      </c>
      <c r="F221" s="7" t="s">
        <v>6251</v>
      </c>
      <c r="G221" s="122"/>
      <c r="H221" s="7"/>
      <c r="I221" s="7"/>
      <c r="J221" s="122" t="s">
        <v>4183</v>
      </c>
      <c r="K221" s="7">
        <v>2030</v>
      </c>
      <c r="L221" s="127">
        <v>2023</v>
      </c>
      <c r="M221" s="122"/>
      <c r="N221" s="7"/>
      <c r="O221" s="7"/>
      <c r="P221" s="7" t="str" cm="1">
        <f t="array" ref="P221">IF(O221="", "", IFERROR(MAX(--_xlfn.TEXTSPLIT(O221,"+")), O221))</f>
        <v/>
      </c>
      <c r="Q221" s="7"/>
      <c r="R221" s="109"/>
      <c r="S221" s="7" t="s">
        <v>4172</v>
      </c>
      <c r="T221" s="7" t="s">
        <v>2760</v>
      </c>
      <c r="U221" s="7">
        <v>2050</v>
      </c>
      <c r="V221" s="7" cm="1">
        <f t="array" ref="V221">IF(U221="", "", IFERROR(MAX(--_xlfn.TEXTSPLIT(U221,"+")), U221))</f>
        <v>2050</v>
      </c>
      <c r="W221" s="7">
        <v>2023</v>
      </c>
      <c r="X221" s="7" t="s">
        <v>6249</v>
      </c>
      <c r="Y221" s="122" t="s">
        <v>4174</v>
      </c>
      <c r="Z221" s="7" t="s">
        <v>6250</v>
      </c>
      <c r="AA221" s="109" t="s">
        <v>6249</v>
      </c>
      <c r="AB221" s="7">
        <v>2022</v>
      </c>
      <c r="AC221" s="7">
        <v>6303</v>
      </c>
      <c r="AD221" s="7">
        <v>202440</v>
      </c>
      <c r="AE221" s="7">
        <v>19540</v>
      </c>
      <c r="AF221" s="7">
        <v>18741480</v>
      </c>
      <c r="AG221" s="7" t="s">
        <v>5032</v>
      </c>
      <c r="AH221" s="7">
        <f>AC221+AE221</f>
        <v>25843</v>
      </c>
      <c r="AI221" s="7">
        <f>AF221+AH221</f>
        <v>18767323</v>
      </c>
      <c r="AJ221" s="7">
        <v>2021</v>
      </c>
      <c r="AK221" s="7">
        <v>6069</v>
      </c>
      <c r="AL221" s="7">
        <v>191778</v>
      </c>
      <c r="AM221" s="7">
        <v>21160</v>
      </c>
      <c r="AN221" s="7">
        <v>17422913</v>
      </c>
      <c r="AO221" s="7">
        <f>AK221+AM221</f>
        <v>27229</v>
      </c>
      <c r="AP221" s="7">
        <f>AN221+AO221</f>
        <v>17450142</v>
      </c>
      <c r="AQ221" s="7" t="s">
        <v>6249</v>
      </c>
      <c r="AR221" s="7" t="str">
        <f>_xlfn.XLOOKUP(C221,Sheet1!A:A,Sheet1!B:B, "Other")</f>
        <v>Asia</v>
      </c>
      <c r="AS221" t="str">
        <f>_xlfn.XLOOKUP(D221,Sheet1!D:D,Sheet1!E:E)</f>
        <v>Technology</v>
      </c>
    </row>
    <row r="222" spans="1:45" ht="18" customHeight="1">
      <c r="A222" s="7">
        <v>218</v>
      </c>
      <c r="B222" s="7" t="s">
        <v>4825</v>
      </c>
      <c r="C222" s="7" t="s">
        <v>207</v>
      </c>
      <c r="D222" s="7" t="s">
        <v>186</v>
      </c>
      <c r="E222" s="7" t="s">
        <v>6248</v>
      </c>
      <c r="F222" s="7" t="s">
        <v>6247</v>
      </c>
      <c r="G222" s="122" t="s">
        <v>4174</v>
      </c>
      <c r="H222" s="7">
        <v>2050</v>
      </c>
      <c r="I222" s="7">
        <v>2019</v>
      </c>
      <c r="J222" s="122" t="s">
        <v>4183</v>
      </c>
      <c r="K222" s="7">
        <v>2030</v>
      </c>
      <c r="L222" s="127">
        <v>2023</v>
      </c>
      <c r="M222" s="122" t="s">
        <v>4519</v>
      </c>
      <c r="N222" s="7" t="s">
        <v>5131</v>
      </c>
      <c r="O222" s="7">
        <v>2050</v>
      </c>
      <c r="P222" s="7" cm="1">
        <f t="array" ref="P222">IF(O222="", "", IFERROR(MAX(--_xlfn.TEXTSPLIT(O222,"+")), O222))</f>
        <v>2050</v>
      </c>
      <c r="Q222" s="7">
        <v>2020</v>
      </c>
      <c r="R222" s="109" t="s">
        <v>6246</v>
      </c>
      <c r="S222" s="7" t="s">
        <v>1957</v>
      </c>
      <c r="T222" s="7" t="s">
        <v>5042</v>
      </c>
      <c r="U222" s="7">
        <v>2050</v>
      </c>
      <c r="V222" s="7" cm="1">
        <f t="array" ref="V222">IF(U222="", "", IFERROR(MAX(--_xlfn.TEXTSPLIT(U222,"+")), U222))</f>
        <v>2050</v>
      </c>
      <c r="W222" s="7">
        <v>2021</v>
      </c>
      <c r="X222" s="7" t="s">
        <v>6246</v>
      </c>
      <c r="Y222" s="122"/>
      <c r="Z222" s="7"/>
      <c r="AA222" s="109"/>
      <c r="AB222" s="7">
        <v>2022</v>
      </c>
      <c r="AC222" s="7">
        <v>330000</v>
      </c>
      <c r="AD222" s="7"/>
      <c r="AE222" s="7">
        <v>1730000</v>
      </c>
      <c r="AF222" s="7">
        <v>98050000</v>
      </c>
      <c r="AG222" s="7" t="s">
        <v>4174</v>
      </c>
      <c r="AH222" s="7">
        <f>AC222+AE222</f>
        <v>2060000</v>
      </c>
      <c r="AI222" s="7">
        <f>AF222+AH222</f>
        <v>100110000</v>
      </c>
      <c r="AJ222" s="7">
        <v>2021</v>
      </c>
      <c r="AK222" s="7">
        <f>330000</f>
        <v>330000</v>
      </c>
      <c r="AL222" s="7"/>
      <c r="AM222" s="7">
        <f>1870000</f>
        <v>1870000</v>
      </c>
      <c r="AN222" s="7">
        <f>105310000</f>
        <v>105310000</v>
      </c>
      <c r="AO222" s="7">
        <f>AK222+AM222</f>
        <v>2200000</v>
      </c>
      <c r="AP222" s="7">
        <f>AN222+AO222</f>
        <v>107510000</v>
      </c>
      <c r="AQ222" s="7" t="s">
        <v>6246</v>
      </c>
      <c r="AR222" s="7" t="str">
        <f>_xlfn.XLOOKUP(C222,Sheet1!A:A,Sheet1!B:B, "Other")</f>
        <v>Asia</v>
      </c>
      <c r="AS222" t="str">
        <f>_xlfn.XLOOKUP(D222,Sheet1!D:D,Sheet1!E:E)</f>
        <v>Technology</v>
      </c>
    </row>
    <row r="223" spans="1:45" ht="18" customHeight="1">
      <c r="A223" s="7">
        <v>219</v>
      </c>
      <c r="B223" s="7" t="s">
        <v>1431</v>
      </c>
      <c r="C223" s="7" t="s">
        <v>96</v>
      </c>
      <c r="D223" s="7" t="s">
        <v>5398</v>
      </c>
      <c r="E223" s="7" t="s">
        <v>6245</v>
      </c>
      <c r="F223" s="7" t="s">
        <v>6244</v>
      </c>
      <c r="G223" s="122" t="s">
        <v>4174</v>
      </c>
      <c r="H223" s="7">
        <v>2021</v>
      </c>
      <c r="I223" s="7">
        <v>2021</v>
      </c>
      <c r="J223" s="122" t="s">
        <v>4183</v>
      </c>
      <c r="K223" s="7">
        <v>2030</v>
      </c>
      <c r="L223" s="127">
        <v>2023</v>
      </c>
      <c r="M223" s="122"/>
      <c r="N223" s="7"/>
      <c r="O223" s="7"/>
      <c r="P223" s="7" t="str" cm="1">
        <f t="array" ref="P223">IF(O223="", "", IFERROR(MAX(--_xlfn.TEXTSPLIT(O223,"+")), O223))</f>
        <v/>
      </c>
      <c r="Q223" s="7"/>
      <c r="R223" s="128"/>
      <c r="S223" s="7" t="s">
        <v>1957</v>
      </c>
      <c r="T223" s="7" t="s">
        <v>5131</v>
      </c>
      <c r="U223" s="7">
        <v>2050</v>
      </c>
      <c r="V223" s="7" cm="1">
        <f t="array" ref="V223">IF(U223="", "", IFERROR(MAX(--_xlfn.TEXTSPLIT(U223,"+")), U223))</f>
        <v>2050</v>
      </c>
      <c r="W223" s="7">
        <v>2021</v>
      </c>
      <c r="X223" s="125" t="s">
        <v>6243</v>
      </c>
      <c r="Y223" s="122" t="s">
        <v>4174</v>
      </c>
      <c r="Z223" s="7" t="s">
        <v>6242</v>
      </c>
      <c r="AA223" s="109" t="s">
        <v>6241</v>
      </c>
      <c r="AB223" s="7">
        <v>2022</v>
      </c>
      <c r="AC223" s="7"/>
      <c r="AD223" s="7"/>
      <c r="AE223" s="7"/>
      <c r="AF223" s="7">
        <f>1000*(425454+494893+10703)</f>
        <v>931050000</v>
      </c>
      <c r="AG223" s="7" t="s">
        <v>5032</v>
      </c>
      <c r="AH223" s="7">
        <v>762000</v>
      </c>
      <c r="AI223" s="7">
        <f>AH223+AF223</f>
        <v>931812000</v>
      </c>
      <c r="AJ223" s="7">
        <v>2021</v>
      </c>
      <c r="AK223" s="7"/>
      <c r="AL223" s="7"/>
      <c r="AM223" s="7"/>
      <c r="AN223" s="7">
        <f>1000*(400611+458738+9343+8439)</f>
        <v>877131000</v>
      </c>
      <c r="AO223" s="7">
        <v>809000</v>
      </c>
      <c r="AP223" s="7">
        <f>AO223+AN223</f>
        <v>877940000</v>
      </c>
      <c r="AQ223" s="27" t="s">
        <v>6240</v>
      </c>
      <c r="AR223" s="7" t="str">
        <f>_xlfn.XLOOKUP(C223,Sheet1!A:A,Sheet1!B:B, "Other")</f>
        <v>Europe</v>
      </c>
      <c r="AS223" t="str">
        <f>_xlfn.XLOOKUP(D223,Sheet1!D:D,Sheet1!E:E)</f>
        <v>Aerospace and defense</v>
      </c>
    </row>
    <row r="224" spans="1:45" ht="18" customHeight="1">
      <c r="A224" s="7">
        <v>220</v>
      </c>
      <c r="B224" s="7" t="s">
        <v>830</v>
      </c>
      <c r="C224" s="7" t="s">
        <v>400</v>
      </c>
      <c r="D224" s="7" t="s">
        <v>186</v>
      </c>
      <c r="E224" s="7" t="s">
        <v>6239</v>
      </c>
      <c r="F224" s="7" t="s">
        <v>6238</v>
      </c>
      <c r="G224" s="122" t="s">
        <v>4174</v>
      </c>
      <c r="H224" s="7">
        <v>2023</v>
      </c>
      <c r="I224" s="7">
        <v>2019</v>
      </c>
      <c r="J224" s="122" t="s">
        <v>4183</v>
      </c>
      <c r="K224" s="7">
        <v>2025</v>
      </c>
      <c r="L224" s="127">
        <v>2018</v>
      </c>
      <c r="M224" s="122"/>
      <c r="N224" s="7"/>
      <c r="O224" s="7"/>
      <c r="P224" s="7" t="str" cm="1">
        <f t="array" ref="P224">IF(O224="", "", IFERROR(MAX(--_xlfn.TEXTSPLIT(O224,"+")), O224))</f>
        <v/>
      </c>
      <c r="Q224" s="7"/>
      <c r="R224" s="109"/>
      <c r="S224" s="7" t="s">
        <v>4172</v>
      </c>
      <c r="T224" s="7" t="s">
        <v>1968</v>
      </c>
      <c r="U224" s="7">
        <v>2025</v>
      </c>
      <c r="V224" s="7" cm="1">
        <f t="array" ref="V224">IF(U224="", "", IFERROR(MAX(--_xlfn.TEXTSPLIT(U224,"+")), U224))</f>
        <v>2025</v>
      </c>
      <c r="W224" s="7">
        <v>2020</v>
      </c>
      <c r="X224" s="7" t="s">
        <v>6237</v>
      </c>
      <c r="Y224" s="122" t="s">
        <v>4174</v>
      </c>
      <c r="Z224" s="7" t="s">
        <v>6236</v>
      </c>
      <c r="AA224" s="109" t="s">
        <v>6235</v>
      </c>
      <c r="AB224" s="7">
        <v>2022</v>
      </c>
      <c r="AC224" s="124">
        <v>17804</v>
      </c>
      <c r="AD224" s="7"/>
      <c r="AE224" s="124">
        <v>8356</v>
      </c>
      <c r="AF224" s="124">
        <v>374297</v>
      </c>
      <c r="AG224" s="7" t="s">
        <v>4174</v>
      </c>
      <c r="AH224" s="7">
        <f>AC224+AE224</f>
        <v>26160</v>
      </c>
      <c r="AI224" s="7">
        <f>AH224+AF224</f>
        <v>400457</v>
      </c>
      <c r="AJ224" s="7">
        <v>2021</v>
      </c>
      <c r="AK224" s="124">
        <v>9250</v>
      </c>
      <c r="AL224" s="7"/>
      <c r="AM224" s="124">
        <v>70659</v>
      </c>
      <c r="AN224" s="124">
        <v>252546</v>
      </c>
      <c r="AO224" s="7">
        <f>AK224+AM224</f>
        <v>79909</v>
      </c>
      <c r="AP224" s="7">
        <f>AO224+AN224</f>
        <v>332455</v>
      </c>
      <c r="AQ224" s="27" t="s">
        <v>6234</v>
      </c>
      <c r="AR224" s="7" t="str">
        <f>_xlfn.XLOOKUP(C224,Sheet1!A:A,Sheet1!B:B, "Other")</f>
        <v>Europe</v>
      </c>
      <c r="AS224" t="str">
        <f>_xlfn.XLOOKUP(D224,Sheet1!D:D,Sheet1!E:E)</f>
        <v>Technology</v>
      </c>
    </row>
    <row r="225" spans="1:45" ht="18" customHeight="1">
      <c r="A225" s="7">
        <v>221</v>
      </c>
      <c r="B225" s="7" t="s">
        <v>649</v>
      </c>
      <c r="C225" s="7" t="s">
        <v>207</v>
      </c>
      <c r="D225" s="7" t="s">
        <v>71</v>
      </c>
      <c r="E225" s="7" t="s">
        <v>6233</v>
      </c>
      <c r="F225" s="7" t="s">
        <v>6232</v>
      </c>
      <c r="G225" s="122"/>
      <c r="H225" s="7"/>
      <c r="I225" s="7"/>
      <c r="J225" s="122" t="s">
        <v>1960</v>
      </c>
      <c r="K225" s="7"/>
      <c r="L225" s="127" t="s">
        <v>1960</v>
      </c>
      <c r="M225" s="122" t="s">
        <v>4172</v>
      </c>
      <c r="N225" s="7" t="s">
        <v>5824</v>
      </c>
      <c r="O225" s="7">
        <v>2050</v>
      </c>
      <c r="P225" s="7" cm="1">
        <f t="array" ref="P225">IF(O225="", "", IFERROR(MAX(--_xlfn.TEXTSPLIT(O225,"+")), O225))</f>
        <v>2050</v>
      </c>
      <c r="Q225" s="7">
        <v>2022</v>
      </c>
      <c r="R225" s="109" t="s">
        <v>6231</v>
      </c>
      <c r="S225" s="7"/>
      <c r="T225" s="7"/>
      <c r="U225" s="7"/>
      <c r="V225" s="7" t="str" cm="1">
        <f t="array" ref="V225">IF(U225="", "", IFERROR(MAX(--_xlfn.TEXTSPLIT(U225,"+")), U225))</f>
        <v/>
      </c>
      <c r="W225" s="7"/>
      <c r="X225" s="7"/>
      <c r="Y225" s="122"/>
      <c r="Z225" s="7"/>
      <c r="AA225" s="109"/>
      <c r="AB225" s="7">
        <v>2021</v>
      </c>
      <c r="AC225" s="7">
        <v>12474</v>
      </c>
      <c r="AD225" s="7"/>
      <c r="AE225" s="7">
        <v>630</v>
      </c>
      <c r="AF225" s="7">
        <v>107179</v>
      </c>
      <c r="AG225" s="7" t="s">
        <v>5032</v>
      </c>
      <c r="AH225" s="7">
        <f>AC225+AE225</f>
        <v>13104</v>
      </c>
      <c r="AI225" s="7">
        <f>AH225+AF225</f>
        <v>120283</v>
      </c>
      <c r="AJ225" s="7">
        <v>2020</v>
      </c>
      <c r="AK225" s="7">
        <v>12191</v>
      </c>
      <c r="AL225" s="7"/>
      <c r="AM225" s="7">
        <v>829</v>
      </c>
      <c r="AN225" s="7">
        <v>107954</v>
      </c>
      <c r="AO225" s="7">
        <f>AK225+AM225</f>
        <v>13020</v>
      </c>
      <c r="AP225" s="7">
        <f>AO225+AN225</f>
        <v>120974</v>
      </c>
      <c r="AQ225" s="7" t="s">
        <v>6231</v>
      </c>
      <c r="AR225" s="7" t="str">
        <f>_xlfn.XLOOKUP(C225,Sheet1!A:A,Sheet1!B:B, "Other")</f>
        <v>Asia</v>
      </c>
      <c r="AS225" t="str">
        <f>_xlfn.XLOOKUP(D225,Sheet1!D:D,Sheet1!E:E)</f>
        <v>Energy and utilities</v>
      </c>
    </row>
    <row r="226" spans="1:45" ht="18" customHeight="1">
      <c r="A226" s="7">
        <v>222</v>
      </c>
      <c r="B226" s="7" t="s">
        <v>2434</v>
      </c>
      <c r="C226" s="7" t="s">
        <v>73</v>
      </c>
      <c r="D226" s="7" t="s">
        <v>66</v>
      </c>
      <c r="E226" s="7" t="s">
        <v>6230</v>
      </c>
      <c r="F226" s="7" t="s">
        <v>6229</v>
      </c>
      <c r="G226" s="122"/>
      <c r="H226" s="7"/>
      <c r="I226" s="7"/>
      <c r="J226" s="122" t="s">
        <v>1960</v>
      </c>
      <c r="K226" s="7"/>
      <c r="L226" s="127" t="s">
        <v>1960</v>
      </c>
      <c r="M226" s="122"/>
      <c r="N226" s="7"/>
      <c r="O226" s="7"/>
      <c r="P226" s="7" t="str" cm="1">
        <f t="array" ref="P226">IF(O226="", "", IFERROR(MAX(--_xlfn.TEXTSPLIT(O226,"+")), O226))</f>
        <v/>
      </c>
      <c r="Q226" s="7"/>
      <c r="R226" s="109"/>
      <c r="S226" s="7"/>
      <c r="T226" s="7"/>
      <c r="U226" s="7"/>
      <c r="V226" s="7" t="str" cm="1">
        <f t="array" ref="V226">IF(U226="", "", IFERROR(MAX(--_xlfn.TEXTSPLIT(U226,"+")), U226))</f>
        <v/>
      </c>
      <c r="W226" s="7"/>
      <c r="X226" s="7"/>
      <c r="Y226" s="122"/>
      <c r="Z226" s="7"/>
      <c r="AA226" s="109"/>
      <c r="AB226" s="7" t="s">
        <v>5032</v>
      </c>
      <c r="AC226" s="7"/>
      <c r="AD226" s="7"/>
      <c r="AE226" s="7"/>
      <c r="AF226" s="7"/>
      <c r="AG226" s="7" t="s">
        <v>5032</v>
      </c>
      <c r="AH226" s="7"/>
      <c r="AI226" s="7"/>
      <c r="AJ226" s="7"/>
      <c r="AK226" s="7"/>
      <c r="AL226" s="7"/>
      <c r="AM226" s="7"/>
      <c r="AN226" s="7"/>
      <c r="AO226" s="7"/>
      <c r="AP226" s="7"/>
      <c r="AQ226" s="7"/>
      <c r="AR226" s="7" t="str">
        <f>_xlfn.XLOOKUP(C226,Sheet1!A:A,Sheet1!B:B, "Other")</f>
        <v>Asia</v>
      </c>
      <c r="AS226" t="str">
        <f>_xlfn.XLOOKUP(D226,Sheet1!D:D,Sheet1!E:E)</f>
        <v>Chemicals</v>
      </c>
    </row>
    <row r="227" spans="1:45" ht="18" customHeight="1">
      <c r="A227" s="7">
        <v>223</v>
      </c>
      <c r="B227" s="7" t="s">
        <v>1121</v>
      </c>
      <c r="C227" s="7" t="s">
        <v>73</v>
      </c>
      <c r="D227" s="7" t="s">
        <v>76</v>
      </c>
      <c r="E227" s="7" t="s">
        <v>6228</v>
      </c>
      <c r="F227" s="7" t="s">
        <v>6227</v>
      </c>
      <c r="G227" s="122"/>
      <c r="H227" s="7"/>
      <c r="I227" s="7"/>
      <c r="J227" s="122" t="s">
        <v>1960</v>
      </c>
      <c r="K227" s="7"/>
      <c r="L227" s="127" t="s">
        <v>1960</v>
      </c>
      <c r="M227" s="122" t="s">
        <v>4519</v>
      </c>
      <c r="N227" s="7" t="s">
        <v>5131</v>
      </c>
      <c r="O227" s="7">
        <v>2060</v>
      </c>
      <c r="P227" s="7" cm="1">
        <f t="array" ref="P227">IF(O227="", "", IFERROR(MAX(--_xlfn.TEXTSPLIT(O227,"+")), O227))</f>
        <v>2060</v>
      </c>
      <c r="Q227" s="7">
        <v>2020</v>
      </c>
      <c r="R227" s="109" t="s">
        <v>6224</v>
      </c>
      <c r="S227" s="7"/>
      <c r="T227" s="7"/>
      <c r="U227" s="7"/>
      <c r="V227" s="7" t="str" cm="1">
        <f t="array" ref="V227">IF(U227="", "", IFERROR(MAX(--_xlfn.TEXTSPLIT(U227,"+")), U227))</f>
        <v/>
      </c>
      <c r="W227" s="7"/>
      <c r="X227" s="7"/>
      <c r="Y227" s="122" t="s">
        <v>4174</v>
      </c>
      <c r="Z227" s="7" t="s">
        <v>6226</v>
      </c>
      <c r="AA227" s="109" t="s">
        <v>6225</v>
      </c>
      <c r="AB227" s="7">
        <v>2021</v>
      </c>
      <c r="AC227" s="123">
        <v>1804.56</v>
      </c>
      <c r="AD227" s="7"/>
      <c r="AE227" s="123">
        <v>40151.589999999997</v>
      </c>
      <c r="AF227" s="7"/>
      <c r="AG227" s="7" t="s">
        <v>5032</v>
      </c>
      <c r="AH227" s="123">
        <f>AC227+AE227</f>
        <v>41956.149999999994</v>
      </c>
      <c r="AI227" s="123">
        <f>AH227</f>
        <v>41956.149999999994</v>
      </c>
      <c r="AJ227" s="7">
        <v>2020</v>
      </c>
      <c r="AK227" s="7"/>
      <c r="AL227" s="7"/>
      <c r="AM227" s="7"/>
      <c r="AN227" s="7"/>
      <c r="AO227" s="7"/>
      <c r="AP227" s="7">
        <v>47826.1</v>
      </c>
      <c r="AQ227" s="7" t="s">
        <v>6224</v>
      </c>
      <c r="AR227" s="7" t="str">
        <f>_xlfn.XLOOKUP(C227,Sheet1!A:A,Sheet1!B:B, "Other")</f>
        <v>Asia</v>
      </c>
      <c r="AS227" t="str">
        <f>_xlfn.XLOOKUP(D227,Sheet1!D:D,Sheet1!E:E)</f>
        <v>Financial services</v>
      </c>
    </row>
    <row r="228" spans="1:45" ht="18" customHeight="1">
      <c r="A228" s="7">
        <v>224</v>
      </c>
      <c r="B228" s="7" t="s">
        <v>1474</v>
      </c>
      <c r="C228" s="7" t="s">
        <v>4457</v>
      </c>
      <c r="D228" s="7" t="s">
        <v>186</v>
      </c>
      <c r="E228" s="7" t="s">
        <v>6223</v>
      </c>
      <c r="F228" s="7" t="s">
        <v>6222</v>
      </c>
      <c r="G228" s="122"/>
      <c r="H228" s="7"/>
      <c r="I228" s="7"/>
      <c r="J228" s="122"/>
      <c r="K228" s="7"/>
      <c r="L228" s="127"/>
      <c r="M228" s="122"/>
      <c r="N228" s="7"/>
      <c r="O228" s="7"/>
      <c r="P228" s="7" t="str" cm="1">
        <f t="array" ref="P228">IF(O228="", "", IFERROR(MAX(--_xlfn.TEXTSPLIT(O228,"+")), O228))</f>
        <v/>
      </c>
      <c r="Q228" s="7"/>
      <c r="R228" s="109"/>
      <c r="S228" s="7" t="s">
        <v>1957</v>
      </c>
      <c r="T228" s="7" t="s">
        <v>6221</v>
      </c>
      <c r="U228" s="7">
        <v>2030</v>
      </c>
      <c r="V228" s="7" cm="1">
        <f t="array" ref="V228">IF(U228="", "", IFERROR(MAX(--_xlfn.TEXTSPLIT(U228,"+")), U228))</f>
        <v>2030</v>
      </c>
      <c r="W228" s="7">
        <v>2021</v>
      </c>
      <c r="X228" s="125" t="s">
        <v>6220</v>
      </c>
      <c r="Y228" s="122" t="s">
        <v>4174</v>
      </c>
      <c r="Z228" s="7" t="s">
        <v>6219</v>
      </c>
      <c r="AA228" s="126" t="s">
        <v>6218</v>
      </c>
      <c r="AB228" s="7">
        <v>2022</v>
      </c>
      <c r="AC228" s="124">
        <v>79000</v>
      </c>
      <c r="AD228" s="7"/>
      <c r="AE228" s="124">
        <v>183000</v>
      </c>
      <c r="AF228" s="124">
        <v>169000</v>
      </c>
      <c r="AG228" s="7" t="s">
        <v>5032</v>
      </c>
      <c r="AH228" s="124">
        <f>AC228+AE228</f>
        <v>262000</v>
      </c>
      <c r="AI228" s="124">
        <f>AF228+AH228</f>
        <v>431000</v>
      </c>
      <c r="AJ228" s="7">
        <v>2021</v>
      </c>
      <c r="AK228" s="124">
        <v>79000</v>
      </c>
      <c r="AL228" s="7"/>
      <c r="AM228" s="124">
        <v>221000</v>
      </c>
      <c r="AN228" s="124">
        <v>176000</v>
      </c>
      <c r="AO228" s="124">
        <f>AK228+AM228</f>
        <v>300000</v>
      </c>
      <c r="AP228" s="124">
        <f>AN228+AO228</f>
        <v>476000</v>
      </c>
      <c r="AQ228" s="27" t="s">
        <v>6217</v>
      </c>
      <c r="AR228" s="7" t="str">
        <f>_xlfn.XLOOKUP(C228,Sheet1!A:A,Sheet1!B:B, "Other")</f>
        <v>North America</v>
      </c>
      <c r="AS228" t="str">
        <f>_xlfn.XLOOKUP(D228,Sheet1!D:D,Sheet1!E:E)</f>
        <v>Technology</v>
      </c>
    </row>
    <row r="229" spans="1:45" ht="18" customHeight="1">
      <c r="A229" s="7">
        <v>225</v>
      </c>
      <c r="B229" s="7" t="s">
        <v>1102</v>
      </c>
      <c r="C229" s="7" t="s">
        <v>73</v>
      </c>
      <c r="D229" s="7" t="s">
        <v>171</v>
      </c>
      <c r="E229" s="7" t="s">
        <v>6216</v>
      </c>
      <c r="F229" s="7" t="s">
        <v>6215</v>
      </c>
      <c r="G229" s="122"/>
      <c r="H229" s="7"/>
      <c r="I229" s="7"/>
      <c r="J229" s="122" t="s">
        <v>1960</v>
      </c>
      <c r="K229" s="7"/>
      <c r="L229" s="127" t="s">
        <v>1960</v>
      </c>
      <c r="M229" s="122" t="s">
        <v>4172</v>
      </c>
      <c r="N229" s="7" t="s">
        <v>6214</v>
      </c>
      <c r="O229" s="7" t="s">
        <v>5696</v>
      </c>
      <c r="P229" s="7" cm="1">
        <f t="array" ref="P229">IF(O229="", "", IFERROR(MAX(--_xlfn.TEXTSPLIT(O229,"+")), O229))</f>
        <v>2045</v>
      </c>
      <c r="Q229" s="7">
        <v>2021</v>
      </c>
      <c r="R229" s="126" t="s">
        <v>6213</v>
      </c>
      <c r="S229" s="7"/>
      <c r="T229" s="7"/>
      <c r="U229" s="7"/>
      <c r="V229" s="7" t="str" cm="1">
        <f t="array" ref="V229">IF(U229="", "", IFERROR(MAX(--_xlfn.TEXTSPLIT(U229,"+")), U229))</f>
        <v/>
      </c>
      <c r="W229" s="7"/>
      <c r="X229" s="7"/>
      <c r="Y229" s="122"/>
      <c r="Z229" s="7"/>
      <c r="AA229" s="109"/>
      <c r="AB229" s="7">
        <v>2022</v>
      </c>
      <c r="AC229" s="7">
        <v>249291</v>
      </c>
      <c r="AD229" s="7"/>
      <c r="AE229" s="7">
        <v>655705</v>
      </c>
      <c r="AF229" s="7">
        <v>101818690</v>
      </c>
      <c r="AG229" s="7" t="s">
        <v>2082</v>
      </c>
      <c r="AH229" s="7">
        <f>AC229+AE229</f>
        <v>904996</v>
      </c>
      <c r="AI229" s="7">
        <f>AH229+AF229</f>
        <v>102723686</v>
      </c>
      <c r="AJ229" s="7">
        <v>2021</v>
      </c>
      <c r="AK229" s="7">
        <v>263159</v>
      </c>
      <c r="AL229" s="7"/>
      <c r="AM229" s="7">
        <v>867943</v>
      </c>
      <c r="AN229" s="7">
        <v>102344820</v>
      </c>
      <c r="AO229" s="7">
        <f>AK229+AM229</f>
        <v>1131102</v>
      </c>
      <c r="AP229" s="7">
        <f>AO229+AN229</f>
        <v>103475922</v>
      </c>
      <c r="AQ229" s="7" t="s">
        <v>6212</v>
      </c>
      <c r="AR229" s="7" t="str">
        <f>_xlfn.XLOOKUP(C229,Sheet1!A:A,Sheet1!B:B, "Other")</f>
        <v>Asia</v>
      </c>
      <c r="AS229" t="str">
        <f>_xlfn.XLOOKUP(D229,Sheet1!D:D,Sheet1!E:E)</f>
        <v>Automotive</v>
      </c>
    </row>
    <row r="230" spans="1:45" ht="18" customHeight="1">
      <c r="A230" s="7">
        <v>226</v>
      </c>
      <c r="B230" s="7" t="s">
        <v>1018</v>
      </c>
      <c r="C230" s="7" t="s">
        <v>4457</v>
      </c>
      <c r="D230" s="7" t="s">
        <v>319</v>
      </c>
      <c r="E230" s="7" t="s">
        <v>6211</v>
      </c>
      <c r="F230" s="7" t="s">
        <v>6210</v>
      </c>
      <c r="G230" s="122"/>
      <c r="H230" s="7"/>
      <c r="I230" s="7"/>
      <c r="J230" s="122" t="s">
        <v>1960</v>
      </c>
      <c r="K230" s="7"/>
      <c r="L230" s="127" t="s">
        <v>1960</v>
      </c>
      <c r="M230" s="122"/>
      <c r="N230" s="7"/>
      <c r="O230" s="7"/>
      <c r="P230" s="7" t="str" cm="1">
        <f t="array" ref="P230">IF(O230="", "", IFERROR(MAX(--_xlfn.TEXTSPLIT(O230,"+")), O230))</f>
        <v/>
      </c>
      <c r="Q230" s="7"/>
      <c r="R230" s="109"/>
      <c r="S230" s="7"/>
      <c r="T230" s="7"/>
      <c r="U230" s="7"/>
      <c r="V230" s="7" t="str" cm="1">
        <f t="array" ref="V230">IF(U230="", "", IFERROR(MAX(--_xlfn.TEXTSPLIT(U230,"+")), U230))</f>
        <v/>
      </c>
      <c r="W230" s="7"/>
      <c r="X230" s="7"/>
      <c r="Y230" s="122"/>
      <c r="Z230" s="7"/>
      <c r="AA230" s="109"/>
      <c r="AB230" s="7">
        <v>2021</v>
      </c>
      <c r="AC230" s="7">
        <v>729000</v>
      </c>
      <c r="AD230" s="7">
        <v>1222000</v>
      </c>
      <c r="AE230" s="7"/>
      <c r="AF230" s="7"/>
      <c r="AG230" s="7" t="s">
        <v>5032</v>
      </c>
      <c r="AH230" s="7">
        <f>AD230+AC230</f>
        <v>1951000</v>
      </c>
      <c r="AI230" s="7">
        <f>AH230</f>
        <v>1951000</v>
      </c>
      <c r="AJ230" s="7">
        <v>2020</v>
      </c>
      <c r="AK230" s="7">
        <v>729000</v>
      </c>
      <c r="AL230" s="7">
        <v>1339000</v>
      </c>
      <c r="AM230" s="7"/>
      <c r="AN230" s="7"/>
      <c r="AO230" s="7">
        <f>AK230+AL230</f>
        <v>2068000</v>
      </c>
      <c r="AP230" s="7">
        <f>AO230</f>
        <v>2068000</v>
      </c>
      <c r="AQ230" s="7" t="s">
        <v>6209</v>
      </c>
      <c r="AR230" s="7" t="str">
        <f>_xlfn.XLOOKUP(C230,Sheet1!A:A,Sheet1!B:B, "Other")</f>
        <v>North America</v>
      </c>
      <c r="AS230" t="str">
        <f>_xlfn.XLOOKUP(D230,Sheet1!D:D,Sheet1!E:E)</f>
        <v>Health care and pharmaceuticals</v>
      </c>
    </row>
    <row r="231" spans="1:45" ht="18" customHeight="1">
      <c r="A231" s="7">
        <v>227</v>
      </c>
      <c r="B231" s="7" t="s">
        <v>1305</v>
      </c>
      <c r="C231" s="7" t="s">
        <v>4457</v>
      </c>
      <c r="D231" s="7" t="s">
        <v>76</v>
      </c>
      <c r="E231" s="7" t="s">
        <v>6208</v>
      </c>
      <c r="F231" s="7" t="s">
        <v>6207</v>
      </c>
      <c r="G231" s="122"/>
      <c r="H231" s="7"/>
      <c r="I231" s="7"/>
      <c r="J231" s="122" t="s">
        <v>1960</v>
      </c>
      <c r="K231" s="7"/>
      <c r="L231" s="127" t="s">
        <v>1960</v>
      </c>
      <c r="M231" s="122" t="s">
        <v>1957</v>
      </c>
      <c r="N231" s="7" t="s">
        <v>6206</v>
      </c>
      <c r="O231" s="7">
        <v>2030</v>
      </c>
      <c r="P231" s="7" cm="1">
        <f t="array" ref="P231">IF(O231="", "", IFERROR(MAX(--_xlfn.TEXTSPLIT(O231,"+")), O231))</f>
        <v>2030</v>
      </c>
      <c r="Q231" s="7">
        <v>2022</v>
      </c>
      <c r="R231" s="109" t="s">
        <v>6201</v>
      </c>
      <c r="S231" s="7" t="s">
        <v>1957</v>
      </c>
      <c r="T231" s="7" t="s">
        <v>6205</v>
      </c>
      <c r="U231" s="7">
        <v>2050</v>
      </c>
      <c r="V231" s="7" cm="1">
        <f t="array" ref="V231">IF(U231="", "", IFERROR(MAX(--_xlfn.TEXTSPLIT(U231,"+")), U231))</f>
        <v>2050</v>
      </c>
      <c r="W231" s="7">
        <v>2021</v>
      </c>
      <c r="X231" s="125" t="s">
        <v>6204</v>
      </c>
      <c r="Y231" s="122" t="s">
        <v>4174</v>
      </c>
      <c r="Z231" s="7" t="s">
        <v>6203</v>
      </c>
      <c r="AA231" s="126" t="s">
        <v>6202</v>
      </c>
      <c r="AB231" s="7">
        <v>2022</v>
      </c>
      <c r="AC231" s="7">
        <v>1645</v>
      </c>
      <c r="AD231" s="7">
        <v>19880</v>
      </c>
      <c r="AE231" s="7">
        <v>16938</v>
      </c>
      <c r="AF231" s="7">
        <v>9487</v>
      </c>
      <c r="AG231" s="7" t="s">
        <v>5032</v>
      </c>
      <c r="AH231" s="7">
        <f>AC231+AE231</f>
        <v>18583</v>
      </c>
      <c r="AI231" s="7">
        <f>AH231+AF231</f>
        <v>28070</v>
      </c>
      <c r="AJ231" s="7">
        <v>2021</v>
      </c>
      <c r="AK231" s="7">
        <v>1481</v>
      </c>
      <c r="AL231" s="7">
        <v>21547</v>
      </c>
      <c r="AM231" s="7">
        <v>19986</v>
      </c>
      <c r="AN231" s="7">
        <v>8793</v>
      </c>
      <c r="AO231" s="7">
        <f>AK231+AM231</f>
        <v>21467</v>
      </c>
      <c r="AP231" s="7">
        <f>AO231+AN231</f>
        <v>30260</v>
      </c>
      <c r="AQ231" s="7" t="s">
        <v>6201</v>
      </c>
      <c r="AR231" s="7" t="str">
        <f>_xlfn.XLOOKUP(C231,Sheet1!A:A,Sheet1!B:B, "Other")</f>
        <v>North America</v>
      </c>
      <c r="AS231" t="str">
        <f>_xlfn.XLOOKUP(D231,Sheet1!D:D,Sheet1!E:E)</f>
        <v>Financial services</v>
      </c>
    </row>
    <row r="232" spans="1:45" ht="18" customHeight="1">
      <c r="A232" s="7">
        <v>228</v>
      </c>
      <c r="B232" s="7" t="s">
        <v>823</v>
      </c>
      <c r="C232" s="7" t="s">
        <v>96</v>
      </c>
      <c r="D232" s="7" t="s">
        <v>5091</v>
      </c>
      <c r="E232" s="7" t="s">
        <v>6200</v>
      </c>
      <c r="F232" s="7" t="s">
        <v>6199</v>
      </c>
      <c r="G232" s="122"/>
      <c r="H232" s="7"/>
      <c r="I232" s="7"/>
      <c r="J232" s="122" t="s">
        <v>1960</v>
      </c>
      <c r="K232" s="7"/>
      <c r="L232" s="127" t="s">
        <v>1960</v>
      </c>
      <c r="M232" s="122"/>
      <c r="N232" s="7"/>
      <c r="O232" s="7"/>
      <c r="P232" s="7" t="str" cm="1">
        <f t="array" ref="P232">IF(O232="", "", IFERROR(MAX(--_xlfn.TEXTSPLIT(O232,"+")), O232))</f>
        <v/>
      </c>
      <c r="Q232" s="7"/>
      <c r="R232" s="109"/>
      <c r="S232" s="7"/>
      <c r="T232" s="7"/>
      <c r="U232" s="7"/>
      <c r="V232" s="7" t="str" cm="1">
        <f t="array" ref="V232">IF(U232="", "", IFERROR(MAX(--_xlfn.TEXTSPLIT(U232,"+")), U232))</f>
        <v/>
      </c>
      <c r="W232" s="7"/>
      <c r="X232" s="7"/>
      <c r="Y232" s="122" t="s">
        <v>4174</v>
      </c>
      <c r="Z232" s="7" t="s">
        <v>5037</v>
      </c>
      <c r="AA232" s="109" t="s">
        <v>6198</v>
      </c>
      <c r="AB232" s="7">
        <v>2022</v>
      </c>
      <c r="AC232" s="7">
        <v>992704</v>
      </c>
      <c r="AD232" s="7"/>
      <c r="AE232" s="7">
        <v>443921</v>
      </c>
      <c r="AF232" s="7"/>
      <c r="AG232" s="7" t="s">
        <v>5032</v>
      </c>
      <c r="AH232" s="7">
        <f>AC232+AE232</f>
        <v>1436625</v>
      </c>
      <c r="AI232" s="7">
        <f>AH232+AF232</f>
        <v>1436625</v>
      </c>
      <c r="AJ232" s="7">
        <v>2021</v>
      </c>
      <c r="AK232" s="7">
        <v>999659</v>
      </c>
      <c r="AL232" s="7"/>
      <c r="AM232" s="7">
        <v>458819</v>
      </c>
      <c r="AN232" s="7"/>
      <c r="AO232" s="7">
        <f>AK232+AM232</f>
        <v>1458478</v>
      </c>
      <c r="AP232" s="7">
        <f>AO232+AN232</f>
        <v>1458478</v>
      </c>
      <c r="AQ232" s="7" t="s">
        <v>6198</v>
      </c>
      <c r="AR232" s="7" t="str">
        <f>_xlfn.XLOOKUP(C232,Sheet1!A:A,Sheet1!B:B, "Other")</f>
        <v>Europe</v>
      </c>
      <c r="AS232" t="str">
        <f>_xlfn.XLOOKUP(D232,Sheet1!D:D,Sheet1!E:E)</f>
        <v>Food, beverages and agriculture</v>
      </c>
    </row>
    <row r="233" spans="1:45" ht="18" customHeight="1">
      <c r="A233" s="7">
        <v>229</v>
      </c>
      <c r="B233" s="7" t="s">
        <v>1119</v>
      </c>
      <c r="C233" s="7" t="s">
        <v>73</v>
      </c>
      <c r="D233" s="7" t="s">
        <v>85</v>
      </c>
      <c r="E233" s="7" t="s">
        <v>6197</v>
      </c>
      <c r="F233" s="7" t="s">
        <v>6196</v>
      </c>
      <c r="G233" s="122"/>
      <c r="H233" s="7"/>
      <c r="I233" s="7"/>
      <c r="J233" s="122" t="s">
        <v>1960</v>
      </c>
      <c r="K233" s="7"/>
      <c r="L233" s="127" t="s">
        <v>1960</v>
      </c>
      <c r="M233" s="122" t="s">
        <v>1957</v>
      </c>
      <c r="N233" s="7" t="s">
        <v>5131</v>
      </c>
      <c r="O233" s="7">
        <v>2050</v>
      </c>
      <c r="P233" s="7" cm="1">
        <f t="array" ref="P233">IF(O233="", "", IFERROR(MAX(--_xlfn.TEXTSPLIT(O233,"+")), O233))</f>
        <v>2050</v>
      </c>
      <c r="Q233" s="7">
        <v>2021</v>
      </c>
      <c r="R233" s="109" t="s">
        <v>6195</v>
      </c>
      <c r="S233" s="7"/>
      <c r="T233" s="7"/>
      <c r="U233" s="7"/>
      <c r="V233" s="7" t="str" cm="1">
        <f t="array" ref="V233">IF(U233="", "", IFERROR(MAX(--_xlfn.TEXTSPLIT(U233,"+")), U233))</f>
        <v/>
      </c>
      <c r="W233" s="7"/>
      <c r="X233" s="7"/>
      <c r="Y233" s="122"/>
      <c r="Z233" s="7"/>
      <c r="AA233" s="109"/>
      <c r="AB233" s="7" t="s">
        <v>5032</v>
      </c>
      <c r="AC233" s="7"/>
      <c r="AD233" s="7"/>
      <c r="AE233" s="7"/>
      <c r="AF233" s="7"/>
      <c r="AG233" s="7" t="s">
        <v>5032</v>
      </c>
      <c r="AH233" s="7"/>
      <c r="AI233" s="7"/>
      <c r="AJ233" s="7" t="s">
        <v>5032</v>
      </c>
      <c r="AK233" s="7"/>
      <c r="AL233" s="7"/>
      <c r="AM233" s="7"/>
      <c r="AN233" s="7"/>
      <c r="AO233" s="7"/>
      <c r="AP233" s="7"/>
      <c r="AQ233" s="7"/>
      <c r="AR233" s="7" t="str">
        <f>_xlfn.XLOOKUP(C233,Sheet1!A:A,Sheet1!B:B, "Other")</f>
        <v>Asia</v>
      </c>
      <c r="AS233" t="str">
        <f>_xlfn.XLOOKUP(D233,Sheet1!D:D,Sheet1!E:E)</f>
        <v>Industrial goods</v>
      </c>
    </row>
    <row r="234" spans="1:45" ht="18" customHeight="1">
      <c r="A234" s="7">
        <v>230</v>
      </c>
      <c r="B234" s="7" t="s">
        <v>1197</v>
      </c>
      <c r="C234" s="7" t="s">
        <v>4457</v>
      </c>
      <c r="D234" s="7" t="s">
        <v>283</v>
      </c>
      <c r="E234" s="7" t="s">
        <v>6194</v>
      </c>
      <c r="F234" s="7" t="s">
        <v>6193</v>
      </c>
      <c r="G234" s="122"/>
      <c r="H234" s="7"/>
      <c r="I234" s="7"/>
      <c r="J234" s="122" t="s">
        <v>1960</v>
      </c>
      <c r="K234" s="7"/>
      <c r="L234" s="127" t="s">
        <v>1960</v>
      </c>
      <c r="M234" s="122"/>
      <c r="N234" s="7"/>
      <c r="O234" s="7"/>
      <c r="P234" s="7" t="str" cm="1">
        <f t="array" ref="P234">IF(O234="", "", IFERROR(MAX(--_xlfn.TEXTSPLIT(O234,"+")), O234))</f>
        <v/>
      </c>
      <c r="Q234" s="7"/>
      <c r="R234" s="109"/>
      <c r="S234" s="7"/>
      <c r="T234" s="7"/>
      <c r="U234" s="7"/>
      <c r="V234" s="7" t="str" cm="1">
        <f t="array" ref="V234">IF(U234="", "", IFERROR(MAX(--_xlfn.TEXTSPLIT(U234,"+")), U234))</f>
        <v/>
      </c>
      <c r="W234" s="7"/>
      <c r="X234" s="7"/>
      <c r="Y234" s="122" t="s">
        <v>4174</v>
      </c>
      <c r="Z234" s="7" t="s">
        <v>5037</v>
      </c>
      <c r="AA234" s="109" t="s">
        <v>6192</v>
      </c>
      <c r="AB234" s="7">
        <v>2022</v>
      </c>
      <c r="AC234" s="7">
        <v>740000</v>
      </c>
      <c r="AD234" s="7">
        <v>800000</v>
      </c>
      <c r="AE234" s="7">
        <v>740000</v>
      </c>
      <c r="AF234" s="7">
        <v>613000000</v>
      </c>
      <c r="AG234" s="7" t="s">
        <v>4174</v>
      </c>
      <c r="AH234" s="7">
        <f t="shared" ref="AH234:AH242" si="28">AC234+AE234</f>
        <v>1480000</v>
      </c>
      <c r="AI234" s="7">
        <f>AH234+AF234</f>
        <v>614480000</v>
      </c>
      <c r="AJ234" s="7">
        <v>2021</v>
      </c>
      <c r="AK234" s="7">
        <v>740000</v>
      </c>
      <c r="AL234" s="7">
        <v>850000</v>
      </c>
      <c r="AM234" s="7">
        <v>770000</v>
      </c>
      <c r="AN234" s="7">
        <v>589000000</v>
      </c>
      <c r="AO234" s="7">
        <f t="shared" ref="AO234:AO241" si="29">AK234+AM234</f>
        <v>1510000</v>
      </c>
      <c r="AP234" s="7">
        <f>AO234+AN234</f>
        <v>590510000</v>
      </c>
      <c r="AQ234" s="7" t="s">
        <v>6191</v>
      </c>
      <c r="AR234" s="7" t="str">
        <f>_xlfn.XLOOKUP(C234,Sheet1!A:A,Sheet1!B:B, "Other")</f>
        <v>North America</v>
      </c>
      <c r="AS234" t="str">
        <f>_xlfn.XLOOKUP(D234,Sheet1!D:D,Sheet1!E:E)</f>
        <v>Industrial goods</v>
      </c>
    </row>
    <row r="235" spans="1:45" ht="18" customHeight="1">
      <c r="A235" s="7">
        <v>231</v>
      </c>
      <c r="B235" s="7" t="s">
        <v>887</v>
      </c>
      <c r="C235" s="7" t="s">
        <v>4457</v>
      </c>
      <c r="D235" s="7" t="s">
        <v>319</v>
      </c>
      <c r="E235" s="7" t="s">
        <v>6190</v>
      </c>
      <c r="F235" s="7" t="s">
        <v>6189</v>
      </c>
      <c r="G235" s="122"/>
      <c r="H235" s="7"/>
      <c r="I235" s="7"/>
      <c r="J235" s="122" t="s">
        <v>4183</v>
      </c>
      <c r="K235" s="7">
        <v>2030</v>
      </c>
      <c r="L235" s="127">
        <v>2021</v>
      </c>
      <c r="M235" s="122" t="s">
        <v>1957</v>
      </c>
      <c r="N235" s="7" t="s">
        <v>1968</v>
      </c>
      <c r="O235" s="7">
        <v>2040</v>
      </c>
      <c r="P235" s="7" cm="1">
        <f t="array" ref="P235">IF(O235="", "", IFERROR(MAX(--_xlfn.TEXTSPLIT(O235,"+")), O235))</f>
        <v>2040</v>
      </c>
      <c r="Q235" s="7">
        <v>2021</v>
      </c>
      <c r="R235" s="109" t="s">
        <v>6188</v>
      </c>
      <c r="S235" s="7"/>
      <c r="T235" s="7"/>
      <c r="U235" s="7"/>
      <c r="V235" s="7" t="str" cm="1">
        <f t="array" ref="V235">IF(U235="", "", IFERROR(MAX(--_xlfn.TEXTSPLIT(U235,"+")), U235))</f>
        <v/>
      </c>
      <c r="W235" s="7"/>
      <c r="X235" s="7"/>
      <c r="Y235" s="122" t="s">
        <v>4174</v>
      </c>
      <c r="Z235" s="7" t="s">
        <v>6187</v>
      </c>
      <c r="AA235" s="109" t="s">
        <v>6186</v>
      </c>
      <c r="AB235" s="7">
        <v>2022</v>
      </c>
      <c r="AC235" s="7">
        <v>1425000</v>
      </c>
      <c r="AD235" s="7"/>
      <c r="AE235" s="7">
        <v>242000</v>
      </c>
      <c r="AF235" s="7">
        <v>6616000</v>
      </c>
      <c r="AG235" s="7" t="s">
        <v>4174</v>
      </c>
      <c r="AH235" s="7">
        <f t="shared" si="28"/>
        <v>1667000</v>
      </c>
      <c r="AI235" s="7">
        <f>AH235+AF235</f>
        <v>8283000</v>
      </c>
      <c r="AJ235" s="7">
        <v>2021</v>
      </c>
      <c r="AK235" s="7">
        <v>1522000</v>
      </c>
      <c r="AL235" s="7"/>
      <c r="AM235" s="7">
        <v>321000</v>
      </c>
      <c r="AN235" s="7">
        <v>5716000</v>
      </c>
      <c r="AO235" s="7">
        <f t="shared" si="29"/>
        <v>1843000</v>
      </c>
      <c r="AP235" s="7">
        <f>AO235+AN235</f>
        <v>7559000</v>
      </c>
      <c r="AQ235" s="7" t="s">
        <v>6185</v>
      </c>
      <c r="AR235" s="7" t="str">
        <f>_xlfn.XLOOKUP(C235,Sheet1!A:A,Sheet1!B:B, "Other")</f>
        <v>North America</v>
      </c>
      <c r="AS235" t="str">
        <f>_xlfn.XLOOKUP(D235,Sheet1!D:D,Sheet1!E:E)</f>
        <v>Health care and pharmaceuticals</v>
      </c>
    </row>
    <row r="236" spans="1:45" ht="18" customHeight="1">
      <c r="A236" s="7">
        <v>232</v>
      </c>
      <c r="B236" s="7" t="s">
        <v>1134</v>
      </c>
      <c r="C236" s="7" t="s">
        <v>146</v>
      </c>
      <c r="D236" s="7" t="s">
        <v>178</v>
      </c>
      <c r="E236" s="7" t="s">
        <v>6184</v>
      </c>
      <c r="F236" s="7" t="s">
        <v>6183</v>
      </c>
      <c r="G236" s="122"/>
      <c r="H236" s="7"/>
      <c r="I236" s="7"/>
      <c r="J236" s="122" t="s">
        <v>4183</v>
      </c>
      <c r="K236" s="7">
        <v>2030</v>
      </c>
      <c r="L236" s="127">
        <v>2020</v>
      </c>
      <c r="M236" s="122" t="s">
        <v>1957</v>
      </c>
      <c r="N236" s="7" t="s">
        <v>5131</v>
      </c>
      <c r="O236" s="7">
        <v>2040</v>
      </c>
      <c r="P236" s="7" cm="1">
        <f t="array" ref="P236">IF(O236="", "", IFERROR(MAX(--_xlfn.TEXTSPLIT(O236,"+")), O236))</f>
        <v>2040</v>
      </c>
      <c r="Q236" s="7">
        <v>2021</v>
      </c>
      <c r="R236" s="109" t="s">
        <v>6182</v>
      </c>
      <c r="S236" s="7"/>
      <c r="T236" s="7"/>
      <c r="U236" s="7"/>
      <c r="V236" s="7" t="str" cm="1">
        <f t="array" ref="V236">IF(U236="", "", IFERROR(MAX(--_xlfn.TEXTSPLIT(U236,"+")), U236))</f>
        <v/>
      </c>
      <c r="W236" s="7"/>
      <c r="X236" s="7"/>
      <c r="Y236" s="122"/>
      <c r="Z236" s="7"/>
      <c r="AA236" s="109"/>
      <c r="AB236" s="7">
        <v>2022</v>
      </c>
      <c r="AC236" s="7">
        <v>2770000</v>
      </c>
      <c r="AD236" s="7"/>
      <c r="AE236" s="7">
        <v>3050000</v>
      </c>
      <c r="AF236" s="7">
        <v>12110000</v>
      </c>
      <c r="AG236" s="7" t="s">
        <v>2082</v>
      </c>
      <c r="AH236" s="7">
        <f t="shared" si="28"/>
        <v>5820000</v>
      </c>
      <c r="AI236" s="7">
        <f>AH236+AF236</f>
        <v>17930000</v>
      </c>
      <c r="AJ236" s="7">
        <v>2021</v>
      </c>
      <c r="AK236" s="7">
        <v>3300000</v>
      </c>
      <c r="AL236" s="7"/>
      <c r="AM236" s="7">
        <v>3190000</v>
      </c>
      <c r="AN236" s="7">
        <v>12020000</v>
      </c>
      <c r="AO236" s="7">
        <f t="shared" si="29"/>
        <v>6490000</v>
      </c>
      <c r="AP236" s="7">
        <f>AO236+AN236</f>
        <v>18510000</v>
      </c>
      <c r="AQ236" s="7" t="s">
        <v>6181</v>
      </c>
      <c r="AR236" s="7" t="str">
        <f>_xlfn.XLOOKUP(C236,Sheet1!A:A,Sheet1!B:B, "Other")</f>
        <v>Europe</v>
      </c>
      <c r="AS236" t="str">
        <f>_xlfn.XLOOKUP(D236,Sheet1!D:D,Sheet1!E:E)</f>
        <v>Transportation and logistics</v>
      </c>
    </row>
    <row r="237" spans="1:45" ht="18" customHeight="1">
      <c r="A237" s="7">
        <v>233</v>
      </c>
      <c r="B237" s="7" t="s">
        <v>917</v>
      </c>
      <c r="C237" s="7" t="s">
        <v>87</v>
      </c>
      <c r="D237" s="7" t="s">
        <v>71</v>
      </c>
      <c r="E237" s="7" t="s">
        <v>6180</v>
      </c>
      <c r="F237" s="7" t="s">
        <v>5260</v>
      </c>
      <c r="G237" s="122"/>
      <c r="H237" s="7"/>
      <c r="I237" s="7"/>
      <c r="J237" s="122" t="s">
        <v>1960</v>
      </c>
      <c r="K237" s="7"/>
      <c r="L237" s="127" t="s">
        <v>1960</v>
      </c>
      <c r="M237" s="122"/>
      <c r="N237" s="7"/>
      <c r="O237" s="7"/>
      <c r="P237" s="7" t="str" cm="1">
        <f t="array" ref="P237">IF(O237="", "", IFERROR(MAX(--_xlfn.TEXTSPLIT(O237,"+")), O237))</f>
        <v/>
      </c>
      <c r="Q237" s="7"/>
      <c r="R237" s="109"/>
      <c r="S237" s="7" t="s">
        <v>1957</v>
      </c>
      <c r="T237" s="7" t="s">
        <v>5042</v>
      </c>
      <c r="U237" s="7">
        <v>2040</v>
      </c>
      <c r="V237" s="7" cm="1">
        <f t="array" ref="V237">IF(U237="", "", IFERROR(MAX(--_xlfn.TEXTSPLIT(U237,"+")), U237))</f>
        <v>2040</v>
      </c>
      <c r="W237" s="7">
        <v>2021</v>
      </c>
      <c r="X237" s="7" t="s">
        <v>6179</v>
      </c>
      <c r="Y237" s="122"/>
      <c r="Z237" s="7"/>
      <c r="AA237" s="109"/>
      <c r="AB237" s="7">
        <v>2022</v>
      </c>
      <c r="AC237" s="7">
        <v>6681830</v>
      </c>
      <c r="AD237" s="7"/>
      <c r="AE237" s="7">
        <v>523500</v>
      </c>
      <c r="AF237" s="7">
        <v>851430</v>
      </c>
      <c r="AG237" s="7" t="s">
        <v>5032</v>
      </c>
      <c r="AH237" s="7">
        <f t="shared" si="28"/>
        <v>7205330</v>
      </c>
      <c r="AI237" s="7">
        <f>AH237+AF237</f>
        <v>8056760</v>
      </c>
      <c r="AJ237" s="7">
        <v>2021</v>
      </c>
      <c r="AK237" s="7">
        <v>5569610</v>
      </c>
      <c r="AL237" s="7"/>
      <c r="AM237" s="7">
        <v>480990</v>
      </c>
      <c r="AN237" s="7">
        <v>1004260</v>
      </c>
      <c r="AO237" s="7">
        <f t="shared" si="29"/>
        <v>6050600</v>
      </c>
      <c r="AP237" s="7">
        <f>AN237+AO237</f>
        <v>7054860</v>
      </c>
      <c r="AQ237" s="27" t="s">
        <v>6179</v>
      </c>
      <c r="AR237" s="7" t="str">
        <f>_xlfn.XLOOKUP(C237,Sheet1!A:A,Sheet1!B:B, "Other")</f>
        <v>Asia</v>
      </c>
      <c r="AS237" t="str">
        <f>_xlfn.XLOOKUP(D237,Sheet1!D:D,Sheet1!E:E)</f>
        <v>Energy and utilities</v>
      </c>
    </row>
    <row r="238" spans="1:45" ht="18" customHeight="1">
      <c r="A238" s="7">
        <v>234</v>
      </c>
      <c r="B238" s="7" t="s">
        <v>6178</v>
      </c>
      <c r="C238" s="7" t="s">
        <v>4457</v>
      </c>
      <c r="D238" s="7" t="s">
        <v>71</v>
      </c>
      <c r="E238" s="7" t="s">
        <v>6177</v>
      </c>
      <c r="F238" s="7" t="s">
        <v>6176</v>
      </c>
      <c r="G238" s="122"/>
      <c r="H238" s="7"/>
      <c r="I238" s="7"/>
      <c r="J238" s="122"/>
      <c r="K238" s="7"/>
      <c r="L238" s="127"/>
      <c r="M238" s="122" t="s">
        <v>1957</v>
      </c>
      <c r="N238" s="7" t="s">
        <v>1659</v>
      </c>
      <c r="O238" s="7">
        <v>2020</v>
      </c>
      <c r="P238" s="7" cm="1">
        <f t="array" ref="P238">IF(O238="", "", IFERROR(MAX(--_xlfn.TEXTSPLIT(O238,"+")), O238))</f>
        <v>2020</v>
      </c>
      <c r="Q238" s="7">
        <v>2020</v>
      </c>
      <c r="R238" s="126" t="s">
        <v>6173</v>
      </c>
      <c r="S238" s="7"/>
      <c r="T238" s="7"/>
      <c r="U238" s="7"/>
      <c r="V238" s="7" t="str" cm="1">
        <f t="array" ref="V238">IF(U238="", "", IFERROR(MAX(--_xlfn.TEXTSPLIT(U238,"+")), U238))</f>
        <v/>
      </c>
      <c r="W238" s="7"/>
      <c r="X238" s="7"/>
      <c r="Y238" s="122" t="s">
        <v>4174</v>
      </c>
      <c r="Z238" s="7" t="s">
        <v>6175</v>
      </c>
      <c r="AA238" s="126" t="s">
        <v>6174</v>
      </c>
      <c r="AB238" s="7">
        <v>2020</v>
      </c>
      <c r="AC238" s="7">
        <v>41600</v>
      </c>
      <c r="AD238" s="7"/>
      <c r="AE238" s="7">
        <v>4700</v>
      </c>
      <c r="AF238" s="7"/>
      <c r="AG238" s="7" t="s">
        <v>5032</v>
      </c>
      <c r="AH238" s="124">
        <f t="shared" si="28"/>
        <v>46300</v>
      </c>
      <c r="AI238" s="124">
        <f>AF238+AH238</f>
        <v>46300</v>
      </c>
      <c r="AJ238" s="7">
        <v>2019</v>
      </c>
      <c r="AK238" s="7">
        <v>50800</v>
      </c>
      <c r="AL238" s="7"/>
      <c r="AM238" s="7">
        <v>6800</v>
      </c>
      <c r="AN238" s="7"/>
      <c r="AO238" s="124">
        <f t="shared" si="29"/>
        <v>57600</v>
      </c>
      <c r="AP238" s="124">
        <f>AN238+AO238</f>
        <v>57600</v>
      </c>
      <c r="AQ238" s="27" t="s">
        <v>6173</v>
      </c>
      <c r="AR238" s="7" t="str">
        <f>_xlfn.XLOOKUP(C238,Sheet1!A:A,Sheet1!B:B, "Other")</f>
        <v>North America</v>
      </c>
      <c r="AS238" t="str">
        <f>_xlfn.XLOOKUP(D238,Sheet1!D:D,Sheet1!E:E)</f>
        <v>Energy and utilities</v>
      </c>
    </row>
    <row r="239" spans="1:45" ht="18" customHeight="1">
      <c r="A239" s="7">
        <v>235</v>
      </c>
      <c r="B239" s="7" t="s">
        <v>1033</v>
      </c>
      <c r="C239" s="7" t="s">
        <v>87</v>
      </c>
      <c r="D239" s="7" t="s">
        <v>76</v>
      </c>
      <c r="E239" s="7" t="s">
        <v>6172</v>
      </c>
      <c r="F239" s="7" t="s">
        <v>6171</v>
      </c>
      <c r="G239" s="122"/>
      <c r="H239" s="7"/>
      <c r="I239" s="7"/>
      <c r="J239" s="122" t="s">
        <v>1960</v>
      </c>
      <c r="K239" s="7"/>
      <c r="L239" s="127" t="s">
        <v>1960</v>
      </c>
      <c r="M239" s="122" t="s">
        <v>1957</v>
      </c>
      <c r="N239" s="7" t="s">
        <v>6170</v>
      </c>
      <c r="O239" s="7">
        <v>2030</v>
      </c>
      <c r="P239" s="7" cm="1">
        <f t="array" ref="P239">IF(O239="", "", IFERROR(MAX(--_xlfn.TEXTSPLIT(O239,"+")), O239))</f>
        <v>2030</v>
      </c>
      <c r="Q239" s="7">
        <v>2018</v>
      </c>
      <c r="R239" s="109" t="s">
        <v>6169</v>
      </c>
      <c r="S239" s="7"/>
      <c r="T239" s="7"/>
      <c r="U239" s="7"/>
      <c r="V239" s="7" t="str" cm="1">
        <f t="array" ref="V239">IF(U239="", "", IFERROR(MAX(--_xlfn.TEXTSPLIT(U239,"+")), U239))</f>
        <v/>
      </c>
      <c r="W239" s="7"/>
      <c r="X239" s="7"/>
      <c r="Y239" s="122"/>
      <c r="Z239" s="7"/>
      <c r="AA239" s="109"/>
      <c r="AB239" s="7">
        <v>2022</v>
      </c>
      <c r="AC239" s="7">
        <v>217272</v>
      </c>
      <c r="AD239" s="7"/>
      <c r="AE239" s="7">
        <v>742732</v>
      </c>
      <c r="AF239" s="7">
        <v>46299</v>
      </c>
      <c r="AG239" s="7" t="s">
        <v>2082</v>
      </c>
      <c r="AH239" s="7">
        <f t="shared" si="28"/>
        <v>960004</v>
      </c>
      <c r="AI239" s="7">
        <f>AH239+AF239</f>
        <v>1006303</v>
      </c>
      <c r="AJ239" s="7">
        <v>2021</v>
      </c>
      <c r="AK239" s="7">
        <v>547</v>
      </c>
      <c r="AL239" s="7"/>
      <c r="AM239" s="7">
        <v>1144641</v>
      </c>
      <c r="AN239" s="7">
        <v>140044</v>
      </c>
      <c r="AO239" s="7">
        <f t="shared" si="29"/>
        <v>1145188</v>
      </c>
      <c r="AP239" s="7">
        <f>AO239+AN239</f>
        <v>1285232</v>
      </c>
      <c r="AQ239" s="7" t="s">
        <v>6168</v>
      </c>
      <c r="AR239" s="7" t="str">
        <f>_xlfn.XLOOKUP(C239,Sheet1!A:A,Sheet1!B:B, "Other")</f>
        <v>Asia</v>
      </c>
      <c r="AS239" t="str">
        <f>_xlfn.XLOOKUP(D239,Sheet1!D:D,Sheet1!E:E)</f>
        <v>Financial services</v>
      </c>
    </row>
    <row r="240" spans="1:45" ht="18" customHeight="1">
      <c r="A240" s="7">
        <v>236</v>
      </c>
      <c r="B240" s="7" t="s">
        <v>1207</v>
      </c>
      <c r="C240" s="7" t="s">
        <v>207</v>
      </c>
      <c r="D240" s="7" t="s">
        <v>85</v>
      </c>
      <c r="E240" s="7" t="s">
        <v>6167</v>
      </c>
      <c r="F240" s="7" t="s">
        <v>6166</v>
      </c>
      <c r="G240" s="122"/>
      <c r="H240" s="7"/>
      <c r="I240" s="7"/>
      <c r="J240" s="122" t="s">
        <v>1960</v>
      </c>
      <c r="K240" s="7"/>
      <c r="L240" s="127" t="s">
        <v>1960</v>
      </c>
      <c r="M240" s="122" t="s">
        <v>1957</v>
      </c>
      <c r="N240" s="7" t="s">
        <v>5131</v>
      </c>
      <c r="O240" s="7">
        <v>2050</v>
      </c>
      <c r="P240" s="7" cm="1">
        <f t="array" ref="P240">IF(O240="", "", IFERROR(MAX(--_xlfn.TEXTSPLIT(O240,"+")), O240))</f>
        <v>2050</v>
      </c>
      <c r="Q240" s="7">
        <v>2021</v>
      </c>
      <c r="R240" s="109" t="s">
        <v>6165</v>
      </c>
      <c r="S240" s="7"/>
      <c r="T240" s="7"/>
      <c r="U240" s="7"/>
      <c r="V240" s="7" t="str" cm="1">
        <f t="array" ref="V240">IF(U240="", "", IFERROR(MAX(--_xlfn.TEXTSPLIT(U240,"+")), U240))</f>
        <v/>
      </c>
      <c r="W240" s="7"/>
      <c r="X240" s="7"/>
      <c r="Y240" s="122"/>
      <c r="Z240" s="7"/>
      <c r="AA240" s="126"/>
      <c r="AB240" s="7">
        <v>2021</v>
      </c>
      <c r="AC240" s="124">
        <v>71292000</v>
      </c>
      <c r="AD240" s="7"/>
      <c r="AE240" s="124">
        <v>12478000</v>
      </c>
      <c r="AF240" s="7">
        <v>19518000</v>
      </c>
      <c r="AG240" s="7" t="s">
        <v>2082</v>
      </c>
      <c r="AH240" s="124">
        <f t="shared" si="28"/>
        <v>83770000</v>
      </c>
      <c r="AI240" s="124">
        <f>AH240+AF240</f>
        <v>103288000</v>
      </c>
      <c r="AJ240" s="7">
        <v>2020</v>
      </c>
      <c r="AK240" s="124">
        <v>62987000</v>
      </c>
      <c r="AL240" s="7"/>
      <c r="AM240" s="124">
        <v>11035000</v>
      </c>
      <c r="AN240" s="7">
        <v>18078000</v>
      </c>
      <c r="AO240" s="124">
        <f t="shared" si="29"/>
        <v>74022000</v>
      </c>
      <c r="AP240" s="124">
        <f>AN240+AO240</f>
        <v>92100000</v>
      </c>
      <c r="AQ240" s="7" t="s">
        <v>6165</v>
      </c>
      <c r="AR240" s="7" t="str">
        <f>_xlfn.XLOOKUP(C240,Sheet1!A:A,Sheet1!B:B, "Other")</f>
        <v>Asia</v>
      </c>
      <c r="AS240" t="str">
        <f>_xlfn.XLOOKUP(D240,Sheet1!D:D,Sheet1!E:E)</f>
        <v>Industrial goods</v>
      </c>
    </row>
    <row r="241" spans="1:45" ht="18" customHeight="1">
      <c r="A241" s="7">
        <v>237</v>
      </c>
      <c r="B241" s="7" t="s">
        <v>4639</v>
      </c>
      <c r="C241" s="7" t="s">
        <v>146</v>
      </c>
      <c r="D241" s="7" t="s">
        <v>71</v>
      </c>
      <c r="E241" s="7" t="s">
        <v>6164</v>
      </c>
      <c r="F241" s="7" t="s">
        <v>6163</v>
      </c>
      <c r="G241" s="122"/>
      <c r="H241" s="7"/>
      <c r="I241" s="7"/>
      <c r="J241" s="122" t="s">
        <v>4183</v>
      </c>
      <c r="K241" s="7">
        <v>2035</v>
      </c>
      <c r="L241" s="127">
        <v>2023</v>
      </c>
      <c r="M241" s="122" t="s">
        <v>1957</v>
      </c>
      <c r="N241" s="7" t="s">
        <v>5042</v>
      </c>
      <c r="O241" s="7">
        <v>2035</v>
      </c>
      <c r="P241" s="7" cm="1">
        <f t="array" ref="P241">IF(O241="", "", IFERROR(MAX(--_xlfn.TEXTSPLIT(O241,"+")), O241))</f>
        <v>2035</v>
      </c>
      <c r="Q241" s="7">
        <v>2020</v>
      </c>
      <c r="R241" s="126" t="s">
        <v>6162</v>
      </c>
      <c r="S241" s="7"/>
      <c r="T241" s="7"/>
      <c r="U241" s="7"/>
      <c r="V241" s="7" t="str" cm="1">
        <f t="array" ref="V241">IF(U241="", "", IFERROR(MAX(--_xlfn.TEXTSPLIT(U241,"+")), U241))</f>
        <v/>
      </c>
      <c r="W241" s="7"/>
      <c r="X241" s="7"/>
      <c r="Y241" s="122" t="s">
        <v>4174</v>
      </c>
      <c r="Z241" s="7" t="s">
        <v>5303</v>
      </c>
      <c r="AA241" s="126" t="s">
        <v>6161</v>
      </c>
      <c r="AB241" s="7">
        <v>2022</v>
      </c>
      <c r="AC241" s="7">
        <v>17500000</v>
      </c>
      <c r="AD241" s="7"/>
      <c r="AE241" s="7">
        <v>500000</v>
      </c>
      <c r="AF241" s="7">
        <v>37700000</v>
      </c>
      <c r="AG241" s="7" t="s">
        <v>4174</v>
      </c>
      <c r="AH241" s="7">
        <f t="shared" si="28"/>
        <v>18000000</v>
      </c>
      <c r="AI241" s="7">
        <f>AF241+AH241</f>
        <v>55700000</v>
      </c>
      <c r="AJ241" s="7">
        <v>2021</v>
      </c>
      <c r="AK241" s="7">
        <v>16400000</v>
      </c>
      <c r="AL241" s="7"/>
      <c r="AM241" s="7">
        <v>400000</v>
      </c>
      <c r="AN241" s="7">
        <v>60900000</v>
      </c>
      <c r="AO241" s="7">
        <f t="shared" si="29"/>
        <v>16800000</v>
      </c>
      <c r="AP241" s="7">
        <f>AN241+AO241</f>
        <v>77700000</v>
      </c>
      <c r="AQ241" s="27" t="s">
        <v>6160</v>
      </c>
      <c r="AR241" s="7" t="str">
        <f>_xlfn.XLOOKUP(C241,Sheet1!A:A,Sheet1!B:B, "Other")</f>
        <v>Europe</v>
      </c>
      <c r="AS241" t="str">
        <f>_xlfn.XLOOKUP(D241,Sheet1!D:D,Sheet1!E:E)</f>
        <v>Energy and utilities</v>
      </c>
    </row>
    <row r="242" spans="1:45" ht="18" customHeight="1">
      <c r="A242" s="7">
        <v>238</v>
      </c>
      <c r="B242" s="7" t="s">
        <v>938</v>
      </c>
      <c r="C242" s="7" t="s">
        <v>4457</v>
      </c>
      <c r="D242" s="7" t="s">
        <v>76</v>
      </c>
      <c r="E242" s="7" t="s">
        <v>6159</v>
      </c>
      <c r="F242" s="7" t="s">
        <v>6158</v>
      </c>
      <c r="G242" s="122"/>
      <c r="H242" s="7"/>
      <c r="I242" s="7"/>
      <c r="J242" s="122" t="s">
        <v>1960</v>
      </c>
      <c r="K242" s="7"/>
      <c r="L242" s="127" t="s">
        <v>1960</v>
      </c>
      <c r="M242" s="122"/>
      <c r="N242" s="7"/>
      <c r="O242" s="7"/>
      <c r="P242" s="7" t="str" cm="1">
        <f t="array" ref="P242">IF(O242="", "", IFERROR(MAX(--_xlfn.TEXTSPLIT(O242,"+")), O242))</f>
        <v/>
      </c>
      <c r="Q242" s="7"/>
      <c r="R242" s="109"/>
      <c r="S242" s="7" t="s">
        <v>5050</v>
      </c>
      <c r="T242" s="7" t="s">
        <v>6157</v>
      </c>
      <c r="U242" s="7">
        <v>2050</v>
      </c>
      <c r="V242" s="7" cm="1">
        <f t="array" ref="V242">IF(U242="", "", IFERROR(MAX(--_xlfn.TEXTSPLIT(U242,"+")), U242))</f>
        <v>2050</v>
      </c>
      <c r="W242" s="7">
        <v>2021</v>
      </c>
      <c r="X242" s="125" t="s">
        <v>6156</v>
      </c>
      <c r="Y242" s="122"/>
      <c r="Z242" s="7"/>
      <c r="AA242" s="109"/>
      <c r="AB242" s="7">
        <v>2022</v>
      </c>
      <c r="AC242" s="7">
        <v>6205</v>
      </c>
      <c r="AD242" s="7"/>
      <c r="AE242" s="7">
        <v>90815</v>
      </c>
      <c r="AF242" s="7">
        <v>18103</v>
      </c>
      <c r="AG242" s="7" t="s">
        <v>5032</v>
      </c>
      <c r="AH242" s="7">
        <f t="shared" si="28"/>
        <v>97020</v>
      </c>
      <c r="AI242" s="7">
        <f>AH242+AF242</f>
        <v>115123</v>
      </c>
      <c r="AJ242" s="7" t="s">
        <v>5032</v>
      </c>
      <c r="AK242" s="7"/>
      <c r="AL242" s="7"/>
      <c r="AM242" s="7"/>
      <c r="AN242" s="7"/>
      <c r="AO242" s="7"/>
      <c r="AP242" s="7"/>
      <c r="AQ242" s="52" t="s">
        <v>6156</v>
      </c>
      <c r="AR242" s="7" t="str">
        <f>_xlfn.XLOOKUP(C242,Sheet1!A:A,Sheet1!B:B, "Other")</f>
        <v>North America</v>
      </c>
      <c r="AS242" t="str">
        <f>_xlfn.XLOOKUP(D242,Sheet1!D:D,Sheet1!E:E)</f>
        <v>Financial services</v>
      </c>
    </row>
    <row r="243" spans="1:45" ht="18" customHeight="1">
      <c r="A243" s="7">
        <v>239</v>
      </c>
      <c r="B243" s="7" t="s">
        <v>703</v>
      </c>
      <c r="C243" s="7" t="s">
        <v>4457</v>
      </c>
      <c r="D243" s="7" t="s">
        <v>71</v>
      </c>
      <c r="E243" s="7" t="s">
        <v>6155</v>
      </c>
      <c r="F243" s="7" t="s">
        <v>6154</v>
      </c>
      <c r="G243" s="122"/>
      <c r="H243" s="7"/>
      <c r="I243" s="7"/>
      <c r="J243" s="122" t="s">
        <v>1960</v>
      </c>
      <c r="K243" s="7"/>
      <c r="L243" s="127" t="s">
        <v>1960</v>
      </c>
      <c r="M243" s="122"/>
      <c r="N243" s="7"/>
      <c r="O243" s="7"/>
      <c r="P243" s="7" t="str" cm="1">
        <f t="array" ref="P243">IF(O243="", "", IFERROR(MAX(--_xlfn.TEXTSPLIT(O243,"+")), O243))</f>
        <v/>
      </c>
      <c r="Q243" s="7"/>
      <c r="R243" s="109"/>
      <c r="S243" s="7"/>
      <c r="T243" s="7"/>
      <c r="U243" s="7"/>
      <c r="V243" s="7" t="str" cm="1">
        <f t="array" ref="V243">IF(U243="", "", IFERROR(MAX(--_xlfn.TEXTSPLIT(U243,"+")), U243))</f>
        <v/>
      </c>
      <c r="W243" s="7"/>
      <c r="X243" s="7"/>
      <c r="Y243" s="122" t="s">
        <v>4174</v>
      </c>
      <c r="Z243" s="7" t="s">
        <v>6153</v>
      </c>
      <c r="AA243" s="126" t="s">
        <v>6152</v>
      </c>
      <c r="AB243" s="7">
        <v>2021</v>
      </c>
      <c r="AC243" s="7">
        <v>10000000</v>
      </c>
      <c r="AD243" s="7"/>
      <c r="AE243" s="7"/>
      <c r="AF243" s="7"/>
      <c r="AG243" s="7" t="s">
        <v>5032</v>
      </c>
      <c r="AH243" s="7">
        <f>AC243</f>
        <v>10000000</v>
      </c>
      <c r="AI243" s="7">
        <f>AH243</f>
        <v>10000000</v>
      </c>
      <c r="AJ243" s="7">
        <v>2020</v>
      </c>
      <c r="AK243" s="7">
        <v>10800000</v>
      </c>
      <c r="AL243" s="7"/>
      <c r="AM243" s="7"/>
      <c r="AN243" s="7"/>
      <c r="AO243" s="7">
        <f>AK243</f>
        <v>10800000</v>
      </c>
      <c r="AP243" s="7">
        <f>AO243</f>
        <v>10800000</v>
      </c>
      <c r="AQ243" s="27" t="s">
        <v>6151</v>
      </c>
      <c r="AR243" s="7" t="str">
        <f>_xlfn.XLOOKUP(C243,Sheet1!A:A,Sheet1!B:B, "Other")</f>
        <v>North America</v>
      </c>
      <c r="AS243" t="str">
        <f>_xlfn.XLOOKUP(D243,Sheet1!D:D,Sheet1!E:E)</f>
        <v>Energy and utilities</v>
      </c>
    </row>
    <row r="244" spans="1:45" ht="18" customHeight="1">
      <c r="A244" s="7">
        <v>240</v>
      </c>
      <c r="B244" s="7" t="s">
        <v>566</v>
      </c>
      <c r="C244" s="7" t="s">
        <v>4457</v>
      </c>
      <c r="D244" s="7" t="s">
        <v>319</v>
      </c>
      <c r="E244" s="7" t="s">
        <v>6150</v>
      </c>
      <c r="F244" s="7" t="s">
        <v>6149</v>
      </c>
      <c r="G244" s="122"/>
      <c r="H244" s="7"/>
      <c r="I244" s="7"/>
      <c r="J244" s="122" t="s">
        <v>4183</v>
      </c>
      <c r="K244" s="7">
        <v>2030</v>
      </c>
      <c r="L244" s="127">
        <v>2023</v>
      </c>
      <c r="M244" s="122"/>
      <c r="N244" s="7"/>
      <c r="O244" s="7"/>
      <c r="P244" s="7" t="str" cm="1">
        <f t="array" ref="P244">IF(O244="", "", IFERROR(MAX(--_xlfn.TEXTSPLIT(O244,"+")), O244))</f>
        <v/>
      </c>
      <c r="Q244" s="7"/>
      <c r="R244" s="109"/>
      <c r="S244" s="7"/>
      <c r="T244" s="7"/>
      <c r="U244" s="7"/>
      <c r="V244" s="7" t="str" cm="1">
        <f t="array" ref="V244">IF(U244="", "", IFERROR(MAX(--_xlfn.TEXTSPLIT(U244,"+")), U244))</f>
        <v/>
      </c>
      <c r="W244" s="7"/>
      <c r="X244" s="7"/>
      <c r="Y244" s="122"/>
      <c r="Z244" s="7"/>
      <c r="AA244" s="109"/>
      <c r="AB244" s="7">
        <v>2022</v>
      </c>
      <c r="AC244" s="124">
        <v>342607</v>
      </c>
      <c r="AD244" s="124">
        <v>271055</v>
      </c>
      <c r="AE244" s="124">
        <v>184549</v>
      </c>
      <c r="AF244" s="7"/>
      <c r="AG244" s="7" t="s">
        <v>5032</v>
      </c>
      <c r="AH244" s="124">
        <f>AC244+AE244</f>
        <v>527156</v>
      </c>
      <c r="AI244" s="124">
        <f>AH244</f>
        <v>527156</v>
      </c>
      <c r="AJ244" s="7">
        <v>2021</v>
      </c>
      <c r="AK244" s="124">
        <v>367954</v>
      </c>
      <c r="AL244" s="124">
        <v>330946</v>
      </c>
      <c r="AM244" s="124">
        <v>256708</v>
      </c>
      <c r="AN244" s="7"/>
      <c r="AO244" s="124">
        <f>AK244+AM244</f>
        <v>624662</v>
      </c>
      <c r="AP244" s="124">
        <f>AO244</f>
        <v>624662</v>
      </c>
      <c r="AQ244" s="7" t="s">
        <v>6148</v>
      </c>
      <c r="AR244" s="7" t="str">
        <f>_xlfn.XLOOKUP(C244,Sheet1!A:A,Sheet1!B:B, "Other")</f>
        <v>North America</v>
      </c>
      <c r="AS244" t="str">
        <f>_xlfn.XLOOKUP(D244,Sheet1!D:D,Sheet1!E:E)</f>
        <v>Health care and pharmaceuticals</v>
      </c>
    </row>
    <row r="245" spans="1:45" ht="18" customHeight="1">
      <c r="A245" s="7">
        <v>241</v>
      </c>
      <c r="B245" s="7" t="s">
        <v>1188</v>
      </c>
      <c r="C245" s="7" t="s">
        <v>1192</v>
      </c>
      <c r="D245" s="7" t="s">
        <v>5091</v>
      </c>
      <c r="E245" s="7" t="s">
        <v>6147</v>
      </c>
      <c r="F245" s="7" t="s">
        <v>6146</v>
      </c>
      <c r="G245" s="122" t="s">
        <v>4174</v>
      </c>
      <c r="H245" s="7">
        <v>2025</v>
      </c>
      <c r="I245" s="7">
        <v>2017</v>
      </c>
      <c r="J245" s="122" t="s">
        <v>4183</v>
      </c>
      <c r="K245" s="7">
        <v>2025</v>
      </c>
      <c r="L245" s="127">
        <v>2018</v>
      </c>
      <c r="M245" s="122"/>
      <c r="N245" s="7"/>
      <c r="O245" s="7"/>
      <c r="P245" s="7" t="str" cm="1">
        <f t="array" ref="P245">IF(O245="", "", IFERROR(MAX(--_xlfn.TEXTSPLIT(O245,"+")), O245))</f>
        <v/>
      </c>
      <c r="Q245" s="7"/>
      <c r="R245" s="109"/>
      <c r="S245" s="7" t="s">
        <v>4172</v>
      </c>
      <c r="T245" s="7" t="s">
        <v>2760</v>
      </c>
      <c r="U245" s="7">
        <v>2040</v>
      </c>
      <c r="V245" s="7" cm="1">
        <f t="array" ref="V245">IF(U245="", "", IFERROR(MAX(--_xlfn.TEXTSPLIT(U245,"+")), U245))</f>
        <v>2040</v>
      </c>
      <c r="W245" s="7">
        <v>2021</v>
      </c>
      <c r="X245" s="7" t="s">
        <v>6145</v>
      </c>
      <c r="Y245" s="122" t="s">
        <v>4174</v>
      </c>
      <c r="Z245" s="7" t="s">
        <v>5037</v>
      </c>
      <c r="AA245" s="109" t="s">
        <v>6144</v>
      </c>
      <c r="AB245" s="7">
        <v>2022</v>
      </c>
      <c r="AC245" s="7"/>
      <c r="AD245" s="7"/>
      <c r="AE245" s="7"/>
      <c r="AF245" s="7">
        <f>AI245-AH245</f>
        <v>24090000</v>
      </c>
      <c r="AG245" s="7" t="s">
        <v>5032</v>
      </c>
      <c r="AH245" s="7">
        <v>3680000</v>
      </c>
      <c r="AI245" s="7">
        <v>27770000</v>
      </c>
      <c r="AJ245" s="7">
        <v>2021</v>
      </c>
      <c r="AK245" s="7"/>
      <c r="AL245" s="7"/>
      <c r="AM245" s="7"/>
      <c r="AN245" s="7">
        <f>AP245-AO245</f>
        <v>24690000</v>
      </c>
      <c r="AO245" s="7">
        <v>4140000</v>
      </c>
      <c r="AP245" s="7">
        <v>28830000</v>
      </c>
      <c r="AQ245" s="7" t="s">
        <v>6143</v>
      </c>
      <c r="AR245" s="7" t="str">
        <f>_xlfn.XLOOKUP(C245,Sheet1!A:A,Sheet1!B:B, "Other")</f>
        <v>Other</v>
      </c>
      <c r="AS245" t="str">
        <f>_xlfn.XLOOKUP(D245,Sheet1!D:D,Sheet1!E:E)</f>
        <v>Food, beverages and agriculture</v>
      </c>
    </row>
    <row r="246" spans="1:45" ht="18" customHeight="1">
      <c r="A246" s="7">
        <v>242</v>
      </c>
      <c r="B246" s="7" t="s">
        <v>1229</v>
      </c>
      <c r="C246" s="7" t="s">
        <v>207</v>
      </c>
      <c r="D246" s="7" t="s">
        <v>71</v>
      </c>
      <c r="E246" s="7" t="s">
        <v>6142</v>
      </c>
      <c r="F246" s="7" t="s">
        <v>6141</v>
      </c>
      <c r="G246" s="122"/>
      <c r="H246" s="7"/>
      <c r="I246" s="7"/>
      <c r="J246" s="122" t="s">
        <v>1960</v>
      </c>
      <c r="K246" s="7"/>
      <c r="L246" s="127" t="s">
        <v>1960</v>
      </c>
      <c r="M246" s="122"/>
      <c r="N246" s="7"/>
      <c r="O246" s="7"/>
      <c r="P246" s="7" t="str" cm="1">
        <f t="array" ref="P246">IF(O246="", "", IFERROR(MAX(--_xlfn.TEXTSPLIT(O246,"+")), O246))</f>
        <v/>
      </c>
      <c r="Q246" s="7"/>
      <c r="R246" s="109"/>
      <c r="S246" s="7" t="s">
        <v>1957</v>
      </c>
      <c r="T246" s="7" t="s">
        <v>6140</v>
      </c>
      <c r="U246" s="7">
        <v>2050</v>
      </c>
      <c r="V246" s="7" cm="1">
        <f t="array" ref="V246">IF(U246="", "", IFERROR(MAX(--_xlfn.TEXTSPLIT(U246,"+")), U246))</f>
        <v>2050</v>
      </c>
      <c r="W246" s="7">
        <v>2019</v>
      </c>
      <c r="X246" s="7" t="s">
        <v>4729</v>
      </c>
      <c r="Y246" s="122" t="s">
        <v>4174</v>
      </c>
      <c r="Z246" s="7" t="s">
        <v>6139</v>
      </c>
      <c r="AA246" s="109" t="s">
        <v>6138</v>
      </c>
      <c r="AB246" s="7">
        <v>2021</v>
      </c>
      <c r="AC246" s="7">
        <v>192000</v>
      </c>
      <c r="AD246" s="7">
        <v>6098000</v>
      </c>
      <c r="AE246" s="7">
        <v>6108000</v>
      </c>
      <c r="AF246" s="124">
        <v>102137000</v>
      </c>
      <c r="AG246" s="7" t="s">
        <v>2082</v>
      </c>
      <c r="AH246" s="7">
        <f>AC246+AE246</f>
        <v>6300000</v>
      </c>
      <c r="AI246" s="7">
        <f>AH246+AF246</f>
        <v>108437000</v>
      </c>
      <c r="AJ246" s="7">
        <v>2020</v>
      </c>
      <c r="AK246" s="7">
        <v>190000</v>
      </c>
      <c r="AL246" s="7">
        <v>5207000</v>
      </c>
      <c r="AM246" s="7">
        <v>5205000</v>
      </c>
      <c r="AN246" s="7">
        <v>110119000</v>
      </c>
      <c r="AO246" s="7">
        <f>AK246+AM246</f>
        <v>5395000</v>
      </c>
      <c r="AP246" s="7">
        <f>AO246+AN246</f>
        <v>115514000</v>
      </c>
      <c r="AQ246" s="7" t="s">
        <v>6138</v>
      </c>
      <c r="AR246" s="7" t="str">
        <f>_xlfn.XLOOKUP(C246,Sheet1!A:A,Sheet1!B:B, "Other")</f>
        <v>Asia</v>
      </c>
      <c r="AS246" t="str">
        <f>_xlfn.XLOOKUP(D246,Sheet1!D:D,Sheet1!E:E)</f>
        <v>Energy and utilities</v>
      </c>
    </row>
    <row r="247" spans="1:45" ht="18" customHeight="1">
      <c r="A247" s="7">
        <v>243</v>
      </c>
      <c r="B247" s="7" t="s">
        <v>619</v>
      </c>
      <c r="C247" s="7" t="s">
        <v>4457</v>
      </c>
      <c r="D247" s="7" t="s">
        <v>71</v>
      </c>
      <c r="E247" s="7" t="s">
        <v>6137</v>
      </c>
      <c r="F247" s="7" t="s">
        <v>6136</v>
      </c>
      <c r="G247" s="122"/>
      <c r="H247" s="7"/>
      <c r="I247" s="7"/>
      <c r="J247" s="122" t="s">
        <v>1960</v>
      </c>
      <c r="K247" s="7"/>
      <c r="L247" s="127" t="s">
        <v>1960</v>
      </c>
      <c r="M247" s="122"/>
      <c r="N247" s="7"/>
      <c r="O247" s="7"/>
      <c r="P247" s="7" t="str" cm="1">
        <f t="array" ref="P247">IF(O247="", "", IFERROR(MAX(--_xlfn.TEXTSPLIT(O247,"+")), O247))</f>
        <v/>
      </c>
      <c r="Q247" s="7"/>
      <c r="R247" s="109"/>
      <c r="S247" s="7"/>
      <c r="T247" s="7"/>
      <c r="U247" s="7"/>
      <c r="V247" s="7" t="str" cm="1">
        <f t="array" ref="V247">IF(U247="", "", IFERROR(MAX(--_xlfn.TEXTSPLIT(U247,"+")), U247))</f>
        <v/>
      </c>
      <c r="W247" s="7"/>
      <c r="X247" s="7"/>
      <c r="Y247" s="122"/>
      <c r="Z247" s="7"/>
      <c r="AA247" s="109"/>
      <c r="AB247" s="7">
        <v>2021</v>
      </c>
      <c r="AC247" s="7">
        <v>805000</v>
      </c>
      <c r="AD247" s="7"/>
      <c r="AE247" s="7">
        <v>976000</v>
      </c>
      <c r="AF247" s="7"/>
      <c r="AG247" s="7" t="s">
        <v>5032</v>
      </c>
      <c r="AH247" s="7">
        <v>1782000</v>
      </c>
      <c r="AI247" s="7">
        <f>AH247</f>
        <v>1782000</v>
      </c>
      <c r="AJ247" s="7">
        <v>2020</v>
      </c>
      <c r="AK247" s="7">
        <v>831000</v>
      </c>
      <c r="AL247" s="7"/>
      <c r="AM247" s="7">
        <v>1098000</v>
      </c>
      <c r="AN247" s="7"/>
      <c r="AO247" s="7">
        <v>1929000</v>
      </c>
      <c r="AP247" s="7">
        <f>AO247</f>
        <v>1929000</v>
      </c>
      <c r="AQ247" s="27" t="s">
        <v>6135</v>
      </c>
      <c r="AR247" s="7" t="str">
        <f>_xlfn.XLOOKUP(C247,Sheet1!A:A,Sheet1!B:B, "Other")</f>
        <v>North America</v>
      </c>
      <c r="AS247" t="str">
        <f>_xlfn.XLOOKUP(D247,Sheet1!D:D,Sheet1!E:E)</f>
        <v>Energy and utilities</v>
      </c>
    </row>
    <row r="248" spans="1:45" ht="18" customHeight="1">
      <c r="A248" s="7">
        <v>244</v>
      </c>
      <c r="B248" s="7" t="s">
        <v>4178</v>
      </c>
      <c r="C248" s="7" t="s">
        <v>73</v>
      </c>
      <c r="D248" s="7" t="s">
        <v>66</v>
      </c>
      <c r="E248" s="7" t="s">
        <v>6134</v>
      </c>
      <c r="F248" s="7" t="s">
        <v>6133</v>
      </c>
      <c r="G248" s="122"/>
      <c r="H248" s="7"/>
      <c r="I248" s="7"/>
      <c r="J248" s="122" t="s">
        <v>1960</v>
      </c>
      <c r="K248" s="7"/>
      <c r="L248" s="127" t="s">
        <v>1960</v>
      </c>
      <c r="M248" s="122" t="s">
        <v>4519</v>
      </c>
      <c r="N248" s="7" t="s">
        <v>5131</v>
      </c>
      <c r="O248" s="7">
        <v>2060</v>
      </c>
      <c r="P248" s="7" cm="1">
        <f t="array" ref="P248">IF(O248="", "", IFERROR(MAX(--_xlfn.TEXTSPLIT(O248,"+")), O248))</f>
        <v>2060</v>
      </c>
      <c r="Q248" s="7">
        <v>2020</v>
      </c>
      <c r="R248" s="109" t="s">
        <v>6132</v>
      </c>
      <c r="S248" s="7"/>
      <c r="T248" s="7"/>
      <c r="U248" s="7"/>
      <c r="V248" s="7" t="str" cm="1">
        <f t="array" ref="V248">IF(U248="", "", IFERROR(MAX(--_xlfn.TEXTSPLIT(U248,"+")), U248))</f>
        <v/>
      </c>
      <c r="W248" s="7"/>
      <c r="X248" s="7"/>
      <c r="Y248" s="122"/>
      <c r="Z248" s="7"/>
      <c r="AA248" s="109"/>
      <c r="AB248" s="7">
        <v>2022</v>
      </c>
      <c r="AC248" s="7"/>
      <c r="AD248" s="7"/>
      <c r="AE248" s="7"/>
      <c r="AF248" s="7"/>
      <c r="AG248" s="7" t="s">
        <v>5032</v>
      </c>
      <c r="AH248" s="7">
        <v>9110000</v>
      </c>
      <c r="AI248" s="7">
        <f>AH248+AF248</f>
        <v>9110000</v>
      </c>
      <c r="AJ248" s="7">
        <v>2021</v>
      </c>
      <c r="AK248" s="7"/>
      <c r="AL248" s="7"/>
      <c r="AM248" s="7"/>
      <c r="AN248" s="7"/>
      <c r="AO248" s="7">
        <v>9090000</v>
      </c>
      <c r="AP248" s="7">
        <f>AO248+AN248</f>
        <v>9090000</v>
      </c>
      <c r="AQ248" s="7" t="s">
        <v>6131</v>
      </c>
      <c r="AR248" s="7" t="str">
        <f>_xlfn.XLOOKUP(C248,Sheet1!A:A,Sheet1!B:B, "Other")</f>
        <v>Asia</v>
      </c>
      <c r="AS248" t="str">
        <f>_xlfn.XLOOKUP(D248,Sheet1!D:D,Sheet1!E:E)</f>
        <v>Chemicals</v>
      </c>
    </row>
    <row r="249" spans="1:45" ht="18" customHeight="1">
      <c r="A249" s="7">
        <v>245</v>
      </c>
      <c r="B249" s="7" t="s">
        <v>3385</v>
      </c>
      <c r="C249" s="7" t="s">
        <v>4457</v>
      </c>
      <c r="D249" s="7" t="s">
        <v>66</v>
      </c>
      <c r="E249" s="7" t="s">
        <v>6130</v>
      </c>
      <c r="F249" s="7" t="s">
        <v>6129</v>
      </c>
      <c r="G249" s="122"/>
      <c r="H249" s="7"/>
      <c r="I249" s="7"/>
      <c r="J249" s="122" t="s">
        <v>1960</v>
      </c>
      <c r="K249" s="7"/>
      <c r="L249" s="127" t="s">
        <v>1960</v>
      </c>
      <c r="M249" s="122" t="s">
        <v>4172</v>
      </c>
      <c r="N249" s="7" t="s">
        <v>6128</v>
      </c>
      <c r="O249" s="7">
        <v>2050</v>
      </c>
      <c r="P249" s="7" cm="1">
        <f t="array" ref="P249">IF(O249="", "", IFERROR(MAX(--_xlfn.TEXTSPLIT(O249,"+")), O249))</f>
        <v>2050</v>
      </c>
      <c r="Q249" s="7">
        <v>2020</v>
      </c>
      <c r="R249" s="109" t="s">
        <v>6127</v>
      </c>
      <c r="S249" s="7"/>
      <c r="T249" s="7"/>
      <c r="U249" s="7"/>
      <c r="V249" s="7" t="str" cm="1">
        <f t="array" ref="V249">IF(U249="", "", IFERROR(MAX(--_xlfn.TEXTSPLIT(U249,"+")), U249))</f>
        <v/>
      </c>
      <c r="W249" s="7"/>
      <c r="X249" s="7"/>
      <c r="Y249" s="122" t="s">
        <v>4174</v>
      </c>
      <c r="Z249" s="7" t="s">
        <v>5037</v>
      </c>
      <c r="AA249" s="109" t="s">
        <v>6126</v>
      </c>
      <c r="AB249" s="7">
        <v>2022</v>
      </c>
      <c r="AC249" s="7">
        <v>21840000</v>
      </c>
      <c r="AD249" s="7">
        <v>3450000</v>
      </c>
      <c r="AE249" s="7">
        <v>4190000</v>
      </c>
      <c r="AF249" s="7">
        <v>80550000</v>
      </c>
      <c r="AG249" s="7" t="s">
        <v>5032</v>
      </c>
      <c r="AH249" s="7">
        <f>AC249+AE249</f>
        <v>26030000</v>
      </c>
      <c r="AI249" s="7">
        <f>AH249+AF249</f>
        <v>106580000</v>
      </c>
      <c r="AJ249" s="7">
        <v>2021</v>
      </c>
      <c r="AK249" s="7">
        <v>22550000</v>
      </c>
      <c r="AL249" s="7">
        <v>3940000</v>
      </c>
      <c r="AM249" s="7">
        <v>5800000</v>
      </c>
      <c r="AN249" s="7">
        <v>82080000</v>
      </c>
      <c r="AO249" s="7">
        <f>AK249+AM249</f>
        <v>28350000</v>
      </c>
      <c r="AP249" s="7">
        <f>AO249+AN249</f>
        <v>110430000</v>
      </c>
      <c r="AQ249" s="7" t="s">
        <v>6125</v>
      </c>
      <c r="AR249" s="7" t="str">
        <f>_xlfn.XLOOKUP(C249,Sheet1!A:A,Sheet1!B:B, "Other")</f>
        <v>North America</v>
      </c>
      <c r="AS249" t="str">
        <f>_xlfn.XLOOKUP(D249,Sheet1!D:D,Sheet1!E:E)</f>
        <v>Chemicals</v>
      </c>
    </row>
    <row r="250" spans="1:45" ht="18" customHeight="1">
      <c r="A250" s="7">
        <v>246</v>
      </c>
      <c r="B250" s="7" t="s">
        <v>866</v>
      </c>
      <c r="C250" s="7" t="s">
        <v>267</v>
      </c>
      <c r="D250" s="7" t="s">
        <v>71</v>
      </c>
      <c r="E250" s="7" t="s">
        <v>6124</v>
      </c>
      <c r="F250" s="7" t="s">
        <v>6123</v>
      </c>
      <c r="G250" s="122"/>
      <c r="H250" s="7"/>
      <c r="I250" s="7"/>
      <c r="J250" s="122" t="s">
        <v>4183</v>
      </c>
      <c r="K250" s="7">
        <v>2030</v>
      </c>
      <c r="L250" s="127">
        <v>2022</v>
      </c>
      <c r="M250" s="122" t="s">
        <v>1957</v>
      </c>
      <c r="N250" s="7" t="s">
        <v>5042</v>
      </c>
      <c r="O250" s="7">
        <v>2030</v>
      </c>
      <c r="P250" s="7" cm="1">
        <f t="array" ref="P250">IF(O250="", "", IFERROR(MAX(--_xlfn.TEXTSPLIT(O250,"+")), O250))</f>
        <v>2030</v>
      </c>
      <c r="Q250" s="7">
        <v>2022</v>
      </c>
      <c r="R250" s="109" t="s">
        <v>6122</v>
      </c>
      <c r="S250" s="7" t="s">
        <v>4172</v>
      </c>
      <c r="T250" s="7" t="s">
        <v>6121</v>
      </c>
      <c r="U250" s="7" t="s">
        <v>4670</v>
      </c>
      <c r="V250" s="7" cm="1">
        <f t="array" ref="V250">IF(U250="", "", IFERROR(MAX(--_xlfn.TEXTSPLIT(U250,"+")), U250))</f>
        <v>2050</v>
      </c>
      <c r="W250" s="7">
        <v>2022</v>
      </c>
      <c r="X250" s="7" t="s">
        <v>6120</v>
      </c>
      <c r="Y250" s="122" t="s">
        <v>4174</v>
      </c>
      <c r="Z250" s="7" t="s">
        <v>6119</v>
      </c>
      <c r="AA250" s="109" t="s">
        <v>6118</v>
      </c>
      <c r="AB250" s="7">
        <v>2022</v>
      </c>
      <c r="AC250" s="124">
        <f>11346356+580763</f>
        <v>11927119</v>
      </c>
      <c r="AD250" s="7"/>
      <c r="AE250" s="124">
        <v>1879381</v>
      </c>
      <c r="AF250" s="124">
        <v>42013975</v>
      </c>
      <c r="AG250" s="7" t="s">
        <v>4174</v>
      </c>
      <c r="AH250" s="124">
        <f>AC250+AE250</f>
        <v>13806500</v>
      </c>
      <c r="AI250" s="124">
        <f>AF250+AH250</f>
        <v>55820475</v>
      </c>
      <c r="AJ250" s="7">
        <v>2021</v>
      </c>
      <c r="AK250" s="124">
        <v>12754162</v>
      </c>
      <c r="AL250" s="7"/>
      <c r="AM250" s="124">
        <v>2161984</v>
      </c>
      <c r="AN250" s="124">
        <v>44614613</v>
      </c>
      <c r="AO250" s="124">
        <f>AK250+AM250</f>
        <v>14916146</v>
      </c>
      <c r="AP250" s="124">
        <f>AN250+AO250</f>
        <v>59530759</v>
      </c>
      <c r="AQ250" s="7" t="s">
        <v>6117</v>
      </c>
      <c r="AR250" s="7" t="str">
        <f>_xlfn.XLOOKUP(C250,Sheet1!A:A,Sheet1!B:B, "Other")</f>
        <v>Europe</v>
      </c>
      <c r="AS250" t="str">
        <f>_xlfn.XLOOKUP(D250,Sheet1!D:D,Sheet1!E:E)</f>
        <v>Energy and utilities</v>
      </c>
    </row>
    <row r="251" spans="1:45" ht="18" customHeight="1">
      <c r="A251" s="7">
        <v>247</v>
      </c>
      <c r="B251" s="7" t="s">
        <v>1151</v>
      </c>
      <c r="C251" s="7" t="s">
        <v>73</v>
      </c>
      <c r="D251" s="7" t="s">
        <v>289</v>
      </c>
      <c r="E251" s="7" t="s">
        <v>6116</v>
      </c>
      <c r="F251" s="7" t="s">
        <v>6115</v>
      </c>
      <c r="G251" s="122"/>
      <c r="H251" s="7"/>
      <c r="I251" s="7"/>
      <c r="J251" s="122" t="s">
        <v>1960</v>
      </c>
      <c r="K251" s="7"/>
      <c r="L251" s="127" t="s">
        <v>1960</v>
      </c>
      <c r="M251" s="122" t="s">
        <v>4519</v>
      </c>
      <c r="N251" s="7" t="s">
        <v>5131</v>
      </c>
      <c r="O251" s="7">
        <v>2060</v>
      </c>
      <c r="P251" s="7" cm="1">
        <f t="array" ref="P251">IF(O251="", "", IFERROR(MAX(--_xlfn.TEXTSPLIT(O251,"+")), O251))</f>
        <v>2060</v>
      </c>
      <c r="Q251" s="7">
        <v>2021</v>
      </c>
      <c r="R251" s="109" t="s">
        <v>6114</v>
      </c>
      <c r="S251" s="7"/>
      <c r="T251" s="7"/>
      <c r="U251" s="7"/>
      <c r="V251" s="7" t="str" cm="1">
        <f t="array" ref="V251">IF(U251="", "", IFERROR(MAX(--_xlfn.TEXTSPLIT(U251,"+")), U251))</f>
        <v/>
      </c>
      <c r="W251" s="7"/>
      <c r="X251" s="7"/>
      <c r="Y251" s="122"/>
      <c r="Z251" s="7"/>
      <c r="AA251" s="109"/>
      <c r="AB251" s="7" t="s">
        <v>5032</v>
      </c>
      <c r="AC251" s="7"/>
      <c r="AD251" s="7"/>
      <c r="AE251" s="7"/>
      <c r="AF251" s="7"/>
      <c r="AG251" s="7" t="s">
        <v>5032</v>
      </c>
      <c r="AH251" s="7"/>
      <c r="AI251" s="7"/>
      <c r="AJ251" s="7" t="s">
        <v>5032</v>
      </c>
      <c r="AK251" s="7"/>
      <c r="AL251" s="7"/>
      <c r="AM251" s="7"/>
      <c r="AN251" s="7"/>
      <c r="AO251" s="7"/>
      <c r="AP251" s="7"/>
      <c r="AQ251" s="7" t="s">
        <v>6114</v>
      </c>
      <c r="AR251" s="7" t="str">
        <f>_xlfn.XLOOKUP(C251,Sheet1!A:A,Sheet1!B:B, "Other")</f>
        <v>Asia</v>
      </c>
      <c r="AS251" t="str">
        <f>_xlfn.XLOOKUP(D251,Sheet1!D:D,Sheet1!E:E)</f>
        <v>Industrial goods</v>
      </c>
    </row>
    <row r="252" spans="1:45" ht="18" customHeight="1">
      <c r="A252" s="7">
        <v>248</v>
      </c>
      <c r="B252" s="7" t="s">
        <v>1041</v>
      </c>
      <c r="C252" s="7" t="s">
        <v>4457</v>
      </c>
      <c r="D252" s="7" t="s">
        <v>76</v>
      </c>
      <c r="E252" s="7" t="s">
        <v>6113</v>
      </c>
      <c r="F252" s="7" t="s">
        <v>6112</v>
      </c>
      <c r="G252" s="122"/>
      <c r="H252" s="7"/>
      <c r="I252" s="7"/>
      <c r="J252" s="122" t="s">
        <v>1960</v>
      </c>
      <c r="K252" s="7"/>
      <c r="L252" s="127" t="s">
        <v>1960</v>
      </c>
      <c r="M252" s="122"/>
      <c r="N252" s="7"/>
      <c r="O252" s="7"/>
      <c r="P252" s="7" t="str" cm="1">
        <f t="array" ref="P252">IF(O252="", "", IFERROR(MAX(--_xlfn.TEXTSPLIT(O252,"+")), O252))</f>
        <v/>
      </c>
      <c r="Q252" s="7"/>
      <c r="R252" s="109"/>
      <c r="S252" s="7" t="s">
        <v>5387</v>
      </c>
      <c r="T252" s="7" t="s">
        <v>6111</v>
      </c>
      <c r="U252" s="7">
        <v>2050</v>
      </c>
      <c r="V252" s="7" cm="1">
        <f t="array" ref="V252">IF(U252="", "", IFERROR(MAX(--_xlfn.TEXTSPLIT(U252,"+")), U252))</f>
        <v>2050</v>
      </c>
      <c r="W252" s="7">
        <v>2022</v>
      </c>
      <c r="X252" s="125" t="s">
        <v>6110</v>
      </c>
      <c r="Y252" s="122" t="s">
        <v>4174</v>
      </c>
      <c r="Z252" s="7" t="s">
        <v>5037</v>
      </c>
      <c r="AA252" s="126" t="s">
        <v>6109</v>
      </c>
      <c r="AB252" s="7">
        <v>2022</v>
      </c>
      <c r="AC252" s="124">
        <v>10062</v>
      </c>
      <c r="AD252" s="7"/>
      <c r="AE252" s="124">
        <v>70403</v>
      </c>
      <c r="AF252" s="124">
        <v>508227</v>
      </c>
      <c r="AG252" s="7" t="s">
        <v>5032</v>
      </c>
      <c r="AH252" s="7">
        <f>AC252+AE252</f>
        <v>80465</v>
      </c>
      <c r="AI252" s="7">
        <f>AH252+AF252</f>
        <v>588692</v>
      </c>
      <c r="AJ252" s="7">
        <v>2021</v>
      </c>
      <c r="AK252" s="124">
        <v>17015</v>
      </c>
      <c r="AL252" s="7"/>
      <c r="AM252" s="124">
        <v>73322</v>
      </c>
      <c r="AN252" s="124">
        <v>517033</v>
      </c>
      <c r="AO252" s="7">
        <f>AK252+AM252</f>
        <v>90337</v>
      </c>
      <c r="AP252" s="7">
        <f>AO252+AN252</f>
        <v>607370</v>
      </c>
      <c r="AQ252" s="27" t="s">
        <v>6108</v>
      </c>
      <c r="AR252" s="7" t="str">
        <f>_xlfn.XLOOKUP(C252,Sheet1!A:A,Sheet1!B:B, "Other")</f>
        <v>North America</v>
      </c>
      <c r="AS252" t="str">
        <f>_xlfn.XLOOKUP(D252,Sheet1!D:D,Sheet1!E:E)</f>
        <v>Financial services</v>
      </c>
    </row>
    <row r="253" spans="1:45" ht="18" customHeight="1">
      <c r="A253" s="7">
        <v>249</v>
      </c>
      <c r="B253" s="7" t="s">
        <v>900</v>
      </c>
      <c r="C253" s="7" t="s">
        <v>146</v>
      </c>
      <c r="D253" s="7" t="s">
        <v>76</v>
      </c>
      <c r="E253" s="7" t="s">
        <v>6107</v>
      </c>
      <c r="F253" s="7" t="s">
        <v>6106</v>
      </c>
      <c r="G253" s="122"/>
      <c r="H253" s="7"/>
      <c r="I253" s="7"/>
      <c r="J253" s="122" t="s">
        <v>1960</v>
      </c>
      <c r="K253" s="7"/>
      <c r="L253" s="127" t="s">
        <v>1960</v>
      </c>
      <c r="M253" s="122"/>
      <c r="N253" s="7"/>
      <c r="O253" s="7"/>
      <c r="P253" s="7" t="str" cm="1">
        <f t="array" ref="P253">IF(O253="", "", IFERROR(MAX(--_xlfn.TEXTSPLIT(O253,"+")), O253))</f>
        <v/>
      </c>
      <c r="Q253" s="7"/>
      <c r="R253" s="109"/>
      <c r="S253" s="7" t="s">
        <v>4172</v>
      </c>
      <c r="T253" s="7" t="s">
        <v>6105</v>
      </c>
      <c r="U253" s="7">
        <v>2030</v>
      </c>
      <c r="V253" s="7" cm="1">
        <f t="array" ref="V253">IF(U253="", "", IFERROR(MAX(--_xlfn.TEXTSPLIT(U253,"+")), U253))</f>
        <v>2030</v>
      </c>
      <c r="W253" s="7">
        <v>2021</v>
      </c>
      <c r="X253" s="7" t="s">
        <v>6102</v>
      </c>
      <c r="Y253" s="122" t="s">
        <v>4174</v>
      </c>
      <c r="Z253" s="7" t="s">
        <v>6104</v>
      </c>
      <c r="AA253" s="109" t="s">
        <v>6103</v>
      </c>
      <c r="AB253" s="7">
        <v>2022</v>
      </c>
      <c r="AC253" s="7">
        <v>8318</v>
      </c>
      <c r="AD253" s="7">
        <v>15541</v>
      </c>
      <c r="AE253" s="7">
        <v>10074</v>
      </c>
      <c r="AF253" s="7">
        <v>12714</v>
      </c>
      <c r="AG253" s="7" t="s">
        <v>5032</v>
      </c>
      <c r="AH253" s="7">
        <f>AC253+AE253</f>
        <v>18392</v>
      </c>
      <c r="AI253" s="7">
        <f>AH253+AF253</f>
        <v>31106</v>
      </c>
      <c r="AJ253" s="7">
        <v>2021</v>
      </c>
      <c r="AK253" s="7">
        <v>7698</v>
      </c>
      <c r="AL253" s="7">
        <v>17700</v>
      </c>
      <c r="AM253" s="7">
        <v>11117</v>
      </c>
      <c r="AN253" s="7">
        <v>11673</v>
      </c>
      <c r="AO253" s="7">
        <f>AK253+AM253</f>
        <v>18815</v>
      </c>
      <c r="AP253" s="7">
        <f>AO253+AN253</f>
        <v>30488</v>
      </c>
      <c r="AQ253" s="7" t="s">
        <v>6102</v>
      </c>
      <c r="AR253" s="7" t="str">
        <f>_xlfn.XLOOKUP(C253,Sheet1!A:A,Sheet1!B:B, "Other")</f>
        <v>Europe</v>
      </c>
      <c r="AS253" t="str">
        <f>_xlfn.XLOOKUP(D253,Sheet1!D:D,Sheet1!E:E)</f>
        <v>Financial services</v>
      </c>
    </row>
    <row r="254" spans="1:45" ht="18" customHeight="1">
      <c r="A254" s="7">
        <v>250</v>
      </c>
      <c r="B254" s="7" t="s">
        <v>971</v>
      </c>
      <c r="C254" s="7" t="s">
        <v>972</v>
      </c>
      <c r="D254" s="7" t="s">
        <v>76</v>
      </c>
      <c r="E254" s="7" t="s">
        <v>6101</v>
      </c>
      <c r="F254" s="7" t="s">
        <v>6100</v>
      </c>
      <c r="G254" s="122"/>
      <c r="H254" s="7"/>
      <c r="I254" s="7"/>
      <c r="J254" s="122" t="s">
        <v>1960</v>
      </c>
      <c r="K254" s="7"/>
      <c r="L254" s="127" t="s">
        <v>1960</v>
      </c>
      <c r="M254" s="122" t="s">
        <v>1957</v>
      </c>
      <c r="N254" s="7" t="s">
        <v>5042</v>
      </c>
      <c r="O254" s="7">
        <v>2030</v>
      </c>
      <c r="P254" s="7" cm="1">
        <f t="array" ref="P254">IF(O254="", "", IFERROR(MAX(--_xlfn.TEXTSPLIT(O254,"+")), O254))</f>
        <v>2030</v>
      </c>
      <c r="Q254" s="7">
        <v>2021</v>
      </c>
      <c r="R254" s="126" t="s">
        <v>6099</v>
      </c>
      <c r="S254" s="7"/>
      <c r="T254" s="7"/>
      <c r="U254" s="7"/>
      <c r="V254" s="7" t="str" cm="1">
        <f t="array" ref="V254">IF(U254="", "", IFERROR(MAX(--_xlfn.TEXTSPLIT(U254,"+")), U254))</f>
        <v/>
      </c>
      <c r="W254" s="7"/>
      <c r="X254" s="7"/>
      <c r="Y254" s="122"/>
      <c r="Z254" s="7"/>
      <c r="AA254" s="109"/>
      <c r="AB254" s="7">
        <v>2022</v>
      </c>
      <c r="AC254" s="7">
        <v>106530</v>
      </c>
      <c r="AD254" s="7"/>
      <c r="AE254" s="7">
        <v>422674</v>
      </c>
      <c r="AF254" s="7">
        <f>83268+134067+31001</f>
        <v>248336</v>
      </c>
      <c r="AG254" s="7" t="s">
        <v>5032</v>
      </c>
      <c r="AH254" s="7">
        <f>AC254+AE254</f>
        <v>529204</v>
      </c>
      <c r="AI254" s="7">
        <f>AH254+AF254</f>
        <v>777540</v>
      </c>
      <c r="AJ254" s="7">
        <v>2021</v>
      </c>
      <c r="AK254" s="7">
        <v>113247</v>
      </c>
      <c r="AL254" s="7"/>
      <c r="AM254" s="7">
        <v>400999</v>
      </c>
      <c r="AN254" s="7">
        <f>88236+136042+31482</f>
        <v>255760</v>
      </c>
      <c r="AO254" s="7">
        <f>AK254+AM254</f>
        <v>514246</v>
      </c>
      <c r="AP254" s="7">
        <f>AO254+AN254</f>
        <v>770006</v>
      </c>
      <c r="AQ254" s="7" t="s">
        <v>6099</v>
      </c>
      <c r="AR254" s="7" t="str">
        <f>_xlfn.XLOOKUP(C254,Sheet1!A:A,Sheet1!B:B, "Other")</f>
        <v>Europe</v>
      </c>
      <c r="AS254" t="str">
        <f>_xlfn.XLOOKUP(D254,Sheet1!D:D,Sheet1!E:E)</f>
        <v>Financial services</v>
      </c>
    </row>
    <row r="255" spans="1:45" ht="18" customHeight="1">
      <c r="A255" s="7">
        <v>251</v>
      </c>
      <c r="B255" s="7" t="s">
        <v>936</v>
      </c>
      <c r="C255" s="7" t="s">
        <v>68</v>
      </c>
      <c r="D255" s="7" t="s">
        <v>76</v>
      </c>
      <c r="E255" s="7" t="s">
        <v>6098</v>
      </c>
      <c r="F255" s="7" t="s">
        <v>6097</v>
      </c>
      <c r="G255" s="122"/>
      <c r="H255" s="7"/>
      <c r="I255" s="7"/>
      <c r="J255" s="122" t="s">
        <v>1957</v>
      </c>
      <c r="K255" s="7"/>
      <c r="L255" s="127">
        <v>2021</v>
      </c>
      <c r="M255" s="122" t="s">
        <v>4504</v>
      </c>
      <c r="N255" s="7" t="s">
        <v>6096</v>
      </c>
      <c r="O255" s="7" t="s">
        <v>4964</v>
      </c>
      <c r="P255" s="7" cm="1">
        <f t="array" ref="P255">IF(O255="", "", IFERROR(MAX(--_xlfn.TEXTSPLIT(O255,"+")), O255))</f>
        <v>2050</v>
      </c>
      <c r="Q255" s="7">
        <v>2021</v>
      </c>
      <c r="R255" s="126" t="s">
        <v>6095</v>
      </c>
      <c r="S255" s="7"/>
      <c r="T255" s="7"/>
      <c r="U255" s="7"/>
      <c r="V255" s="7" t="str" cm="1">
        <f t="array" ref="V255">IF(U255="", "", IFERROR(MAX(--_xlfn.TEXTSPLIT(U255,"+")), U255))</f>
        <v/>
      </c>
      <c r="W255" s="7"/>
      <c r="X255" s="7"/>
      <c r="Y255" s="122" t="s">
        <v>4174</v>
      </c>
      <c r="Z255" s="7" t="s">
        <v>6094</v>
      </c>
      <c r="AA255" s="126" t="s">
        <v>6093</v>
      </c>
      <c r="AB255" s="7">
        <v>2022</v>
      </c>
      <c r="AC255" s="7">
        <v>25650.97</v>
      </c>
      <c r="AD255" s="7">
        <v>21827.441999999999</v>
      </c>
      <c r="AE255" s="7">
        <v>0</v>
      </c>
      <c r="AF255" s="7">
        <v>41168.663999999997</v>
      </c>
      <c r="AG255" s="7" t="s">
        <v>5032</v>
      </c>
      <c r="AH255" s="7">
        <f>AC255+AE255</f>
        <v>25650.97</v>
      </c>
      <c r="AI255" s="7">
        <f>AH255+AF255</f>
        <v>66819.633999999991</v>
      </c>
      <c r="AJ255" s="7">
        <v>2021</v>
      </c>
      <c r="AK255" s="7">
        <v>20517.728999999999</v>
      </c>
      <c r="AL255" s="7">
        <v>63829.921999999999</v>
      </c>
      <c r="AM255" s="7">
        <v>0</v>
      </c>
      <c r="AN255" s="7">
        <v>42210.970999999998</v>
      </c>
      <c r="AO255" s="7">
        <v>21518</v>
      </c>
      <c r="AP255" s="7">
        <f>AO255+AN255</f>
        <v>63728.970999999998</v>
      </c>
      <c r="AQ255" s="27" t="s">
        <v>6092</v>
      </c>
      <c r="AR255" s="7" t="str">
        <f>_xlfn.XLOOKUP(C255,Sheet1!A:A,Sheet1!B:B, "Other")</f>
        <v>Other</v>
      </c>
      <c r="AS255" t="str">
        <f>_xlfn.XLOOKUP(D255,Sheet1!D:D,Sheet1!E:E)</f>
        <v>Financial services</v>
      </c>
    </row>
    <row r="256" spans="1:45" ht="18" customHeight="1">
      <c r="A256" s="7">
        <v>252</v>
      </c>
      <c r="B256" s="7" t="s">
        <v>611</v>
      </c>
      <c r="C256" s="7" t="s">
        <v>73</v>
      </c>
      <c r="D256" s="7" t="s">
        <v>5398</v>
      </c>
      <c r="E256" s="7" t="s">
        <v>6091</v>
      </c>
      <c r="F256" s="7" t="s">
        <v>6090</v>
      </c>
      <c r="G256" s="122"/>
      <c r="H256" s="7"/>
      <c r="I256" s="7"/>
      <c r="J256" s="122" t="s">
        <v>1960</v>
      </c>
      <c r="K256" s="7"/>
      <c r="L256" s="127" t="s">
        <v>1960</v>
      </c>
      <c r="M256" s="122"/>
      <c r="N256" s="7"/>
      <c r="O256" s="7"/>
      <c r="P256" s="7" t="str" cm="1">
        <f t="array" ref="P256">IF(O256="", "", IFERROR(MAX(--_xlfn.TEXTSPLIT(O256,"+")), O256))</f>
        <v/>
      </c>
      <c r="Q256" s="7"/>
      <c r="R256" s="109"/>
      <c r="S256" s="7"/>
      <c r="T256" s="7"/>
      <c r="U256" s="7"/>
      <c r="V256" s="7" t="str" cm="1">
        <f t="array" ref="V256">IF(U256="", "", IFERROR(MAX(--_xlfn.TEXTSPLIT(U256,"+")), U256))</f>
        <v/>
      </c>
      <c r="W256" s="7"/>
      <c r="X256" s="7"/>
      <c r="Y256" s="122"/>
      <c r="Z256" s="7"/>
      <c r="AA256" s="109"/>
      <c r="AB256" s="7" t="s">
        <v>5032</v>
      </c>
      <c r="AC256" s="7"/>
      <c r="AD256" s="7"/>
      <c r="AE256" s="7"/>
      <c r="AF256" s="7"/>
      <c r="AG256" s="7" t="s">
        <v>5032</v>
      </c>
      <c r="AH256" s="7"/>
      <c r="AI256" s="7"/>
      <c r="AJ256" s="7" t="s">
        <v>5032</v>
      </c>
      <c r="AK256" s="7"/>
      <c r="AL256" s="7"/>
      <c r="AM256" s="7"/>
      <c r="AN256" s="7"/>
      <c r="AO256" s="7"/>
      <c r="AP256" s="7"/>
      <c r="AQ256" s="7"/>
      <c r="AR256" s="7" t="str">
        <f>_xlfn.XLOOKUP(C256,Sheet1!A:A,Sheet1!B:B, "Other")</f>
        <v>Asia</v>
      </c>
      <c r="AS256" t="str">
        <f>_xlfn.XLOOKUP(D256,Sheet1!D:D,Sheet1!E:E)</f>
        <v>Aerospace and defense</v>
      </c>
    </row>
    <row r="257" spans="1:45" ht="18" customHeight="1">
      <c r="A257" s="7">
        <v>253</v>
      </c>
      <c r="B257" s="7" t="s">
        <v>932</v>
      </c>
      <c r="C257" s="7" t="s">
        <v>4457</v>
      </c>
      <c r="D257" s="7" t="s">
        <v>76</v>
      </c>
      <c r="E257" s="7" t="s">
        <v>6089</v>
      </c>
      <c r="F257" s="7" t="s">
        <v>6088</v>
      </c>
      <c r="G257" s="122" t="s">
        <v>4174</v>
      </c>
      <c r="H257" s="7">
        <v>2025</v>
      </c>
      <c r="I257" s="7">
        <v>2020</v>
      </c>
      <c r="J257" s="122" t="s">
        <v>1957</v>
      </c>
      <c r="K257" s="7"/>
      <c r="L257" s="127">
        <v>2021</v>
      </c>
      <c r="M257" s="122" t="s">
        <v>1957</v>
      </c>
      <c r="N257" s="7" t="s">
        <v>6087</v>
      </c>
      <c r="O257" s="7">
        <v>2018</v>
      </c>
      <c r="P257" s="7" cm="1">
        <f t="array" ref="P257">IF(O257="", "", IFERROR(MAX(--_xlfn.TEXTSPLIT(O257,"+")), O257))</f>
        <v>2018</v>
      </c>
      <c r="Q257" s="7">
        <v>2018</v>
      </c>
      <c r="R257" s="109" t="s">
        <v>6086</v>
      </c>
      <c r="S257" s="7" t="s">
        <v>4172</v>
      </c>
      <c r="T257" s="7" t="s">
        <v>5569</v>
      </c>
      <c r="U257" s="7">
        <v>2035</v>
      </c>
      <c r="V257" s="7" cm="1">
        <f t="array" ref="V257">IF(U257="", "", IFERROR(MAX(--_xlfn.TEXTSPLIT(U257,"+")), U257))</f>
        <v>2035</v>
      </c>
      <c r="W257" s="7">
        <v>2021</v>
      </c>
      <c r="X257" s="7" t="s">
        <v>6085</v>
      </c>
      <c r="Y257" s="122" t="s">
        <v>4174</v>
      </c>
      <c r="Z257" s="7" t="s">
        <v>6084</v>
      </c>
      <c r="AA257" s="109" t="s">
        <v>6083</v>
      </c>
      <c r="AB257" s="7">
        <v>2022</v>
      </c>
      <c r="AC257" s="124">
        <v>29422</v>
      </c>
      <c r="AD257" s="124">
        <v>86734</v>
      </c>
      <c r="AE257" s="124">
        <v>3849</v>
      </c>
      <c r="AF257" s="7">
        <f>569+11456</f>
        <v>12025</v>
      </c>
      <c r="AG257" s="7" t="s">
        <v>2082</v>
      </c>
      <c r="AH257" s="124">
        <f>AC257+AE257</f>
        <v>33271</v>
      </c>
      <c r="AI257" s="124">
        <f>AF257+AH257</f>
        <v>45296</v>
      </c>
      <c r="AJ257" s="7">
        <v>2021</v>
      </c>
      <c r="AK257" s="124">
        <v>17754</v>
      </c>
      <c r="AL257" s="124">
        <v>80275</v>
      </c>
      <c r="AM257" s="124">
        <v>3976</v>
      </c>
      <c r="AN257" s="7">
        <f>280+570</f>
        <v>850</v>
      </c>
      <c r="AO257" s="124">
        <f>AK257+AM257</f>
        <v>21730</v>
      </c>
      <c r="AP257" s="124">
        <f>AN257+AO257</f>
        <v>22580</v>
      </c>
      <c r="AQ257" s="7" t="s">
        <v>6082</v>
      </c>
      <c r="AR257" s="7" t="str">
        <f>_xlfn.XLOOKUP(C257,Sheet1!A:A,Sheet1!B:B, "Other")</f>
        <v>North America</v>
      </c>
      <c r="AS257" t="str">
        <f>_xlfn.XLOOKUP(D257,Sheet1!D:D,Sheet1!E:E)</f>
        <v>Financial services</v>
      </c>
    </row>
    <row r="258" spans="1:45" ht="18" customHeight="1">
      <c r="A258" s="7">
        <v>254</v>
      </c>
      <c r="B258" s="7" t="s">
        <v>819</v>
      </c>
      <c r="C258" s="7" t="s">
        <v>4195</v>
      </c>
      <c r="D258" s="7" t="s">
        <v>71</v>
      </c>
      <c r="E258" s="7" t="s">
        <v>6081</v>
      </c>
      <c r="F258" s="7" t="s">
        <v>6080</v>
      </c>
      <c r="G258" s="122"/>
      <c r="H258" s="7"/>
      <c r="I258" s="7"/>
      <c r="J258" s="122" t="s">
        <v>1960</v>
      </c>
      <c r="K258" s="7"/>
      <c r="L258" s="127" t="s">
        <v>1960</v>
      </c>
      <c r="M258" s="122"/>
      <c r="N258" s="7"/>
      <c r="O258" s="7"/>
      <c r="P258" s="7" t="str" cm="1">
        <f t="array" ref="P258">IF(O258="", "", IFERROR(MAX(--_xlfn.TEXTSPLIT(O258,"+")), O258))</f>
        <v/>
      </c>
      <c r="Q258" s="7"/>
      <c r="R258" s="109"/>
      <c r="S258" s="7" t="s">
        <v>1957</v>
      </c>
      <c r="T258" s="7" t="s">
        <v>4596</v>
      </c>
      <c r="U258" s="7">
        <v>2050</v>
      </c>
      <c r="V258" s="7" cm="1">
        <f t="array" ref="V258">IF(U258="", "", IFERROR(MAX(--_xlfn.TEXTSPLIT(U258,"+")), U258))</f>
        <v>2050</v>
      </c>
      <c r="W258" s="7">
        <v>2020</v>
      </c>
      <c r="X258" s="7" t="s">
        <v>6079</v>
      </c>
      <c r="Y258" s="122"/>
      <c r="Z258" s="7"/>
      <c r="AA258" s="109"/>
      <c r="AB258" s="7">
        <v>2022</v>
      </c>
      <c r="AC258" s="7">
        <v>22800000</v>
      </c>
      <c r="AD258" s="7"/>
      <c r="AE258" s="7">
        <v>7500000</v>
      </c>
      <c r="AF258" s="7">
        <v>583900000</v>
      </c>
      <c r="AG258" s="7" t="s">
        <v>4174</v>
      </c>
      <c r="AH258" s="7">
        <f>AC258+AE258</f>
        <v>30300000</v>
      </c>
      <c r="AI258" s="7">
        <f>AF258+AH258</f>
        <v>614200000</v>
      </c>
      <c r="AJ258" s="7">
        <v>2021</v>
      </c>
      <c r="AK258" s="7">
        <v>22800000</v>
      </c>
      <c r="AL258" s="7"/>
      <c r="AM258" s="7">
        <v>8200000</v>
      </c>
      <c r="AN258" s="7">
        <v>558300000</v>
      </c>
      <c r="AO258" s="7">
        <f>AK258+AM258</f>
        <v>31000000</v>
      </c>
      <c r="AP258" s="7">
        <f>AO258+AN258</f>
        <v>589300000</v>
      </c>
      <c r="AQ258" s="7" t="s">
        <v>6078</v>
      </c>
      <c r="AR258" s="7" t="str">
        <f>_xlfn.XLOOKUP(C258,Sheet1!A:A,Sheet1!B:B, "Other")</f>
        <v>Europe</v>
      </c>
      <c r="AS258" t="str">
        <f>_xlfn.XLOOKUP(D258,Sheet1!D:D,Sheet1!E:E)</f>
        <v>Energy and utilities</v>
      </c>
    </row>
    <row r="259" spans="1:45" ht="18" customHeight="1">
      <c r="A259" s="7">
        <v>255</v>
      </c>
      <c r="B259" s="7" t="s">
        <v>690</v>
      </c>
      <c r="C259" s="7" t="s">
        <v>4457</v>
      </c>
      <c r="D259" s="7" t="s">
        <v>342</v>
      </c>
      <c r="E259" s="7" t="s">
        <v>6077</v>
      </c>
      <c r="F259" s="7" t="s">
        <v>6076</v>
      </c>
      <c r="G259" s="122"/>
      <c r="H259" s="7"/>
      <c r="I259" s="7"/>
      <c r="J259" s="122" t="s">
        <v>1960</v>
      </c>
      <c r="K259" s="7"/>
      <c r="L259" s="127" t="s">
        <v>1960</v>
      </c>
      <c r="M259" s="122"/>
      <c r="N259" s="7"/>
      <c r="O259" s="7"/>
      <c r="P259" s="7" t="str" cm="1">
        <f t="array" ref="P259">IF(O259="", "", IFERROR(MAX(--_xlfn.TEXTSPLIT(O259,"+")), O259))</f>
        <v/>
      </c>
      <c r="Q259" s="7"/>
      <c r="R259" s="109"/>
      <c r="S259" s="7"/>
      <c r="T259" s="7"/>
      <c r="U259" s="7"/>
      <c r="V259" s="7" t="str" cm="1">
        <f t="array" ref="V259">IF(U259="", "", IFERROR(MAX(--_xlfn.TEXTSPLIT(U259,"+")), U259))</f>
        <v/>
      </c>
      <c r="W259" s="7"/>
      <c r="X259" s="7"/>
      <c r="Y259" s="122"/>
      <c r="Z259" s="7"/>
      <c r="AA259" s="109"/>
      <c r="AB259" s="7" t="s">
        <v>5032</v>
      </c>
      <c r="AC259" s="7"/>
      <c r="AD259" s="7"/>
      <c r="AE259" s="7"/>
      <c r="AF259" s="7"/>
      <c r="AG259" s="7" t="s">
        <v>5032</v>
      </c>
      <c r="AH259" s="7"/>
      <c r="AI259" s="7"/>
      <c r="AJ259" s="7"/>
      <c r="AK259" s="7"/>
      <c r="AL259" s="7"/>
      <c r="AM259" s="7"/>
      <c r="AN259" s="7"/>
      <c r="AO259" s="7"/>
      <c r="AP259" s="7"/>
      <c r="AQ259" s="7"/>
      <c r="AR259" s="7" t="str">
        <f>_xlfn.XLOOKUP(C259,Sheet1!A:A,Sheet1!B:B, "Other")</f>
        <v>North America</v>
      </c>
      <c r="AS259" t="str">
        <f>_xlfn.XLOOKUP(D259,Sheet1!D:D,Sheet1!E:E)</f>
        <v>Food, beverages and agriculture</v>
      </c>
    </row>
    <row r="260" spans="1:45" ht="18" customHeight="1">
      <c r="A260" s="7">
        <v>256</v>
      </c>
      <c r="B260" s="7" t="s">
        <v>624</v>
      </c>
      <c r="C260" s="7" t="s">
        <v>73</v>
      </c>
      <c r="D260" s="7" t="s">
        <v>135</v>
      </c>
      <c r="E260" s="7" t="s">
        <v>6075</v>
      </c>
      <c r="F260" s="7" t="s">
        <v>6074</v>
      </c>
      <c r="G260" s="122"/>
      <c r="H260" s="7"/>
      <c r="I260" s="7"/>
      <c r="J260" s="122" t="s">
        <v>1960</v>
      </c>
      <c r="K260" s="7"/>
      <c r="L260" s="127" t="s">
        <v>1960</v>
      </c>
      <c r="M260" s="122" t="s">
        <v>4519</v>
      </c>
      <c r="N260" s="7" t="s">
        <v>5131</v>
      </c>
      <c r="O260" s="7">
        <v>2060</v>
      </c>
      <c r="P260" s="7" cm="1">
        <f t="array" ref="P260">IF(O260="", "", IFERROR(MAX(--_xlfn.TEXTSPLIT(O260,"+")), O260))</f>
        <v>2060</v>
      </c>
      <c r="Q260" s="7">
        <v>2021</v>
      </c>
      <c r="R260" s="109" t="s">
        <v>6073</v>
      </c>
      <c r="S260" s="7"/>
      <c r="T260" s="7"/>
      <c r="U260" s="7"/>
      <c r="V260" s="7" t="str" cm="1">
        <f t="array" ref="V260">IF(U260="", "", IFERROR(MAX(--_xlfn.TEXTSPLIT(U260,"+")), U260))</f>
        <v/>
      </c>
      <c r="W260" s="7"/>
      <c r="X260" s="7"/>
      <c r="Y260" s="122"/>
      <c r="Z260" s="7"/>
      <c r="AA260" s="109"/>
      <c r="AB260" s="7" t="s">
        <v>5032</v>
      </c>
      <c r="AC260" s="7"/>
      <c r="AD260" s="7"/>
      <c r="AE260" s="7"/>
      <c r="AF260" s="7"/>
      <c r="AG260" s="7" t="s">
        <v>5032</v>
      </c>
      <c r="AH260" s="7"/>
      <c r="AI260" s="7"/>
      <c r="AJ260" s="7"/>
      <c r="AK260" s="7"/>
      <c r="AL260" s="7"/>
      <c r="AM260" s="7"/>
      <c r="AN260" s="7"/>
      <c r="AO260" s="7"/>
      <c r="AP260" s="7"/>
      <c r="AQ260" s="7"/>
      <c r="AR260" s="7" t="str">
        <f>_xlfn.XLOOKUP(C260,Sheet1!A:A,Sheet1!B:B, "Other")</f>
        <v>Asia</v>
      </c>
      <c r="AS260" t="str">
        <f>_xlfn.XLOOKUP(D260,Sheet1!D:D,Sheet1!E:E)</f>
        <v>Engineering and construction</v>
      </c>
    </row>
    <row r="261" spans="1:45" ht="18" customHeight="1">
      <c r="A261" s="7">
        <v>257</v>
      </c>
      <c r="B261" s="7" t="s">
        <v>632</v>
      </c>
      <c r="C261" s="7" t="s">
        <v>73</v>
      </c>
      <c r="D261" s="7" t="s">
        <v>85</v>
      </c>
      <c r="E261" s="7" t="s">
        <v>6072</v>
      </c>
      <c r="F261" s="7" t="s">
        <v>6071</v>
      </c>
      <c r="G261" s="122"/>
      <c r="H261" s="7"/>
      <c r="I261" s="7"/>
      <c r="J261" s="122" t="s">
        <v>1960</v>
      </c>
      <c r="K261" s="7"/>
      <c r="L261" s="127" t="s">
        <v>1960</v>
      </c>
      <c r="M261" s="122"/>
      <c r="N261" s="7"/>
      <c r="O261" s="7"/>
      <c r="P261" s="7" t="str" cm="1">
        <f t="array" ref="P261">IF(O261="", "", IFERROR(MAX(--_xlfn.TEXTSPLIT(O261,"+")), O261))</f>
        <v/>
      </c>
      <c r="Q261" s="7"/>
      <c r="R261" s="109"/>
      <c r="S261" s="7"/>
      <c r="T261" s="7"/>
      <c r="U261" s="7"/>
      <c r="V261" s="7" t="str" cm="1">
        <f t="array" ref="V261">IF(U261="", "", IFERROR(MAX(--_xlfn.TEXTSPLIT(U261,"+")), U261))</f>
        <v/>
      </c>
      <c r="W261" s="7"/>
      <c r="X261" s="7"/>
      <c r="Y261" s="122"/>
      <c r="Z261" s="7"/>
      <c r="AA261" s="109"/>
      <c r="AB261" s="7" t="s">
        <v>5032</v>
      </c>
      <c r="AC261" s="7"/>
      <c r="AD261" s="7"/>
      <c r="AE261" s="7"/>
      <c r="AF261" s="7"/>
      <c r="AG261" s="7" t="s">
        <v>5032</v>
      </c>
      <c r="AH261" s="7"/>
      <c r="AI261" s="7"/>
      <c r="AJ261" s="7" t="s">
        <v>5032</v>
      </c>
      <c r="AK261" s="7"/>
      <c r="AL261" s="7"/>
      <c r="AM261" s="7"/>
      <c r="AN261" s="7"/>
      <c r="AO261" s="7"/>
      <c r="AP261" s="7"/>
      <c r="AQ261" s="7"/>
      <c r="AR261" s="7" t="str">
        <f>_xlfn.XLOOKUP(C261,Sheet1!A:A,Sheet1!B:B, "Other")</f>
        <v>Asia</v>
      </c>
      <c r="AS261" t="str">
        <f>_xlfn.XLOOKUP(D261,Sheet1!D:D,Sheet1!E:E)</f>
        <v>Industrial goods</v>
      </c>
    </row>
    <row r="262" spans="1:45" ht="18" customHeight="1">
      <c r="A262" s="7">
        <v>258</v>
      </c>
      <c r="B262" s="7" t="s">
        <v>1186</v>
      </c>
      <c r="C262" s="7" t="s">
        <v>114</v>
      </c>
      <c r="D262" s="7" t="s">
        <v>71</v>
      </c>
      <c r="E262" s="7" t="s">
        <v>6070</v>
      </c>
      <c r="F262" s="7" t="s">
        <v>6069</v>
      </c>
      <c r="G262" s="122"/>
      <c r="H262" s="7"/>
      <c r="I262" s="7"/>
      <c r="J262" s="122" t="s">
        <v>1960</v>
      </c>
      <c r="K262" s="7"/>
      <c r="L262" s="127" t="s">
        <v>1960</v>
      </c>
      <c r="M262" s="122" t="s">
        <v>4519</v>
      </c>
      <c r="N262" s="7" t="s">
        <v>6068</v>
      </c>
      <c r="O262" s="7">
        <v>2050</v>
      </c>
      <c r="P262" s="7" cm="1">
        <f t="array" ref="P262">IF(O262="", "", IFERROR(MAX(--_xlfn.TEXTSPLIT(O262,"+")), O262))</f>
        <v>2050</v>
      </c>
      <c r="Q262" s="7">
        <v>2021</v>
      </c>
      <c r="R262" s="109" t="s">
        <v>6067</v>
      </c>
      <c r="S262" s="7"/>
      <c r="T262" s="7"/>
      <c r="U262" s="7"/>
      <c r="V262" s="7" t="str" cm="1">
        <f t="array" ref="V262">IF(U262="", "", IFERROR(MAX(--_xlfn.TEXTSPLIT(U262,"+")), U262))</f>
        <v/>
      </c>
      <c r="W262" s="7"/>
      <c r="X262" s="7"/>
      <c r="Y262" s="122"/>
      <c r="Z262" s="7"/>
      <c r="AA262" s="109"/>
      <c r="AB262" s="7">
        <v>2021</v>
      </c>
      <c r="AC262" s="7">
        <v>17126</v>
      </c>
      <c r="AD262" s="7"/>
      <c r="AE262" s="7">
        <v>381</v>
      </c>
      <c r="AF262" s="7">
        <v>220000000</v>
      </c>
      <c r="AG262" s="7" t="s">
        <v>5032</v>
      </c>
      <c r="AH262" s="7">
        <f>AC262+AE262</f>
        <v>17507</v>
      </c>
      <c r="AI262" s="7">
        <f>AH262+AF262</f>
        <v>220017507</v>
      </c>
      <c r="AJ262" s="7">
        <v>2020</v>
      </c>
      <c r="AK262" s="7">
        <v>17197</v>
      </c>
      <c r="AL262" s="7"/>
      <c r="AM262" s="7">
        <v>362</v>
      </c>
      <c r="AN262" s="7">
        <v>228620000</v>
      </c>
      <c r="AO262" s="7">
        <f>AK262+AM262</f>
        <v>17559</v>
      </c>
      <c r="AP262" s="7">
        <f>AO262+AN262</f>
        <v>228637559</v>
      </c>
      <c r="AQ262" s="27" t="s">
        <v>6067</v>
      </c>
      <c r="AR262" s="7" t="str">
        <f>_xlfn.XLOOKUP(C262,Sheet1!A:A,Sheet1!B:B, "Other")</f>
        <v>Asia</v>
      </c>
      <c r="AS262" t="str">
        <f>_xlfn.XLOOKUP(D262,Sheet1!D:D,Sheet1!E:E)</f>
        <v>Energy and utilities</v>
      </c>
    </row>
    <row r="263" spans="1:45" ht="18" customHeight="1">
      <c r="A263" s="7">
        <v>259</v>
      </c>
      <c r="B263" s="7" t="s">
        <v>385</v>
      </c>
      <c r="C263" s="7" t="s">
        <v>382</v>
      </c>
      <c r="D263" s="7" t="s">
        <v>71</v>
      </c>
      <c r="E263" s="7" t="s">
        <v>6066</v>
      </c>
      <c r="F263" s="7" t="s">
        <v>6065</v>
      </c>
      <c r="G263" s="122"/>
      <c r="H263" s="7"/>
      <c r="I263" s="7"/>
      <c r="J263" s="122" t="s">
        <v>1960</v>
      </c>
      <c r="K263" s="7"/>
      <c r="L263" s="127" t="s">
        <v>1960</v>
      </c>
      <c r="M263" s="122" t="s">
        <v>1957</v>
      </c>
      <c r="N263" s="7" t="s">
        <v>3793</v>
      </c>
      <c r="O263" s="7">
        <v>2050</v>
      </c>
      <c r="P263" s="7" cm="1">
        <f t="array" ref="P263">IF(O263="", "", IFERROR(MAX(--_xlfn.TEXTSPLIT(O263,"+")), O263))</f>
        <v>2050</v>
      </c>
      <c r="Q263" s="7">
        <v>2021</v>
      </c>
      <c r="R263" s="126" t="s">
        <v>6064</v>
      </c>
      <c r="S263" s="7"/>
      <c r="T263" s="7"/>
      <c r="U263" s="7"/>
      <c r="V263" s="7" t="str" cm="1">
        <f t="array" ref="V263">IF(U263="", "", IFERROR(MAX(--_xlfn.TEXTSPLIT(U263,"+")), U263))</f>
        <v/>
      </c>
      <c r="W263" s="7"/>
      <c r="X263" s="7"/>
      <c r="Y263" s="122"/>
      <c r="Z263" s="7"/>
      <c r="AA263" s="126"/>
      <c r="AB263" s="7">
        <v>2021</v>
      </c>
      <c r="AC263" s="7">
        <v>6201118</v>
      </c>
      <c r="AD263" s="7"/>
      <c r="AE263" s="7">
        <v>138322</v>
      </c>
      <c r="AF263" s="7"/>
      <c r="AG263" s="7" t="s">
        <v>5032</v>
      </c>
      <c r="AH263" s="7">
        <f>AC263+AE263</f>
        <v>6339440</v>
      </c>
      <c r="AI263" s="7">
        <f>AH263</f>
        <v>6339440</v>
      </c>
      <c r="AJ263" s="7" t="s">
        <v>5032</v>
      </c>
      <c r="AK263" s="7"/>
      <c r="AL263" s="7"/>
      <c r="AM263" s="7"/>
      <c r="AN263" s="7"/>
      <c r="AO263" s="7"/>
      <c r="AP263" s="7"/>
      <c r="AQ263" s="27" t="s">
        <v>6064</v>
      </c>
      <c r="AR263" s="7" t="str">
        <f>_xlfn.XLOOKUP(C263,Sheet1!A:A,Sheet1!B:B, "Other")</f>
        <v>Other</v>
      </c>
      <c r="AS263" t="str">
        <f>_xlfn.XLOOKUP(D263,Sheet1!D:D,Sheet1!E:E)</f>
        <v>Energy and utilities</v>
      </c>
    </row>
    <row r="264" spans="1:45" ht="18" customHeight="1">
      <c r="A264" s="7">
        <v>260</v>
      </c>
      <c r="B264" s="7" t="s">
        <v>1116</v>
      </c>
      <c r="C264" s="7" t="s">
        <v>73</v>
      </c>
      <c r="D264" s="7" t="s">
        <v>76</v>
      </c>
      <c r="E264" s="7" t="s">
        <v>6063</v>
      </c>
      <c r="F264" s="7" t="s">
        <v>5622</v>
      </c>
      <c r="G264" s="122"/>
      <c r="H264" s="7"/>
      <c r="I264" s="7"/>
      <c r="J264" s="122" t="s">
        <v>1960</v>
      </c>
      <c r="K264" s="7"/>
      <c r="L264" s="127" t="s">
        <v>1960</v>
      </c>
      <c r="M264" s="122" t="s">
        <v>4519</v>
      </c>
      <c r="N264" s="7" t="s">
        <v>5131</v>
      </c>
      <c r="O264" s="7">
        <v>2060</v>
      </c>
      <c r="P264" s="7" cm="1">
        <f t="array" ref="P264">IF(O264="", "", IFERROR(MAX(--_xlfn.TEXTSPLIT(O264,"+")), O264))</f>
        <v>2060</v>
      </c>
      <c r="Q264" s="7">
        <v>2022</v>
      </c>
      <c r="R264" s="109" t="s">
        <v>6062</v>
      </c>
      <c r="S264" s="7"/>
      <c r="T264" s="7"/>
      <c r="U264" s="7"/>
      <c r="V264" s="7" t="str" cm="1">
        <f t="array" ref="V264">IF(U264="", "", IFERROR(MAX(--_xlfn.TEXTSPLIT(U264,"+")), U264))</f>
        <v/>
      </c>
      <c r="W264" s="7"/>
      <c r="X264" s="7"/>
      <c r="Y264" s="122"/>
      <c r="Z264" s="7"/>
      <c r="AA264" s="109"/>
      <c r="AB264" s="7" t="s">
        <v>5032</v>
      </c>
      <c r="AC264" s="7"/>
      <c r="AD264" s="7"/>
      <c r="AE264" s="7"/>
      <c r="AF264" s="7"/>
      <c r="AG264" s="7" t="s">
        <v>5032</v>
      </c>
      <c r="AH264" s="7"/>
      <c r="AI264" s="7"/>
      <c r="AJ264" s="7" t="s">
        <v>5032</v>
      </c>
      <c r="AK264" s="7"/>
      <c r="AL264" s="7"/>
      <c r="AM264" s="7"/>
      <c r="AN264" s="7"/>
      <c r="AO264" s="7"/>
      <c r="AP264" s="7"/>
      <c r="AQ264" s="7" t="s">
        <v>6062</v>
      </c>
      <c r="AR264" s="7" t="str">
        <f>_xlfn.XLOOKUP(C264,Sheet1!A:A,Sheet1!B:B, "Other")</f>
        <v>Asia</v>
      </c>
      <c r="AS264" t="str">
        <f>_xlfn.XLOOKUP(D264,Sheet1!D:D,Sheet1!E:E)</f>
        <v>Financial services</v>
      </c>
    </row>
    <row r="265" spans="1:45" ht="18" customHeight="1">
      <c r="A265" s="7">
        <v>261</v>
      </c>
      <c r="B265" s="7" t="s">
        <v>950</v>
      </c>
      <c r="C265" s="7" t="s">
        <v>4457</v>
      </c>
      <c r="D265" s="7" t="s">
        <v>461</v>
      </c>
      <c r="E265" s="7" t="s">
        <v>6060</v>
      </c>
      <c r="F265" s="7" t="s">
        <v>6061</v>
      </c>
      <c r="G265" s="122"/>
      <c r="H265" s="7"/>
      <c r="I265" s="7"/>
      <c r="J265" s="122" t="s">
        <v>1960</v>
      </c>
      <c r="K265" s="7"/>
      <c r="L265" s="127" t="s">
        <v>1960</v>
      </c>
      <c r="M265" s="122" t="s">
        <v>1957</v>
      </c>
      <c r="N265" s="7" t="s">
        <v>5042</v>
      </c>
      <c r="O265" s="7">
        <v>2035</v>
      </c>
      <c r="P265" s="7" cm="1">
        <f t="array" ref="P265">IF(O265="", "", IFERROR(MAX(--_xlfn.TEXTSPLIT(O265,"+")), O265))</f>
        <v>2035</v>
      </c>
      <c r="Q265" s="7">
        <v>2021</v>
      </c>
      <c r="R265" s="109" t="s">
        <v>4755</v>
      </c>
      <c r="S265" s="7"/>
      <c r="T265" s="7"/>
      <c r="U265" s="7"/>
      <c r="V265" s="7" t="str" cm="1">
        <f t="array" ref="V265">IF(U265="", "", IFERROR(MAX(--_xlfn.TEXTSPLIT(U265,"+")), U265))</f>
        <v/>
      </c>
      <c r="W265" s="7"/>
      <c r="X265" s="7"/>
      <c r="Y265" s="122"/>
      <c r="Z265" s="7"/>
      <c r="AA265" s="109"/>
      <c r="AB265" s="7">
        <v>2022</v>
      </c>
      <c r="AC265" s="7">
        <v>403807</v>
      </c>
      <c r="AD265" s="7"/>
      <c r="AE265" s="7">
        <v>1108972</v>
      </c>
      <c r="AF265" s="7">
        <v>929785</v>
      </c>
      <c r="AG265" s="7" t="s">
        <v>5032</v>
      </c>
      <c r="AH265" s="7">
        <f>AC265+AE265</f>
        <v>1512779</v>
      </c>
      <c r="AI265" s="7">
        <f>AH265+AF265</f>
        <v>2442564</v>
      </c>
      <c r="AJ265" s="7">
        <v>2021</v>
      </c>
      <c r="AK265" s="7">
        <v>375709</v>
      </c>
      <c r="AL265" s="7"/>
      <c r="AM265" s="7">
        <v>1057823</v>
      </c>
      <c r="AN265" s="7">
        <v>1007783</v>
      </c>
      <c r="AO265" s="7">
        <f>AK265+AM265</f>
        <v>1433532</v>
      </c>
      <c r="AP265" s="7">
        <f>AO265+AN265</f>
        <v>2441315</v>
      </c>
      <c r="AQ265" s="7" t="s">
        <v>4755</v>
      </c>
      <c r="AR265" s="7" t="str">
        <f>_xlfn.XLOOKUP(C265,Sheet1!A:A,Sheet1!B:B, "Other")</f>
        <v>North America</v>
      </c>
      <c r="AS265" t="str">
        <f>_xlfn.XLOOKUP(D265,Sheet1!D:D,Sheet1!E:E)</f>
        <v>Telecommunications and media</v>
      </c>
    </row>
    <row r="266" spans="1:45" ht="18" customHeight="1">
      <c r="A266" s="7">
        <v>262</v>
      </c>
      <c r="B266" s="7" t="s">
        <v>630</v>
      </c>
      <c r="C266" s="7" t="s">
        <v>73</v>
      </c>
      <c r="D266" s="7" t="s">
        <v>71</v>
      </c>
      <c r="E266" s="7" t="s">
        <v>6060</v>
      </c>
      <c r="F266" s="7" t="s">
        <v>6059</v>
      </c>
      <c r="G266" s="122"/>
      <c r="H266" s="7"/>
      <c r="I266" s="7"/>
      <c r="J266" s="122" t="s">
        <v>1960</v>
      </c>
      <c r="K266" s="7"/>
      <c r="L266" s="127" t="s">
        <v>1960</v>
      </c>
      <c r="M266" s="122" t="s">
        <v>4519</v>
      </c>
      <c r="N266" s="7" t="s">
        <v>5131</v>
      </c>
      <c r="O266" s="7">
        <v>2060</v>
      </c>
      <c r="P266" s="7" cm="1">
        <f t="array" ref="P266">IF(O266="", "", IFERROR(MAX(--_xlfn.TEXTSPLIT(O266,"+")), O266))</f>
        <v>2060</v>
      </c>
      <c r="Q266" s="7">
        <v>2021</v>
      </c>
      <c r="R266" s="126" t="s">
        <v>4753</v>
      </c>
      <c r="S266" s="7"/>
      <c r="T266" s="7"/>
      <c r="U266" s="7"/>
      <c r="V266" s="7" t="str" cm="1">
        <f t="array" ref="V266">IF(U266="", "", IFERROR(MAX(--_xlfn.TEXTSPLIT(U266,"+")), U266))</f>
        <v/>
      </c>
      <c r="W266" s="7"/>
      <c r="X266" s="125"/>
      <c r="Y266" s="122"/>
      <c r="Z266" s="7"/>
      <c r="AA266" s="109"/>
      <c r="AB266" s="7" t="s">
        <v>5032</v>
      </c>
      <c r="AC266" s="7"/>
      <c r="AD266" s="7"/>
      <c r="AE266" s="7"/>
      <c r="AF266" s="7"/>
      <c r="AG266" s="7" t="s">
        <v>5032</v>
      </c>
      <c r="AH266" s="7"/>
      <c r="AI266" s="7"/>
      <c r="AJ266" s="7" t="s">
        <v>5032</v>
      </c>
      <c r="AK266" s="7"/>
      <c r="AL266" s="7"/>
      <c r="AM266" s="7"/>
      <c r="AN266" s="7"/>
      <c r="AO266" s="7"/>
      <c r="AP266" s="7"/>
      <c r="AQ266" s="27" t="s">
        <v>6058</v>
      </c>
      <c r="AR266" s="7" t="str">
        <f>_xlfn.XLOOKUP(C266,Sheet1!A:A,Sheet1!B:B, "Other")</f>
        <v>Asia</v>
      </c>
      <c r="AS266" t="str">
        <f>_xlfn.XLOOKUP(D266,Sheet1!D:D,Sheet1!E:E)</f>
        <v>Energy and utilities</v>
      </c>
    </row>
    <row r="267" spans="1:45" ht="18" customHeight="1">
      <c r="A267" s="7">
        <v>263</v>
      </c>
      <c r="B267" s="7" t="s">
        <v>1074</v>
      </c>
      <c r="C267" s="7" t="s">
        <v>63</v>
      </c>
      <c r="D267" s="7" t="s">
        <v>85</v>
      </c>
      <c r="E267" s="7" t="s">
        <v>6057</v>
      </c>
      <c r="F267" s="7" t="s">
        <v>6056</v>
      </c>
      <c r="G267" s="122"/>
      <c r="H267" s="7"/>
      <c r="I267" s="7"/>
      <c r="J267" s="122" t="s">
        <v>4183</v>
      </c>
      <c r="K267" s="7">
        <v>2030</v>
      </c>
      <c r="L267" s="127">
        <v>2022</v>
      </c>
      <c r="M267" s="122" t="s">
        <v>4172</v>
      </c>
      <c r="N267" s="7" t="s">
        <v>4259</v>
      </c>
      <c r="O267" s="7">
        <v>2050</v>
      </c>
      <c r="P267" s="7" cm="1">
        <f t="array" ref="P267">IF(O267="", "", IFERROR(MAX(--_xlfn.TEXTSPLIT(O267,"+")), O267))</f>
        <v>2050</v>
      </c>
      <c r="Q267" s="7">
        <v>2022</v>
      </c>
      <c r="R267" s="109" t="s">
        <v>6055</v>
      </c>
      <c r="S267" s="7" t="s">
        <v>4172</v>
      </c>
      <c r="T267" s="7" t="s">
        <v>4259</v>
      </c>
      <c r="U267" s="7">
        <v>2050</v>
      </c>
      <c r="V267" s="7" cm="1">
        <f t="array" ref="V267">IF(U267="", "", IFERROR(MAX(--_xlfn.TEXTSPLIT(U267,"+")), U267))</f>
        <v>2050</v>
      </c>
      <c r="W267" s="7">
        <v>2022</v>
      </c>
      <c r="X267" s="7" t="s">
        <v>6055</v>
      </c>
      <c r="Y267" s="122" t="s">
        <v>4174</v>
      </c>
      <c r="Z267" s="7" t="s">
        <v>6054</v>
      </c>
      <c r="AA267" s="109" t="s">
        <v>6053</v>
      </c>
      <c r="AB267" s="7">
        <v>2022</v>
      </c>
      <c r="AC267" s="7"/>
      <c r="AD267" s="7"/>
      <c r="AE267" s="7"/>
      <c r="AF267" s="7"/>
      <c r="AG267" s="7" t="s">
        <v>5032</v>
      </c>
      <c r="AH267" s="7">
        <v>9800000</v>
      </c>
      <c r="AI267" s="7">
        <f>AH267+AF267</f>
        <v>9800000</v>
      </c>
      <c r="AJ267" s="7" t="s">
        <v>5032</v>
      </c>
      <c r="AK267" s="7"/>
      <c r="AL267" s="7"/>
      <c r="AM267" s="7"/>
      <c r="AN267" s="7"/>
      <c r="AO267" s="7"/>
      <c r="AP267" s="7"/>
      <c r="AQ267" s="7" t="s">
        <v>6052</v>
      </c>
      <c r="AR267" s="7" t="str">
        <f>_xlfn.XLOOKUP(C267,Sheet1!A:A,Sheet1!B:B, "Other")</f>
        <v>Europe</v>
      </c>
      <c r="AS267" t="str">
        <f>_xlfn.XLOOKUP(D267,Sheet1!D:D,Sheet1!E:E)</f>
        <v>Industrial goods</v>
      </c>
    </row>
    <row r="268" spans="1:45" ht="18" customHeight="1">
      <c r="A268" s="7">
        <v>264</v>
      </c>
      <c r="B268" s="7" t="s">
        <v>6051</v>
      </c>
      <c r="C268" s="7" t="s">
        <v>146</v>
      </c>
      <c r="D268" s="7" t="s">
        <v>171</v>
      </c>
      <c r="E268" s="7" t="s">
        <v>6050</v>
      </c>
      <c r="F268" s="7" t="s">
        <v>6049</v>
      </c>
      <c r="G268" s="122"/>
      <c r="H268" s="7"/>
      <c r="I268" s="7"/>
      <c r="J268" s="122"/>
      <c r="K268" s="7"/>
      <c r="L268" s="127"/>
      <c r="M268" s="122" t="s">
        <v>1957</v>
      </c>
      <c r="N268" s="7" t="s">
        <v>4386</v>
      </c>
      <c r="O268" s="7">
        <v>2039</v>
      </c>
      <c r="P268" s="7" cm="1">
        <f t="array" ref="P268">IF(O268="", "", IFERROR(MAX(--_xlfn.TEXTSPLIT(O268,"+")), O268))</f>
        <v>2039</v>
      </c>
      <c r="Q268" s="7">
        <v>2021</v>
      </c>
      <c r="R268" s="126" t="s">
        <v>6048</v>
      </c>
      <c r="S268" s="7"/>
      <c r="T268" s="7"/>
      <c r="U268" s="7"/>
      <c r="V268" s="7" t="str" cm="1">
        <f t="array" ref="V268">IF(U268="", "", IFERROR(MAX(--_xlfn.TEXTSPLIT(U268,"+")), U268))</f>
        <v/>
      </c>
      <c r="W268" s="7"/>
      <c r="X268" s="7"/>
      <c r="Y268" s="122"/>
      <c r="Z268" s="7"/>
      <c r="AA268" s="109"/>
      <c r="AB268" s="7" t="s">
        <v>5032</v>
      </c>
      <c r="AC268" s="7"/>
      <c r="AD268" s="7"/>
      <c r="AE268" s="7"/>
      <c r="AF268" s="7"/>
      <c r="AG268" s="7" t="s">
        <v>5032</v>
      </c>
      <c r="AH268" s="124"/>
      <c r="AI268" s="124"/>
      <c r="AJ268" s="7">
        <v>2021</v>
      </c>
      <c r="AK268" s="7">
        <f>385000</f>
        <v>385000</v>
      </c>
      <c r="AL268" s="7"/>
      <c r="AM268" s="124">
        <f>AO268-AK268</f>
        <v>95000</v>
      </c>
      <c r="AN268" s="7"/>
      <c r="AO268" s="124">
        <v>480000</v>
      </c>
      <c r="AP268" s="124">
        <f>AN268+AO268</f>
        <v>480000</v>
      </c>
      <c r="AQ268" s="27" t="s">
        <v>6047</v>
      </c>
      <c r="AR268" s="7" t="str">
        <f>_xlfn.XLOOKUP(C268,Sheet1!A:A,Sheet1!B:B, "Other")</f>
        <v>Europe</v>
      </c>
      <c r="AS268" t="str">
        <f>_xlfn.XLOOKUP(D268,Sheet1!D:D,Sheet1!E:E)</f>
        <v>Automotive</v>
      </c>
    </row>
    <row r="269" spans="1:45" ht="18" customHeight="1">
      <c r="A269" s="7">
        <v>265</v>
      </c>
      <c r="B269" s="7" t="s">
        <v>1019</v>
      </c>
      <c r="C269" s="7" t="s">
        <v>146</v>
      </c>
      <c r="D269" s="7" t="s">
        <v>319</v>
      </c>
      <c r="E269" s="7" t="s">
        <v>6046</v>
      </c>
      <c r="F269" s="7" t="s">
        <v>6045</v>
      </c>
      <c r="G269" s="122"/>
      <c r="H269" s="7"/>
      <c r="I269" s="7"/>
      <c r="J269" s="122" t="s">
        <v>4183</v>
      </c>
      <c r="K269" s="7">
        <v>2029</v>
      </c>
      <c r="L269" s="127">
        <v>2020</v>
      </c>
      <c r="M269" s="122" t="s">
        <v>1957</v>
      </c>
      <c r="N269" s="7" t="s">
        <v>3793</v>
      </c>
      <c r="O269" s="7">
        <v>2030</v>
      </c>
      <c r="P269" s="7" cm="1">
        <f t="array" ref="P269">IF(O269="", "", IFERROR(MAX(--_xlfn.TEXTSPLIT(O269,"+")), O269))</f>
        <v>2030</v>
      </c>
      <c r="Q269" s="7">
        <v>2019</v>
      </c>
      <c r="R269" s="109" t="s">
        <v>6044</v>
      </c>
      <c r="S269" s="7" t="s">
        <v>4172</v>
      </c>
      <c r="T269" s="7" t="s">
        <v>1968</v>
      </c>
      <c r="U269" s="7">
        <v>2050</v>
      </c>
      <c r="V269" s="7" cm="1">
        <f t="array" ref="V269">IF(U269="", "", IFERROR(MAX(--_xlfn.TEXTSPLIT(U269,"+")), U269))</f>
        <v>2050</v>
      </c>
      <c r="W269" s="7">
        <v>2023</v>
      </c>
      <c r="X269" s="7" t="s">
        <v>6043</v>
      </c>
      <c r="Y269" s="122" t="s">
        <v>4174</v>
      </c>
      <c r="Z269" s="7" t="s">
        <v>5037</v>
      </c>
      <c r="AA269" s="109" t="s">
        <v>6042</v>
      </c>
      <c r="AB269" s="7">
        <v>2022</v>
      </c>
      <c r="AC269" s="7">
        <v>1910000</v>
      </c>
      <c r="AD269" s="7">
        <v>1560000</v>
      </c>
      <c r="AE269" s="7">
        <v>1120000</v>
      </c>
      <c r="AF269" s="7">
        <v>9640000</v>
      </c>
      <c r="AG269" s="7" t="s">
        <v>4174</v>
      </c>
      <c r="AH269" s="7">
        <f>AC269+AE269</f>
        <v>3030000</v>
      </c>
      <c r="AI269" s="7">
        <f>AH269+AF269</f>
        <v>12670000</v>
      </c>
      <c r="AJ269" s="7">
        <v>2021</v>
      </c>
      <c r="AK269" s="7">
        <v>1930000</v>
      </c>
      <c r="AL269" s="7">
        <v>1560000</v>
      </c>
      <c r="AM269" s="7">
        <v>1240000</v>
      </c>
      <c r="AN269" s="7">
        <v>8690000</v>
      </c>
      <c r="AO269" s="7">
        <f>AK269+AM269</f>
        <v>3170000</v>
      </c>
      <c r="AP269" s="7">
        <f>AO269+AN269</f>
        <v>11860000</v>
      </c>
      <c r="AQ269" s="7" t="s">
        <v>6042</v>
      </c>
      <c r="AR269" s="7" t="str">
        <f>_xlfn.XLOOKUP(C269,Sheet1!A:A,Sheet1!B:B, "Other")</f>
        <v>Europe</v>
      </c>
      <c r="AS269" t="str">
        <f>_xlfn.XLOOKUP(D269,Sheet1!D:D,Sheet1!E:E)</f>
        <v>Health care and pharmaceuticals</v>
      </c>
    </row>
    <row r="270" spans="1:45" ht="18" customHeight="1">
      <c r="A270" s="7">
        <v>266</v>
      </c>
      <c r="B270" s="7" t="s">
        <v>805</v>
      </c>
      <c r="C270" s="7" t="s">
        <v>4457</v>
      </c>
      <c r="D270" s="7" t="s">
        <v>5091</v>
      </c>
      <c r="E270" s="7" t="s">
        <v>6041</v>
      </c>
      <c r="F270" s="7" t="s">
        <v>6040</v>
      </c>
      <c r="G270" s="122"/>
      <c r="H270" s="7"/>
      <c r="I270" s="7"/>
      <c r="J270" s="122" t="s">
        <v>4183</v>
      </c>
      <c r="K270" s="7">
        <v>2030</v>
      </c>
      <c r="L270" s="127">
        <v>2018</v>
      </c>
      <c r="M270" s="122"/>
      <c r="N270" s="7"/>
      <c r="O270" s="7"/>
      <c r="P270" s="7" t="str" cm="1">
        <f t="array" ref="P270">IF(O270="", "", IFERROR(MAX(--_xlfn.TEXTSPLIT(O270,"+")), O270))</f>
        <v/>
      </c>
      <c r="Q270" s="7"/>
      <c r="R270" s="109"/>
      <c r="S270" s="7" t="s">
        <v>4172</v>
      </c>
      <c r="T270" s="7" t="s">
        <v>4728</v>
      </c>
      <c r="U270" s="7">
        <v>2050</v>
      </c>
      <c r="V270" s="7" cm="1">
        <f t="array" ref="V270">IF(U270="", "", IFERROR(MAX(--_xlfn.TEXTSPLIT(U270,"+")), U270))</f>
        <v>2050</v>
      </c>
      <c r="W270" s="7">
        <v>2021</v>
      </c>
      <c r="X270" s="125" t="s">
        <v>6039</v>
      </c>
      <c r="Y270" s="122" t="s">
        <v>4174</v>
      </c>
      <c r="Z270" s="7" t="s">
        <v>6038</v>
      </c>
      <c r="AA270" s="126" t="s">
        <v>6037</v>
      </c>
      <c r="AB270" s="7">
        <v>2021</v>
      </c>
      <c r="AC270" s="7">
        <v>3800000</v>
      </c>
      <c r="AD270" s="7"/>
      <c r="AE270" s="7">
        <v>2000000</v>
      </c>
      <c r="AF270" s="7"/>
      <c r="AG270" s="7" t="s">
        <v>5032</v>
      </c>
      <c r="AH270" s="7">
        <f>AC270+AE270</f>
        <v>5800000</v>
      </c>
      <c r="AI270" s="7">
        <f>AH270+AF270</f>
        <v>5800000</v>
      </c>
      <c r="AJ270" s="7">
        <v>2020</v>
      </c>
      <c r="AK270" s="7">
        <v>3900000</v>
      </c>
      <c r="AL270" s="7"/>
      <c r="AM270" s="7">
        <v>2200000</v>
      </c>
      <c r="AN270" s="7"/>
      <c r="AO270" s="7">
        <f>AK270+AM270</f>
        <v>6100000</v>
      </c>
      <c r="AP270" s="7">
        <f>AO270+AN270</f>
        <v>6100000</v>
      </c>
      <c r="AQ270" s="27" t="s">
        <v>6036</v>
      </c>
      <c r="AR270" s="7" t="str">
        <f>_xlfn.XLOOKUP(C270,Sheet1!A:A,Sheet1!B:B, "Other")</f>
        <v>North America</v>
      </c>
      <c r="AS270" t="str">
        <f>_xlfn.XLOOKUP(D270,Sheet1!D:D,Sheet1!E:E)</f>
        <v>Food, beverages and agriculture</v>
      </c>
    </row>
    <row r="271" spans="1:45" ht="18" customHeight="1">
      <c r="A271" s="7">
        <v>267</v>
      </c>
      <c r="B271" s="7" t="s">
        <v>954</v>
      </c>
      <c r="C271" s="7" t="s">
        <v>73</v>
      </c>
      <c r="D271" s="7" t="s">
        <v>461</v>
      </c>
      <c r="E271" s="7" t="s">
        <v>6035</v>
      </c>
      <c r="F271" s="7" t="s">
        <v>6034</v>
      </c>
      <c r="G271" s="122"/>
      <c r="H271" s="7"/>
      <c r="I271" s="7"/>
      <c r="J271" s="122" t="s">
        <v>1960</v>
      </c>
      <c r="K271" s="7"/>
      <c r="L271" s="127" t="s">
        <v>1960</v>
      </c>
      <c r="M271" s="122" t="s">
        <v>4519</v>
      </c>
      <c r="N271" s="7" t="s">
        <v>418</v>
      </c>
      <c r="O271" s="7">
        <v>2060</v>
      </c>
      <c r="P271" s="7" cm="1">
        <f t="array" ref="P271">IF(O271="", "", IFERROR(MAX(--_xlfn.TEXTSPLIT(O271,"+")), O271))</f>
        <v>2060</v>
      </c>
      <c r="Q271" s="7">
        <v>2021</v>
      </c>
      <c r="R271" s="109" t="s">
        <v>6033</v>
      </c>
      <c r="S271" s="7"/>
      <c r="T271" s="7"/>
      <c r="U271" s="7"/>
      <c r="V271" s="7" t="str" cm="1">
        <f t="array" ref="V271">IF(U271="", "", IFERROR(MAX(--_xlfn.TEXTSPLIT(U271,"+")), U271))</f>
        <v/>
      </c>
      <c r="W271" s="7"/>
      <c r="X271" s="7"/>
      <c r="Y271" s="122"/>
      <c r="Z271" s="7"/>
      <c r="AA271" s="109"/>
      <c r="AB271" s="7">
        <v>2022</v>
      </c>
      <c r="AC271" s="7">
        <v>140000</v>
      </c>
      <c r="AD271" s="7"/>
      <c r="AE271" s="7">
        <v>13220000</v>
      </c>
      <c r="AF271" s="7"/>
      <c r="AG271" s="7" t="s">
        <v>5032</v>
      </c>
      <c r="AH271" s="7">
        <f>AC271+AE271</f>
        <v>13360000</v>
      </c>
      <c r="AI271" s="7">
        <f>AH271+AF271</f>
        <v>13360000</v>
      </c>
      <c r="AJ271" s="7">
        <v>2021</v>
      </c>
      <c r="AK271" s="7">
        <v>230000</v>
      </c>
      <c r="AL271" s="7"/>
      <c r="AM271" s="7">
        <v>12740000</v>
      </c>
      <c r="AN271" s="7"/>
      <c r="AO271" s="7">
        <f>AK271+AM271</f>
        <v>12970000</v>
      </c>
      <c r="AP271" s="7">
        <f>AO271+AN271</f>
        <v>12970000</v>
      </c>
      <c r="AQ271" s="7" t="s">
        <v>6033</v>
      </c>
      <c r="AR271" s="7" t="str">
        <f>_xlfn.XLOOKUP(C271,Sheet1!A:A,Sheet1!B:B, "Other")</f>
        <v>Asia</v>
      </c>
      <c r="AS271" t="str">
        <f>_xlfn.XLOOKUP(D271,Sheet1!D:D,Sheet1!E:E)</f>
        <v>Telecommunications and media</v>
      </c>
    </row>
    <row r="272" spans="1:45" ht="18" customHeight="1">
      <c r="A272" s="7">
        <v>268</v>
      </c>
      <c r="B272" s="7" t="s">
        <v>727</v>
      </c>
      <c r="C272" s="7" t="s">
        <v>4457</v>
      </c>
      <c r="D272" s="7" t="s">
        <v>283</v>
      </c>
      <c r="E272" s="7" t="s">
        <v>6032</v>
      </c>
      <c r="F272" s="7" t="s">
        <v>6031</v>
      </c>
      <c r="G272" s="122"/>
      <c r="H272" s="7"/>
      <c r="I272" s="7"/>
      <c r="J272" s="122" t="s">
        <v>4183</v>
      </c>
      <c r="K272" s="7">
        <v>2030</v>
      </c>
      <c r="L272" s="127">
        <v>2022</v>
      </c>
      <c r="M272" s="122"/>
      <c r="N272" s="7"/>
      <c r="O272" s="7"/>
      <c r="P272" s="7" t="str" cm="1">
        <f t="array" ref="P272">IF(O272="", "", IFERROR(MAX(--_xlfn.TEXTSPLIT(O272,"+")), O272))</f>
        <v/>
      </c>
      <c r="Q272" s="7"/>
      <c r="R272" s="109"/>
      <c r="S272" s="7"/>
      <c r="T272" s="7"/>
      <c r="U272" s="7"/>
      <c r="V272" s="7" t="str" cm="1">
        <f t="array" ref="V272">IF(U272="", "", IFERROR(MAX(--_xlfn.TEXTSPLIT(U272,"+")), U272))</f>
        <v/>
      </c>
      <c r="W272" s="7"/>
      <c r="X272" s="7"/>
      <c r="Y272" s="122"/>
      <c r="Z272" s="7"/>
      <c r="AA272" s="109"/>
      <c r="AB272" s="7">
        <v>2022</v>
      </c>
      <c r="AC272" s="124">
        <v>418200</v>
      </c>
      <c r="AD272" s="7"/>
      <c r="AE272" s="124">
        <v>298500</v>
      </c>
      <c r="AF272" s="124">
        <v>97353000</v>
      </c>
      <c r="AG272" s="7" t="s">
        <v>4174</v>
      </c>
      <c r="AH272" s="124">
        <f>AC272+AE272</f>
        <v>716700</v>
      </c>
      <c r="AI272" s="124">
        <f>AF272+AH272</f>
        <v>98069700</v>
      </c>
      <c r="AJ272" s="7">
        <v>2021</v>
      </c>
      <c r="AK272" s="124">
        <v>403300</v>
      </c>
      <c r="AL272" s="7"/>
      <c r="AM272" s="124">
        <v>407700</v>
      </c>
      <c r="AN272" s="124">
        <v>100456000</v>
      </c>
      <c r="AO272" s="124">
        <f>AK272+AM272</f>
        <v>811000</v>
      </c>
      <c r="AP272" s="124">
        <f>AN272+AO272</f>
        <v>101267000</v>
      </c>
      <c r="AQ272" s="7" t="s">
        <v>6030</v>
      </c>
      <c r="AR272" s="7" t="str">
        <f>_xlfn.XLOOKUP(C272,Sheet1!A:A,Sheet1!B:B, "Other")</f>
        <v>North America</v>
      </c>
      <c r="AS272" t="str">
        <f>_xlfn.XLOOKUP(D272,Sheet1!D:D,Sheet1!E:E)</f>
        <v>Industrial goods</v>
      </c>
    </row>
    <row r="273" spans="1:45" ht="18" customHeight="1">
      <c r="A273" s="7">
        <v>269</v>
      </c>
      <c r="B273" s="7" t="s">
        <v>952</v>
      </c>
      <c r="C273" s="7" t="s">
        <v>73</v>
      </c>
      <c r="D273" s="7" t="s">
        <v>71</v>
      </c>
      <c r="E273" s="7" t="s">
        <v>6029</v>
      </c>
      <c r="F273" s="7" t="s">
        <v>6028</v>
      </c>
      <c r="G273" s="122"/>
      <c r="H273" s="7"/>
      <c r="I273" s="7"/>
      <c r="J273" s="122" t="s">
        <v>1960</v>
      </c>
      <c r="K273" s="7"/>
      <c r="L273" s="127" t="s">
        <v>1960</v>
      </c>
      <c r="M273" s="122"/>
      <c r="N273" s="7"/>
      <c r="O273" s="7"/>
      <c r="P273" s="7" t="str" cm="1">
        <f t="array" ref="P273">IF(O273="", "", IFERROR(MAX(--_xlfn.TEXTSPLIT(O273,"+")), O273))</f>
        <v/>
      </c>
      <c r="Q273" s="7"/>
      <c r="R273" s="109"/>
      <c r="S273" s="7"/>
      <c r="T273" s="7"/>
      <c r="U273" s="7"/>
      <c r="V273" s="7" t="str" cm="1">
        <f t="array" ref="V273">IF(U273="", "", IFERROR(MAX(--_xlfn.TEXTSPLIT(U273,"+")), U273))</f>
        <v/>
      </c>
      <c r="W273" s="7"/>
      <c r="X273" s="7"/>
      <c r="Y273" s="122"/>
      <c r="Z273" s="7"/>
      <c r="AA273" s="109"/>
      <c r="AB273" s="7" t="s">
        <v>5032</v>
      </c>
      <c r="AC273" s="7"/>
      <c r="AD273" s="7"/>
      <c r="AE273" s="7"/>
      <c r="AF273" s="7"/>
      <c r="AG273" s="7" t="s">
        <v>5032</v>
      </c>
      <c r="AH273" s="7"/>
      <c r="AI273" s="7"/>
      <c r="AJ273" s="7"/>
      <c r="AK273" s="7"/>
      <c r="AL273" s="7"/>
      <c r="AM273" s="7"/>
      <c r="AN273" s="7"/>
      <c r="AO273" s="7"/>
      <c r="AP273" s="7"/>
      <c r="AQ273" s="7"/>
      <c r="AR273" s="7" t="str">
        <f>_xlfn.XLOOKUP(C273,Sheet1!A:A,Sheet1!B:B, "Other")</f>
        <v>Asia</v>
      </c>
      <c r="AS273" t="str">
        <f>_xlfn.XLOOKUP(D273,Sheet1!D:D,Sheet1!E:E)</f>
        <v>Energy and utilities</v>
      </c>
    </row>
    <row r="274" spans="1:45" ht="18" customHeight="1">
      <c r="A274" s="7">
        <v>270</v>
      </c>
      <c r="B274" s="7" t="s">
        <v>969</v>
      </c>
      <c r="C274" s="7" t="s">
        <v>78</v>
      </c>
      <c r="D274" s="7" t="s">
        <v>76</v>
      </c>
      <c r="E274" s="7" t="s">
        <v>6027</v>
      </c>
      <c r="F274" s="7" t="s">
        <v>6026</v>
      </c>
      <c r="G274" s="122"/>
      <c r="H274" s="7"/>
      <c r="I274" s="7"/>
      <c r="J274" s="122" t="s">
        <v>1960</v>
      </c>
      <c r="K274" s="7"/>
      <c r="L274" s="127" t="s">
        <v>1960</v>
      </c>
      <c r="M274" s="122" t="s">
        <v>1957</v>
      </c>
      <c r="N274" s="7" t="s">
        <v>1659</v>
      </c>
      <c r="O274" s="7">
        <v>2017</v>
      </c>
      <c r="P274" s="7" cm="1">
        <f t="array" ref="P274">IF(O274="", "", IFERROR(MAX(--_xlfn.TEXTSPLIT(O274,"+")), O274))</f>
        <v>2017</v>
      </c>
      <c r="Q274" s="7">
        <v>2017</v>
      </c>
      <c r="R274" s="109" t="s">
        <v>6023</v>
      </c>
      <c r="S274" s="7" t="s">
        <v>5050</v>
      </c>
      <c r="T274" s="7" t="s">
        <v>6025</v>
      </c>
      <c r="U274" s="7">
        <v>2050</v>
      </c>
      <c r="V274" s="7" cm="1">
        <f t="array" ref="V274">IF(U274="", "", IFERROR(MAX(--_xlfn.TEXTSPLIT(U274,"+")), U274))</f>
        <v>2050</v>
      </c>
      <c r="W274" s="7">
        <v>2021</v>
      </c>
      <c r="X274" s="7" t="s">
        <v>6024</v>
      </c>
      <c r="Y274" s="122"/>
      <c r="Z274" s="7"/>
      <c r="AA274" s="109"/>
      <c r="AB274" s="7">
        <v>2022</v>
      </c>
      <c r="AC274" s="7">
        <v>22840</v>
      </c>
      <c r="AD274" s="7"/>
      <c r="AE274" s="7">
        <v>65577</v>
      </c>
      <c r="AF274" s="7">
        <v>11920</v>
      </c>
      <c r="AG274" s="7" t="s">
        <v>5032</v>
      </c>
      <c r="AH274" s="7">
        <f>AC274+AE274</f>
        <v>88417</v>
      </c>
      <c r="AI274" s="7">
        <f>AH274+AF274</f>
        <v>100337</v>
      </c>
      <c r="AJ274" s="7">
        <v>2021</v>
      </c>
      <c r="AK274" s="7">
        <v>21089</v>
      </c>
      <c r="AL274" s="7"/>
      <c r="AM274" s="7">
        <v>70440</v>
      </c>
      <c r="AN274" s="7">
        <v>1555</v>
      </c>
      <c r="AO274" s="7">
        <f>AK274+AM274</f>
        <v>91529</v>
      </c>
      <c r="AP274" s="7">
        <f>AO274+AN274</f>
        <v>93084</v>
      </c>
      <c r="AQ274" s="7" t="s">
        <v>6023</v>
      </c>
      <c r="AR274" s="7" t="str">
        <f>_xlfn.XLOOKUP(C274,Sheet1!A:A,Sheet1!B:B, "Other")</f>
        <v>North America</v>
      </c>
      <c r="AS274" t="str">
        <f>_xlfn.XLOOKUP(D274,Sheet1!D:D,Sheet1!E:E)</f>
        <v>Financial services</v>
      </c>
    </row>
    <row r="275" spans="1:45" ht="18" customHeight="1">
      <c r="A275" s="7">
        <v>271</v>
      </c>
      <c r="B275" s="7" t="s">
        <v>1155</v>
      </c>
      <c r="C275" s="7" t="s">
        <v>287</v>
      </c>
      <c r="D275" s="7" t="s">
        <v>319</v>
      </c>
      <c r="E275" s="7" t="s">
        <v>6022</v>
      </c>
      <c r="F275" s="7" t="s">
        <v>6021</v>
      </c>
      <c r="G275" s="122" t="s">
        <v>4174</v>
      </c>
      <c r="H275" s="7">
        <v>2025</v>
      </c>
      <c r="I275" s="7">
        <v>2021</v>
      </c>
      <c r="J275" s="122" t="s">
        <v>4183</v>
      </c>
      <c r="K275" s="7">
        <v>2030</v>
      </c>
      <c r="L275" s="127">
        <v>2023</v>
      </c>
      <c r="M275" s="122" t="s">
        <v>1957</v>
      </c>
      <c r="N275" s="7" t="s">
        <v>6020</v>
      </c>
      <c r="O275" s="7" t="s">
        <v>4622</v>
      </c>
      <c r="P275" s="7" cm="1">
        <f t="array" ref="P275">IF(O275="", "", IFERROR(MAX(--_xlfn.TEXTSPLIT(O275,"+")), O275))</f>
        <v>2030</v>
      </c>
      <c r="Q275" s="7">
        <v>2019</v>
      </c>
      <c r="R275" s="109" t="s">
        <v>6019</v>
      </c>
      <c r="S275" s="7" t="s">
        <v>4172</v>
      </c>
      <c r="T275" s="7" t="s">
        <v>2760</v>
      </c>
      <c r="U275" s="7">
        <v>2040</v>
      </c>
      <c r="V275" s="7" cm="1">
        <f t="array" ref="V275">IF(U275="", "", IFERROR(MAX(--_xlfn.TEXTSPLIT(U275,"+")), U275))</f>
        <v>2040</v>
      </c>
      <c r="W275" s="7">
        <v>2021</v>
      </c>
      <c r="X275" s="7" t="s">
        <v>6019</v>
      </c>
      <c r="Y275" s="122" t="s">
        <v>4174</v>
      </c>
      <c r="Z275" s="7" t="s">
        <v>6018</v>
      </c>
      <c r="AA275" s="109" t="s">
        <v>6017</v>
      </c>
      <c r="AB275" s="7">
        <v>2022</v>
      </c>
      <c r="AC275" s="7">
        <v>347200</v>
      </c>
      <c r="AD275" s="7"/>
      <c r="AE275" s="7">
        <v>154900</v>
      </c>
      <c r="AF275" s="7">
        <v>8770000</v>
      </c>
      <c r="AG275" s="7" t="s">
        <v>4174</v>
      </c>
      <c r="AH275" s="7">
        <f>AC275+AE275</f>
        <v>502100</v>
      </c>
      <c r="AI275" s="7">
        <f>AH275+AF275</f>
        <v>9272100</v>
      </c>
      <c r="AJ275" s="7">
        <v>2021</v>
      </c>
      <c r="AK275" s="7">
        <v>352800</v>
      </c>
      <c r="AL275" s="7"/>
      <c r="AM275" s="7">
        <v>292700</v>
      </c>
      <c r="AN275" s="7">
        <v>7290400</v>
      </c>
      <c r="AO275" s="7">
        <f>AK275+AM275</f>
        <v>645500</v>
      </c>
      <c r="AP275" s="7">
        <f>AO275+AN275</f>
        <v>7935900</v>
      </c>
      <c r="AQ275" s="27" t="s">
        <v>6016</v>
      </c>
      <c r="AR275" s="7" t="str">
        <f>_xlfn.XLOOKUP(C275,Sheet1!A:A,Sheet1!B:B, "Other")</f>
        <v>Europe</v>
      </c>
      <c r="AS275" t="str">
        <f>_xlfn.XLOOKUP(D275,Sheet1!D:D,Sheet1!E:E)</f>
        <v>Health care and pharmaceuticals</v>
      </c>
    </row>
    <row r="276" spans="1:45" ht="18" customHeight="1">
      <c r="A276" s="7">
        <v>272</v>
      </c>
      <c r="B276" s="7" t="s">
        <v>4392</v>
      </c>
      <c r="C276" s="7" t="s">
        <v>73</v>
      </c>
      <c r="D276" s="7" t="s">
        <v>178</v>
      </c>
      <c r="E276" s="7" t="s">
        <v>6015</v>
      </c>
      <c r="F276" s="7" t="s">
        <v>6014</v>
      </c>
      <c r="G276" s="122"/>
      <c r="H276" s="7"/>
      <c r="I276" s="7"/>
      <c r="J276" s="122" t="s">
        <v>1960</v>
      </c>
      <c r="K276" s="7"/>
      <c r="L276" s="127" t="s">
        <v>1960</v>
      </c>
      <c r="M276" s="122" t="s">
        <v>4519</v>
      </c>
      <c r="N276" s="7" t="s">
        <v>5131</v>
      </c>
      <c r="O276" s="7">
        <v>2060</v>
      </c>
      <c r="P276" s="7" cm="1">
        <f t="array" ref="P276">IF(O276="", "", IFERROR(MAX(--_xlfn.TEXTSPLIT(O276,"+")), O276))</f>
        <v>2060</v>
      </c>
      <c r="Q276" s="7">
        <v>2021</v>
      </c>
      <c r="R276" s="109" t="s">
        <v>6013</v>
      </c>
      <c r="S276" s="7"/>
      <c r="T276" s="7"/>
      <c r="U276" s="7"/>
      <c r="V276" s="7" t="str" cm="1">
        <f t="array" ref="V276">IF(U276="", "", IFERROR(MAX(--_xlfn.TEXTSPLIT(U276,"+")), U276))</f>
        <v/>
      </c>
      <c r="W276" s="7"/>
      <c r="X276" s="7"/>
      <c r="Y276" s="122"/>
      <c r="Z276" s="7"/>
      <c r="AA276" s="109"/>
      <c r="AB276" s="7" t="s">
        <v>5032</v>
      </c>
      <c r="AC276" s="7"/>
      <c r="AD276" s="7"/>
      <c r="AE276" s="7"/>
      <c r="AF276" s="7"/>
      <c r="AG276" s="7" t="s">
        <v>5032</v>
      </c>
      <c r="AH276" s="7"/>
      <c r="AI276" s="7"/>
      <c r="AJ276" s="7"/>
      <c r="AK276" s="7"/>
      <c r="AL276" s="7"/>
      <c r="AM276" s="7"/>
      <c r="AN276" s="7"/>
      <c r="AO276" s="7"/>
      <c r="AP276" s="7"/>
      <c r="AQ276" s="7"/>
      <c r="AR276" s="7" t="str">
        <f>_xlfn.XLOOKUP(C276,Sheet1!A:A,Sheet1!B:B, "Other")</f>
        <v>Asia</v>
      </c>
      <c r="AS276" t="str">
        <f>_xlfn.XLOOKUP(D276,Sheet1!D:D,Sheet1!E:E)</f>
        <v>Transportation and logistics</v>
      </c>
    </row>
    <row r="277" spans="1:45" ht="18" customHeight="1">
      <c r="A277" s="7">
        <v>273</v>
      </c>
      <c r="B277" s="7" t="s">
        <v>1099</v>
      </c>
      <c r="C277" s="7" t="s">
        <v>68</v>
      </c>
      <c r="D277" s="7" t="s">
        <v>76</v>
      </c>
      <c r="E277" s="7" t="s">
        <v>6012</v>
      </c>
      <c r="F277" s="7" t="s">
        <v>6011</v>
      </c>
      <c r="G277" s="122"/>
      <c r="H277" s="7"/>
      <c r="I277" s="7"/>
      <c r="J277" s="122" t="s">
        <v>1960</v>
      </c>
      <c r="K277" s="7"/>
      <c r="L277" s="127" t="s">
        <v>1960</v>
      </c>
      <c r="M277" s="122" t="s">
        <v>4504</v>
      </c>
      <c r="N277" s="7" t="s">
        <v>6010</v>
      </c>
      <c r="O277" s="7" t="s">
        <v>6009</v>
      </c>
      <c r="P277" s="7" cm="1">
        <f t="array" ref="P277">IF(O277="", "", IFERROR(MAX(--_xlfn.TEXTSPLIT(O277,"+")), O277))</f>
        <v>2020</v>
      </c>
      <c r="Q277" s="7">
        <v>2006</v>
      </c>
      <c r="R277" s="126" t="s">
        <v>6008</v>
      </c>
      <c r="S277" s="7" t="s">
        <v>5050</v>
      </c>
      <c r="T277" s="7" t="s">
        <v>6007</v>
      </c>
      <c r="U277" s="7">
        <v>2050</v>
      </c>
      <c r="V277" s="7" cm="1">
        <f t="array" ref="V277">IF(U277="", "", IFERROR(MAX(--_xlfn.TEXTSPLIT(U277,"+")), U277))</f>
        <v>2050</v>
      </c>
      <c r="W277" s="7">
        <v>2021</v>
      </c>
      <c r="X277" s="125" t="s">
        <v>6006</v>
      </c>
      <c r="Y277" s="122"/>
      <c r="Z277" s="7"/>
      <c r="AA277" s="109"/>
      <c r="AB277" s="7">
        <v>2022</v>
      </c>
      <c r="AC277" s="7">
        <v>14226.06</v>
      </c>
      <c r="AD277" s="7">
        <v>16222.74</v>
      </c>
      <c r="AE277" s="7">
        <v>0</v>
      </c>
      <c r="AF277" s="7">
        <v>151057.82999999999</v>
      </c>
      <c r="AG277" s="7" t="s">
        <v>5032</v>
      </c>
      <c r="AH277" s="7">
        <f t="shared" ref="AH277:AH282" si="30">AC277+AE277</f>
        <v>14226.06</v>
      </c>
      <c r="AI277" s="7">
        <f>AH277+AF277</f>
        <v>165283.88999999998</v>
      </c>
      <c r="AJ277" s="7">
        <v>2021</v>
      </c>
      <c r="AK277" s="7">
        <v>14197.46</v>
      </c>
      <c r="AL277" s="7">
        <v>49637.32</v>
      </c>
      <c r="AM277" s="7">
        <v>23.3</v>
      </c>
      <c r="AN277" s="7">
        <v>102266.68</v>
      </c>
      <c r="AO277" s="7">
        <f t="shared" ref="AO277:AO282" si="31">AK277+AM277</f>
        <v>14220.759999999998</v>
      </c>
      <c r="AP277" s="7">
        <f>AO277+AN277</f>
        <v>116487.43999999999</v>
      </c>
      <c r="AQ277" s="27" t="s">
        <v>6006</v>
      </c>
      <c r="AR277" s="7" t="str">
        <f>_xlfn.XLOOKUP(C277,Sheet1!A:A,Sheet1!B:B, "Other")</f>
        <v>Other</v>
      </c>
      <c r="AS277" t="str">
        <f>_xlfn.XLOOKUP(D277,Sheet1!D:D,Sheet1!E:E)</f>
        <v>Financial services</v>
      </c>
    </row>
    <row r="278" spans="1:45" ht="18" customHeight="1">
      <c r="A278" s="7">
        <v>274</v>
      </c>
      <c r="B278" s="7" t="s">
        <v>1078</v>
      </c>
      <c r="C278" s="7" t="s">
        <v>4457</v>
      </c>
      <c r="D278" s="7" t="s">
        <v>186</v>
      </c>
      <c r="E278" s="7" t="s">
        <v>6005</v>
      </c>
      <c r="F278" s="7" t="s">
        <v>6004</v>
      </c>
      <c r="G278" s="122"/>
      <c r="H278" s="7"/>
      <c r="I278" s="7"/>
      <c r="J278" s="122" t="s">
        <v>4183</v>
      </c>
      <c r="K278" s="7">
        <v>2030</v>
      </c>
      <c r="L278" s="127">
        <v>2022</v>
      </c>
      <c r="M278" s="122"/>
      <c r="N278" s="7"/>
      <c r="O278" s="7"/>
      <c r="P278" s="7" t="str" cm="1">
        <f t="array" ref="P278">IF(O278="", "", IFERROR(MAX(--_xlfn.TEXTSPLIT(O278,"+")), O278))</f>
        <v/>
      </c>
      <c r="Q278" s="7"/>
      <c r="R278" s="109"/>
      <c r="S278" s="7" t="s">
        <v>4172</v>
      </c>
      <c r="T278" s="7" t="s">
        <v>1968</v>
      </c>
      <c r="U278" s="7">
        <v>2040</v>
      </c>
      <c r="V278" s="7" cm="1">
        <f t="array" ref="V278">IF(U278="", "", IFERROR(MAX(--_xlfn.TEXTSPLIT(U278,"+")), U278))</f>
        <v>2040</v>
      </c>
      <c r="W278" s="7">
        <v>2021</v>
      </c>
      <c r="X278" s="7" t="s">
        <v>6003</v>
      </c>
      <c r="Y278" s="122" t="s">
        <v>4174</v>
      </c>
      <c r="Z278" s="7" t="s">
        <v>5037</v>
      </c>
      <c r="AA278" s="109" t="s">
        <v>6002</v>
      </c>
      <c r="AB278" s="7">
        <v>2022</v>
      </c>
      <c r="AC278" s="124">
        <v>34931</v>
      </c>
      <c r="AD278" s="124">
        <v>564012</v>
      </c>
      <c r="AE278" s="124">
        <v>108373</v>
      </c>
      <c r="AF278" s="124">
        <v>17837665</v>
      </c>
      <c r="AG278" s="7" t="s">
        <v>4174</v>
      </c>
      <c r="AH278" s="7">
        <f t="shared" si="30"/>
        <v>143304</v>
      </c>
      <c r="AI278" s="7">
        <f>AH278+AF278</f>
        <v>17980969</v>
      </c>
      <c r="AJ278" s="7">
        <v>2021</v>
      </c>
      <c r="AK278" s="124">
        <v>26694</v>
      </c>
      <c r="AL278" s="124">
        <v>579445</v>
      </c>
      <c r="AM278" s="124">
        <v>147801</v>
      </c>
      <c r="AN278" s="124">
        <v>20390529</v>
      </c>
      <c r="AO278" s="7">
        <f t="shared" si="31"/>
        <v>174495</v>
      </c>
      <c r="AP278" s="7">
        <f>AO278+AN278</f>
        <v>20565024</v>
      </c>
      <c r="AQ278" s="7" t="s">
        <v>6001</v>
      </c>
      <c r="AR278" s="7" t="str">
        <f>_xlfn.XLOOKUP(C278,Sheet1!A:A,Sheet1!B:B, "Other")</f>
        <v>North America</v>
      </c>
      <c r="AS278" t="str">
        <f>_xlfn.XLOOKUP(D278,Sheet1!D:D,Sheet1!E:E)</f>
        <v>Technology</v>
      </c>
    </row>
    <row r="279" spans="1:45" ht="18" customHeight="1">
      <c r="A279" s="7">
        <v>275</v>
      </c>
      <c r="B279" s="7" t="s">
        <v>929</v>
      </c>
      <c r="C279" s="7" t="s">
        <v>4457</v>
      </c>
      <c r="D279" s="7" t="s">
        <v>76</v>
      </c>
      <c r="E279" s="7" t="s">
        <v>6000</v>
      </c>
      <c r="F279" s="7" t="s">
        <v>5999</v>
      </c>
      <c r="G279" s="122"/>
      <c r="H279" s="7"/>
      <c r="I279" s="7"/>
      <c r="J279" s="122" t="s">
        <v>1960</v>
      </c>
      <c r="K279" s="7"/>
      <c r="L279" s="127" t="s">
        <v>1960</v>
      </c>
      <c r="M279" s="122" t="s">
        <v>1957</v>
      </c>
      <c r="N279" s="7" t="s">
        <v>4511</v>
      </c>
      <c r="O279" s="7">
        <v>2020</v>
      </c>
      <c r="P279" s="7" cm="1">
        <f t="array" ref="P279">IF(O279="", "", IFERROR(MAX(--_xlfn.TEXTSPLIT(O279,"+")), O279))</f>
        <v>2020</v>
      </c>
      <c r="Q279" s="7">
        <v>2020</v>
      </c>
      <c r="R279" s="109" t="s">
        <v>5998</v>
      </c>
      <c r="S279" s="7" t="s">
        <v>4172</v>
      </c>
      <c r="T279" s="7" t="s">
        <v>4259</v>
      </c>
      <c r="U279" s="7">
        <v>2050</v>
      </c>
      <c r="V279" s="7" cm="1">
        <f t="array" ref="V279">IF(U279="", "", IFERROR(MAX(--_xlfn.TEXTSPLIT(U279,"+")), U279))</f>
        <v>2050</v>
      </c>
      <c r="W279" s="7">
        <v>2022</v>
      </c>
      <c r="X279" s="125" t="s">
        <v>5998</v>
      </c>
      <c r="Y279" s="122" t="s">
        <v>4174</v>
      </c>
      <c r="Z279" s="7" t="s">
        <v>5997</v>
      </c>
      <c r="AA279" s="109" t="s">
        <v>5996</v>
      </c>
      <c r="AB279" s="7">
        <v>2022</v>
      </c>
      <c r="AC279" s="7">
        <v>2361</v>
      </c>
      <c r="AD279" s="7"/>
      <c r="AE279" s="7">
        <v>12774</v>
      </c>
      <c r="AF279" s="7">
        <f>156000+6111000+466000+138000</f>
        <v>6871000</v>
      </c>
      <c r="AG279" s="7" t="s">
        <v>5032</v>
      </c>
      <c r="AH279" s="7">
        <f t="shared" si="30"/>
        <v>15135</v>
      </c>
      <c r="AI279" s="7">
        <f>AH279+AF279</f>
        <v>6886135</v>
      </c>
      <c r="AJ279" s="7">
        <v>2021</v>
      </c>
      <c r="AK279" s="7">
        <v>3002</v>
      </c>
      <c r="AL279" s="7"/>
      <c r="AM279" s="7">
        <v>14972</v>
      </c>
      <c r="AN279" s="7">
        <f>230000+6187000+747000+259000</f>
        <v>7423000</v>
      </c>
      <c r="AO279" s="7">
        <f t="shared" si="31"/>
        <v>17974</v>
      </c>
      <c r="AP279" s="7">
        <f>AO279+AN279</f>
        <v>7440974</v>
      </c>
      <c r="AQ279" s="7" t="s">
        <v>5995</v>
      </c>
      <c r="AR279" s="7" t="str">
        <f>_xlfn.XLOOKUP(C279,Sheet1!A:A,Sheet1!B:B, "Other")</f>
        <v>North America</v>
      </c>
      <c r="AS279" t="str">
        <f>_xlfn.XLOOKUP(D279,Sheet1!D:D,Sheet1!E:E)</f>
        <v>Financial services</v>
      </c>
    </row>
    <row r="280" spans="1:45" ht="18" customHeight="1">
      <c r="A280" s="7">
        <v>276</v>
      </c>
      <c r="B280" s="7" t="s">
        <v>798</v>
      </c>
      <c r="C280" s="7" t="s">
        <v>4457</v>
      </c>
      <c r="D280" s="7" t="s">
        <v>76</v>
      </c>
      <c r="E280" s="7" t="s">
        <v>5994</v>
      </c>
      <c r="F280" s="7" t="s">
        <v>5993</v>
      </c>
      <c r="G280" s="122"/>
      <c r="H280" s="7"/>
      <c r="I280" s="7"/>
      <c r="J280" s="122" t="s">
        <v>1960</v>
      </c>
      <c r="K280" s="7"/>
      <c r="L280" s="127" t="s">
        <v>1960</v>
      </c>
      <c r="M280" s="122"/>
      <c r="N280" s="7"/>
      <c r="O280" s="7"/>
      <c r="P280" s="7" t="str" cm="1">
        <f t="array" ref="P280">IF(O280="", "", IFERROR(MAX(--_xlfn.TEXTSPLIT(O280,"+")), O280))</f>
        <v/>
      </c>
      <c r="Q280" s="7"/>
      <c r="R280" s="109"/>
      <c r="S280" s="7" t="s">
        <v>4172</v>
      </c>
      <c r="T280" s="7" t="s">
        <v>2760</v>
      </c>
      <c r="U280" s="7">
        <v>2030</v>
      </c>
      <c r="V280" s="7" cm="1">
        <f t="array" ref="V280">IF(U280="", "", IFERROR(MAX(--_xlfn.TEXTSPLIT(U280,"+")), U280))</f>
        <v>2030</v>
      </c>
      <c r="W280" s="7">
        <v>2022</v>
      </c>
      <c r="X280" s="7" t="s">
        <v>5992</v>
      </c>
      <c r="Y280" s="122" t="s">
        <v>4174</v>
      </c>
      <c r="Z280" s="7" t="s">
        <v>5037</v>
      </c>
      <c r="AA280" s="109" t="s">
        <v>5991</v>
      </c>
      <c r="AB280" s="7">
        <v>2021</v>
      </c>
      <c r="AC280" s="124">
        <v>20932</v>
      </c>
      <c r="AD280" s="124">
        <v>69332</v>
      </c>
      <c r="AE280" s="124">
        <v>54543</v>
      </c>
      <c r="AF280" s="124">
        <v>6990</v>
      </c>
      <c r="AG280" s="7" t="s">
        <v>5032</v>
      </c>
      <c r="AH280" s="7">
        <f t="shared" si="30"/>
        <v>75475</v>
      </c>
      <c r="AI280" s="7">
        <f>AH280+AF280</f>
        <v>82465</v>
      </c>
      <c r="AJ280" s="7">
        <v>2020</v>
      </c>
      <c r="AK280" s="124">
        <v>20849</v>
      </c>
      <c r="AL280" s="124">
        <v>77818</v>
      </c>
      <c r="AM280" s="124">
        <v>59274</v>
      </c>
      <c r="AN280" s="124">
        <v>7823</v>
      </c>
      <c r="AO280" s="7">
        <f t="shared" si="31"/>
        <v>80123</v>
      </c>
      <c r="AP280" s="7">
        <f>AO280+AN280</f>
        <v>87946</v>
      </c>
      <c r="AQ280" s="7" t="s">
        <v>5990</v>
      </c>
      <c r="AR280" s="7" t="str">
        <f>_xlfn.XLOOKUP(C280,Sheet1!A:A,Sheet1!B:B, "Other")</f>
        <v>North America</v>
      </c>
      <c r="AS280" t="str">
        <f>_xlfn.XLOOKUP(D280,Sheet1!D:D,Sheet1!E:E)</f>
        <v>Financial services</v>
      </c>
    </row>
    <row r="281" spans="1:45" ht="18" customHeight="1">
      <c r="A281" s="7">
        <v>277</v>
      </c>
      <c r="B281" s="7" t="s">
        <v>4617</v>
      </c>
      <c r="C281" s="7" t="s">
        <v>78</v>
      </c>
      <c r="D281" s="7" t="s">
        <v>71</v>
      </c>
      <c r="E281" s="7" t="s">
        <v>5989</v>
      </c>
      <c r="F281" s="7" t="s">
        <v>5988</v>
      </c>
      <c r="G281" s="122"/>
      <c r="H281" s="7"/>
      <c r="I281" s="7"/>
      <c r="J281" s="122" t="s">
        <v>1960</v>
      </c>
      <c r="K281" s="7"/>
      <c r="L281" s="127" t="s">
        <v>1960</v>
      </c>
      <c r="M281" s="122"/>
      <c r="N281" s="7"/>
      <c r="O281" s="7"/>
      <c r="P281" s="7" t="str" cm="1">
        <f t="array" ref="P281">IF(O281="", "", IFERROR(MAX(--_xlfn.TEXTSPLIT(O281,"+")), O281))</f>
        <v/>
      </c>
      <c r="Q281" s="7"/>
      <c r="R281" s="126"/>
      <c r="S281" s="7" t="s">
        <v>1957</v>
      </c>
      <c r="T281" s="7" t="s">
        <v>5042</v>
      </c>
      <c r="U281" s="7">
        <v>2050</v>
      </c>
      <c r="V281" s="7" cm="1">
        <f t="array" ref="V281">IF(U281="", "", IFERROR(MAX(--_xlfn.TEXTSPLIT(U281,"+")), U281))</f>
        <v>2050</v>
      </c>
      <c r="W281" s="7">
        <v>2020</v>
      </c>
      <c r="X281" s="125" t="s">
        <v>5987</v>
      </c>
      <c r="Y281" s="122" t="s">
        <v>4174</v>
      </c>
      <c r="Z281" s="7" t="s">
        <v>5037</v>
      </c>
      <c r="AA281" s="126" t="s">
        <v>5986</v>
      </c>
      <c r="AB281" s="7">
        <v>2022</v>
      </c>
      <c r="AC281" s="7">
        <v>16300000</v>
      </c>
      <c r="AD281" s="7"/>
      <c r="AE281" s="7">
        <v>1800000</v>
      </c>
      <c r="AF281" s="7">
        <v>143700000</v>
      </c>
      <c r="AG281" s="7" t="s">
        <v>5032</v>
      </c>
      <c r="AH281" s="7">
        <f t="shared" si="30"/>
        <v>18100000</v>
      </c>
      <c r="AI281" s="7">
        <f>AF281+AH281</f>
        <v>161800000</v>
      </c>
      <c r="AJ281" s="7">
        <v>2021</v>
      </c>
      <c r="AK281" s="7">
        <v>17600000</v>
      </c>
      <c r="AL281" s="7"/>
      <c r="AM281" s="7">
        <v>1800000</v>
      </c>
      <c r="AN281" s="7">
        <v>143900000</v>
      </c>
      <c r="AO281" s="7">
        <f t="shared" si="31"/>
        <v>19400000</v>
      </c>
      <c r="AP281" s="7">
        <f>AN281+AO281</f>
        <v>163300000</v>
      </c>
      <c r="AQ281" s="27" t="s">
        <v>5986</v>
      </c>
      <c r="AR281" s="7" t="str">
        <f>_xlfn.XLOOKUP(C281,Sheet1!A:A,Sheet1!B:B, "Other")</f>
        <v>North America</v>
      </c>
      <c r="AS281" t="str">
        <f>_xlfn.XLOOKUP(D281,Sheet1!D:D,Sheet1!E:E)</f>
        <v>Energy and utilities</v>
      </c>
    </row>
    <row r="282" spans="1:45" ht="18" customHeight="1">
      <c r="A282" s="7">
        <v>278</v>
      </c>
      <c r="B282" s="7" t="s">
        <v>780</v>
      </c>
      <c r="C282" s="7" t="s">
        <v>73</v>
      </c>
      <c r="D282" s="7" t="s">
        <v>283</v>
      </c>
      <c r="E282" s="7" t="s">
        <v>5985</v>
      </c>
      <c r="F282" s="7" t="s">
        <v>5984</v>
      </c>
      <c r="G282" s="122"/>
      <c r="H282" s="7"/>
      <c r="I282" s="7"/>
      <c r="J282" s="122" t="s">
        <v>1960</v>
      </c>
      <c r="K282" s="7"/>
      <c r="L282" s="127" t="s">
        <v>1960</v>
      </c>
      <c r="M282" s="122" t="s">
        <v>4519</v>
      </c>
      <c r="N282" s="7" t="s">
        <v>5983</v>
      </c>
      <c r="O282" s="7">
        <v>2060</v>
      </c>
      <c r="P282" s="7" cm="1">
        <f t="array" ref="P282">IF(O282="", "", IFERROR(MAX(--_xlfn.TEXTSPLIT(O282,"+")), O282))</f>
        <v>2060</v>
      </c>
      <c r="Q282" s="7">
        <v>2021</v>
      </c>
      <c r="R282" s="109" t="s">
        <v>4773</v>
      </c>
      <c r="S282" s="7"/>
      <c r="T282" s="7"/>
      <c r="U282" s="7"/>
      <c r="V282" s="7" t="str" cm="1">
        <f t="array" ref="V282">IF(U282="", "", IFERROR(MAX(--_xlfn.TEXTSPLIT(U282,"+")), U282))</f>
        <v/>
      </c>
      <c r="W282" s="7"/>
      <c r="X282" s="7"/>
      <c r="Y282" s="122"/>
      <c r="Z282" s="7"/>
      <c r="AA282" s="109"/>
      <c r="AB282" s="7">
        <v>2020</v>
      </c>
      <c r="AC282" s="7">
        <v>105558.289</v>
      </c>
      <c r="AD282" s="7"/>
      <c r="AE282" s="7">
        <v>976263.22699999996</v>
      </c>
      <c r="AF282" s="7"/>
      <c r="AG282" s="7" t="s">
        <v>5032</v>
      </c>
      <c r="AH282" s="7">
        <f t="shared" si="30"/>
        <v>1081821.5160000001</v>
      </c>
      <c r="AI282" s="7">
        <f>AH282+AF282</f>
        <v>1081821.5160000001</v>
      </c>
      <c r="AJ282" s="7">
        <v>2019</v>
      </c>
      <c r="AK282" s="7">
        <v>105287.314</v>
      </c>
      <c r="AL282" s="7"/>
      <c r="AM282" s="7">
        <v>1044709.829</v>
      </c>
      <c r="AN282" s="7"/>
      <c r="AO282" s="7">
        <f t="shared" si="31"/>
        <v>1149997.1429999999</v>
      </c>
      <c r="AP282" s="7">
        <f>AO282+AN282</f>
        <v>1149997.1429999999</v>
      </c>
      <c r="AQ282" s="7" t="s">
        <v>5982</v>
      </c>
      <c r="AR282" s="7" t="str">
        <f>_xlfn.XLOOKUP(C282,Sheet1!A:A,Sheet1!B:B, "Other")</f>
        <v>Asia</v>
      </c>
      <c r="AS282" t="str">
        <f>_xlfn.XLOOKUP(D282,Sheet1!D:D,Sheet1!E:E)</f>
        <v>Industrial goods</v>
      </c>
    </row>
    <row r="283" spans="1:45" ht="18" customHeight="1">
      <c r="A283" s="7">
        <v>279</v>
      </c>
      <c r="B283" s="7" t="s">
        <v>989</v>
      </c>
      <c r="C283" s="7" t="s">
        <v>73</v>
      </c>
      <c r="D283" s="7" t="s">
        <v>283</v>
      </c>
      <c r="E283" s="7" t="s">
        <v>5981</v>
      </c>
      <c r="F283" s="7" t="s">
        <v>5980</v>
      </c>
      <c r="G283" s="122"/>
      <c r="H283" s="7"/>
      <c r="I283" s="7"/>
      <c r="J283" s="122" t="s">
        <v>1960</v>
      </c>
      <c r="K283" s="7"/>
      <c r="L283" s="127" t="s">
        <v>1960</v>
      </c>
      <c r="M283" s="122" t="s">
        <v>4519</v>
      </c>
      <c r="N283" s="7" t="s">
        <v>5131</v>
      </c>
      <c r="O283" s="7">
        <v>2060</v>
      </c>
      <c r="P283" s="7" cm="1">
        <f t="array" ref="P283">IF(O283="", "", IFERROR(MAX(--_xlfn.TEXTSPLIT(O283,"+")), O283))</f>
        <v>2060</v>
      </c>
      <c r="Q283" s="7">
        <v>2021</v>
      </c>
      <c r="R283" s="109" t="s">
        <v>5979</v>
      </c>
      <c r="S283" s="7"/>
      <c r="T283" s="7"/>
      <c r="U283" s="7"/>
      <c r="V283" s="7" t="str" cm="1">
        <f t="array" ref="V283">IF(U283="", "", IFERROR(MAX(--_xlfn.TEXTSPLIT(U283,"+")), U283))</f>
        <v/>
      </c>
      <c r="W283" s="7"/>
      <c r="X283" s="7"/>
      <c r="Y283" s="122"/>
      <c r="Z283" s="7"/>
      <c r="AA283" s="109"/>
      <c r="AB283" s="7" t="s">
        <v>5032</v>
      </c>
      <c r="AC283" s="7"/>
      <c r="AD283" s="7"/>
      <c r="AE283" s="7"/>
      <c r="AF283" s="7"/>
      <c r="AG283" s="7" t="s">
        <v>5032</v>
      </c>
      <c r="AH283" s="7"/>
      <c r="AI283" s="7"/>
      <c r="AJ283" s="7" t="s">
        <v>5032</v>
      </c>
      <c r="AK283" s="7"/>
      <c r="AL283" s="7"/>
      <c r="AM283" s="7"/>
      <c r="AN283" s="7"/>
      <c r="AO283" s="7"/>
      <c r="AP283" s="7"/>
      <c r="AQ283" s="7"/>
      <c r="AR283" s="7" t="str">
        <f>_xlfn.XLOOKUP(C283,Sheet1!A:A,Sheet1!B:B, "Other")</f>
        <v>Asia</v>
      </c>
      <c r="AS283" t="str">
        <f>_xlfn.XLOOKUP(D283,Sheet1!D:D,Sheet1!E:E)</f>
        <v>Industrial goods</v>
      </c>
    </row>
    <row r="284" spans="1:45" ht="18" customHeight="1">
      <c r="A284" s="7">
        <v>280</v>
      </c>
      <c r="B284" s="7" t="s">
        <v>958</v>
      </c>
      <c r="C284" s="7" t="s">
        <v>4457</v>
      </c>
      <c r="D284" s="7" t="s">
        <v>178</v>
      </c>
      <c r="E284" s="7" t="s">
        <v>5978</v>
      </c>
      <c r="F284" s="7" t="s">
        <v>5977</v>
      </c>
      <c r="G284" s="122"/>
      <c r="H284" s="7"/>
      <c r="I284" s="7"/>
      <c r="J284" s="122" t="s">
        <v>4183</v>
      </c>
      <c r="K284" s="7">
        <v>2035</v>
      </c>
      <c r="L284" s="127">
        <v>2022</v>
      </c>
      <c r="M284" s="122"/>
      <c r="N284" s="7"/>
      <c r="O284" s="7"/>
      <c r="P284" s="7" t="str" cm="1">
        <f t="array" ref="P284">IF(O284="", "", IFERROR(MAX(--_xlfn.TEXTSPLIT(O284,"+")), O284))</f>
        <v/>
      </c>
      <c r="Q284" s="7"/>
      <c r="R284" s="109"/>
      <c r="S284" s="7" t="s">
        <v>4172</v>
      </c>
      <c r="T284" s="7" t="s">
        <v>5976</v>
      </c>
      <c r="U284" s="7">
        <v>2050</v>
      </c>
      <c r="V284" s="7" cm="1">
        <f t="array" ref="V284">IF(U284="", "", IFERROR(MAX(--_xlfn.TEXTSPLIT(U284,"+")), U284))</f>
        <v>2050</v>
      </c>
      <c r="W284" s="7">
        <v>2021</v>
      </c>
      <c r="X284" s="125" t="s">
        <v>4486</v>
      </c>
      <c r="Y284" s="122" t="s">
        <v>4174</v>
      </c>
      <c r="Z284" s="7" t="s">
        <v>5037</v>
      </c>
      <c r="AA284" s="126" t="s">
        <v>5975</v>
      </c>
      <c r="AB284" s="7">
        <v>2022</v>
      </c>
      <c r="AC284" s="7">
        <f>28905698+1668437+166865</f>
        <v>30741000</v>
      </c>
      <c r="AD284" s="7"/>
      <c r="AE284" s="124">
        <v>203486</v>
      </c>
      <c r="AF284" s="124">
        <v>12302246</v>
      </c>
      <c r="AG284" s="7" t="s">
        <v>4174</v>
      </c>
      <c r="AH284" s="124">
        <f>AC284+AE284</f>
        <v>30944486</v>
      </c>
      <c r="AI284" s="124">
        <f>AF284+AH284</f>
        <v>43246732</v>
      </c>
      <c r="AJ284" s="7">
        <v>2021</v>
      </c>
      <c r="AK284" s="7">
        <f>22647716+1745400+168140</f>
        <v>24561256</v>
      </c>
      <c r="AL284" s="7"/>
      <c r="AM284" s="124">
        <v>246219</v>
      </c>
      <c r="AN284" s="124">
        <v>8561092</v>
      </c>
      <c r="AO284" s="124">
        <f>AK284+AM284</f>
        <v>24807475</v>
      </c>
      <c r="AP284" s="124">
        <f>AN284+AO284</f>
        <v>33368567</v>
      </c>
      <c r="AQ284" s="27" t="s">
        <v>5974</v>
      </c>
      <c r="AR284" s="7" t="str">
        <f>_xlfn.XLOOKUP(C284,Sheet1!A:A,Sheet1!B:B, "Other")</f>
        <v>North America</v>
      </c>
      <c r="AS284" t="str">
        <f>_xlfn.XLOOKUP(D284,Sheet1!D:D,Sheet1!E:E)</f>
        <v>Transportation and logistics</v>
      </c>
    </row>
    <row r="285" spans="1:45" ht="18" customHeight="1">
      <c r="A285" s="7">
        <v>281</v>
      </c>
      <c r="B285" s="7" t="s">
        <v>771</v>
      </c>
      <c r="C285" s="7" t="s">
        <v>96</v>
      </c>
      <c r="D285" s="7" t="s">
        <v>66</v>
      </c>
      <c r="E285" s="7" t="s">
        <v>5973</v>
      </c>
      <c r="F285" s="7" t="s">
        <v>5972</v>
      </c>
      <c r="G285" s="122"/>
      <c r="H285" s="7"/>
      <c r="I285" s="7"/>
      <c r="J285" s="122" t="s">
        <v>1957</v>
      </c>
      <c r="K285" s="7"/>
      <c r="L285" s="127">
        <v>2023</v>
      </c>
      <c r="M285" s="122"/>
      <c r="N285" s="7"/>
      <c r="O285" s="7"/>
      <c r="P285" s="7" t="str" cm="1">
        <f t="array" ref="P285">IF(O285="", "", IFERROR(MAX(--_xlfn.TEXTSPLIT(O285,"+")), O285))</f>
        <v/>
      </c>
      <c r="Q285" s="7"/>
      <c r="R285" s="109"/>
      <c r="S285" s="7" t="s">
        <v>1957</v>
      </c>
      <c r="T285" s="7" t="s">
        <v>4511</v>
      </c>
      <c r="U285" s="7">
        <v>2050</v>
      </c>
      <c r="V285" s="7" cm="1">
        <f t="array" ref="V285">IF(U285="", "", IFERROR(MAX(--_xlfn.TEXTSPLIT(U285,"+")), U285))</f>
        <v>2050</v>
      </c>
      <c r="W285" s="7">
        <v>2021</v>
      </c>
      <c r="X285" s="7" t="s">
        <v>4706</v>
      </c>
      <c r="Y285" s="122" t="s">
        <v>4174</v>
      </c>
      <c r="Z285" s="7" t="s">
        <v>5037</v>
      </c>
      <c r="AA285" s="109" t="s">
        <v>5971</v>
      </c>
      <c r="AB285" s="7">
        <v>2022</v>
      </c>
      <c r="AC285" s="7">
        <v>14700000</v>
      </c>
      <c r="AD285" s="7">
        <v>7000000</v>
      </c>
      <c r="AE285" s="7">
        <v>7400000</v>
      </c>
      <c r="AF285" s="7">
        <v>101100000</v>
      </c>
      <c r="AG285" s="7" t="s">
        <v>4174</v>
      </c>
      <c r="AH285" s="7">
        <f>AC285+AE285</f>
        <v>22100000</v>
      </c>
      <c r="AI285" s="7">
        <f>AH285+AF285</f>
        <v>123200000</v>
      </c>
      <c r="AJ285" s="7">
        <v>2021</v>
      </c>
      <c r="AK285" s="7">
        <v>16300000</v>
      </c>
      <c r="AL285" s="7">
        <v>7100000</v>
      </c>
      <c r="AM285" s="7">
        <v>7600000</v>
      </c>
      <c r="AN285" s="7">
        <v>104800000</v>
      </c>
      <c r="AO285" s="7">
        <f>AK285+AM285</f>
        <v>23900000</v>
      </c>
      <c r="AP285" s="7">
        <f>AO285+AN285</f>
        <v>128700000</v>
      </c>
      <c r="AQ285" s="7" t="s">
        <v>5971</v>
      </c>
      <c r="AR285" s="7" t="str">
        <f>_xlfn.XLOOKUP(C285,Sheet1!A:A,Sheet1!B:B, "Other")</f>
        <v>Europe</v>
      </c>
      <c r="AS285" t="str">
        <f>_xlfn.XLOOKUP(D285,Sheet1!D:D,Sheet1!E:E)</f>
        <v>Chemicals</v>
      </c>
    </row>
    <row r="286" spans="1:45" ht="18" customHeight="1">
      <c r="A286" s="7">
        <v>282</v>
      </c>
      <c r="B286" s="7" t="s">
        <v>1054</v>
      </c>
      <c r="C286" s="7" t="s">
        <v>207</v>
      </c>
      <c r="D286" s="7" t="s">
        <v>91</v>
      </c>
      <c r="E286" s="7" t="s">
        <v>5970</v>
      </c>
      <c r="F286" s="7" t="s">
        <v>5969</v>
      </c>
      <c r="G286" s="122"/>
      <c r="H286" s="7"/>
      <c r="I286" s="7"/>
      <c r="J286" s="122"/>
      <c r="K286" s="7"/>
      <c r="L286" s="127"/>
      <c r="M286" s="122" t="s">
        <v>1957</v>
      </c>
      <c r="N286" s="7" t="s">
        <v>5042</v>
      </c>
      <c r="O286" s="7">
        <v>2050</v>
      </c>
      <c r="P286" s="7" cm="1">
        <f t="array" ref="P286">IF(O286="", "", IFERROR(MAX(--_xlfn.TEXTSPLIT(O286,"+")), O286))</f>
        <v>2050</v>
      </c>
      <c r="Q286" s="7">
        <v>2019</v>
      </c>
      <c r="R286" s="109" t="s">
        <v>2345</v>
      </c>
      <c r="S286" s="7"/>
      <c r="T286" s="7"/>
      <c r="U286" s="7"/>
      <c r="V286" s="7" t="str" cm="1">
        <f t="array" ref="V286">IF(U286="", "", IFERROR(MAX(--_xlfn.TEXTSPLIT(U286,"+")), U286))</f>
        <v/>
      </c>
      <c r="W286" s="7"/>
      <c r="X286" s="7"/>
      <c r="Y286" s="122"/>
      <c r="Z286" s="7"/>
      <c r="AA286" s="126"/>
      <c r="AB286" s="7">
        <v>2021</v>
      </c>
      <c r="AC286" s="7">
        <f>(1389+232)*1000</f>
        <v>1621000</v>
      </c>
      <c r="AD286" s="7"/>
      <c r="AE286" s="7">
        <v>672000</v>
      </c>
      <c r="AF286" s="7"/>
      <c r="AG286" s="7" t="s">
        <v>5032</v>
      </c>
      <c r="AH286" s="7">
        <f>AC286+AE286</f>
        <v>2293000</v>
      </c>
      <c r="AI286" s="7">
        <f>AH286+AF286</f>
        <v>2293000</v>
      </c>
      <c r="AJ286" s="7">
        <v>2020</v>
      </c>
      <c r="AK286" s="7">
        <f>1523000+4000</f>
        <v>1527000</v>
      </c>
      <c r="AL286" s="7"/>
      <c r="AM286" s="7">
        <v>653000</v>
      </c>
      <c r="AN286" s="7"/>
      <c r="AO286" s="7">
        <f>AK286+AM286</f>
        <v>2180000</v>
      </c>
      <c r="AP286" s="7">
        <f>AO286+AN286</f>
        <v>2180000</v>
      </c>
      <c r="AQ286" s="7" t="s">
        <v>5968</v>
      </c>
      <c r="AR286" s="7" t="str">
        <f>_xlfn.XLOOKUP(C286,Sheet1!A:A,Sheet1!B:B, "Other")</f>
        <v>Asia</v>
      </c>
      <c r="AS286" t="str">
        <f>_xlfn.XLOOKUP(D286,Sheet1!D:D,Sheet1!E:E)</f>
        <v>Retail</v>
      </c>
    </row>
    <row r="287" spans="1:45" ht="18" customHeight="1">
      <c r="A287" s="7">
        <v>283</v>
      </c>
      <c r="B287" s="7" t="s">
        <v>549</v>
      </c>
      <c r="C287" s="7" t="s">
        <v>73</v>
      </c>
      <c r="D287" s="7" t="s">
        <v>85</v>
      </c>
      <c r="E287" s="7" t="s">
        <v>5967</v>
      </c>
      <c r="F287" s="7" t="s">
        <v>5966</v>
      </c>
      <c r="G287" s="122"/>
      <c r="H287" s="7"/>
      <c r="I287" s="7"/>
      <c r="J287" s="122" t="s">
        <v>1960</v>
      </c>
      <c r="K287" s="7"/>
      <c r="L287" s="127" t="s">
        <v>1960</v>
      </c>
      <c r="M287" s="122" t="s">
        <v>4519</v>
      </c>
      <c r="N287" s="7" t="s">
        <v>5131</v>
      </c>
      <c r="O287" s="7">
        <v>2060</v>
      </c>
      <c r="P287" s="7" cm="1">
        <f t="array" ref="P287">IF(O287="", "", IFERROR(MAX(--_xlfn.TEXTSPLIT(O287,"+")), O287))</f>
        <v>2060</v>
      </c>
      <c r="Q287" s="7">
        <v>2021</v>
      </c>
      <c r="R287" s="109" t="s">
        <v>5965</v>
      </c>
      <c r="S287" s="7"/>
      <c r="T287" s="7"/>
      <c r="U287" s="7"/>
      <c r="V287" s="7" t="str" cm="1">
        <f t="array" ref="V287">IF(U287="", "", IFERROR(MAX(--_xlfn.TEXTSPLIT(U287,"+")), U287))</f>
        <v/>
      </c>
      <c r="W287" s="7"/>
      <c r="X287" s="7"/>
      <c r="Y287" s="122"/>
      <c r="Z287" s="7"/>
      <c r="AA287" s="109"/>
      <c r="AB287" s="7" t="s">
        <v>5032</v>
      </c>
      <c r="AC287" s="7"/>
      <c r="AD287" s="7"/>
      <c r="AE287" s="7"/>
      <c r="AF287" s="7"/>
      <c r="AG287" s="7" t="s">
        <v>5032</v>
      </c>
      <c r="AH287" s="7"/>
      <c r="AI287" s="7"/>
      <c r="AJ287" s="7"/>
      <c r="AK287" s="7"/>
      <c r="AL287" s="7"/>
      <c r="AM287" s="7"/>
      <c r="AN287" s="7"/>
      <c r="AO287" s="7"/>
      <c r="AP287" s="7"/>
      <c r="AQ287" s="7"/>
      <c r="AR287" s="7" t="str">
        <f>_xlfn.XLOOKUP(C287,Sheet1!A:A,Sheet1!B:B, "Other")</f>
        <v>Asia</v>
      </c>
      <c r="AS287" t="str">
        <f>_xlfn.XLOOKUP(D287,Sheet1!D:D,Sheet1!E:E)</f>
        <v>Industrial goods</v>
      </c>
    </row>
    <row r="288" spans="1:45" ht="18" customHeight="1">
      <c r="A288" s="7">
        <v>284</v>
      </c>
      <c r="B288" s="7" t="s">
        <v>908</v>
      </c>
      <c r="C288" s="7" t="s">
        <v>4457</v>
      </c>
      <c r="D288" s="7" t="s">
        <v>76</v>
      </c>
      <c r="E288" s="7" t="s">
        <v>5964</v>
      </c>
      <c r="F288" s="7" t="s">
        <v>5963</v>
      </c>
      <c r="G288" s="122"/>
      <c r="H288" s="7"/>
      <c r="I288" s="7"/>
      <c r="J288" s="122" t="s">
        <v>1960</v>
      </c>
      <c r="K288" s="7"/>
      <c r="L288" s="127" t="s">
        <v>1960</v>
      </c>
      <c r="M288" s="122"/>
      <c r="N288" s="7"/>
      <c r="O288" s="7"/>
      <c r="P288" s="7" t="str" cm="1">
        <f t="array" ref="P288">IF(O288="", "", IFERROR(MAX(--_xlfn.TEXTSPLIT(O288,"+")), O288))</f>
        <v/>
      </c>
      <c r="Q288" s="7"/>
      <c r="R288" s="109"/>
      <c r="S288" s="7"/>
      <c r="T288" s="7"/>
      <c r="U288" s="7"/>
      <c r="V288" s="7" t="str" cm="1">
        <f t="array" ref="V288">IF(U288="", "", IFERROR(MAX(--_xlfn.TEXTSPLIT(U288,"+")), U288))</f>
        <v/>
      </c>
      <c r="W288" s="7"/>
      <c r="X288" s="7"/>
      <c r="Y288" s="122" t="s">
        <v>4174</v>
      </c>
      <c r="Z288" s="7" t="s">
        <v>5037</v>
      </c>
      <c r="AA288" s="109" t="s">
        <v>5962</v>
      </c>
      <c r="AB288" s="7">
        <v>2022</v>
      </c>
      <c r="AC288" s="7">
        <v>29236</v>
      </c>
      <c r="AD288" s="7">
        <v>40530</v>
      </c>
      <c r="AE288" s="7">
        <v>36791</v>
      </c>
      <c r="AF288" s="7">
        <v>29518</v>
      </c>
      <c r="AG288" s="7" t="s">
        <v>5032</v>
      </c>
      <c r="AH288" s="7">
        <f>AC288+AE288</f>
        <v>66027</v>
      </c>
      <c r="AI288" s="7">
        <f>AH288+AF288</f>
        <v>95545</v>
      </c>
      <c r="AJ288" s="7">
        <v>2021</v>
      </c>
      <c r="AK288" s="7">
        <v>29699</v>
      </c>
      <c r="AL288" s="7">
        <v>48358</v>
      </c>
      <c r="AM288" s="7">
        <v>44760</v>
      </c>
      <c r="AN288" s="7">
        <v>8638</v>
      </c>
      <c r="AO288" s="7">
        <f>AK288+AM288</f>
        <v>74459</v>
      </c>
      <c r="AP288" s="7">
        <f>AO288+AN288</f>
        <v>83097</v>
      </c>
      <c r="AQ288" s="7" t="s">
        <v>5962</v>
      </c>
      <c r="AR288" s="7" t="str">
        <f>_xlfn.XLOOKUP(C288,Sheet1!A:A,Sheet1!B:B, "Other")</f>
        <v>North America</v>
      </c>
      <c r="AS288" t="str">
        <f>_xlfn.XLOOKUP(D288,Sheet1!D:D,Sheet1!E:E)</f>
        <v>Financial services</v>
      </c>
    </row>
    <row r="289" spans="1:45" ht="18" customHeight="1">
      <c r="A289" s="7">
        <v>285</v>
      </c>
      <c r="B289" s="7" t="s">
        <v>768</v>
      </c>
      <c r="C289" s="7" t="s">
        <v>4457</v>
      </c>
      <c r="D289" s="7" t="s">
        <v>454</v>
      </c>
      <c r="E289" s="7" t="s">
        <v>5961</v>
      </c>
      <c r="F289" s="7" t="s">
        <v>5960</v>
      </c>
      <c r="G289" s="122"/>
      <c r="H289" s="7"/>
      <c r="I289" s="7"/>
      <c r="J289" s="122" t="s">
        <v>1960</v>
      </c>
      <c r="K289" s="7"/>
      <c r="L289" s="127" t="s">
        <v>1960</v>
      </c>
      <c r="M289" s="122"/>
      <c r="N289" s="7"/>
      <c r="O289" s="7"/>
      <c r="P289" s="7" t="str" cm="1">
        <f t="array" ref="P289">IF(O289="", "", IFERROR(MAX(--_xlfn.TEXTSPLIT(O289,"+")), O289))</f>
        <v/>
      </c>
      <c r="Q289" s="7"/>
      <c r="R289" s="109"/>
      <c r="S289" s="7" t="s">
        <v>1957</v>
      </c>
      <c r="T289" s="7" t="s">
        <v>1659</v>
      </c>
      <c r="U289" s="7">
        <v>2040</v>
      </c>
      <c r="V289" s="7" cm="1">
        <f t="array" ref="V289">IF(U289="", "", IFERROR(MAX(--_xlfn.TEXTSPLIT(U289,"+")), U289))</f>
        <v>2040</v>
      </c>
      <c r="W289" s="7">
        <v>2022</v>
      </c>
      <c r="X289" s="7" t="s">
        <v>5958</v>
      </c>
      <c r="Y289" s="122" t="s">
        <v>4174</v>
      </c>
      <c r="Z289" s="7" t="s">
        <v>5247</v>
      </c>
      <c r="AA289" s="109" t="s">
        <v>5959</v>
      </c>
      <c r="AB289" s="7">
        <v>2022</v>
      </c>
      <c r="AC289" s="124">
        <v>121653</v>
      </c>
      <c r="AD289" s="124">
        <v>577574</v>
      </c>
      <c r="AE289" s="124">
        <v>459657</v>
      </c>
      <c r="AF289" s="7">
        <f>4100+46700+12600</f>
        <v>63400</v>
      </c>
      <c r="AG289" s="7" t="s">
        <v>5032</v>
      </c>
      <c r="AH289" s="7">
        <f>AC289+AE289</f>
        <v>581310</v>
      </c>
      <c r="AI289" s="7">
        <f>AH289+AF289</f>
        <v>644710</v>
      </c>
      <c r="AJ289" s="7">
        <v>2021</v>
      </c>
      <c r="AK289" s="124">
        <v>105001</v>
      </c>
      <c r="AL289" s="124">
        <v>537044</v>
      </c>
      <c r="AM289" s="124">
        <v>437644</v>
      </c>
      <c r="AN289" s="7">
        <f>34000+7000</f>
        <v>41000</v>
      </c>
      <c r="AO289" s="7">
        <f>AK289+AM289</f>
        <v>542645</v>
      </c>
      <c r="AP289" s="7">
        <f>AO289+AN289</f>
        <v>583645</v>
      </c>
      <c r="AQ289" s="7" t="s">
        <v>5958</v>
      </c>
      <c r="AR289" s="7" t="str">
        <f>_xlfn.XLOOKUP(C289,Sheet1!A:A,Sheet1!B:B, "Other")</f>
        <v>North America</v>
      </c>
      <c r="AS289" t="str">
        <f>_xlfn.XLOOKUP(D289,Sheet1!D:D,Sheet1!E:E)</f>
        <v>Retail</v>
      </c>
    </row>
    <row r="290" spans="1:45" ht="18" customHeight="1">
      <c r="A290" s="7">
        <v>286</v>
      </c>
      <c r="B290" s="7" t="s">
        <v>1354</v>
      </c>
      <c r="C290" s="7" t="s">
        <v>63</v>
      </c>
      <c r="D290" s="7" t="s">
        <v>171</v>
      </c>
      <c r="E290" s="7" t="s">
        <v>5957</v>
      </c>
      <c r="F290" s="7" t="s">
        <v>5956</v>
      </c>
      <c r="G290" s="122"/>
      <c r="H290" s="7"/>
      <c r="I290" s="7"/>
      <c r="J290" s="122" t="s">
        <v>4183</v>
      </c>
      <c r="K290" s="7">
        <v>2030</v>
      </c>
      <c r="L290" s="127">
        <v>2019</v>
      </c>
      <c r="M290" s="122" t="s">
        <v>4172</v>
      </c>
      <c r="N290" s="7" t="s">
        <v>4411</v>
      </c>
      <c r="O290" s="7">
        <v>2050</v>
      </c>
      <c r="P290" s="7" cm="1">
        <f t="array" ref="P290">IF(O290="", "", IFERROR(MAX(--_xlfn.TEXTSPLIT(O290,"+")), O290))</f>
        <v>2050</v>
      </c>
      <c r="Q290" s="7">
        <v>2021</v>
      </c>
      <c r="R290" s="109" t="s">
        <v>5955</v>
      </c>
      <c r="S290" s="7"/>
      <c r="T290" s="7"/>
      <c r="U290" s="7"/>
      <c r="V290" s="7" t="str" cm="1">
        <f t="array" ref="V290">IF(U290="", "", IFERROR(MAX(--_xlfn.TEXTSPLIT(U290,"+")), U290))</f>
        <v/>
      </c>
      <c r="W290" s="7"/>
      <c r="X290" s="7"/>
      <c r="Y290" s="122"/>
      <c r="Z290" s="7"/>
      <c r="AA290" s="109"/>
      <c r="AB290" s="7" t="s">
        <v>5032</v>
      </c>
      <c r="AC290" s="7"/>
      <c r="AD290" s="7"/>
      <c r="AE290" s="7"/>
      <c r="AF290" s="7"/>
      <c r="AG290" s="7" t="s">
        <v>5032</v>
      </c>
      <c r="AH290" s="7"/>
      <c r="AI290" s="7"/>
      <c r="AJ290" s="7" t="s">
        <v>5032</v>
      </c>
      <c r="AK290" s="7"/>
      <c r="AL290" s="7"/>
      <c r="AM290" s="7"/>
      <c r="AN290" s="7"/>
      <c r="AO290" s="7"/>
      <c r="AP290" s="7"/>
      <c r="AQ290" s="7"/>
      <c r="AR290" s="7" t="str">
        <f>_xlfn.XLOOKUP(C290,Sheet1!A:A,Sheet1!B:B, "Other")</f>
        <v>Europe</v>
      </c>
      <c r="AS290" t="str">
        <f>_xlfn.XLOOKUP(D290,Sheet1!D:D,Sheet1!E:E)</f>
        <v>Automotive</v>
      </c>
    </row>
    <row r="291" spans="1:45" ht="18" customHeight="1">
      <c r="A291" s="7">
        <v>287</v>
      </c>
      <c r="B291" s="7" t="s">
        <v>526</v>
      </c>
      <c r="C291" s="7" t="s">
        <v>4457</v>
      </c>
      <c r="D291" s="7" t="s">
        <v>76</v>
      </c>
      <c r="E291" s="7" t="s">
        <v>5954</v>
      </c>
      <c r="F291" s="7" t="s">
        <v>5953</v>
      </c>
      <c r="G291" s="122"/>
      <c r="H291" s="7"/>
      <c r="I291" s="7"/>
      <c r="J291" s="122" t="s">
        <v>1960</v>
      </c>
      <c r="K291" s="7"/>
      <c r="L291" s="127" t="s">
        <v>1960</v>
      </c>
      <c r="M291" s="122" t="s">
        <v>1957</v>
      </c>
      <c r="N291" s="7" t="s">
        <v>5042</v>
      </c>
      <c r="O291" s="7">
        <v>2025</v>
      </c>
      <c r="P291" s="7" cm="1">
        <f t="array" ref="P291">IF(O291="", "", IFERROR(MAX(--_xlfn.TEXTSPLIT(O291,"+")), O291))</f>
        <v>2025</v>
      </c>
      <c r="Q291" s="7">
        <v>2022</v>
      </c>
      <c r="R291" s="109" t="s">
        <v>5952</v>
      </c>
      <c r="S291" s="7" t="s">
        <v>1957</v>
      </c>
      <c r="T291" s="7" t="s">
        <v>5131</v>
      </c>
      <c r="U291" s="7">
        <v>2023</v>
      </c>
      <c r="V291" s="7" cm="1">
        <f t="array" ref="V291">IF(U291="", "", IFERROR(MAX(--_xlfn.TEXTSPLIT(U291,"+")), U291))</f>
        <v>2023</v>
      </c>
      <c r="W291" s="7">
        <v>2022</v>
      </c>
      <c r="X291" s="7" t="s">
        <v>5952</v>
      </c>
      <c r="Y291" s="122"/>
      <c r="Z291" s="7"/>
      <c r="AA291" s="109"/>
      <c r="AB291" s="7">
        <v>2021</v>
      </c>
      <c r="AC291" s="124">
        <v>26992</v>
      </c>
      <c r="AD291" s="124">
        <v>54328</v>
      </c>
      <c r="AE291" s="124">
        <v>21985</v>
      </c>
      <c r="AF291" s="7"/>
      <c r="AG291" s="7" t="s">
        <v>5032</v>
      </c>
      <c r="AH291" s="7">
        <f>AC291+AE291</f>
        <v>48977</v>
      </c>
      <c r="AI291" s="7">
        <f>AH291+AF291</f>
        <v>48977</v>
      </c>
      <c r="AJ291" s="7" t="s">
        <v>5032</v>
      </c>
      <c r="AK291" s="7"/>
      <c r="AL291" s="7"/>
      <c r="AM291" s="7"/>
      <c r="AN291" s="7"/>
      <c r="AO291" s="7"/>
      <c r="AP291" s="7"/>
      <c r="AQ291" s="7" t="s">
        <v>5952</v>
      </c>
      <c r="AR291" s="7" t="str">
        <f>_xlfn.XLOOKUP(C291,Sheet1!A:A,Sheet1!B:B, "Other")</f>
        <v>North America</v>
      </c>
      <c r="AS291" t="str">
        <f>_xlfn.XLOOKUP(D291,Sheet1!D:D,Sheet1!E:E)</f>
        <v>Financial services</v>
      </c>
    </row>
    <row r="292" spans="1:45" ht="18" customHeight="1">
      <c r="A292" s="7">
        <v>288</v>
      </c>
      <c r="B292" s="7" t="s">
        <v>814</v>
      </c>
      <c r="C292" s="7" t="s">
        <v>146</v>
      </c>
      <c r="D292" s="7" t="s">
        <v>91</v>
      </c>
      <c r="E292" s="7" t="s">
        <v>5951</v>
      </c>
      <c r="F292" s="7" t="s">
        <v>5950</v>
      </c>
      <c r="G292" s="122"/>
      <c r="H292" s="7"/>
      <c r="I292" s="7"/>
      <c r="J292" s="122" t="s">
        <v>1957</v>
      </c>
      <c r="K292" s="7"/>
      <c r="L292" s="127">
        <v>2022</v>
      </c>
      <c r="M292" s="122"/>
      <c r="N292" s="7"/>
      <c r="O292" s="7"/>
      <c r="P292" s="7" t="str" cm="1">
        <f t="array" ref="P292">IF(O292="", "", IFERROR(MAX(--_xlfn.TEXTSPLIT(O292,"+")), O292))</f>
        <v/>
      </c>
      <c r="Q292" s="7"/>
      <c r="R292" s="109"/>
      <c r="S292" s="7"/>
      <c r="T292" s="7"/>
      <c r="U292" s="7"/>
      <c r="V292" s="7" t="str" cm="1">
        <f t="array" ref="V292">IF(U292="", "", IFERROR(MAX(--_xlfn.TEXTSPLIT(U292,"+")), U292))</f>
        <v/>
      </c>
      <c r="W292" s="7"/>
      <c r="X292" s="7"/>
      <c r="Y292" s="122"/>
      <c r="Z292" s="7"/>
      <c r="AA292" s="109"/>
      <c r="AB292" s="7">
        <v>2020</v>
      </c>
      <c r="AC292" s="124">
        <v>15899</v>
      </c>
      <c r="AD292" s="7"/>
      <c r="AE292" s="124">
        <v>6253</v>
      </c>
      <c r="AF292" s="7"/>
      <c r="AG292" s="7" t="s">
        <v>5032</v>
      </c>
      <c r="AH292" s="7">
        <f>AC292+AE292</f>
        <v>22152</v>
      </c>
      <c r="AI292" s="7">
        <f>AH292+AF292</f>
        <v>22152</v>
      </c>
      <c r="AJ292" s="7" t="s">
        <v>5032</v>
      </c>
      <c r="AK292" s="7"/>
      <c r="AL292" s="7"/>
      <c r="AM292" s="7"/>
      <c r="AN292" s="7"/>
      <c r="AO292" s="7"/>
      <c r="AP292" s="7"/>
      <c r="AQ292" s="7" t="s">
        <v>5949</v>
      </c>
      <c r="AR292" s="7" t="str">
        <f>_xlfn.XLOOKUP(C292,Sheet1!A:A,Sheet1!B:B, "Other")</f>
        <v>Europe</v>
      </c>
      <c r="AS292" t="str">
        <f>_xlfn.XLOOKUP(D292,Sheet1!D:D,Sheet1!E:E)</f>
        <v>Retail</v>
      </c>
    </row>
    <row r="293" spans="1:45" ht="18" customHeight="1">
      <c r="A293" s="7">
        <v>289</v>
      </c>
      <c r="B293" s="7" t="s">
        <v>613</v>
      </c>
      <c r="C293" s="7" t="s">
        <v>73</v>
      </c>
      <c r="D293" s="7" t="s">
        <v>85</v>
      </c>
      <c r="E293" s="7" t="s">
        <v>5948</v>
      </c>
      <c r="F293" s="7" t="s">
        <v>5947</v>
      </c>
      <c r="G293" s="122"/>
      <c r="H293" s="7"/>
      <c r="I293" s="7"/>
      <c r="J293" s="122" t="s">
        <v>1960</v>
      </c>
      <c r="K293" s="7"/>
      <c r="L293" s="127" t="s">
        <v>1960</v>
      </c>
      <c r="M293" s="122"/>
      <c r="N293" s="7"/>
      <c r="O293" s="7"/>
      <c r="P293" s="7" t="str" cm="1">
        <f t="array" ref="P293">IF(O293="", "", IFERROR(MAX(--_xlfn.TEXTSPLIT(O293,"+")), O293))</f>
        <v/>
      </c>
      <c r="Q293" s="7"/>
      <c r="R293" s="109"/>
      <c r="S293" s="7"/>
      <c r="T293" s="7"/>
      <c r="U293" s="7"/>
      <c r="V293" s="7" t="str" cm="1">
        <f t="array" ref="V293">IF(U293="", "", IFERROR(MAX(--_xlfn.TEXTSPLIT(U293,"+")), U293))</f>
        <v/>
      </c>
      <c r="W293" s="7"/>
      <c r="X293" s="7"/>
      <c r="Y293" s="122"/>
      <c r="Z293" s="7"/>
      <c r="AA293" s="109"/>
      <c r="AB293" s="7" t="s">
        <v>5032</v>
      </c>
      <c r="AC293" s="7"/>
      <c r="AD293" s="7"/>
      <c r="AE293" s="7"/>
      <c r="AF293" s="7"/>
      <c r="AG293" s="7" t="s">
        <v>5032</v>
      </c>
      <c r="AH293" s="7"/>
      <c r="AI293" s="7"/>
      <c r="AJ293" s="7"/>
      <c r="AK293" s="7"/>
      <c r="AL293" s="7"/>
      <c r="AM293" s="7"/>
      <c r="AN293" s="7"/>
      <c r="AO293" s="7"/>
      <c r="AP293" s="7"/>
      <c r="AQ293" s="7"/>
      <c r="AR293" s="7" t="str">
        <f>_xlfn.XLOOKUP(C293,Sheet1!A:A,Sheet1!B:B, "Other")</f>
        <v>Asia</v>
      </c>
      <c r="AS293" t="str">
        <f>_xlfn.XLOOKUP(D293,Sheet1!D:D,Sheet1!E:E)</f>
        <v>Industrial goods</v>
      </c>
    </row>
    <row r="294" spans="1:45" ht="18" customHeight="1">
      <c r="A294" s="7">
        <v>290</v>
      </c>
      <c r="B294" s="7" t="s">
        <v>1085</v>
      </c>
      <c r="C294" s="7" t="s">
        <v>207</v>
      </c>
      <c r="D294" s="7" t="s">
        <v>76</v>
      </c>
      <c r="E294" s="7" t="s">
        <v>5946</v>
      </c>
      <c r="F294" s="7" t="s">
        <v>5945</v>
      </c>
      <c r="G294" s="122"/>
      <c r="H294" s="7"/>
      <c r="I294" s="7"/>
      <c r="J294" s="122"/>
      <c r="K294" s="7"/>
      <c r="L294" s="127"/>
      <c r="M294" s="122" t="s">
        <v>1957</v>
      </c>
      <c r="N294" s="7" t="s">
        <v>5944</v>
      </c>
      <c r="O294" s="7">
        <v>2009</v>
      </c>
      <c r="P294" s="7" cm="1">
        <f t="array" ref="P294">IF(O294="", "", IFERROR(MAX(--_xlfn.TEXTSPLIT(O294,"+")), O294))</f>
        <v>2009</v>
      </c>
      <c r="Q294" s="7">
        <v>2009</v>
      </c>
      <c r="R294" s="109" t="s">
        <v>5940</v>
      </c>
      <c r="S294" s="7" t="s">
        <v>5387</v>
      </c>
      <c r="T294" s="7" t="s">
        <v>5943</v>
      </c>
      <c r="U294" s="7">
        <v>2050</v>
      </c>
      <c r="V294" s="7" cm="1">
        <f t="array" ref="V294">IF(U294="", "", IFERROR(MAX(--_xlfn.TEXTSPLIT(U294,"+")), U294))</f>
        <v>2050</v>
      </c>
      <c r="W294" s="7">
        <v>2022</v>
      </c>
      <c r="X294" s="125" t="s">
        <v>5942</v>
      </c>
      <c r="Y294" s="122" t="s">
        <v>4174</v>
      </c>
      <c r="Z294" s="7" t="s">
        <v>5941</v>
      </c>
      <c r="AA294" s="109" t="s">
        <v>5940</v>
      </c>
      <c r="AB294" s="7">
        <v>2021</v>
      </c>
      <c r="AC294" s="7">
        <v>5068</v>
      </c>
      <c r="AD294" s="7"/>
      <c r="AE294" s="7">
        <v>23140</v>
      </c>
      <c r="AF294" s="7">
        <v>13571</v>
      </c>
      <c r="AG294" s="7" t="s">
        <v>5032</v>
      </c>
      <c r="AH294" s="7">
        <f t="shared" ref="AH294:AH299" si="32">AC294+AE294</f>
        <v>28208</v>
      </c>
      <c r="AI294" s="7">
        <f>AH294+AF294</f>
        <v>41779</v>
      </c>
      <c r="AJ294" s="7">
        <v>2020</v>
      </c>
      <c r="AK294" s="7">
        <v>4991</v>
      </c>
      <c r="AL294" s="7"/>
      <c r="AM294" s="7">
        <v>30353</v>
      </c>
      <c r="AN294" s="7">
        <v>14499</v>
      </c>
      <c r="AO294" s="7">
        <f t="shared" ref="AO294:AO299" si="33">AK294+AM294</f>
        <v>35344</v>
      </c>
      <c r="AP294" s="7">
        <f>AO294+AN294</f>
        <v>49843</v>
      </c>
      <c r="AQ294" s="7" t="s">
        <v>5940</v>
      </c>
      <c r="AR294" s="7" t="str">
        <f>_xlfn.XLOOKUP(C294,Sheet1!A:A,Sheet1!B:B, "Other")</f>
        <v>Asia</v>
      </c>
      <c r="AS294" t="str">
        <f>_xlfn.XLOOKUP(D294,Sheet1!D:D,Sheet1!E:E)</f>
        <v>Financial services</v>
      </c>
    </row>
    <row r="295" spans="1:45" ht="18" customHeight="1">
      <c r="A295" s="7">
        <v>291</v>
      </c>
      <c r="B295" s="7" t="s">
        <v>964</v>
      </c>
      <c r="C295" s="7" t="s">
        <v>4457</v>
      </c>
      <c r="D295" s="7" t="s">
        <v>178</v>
      </c>
      <c r="E295" s="7" t="s">
        <v>5939</v>
      </c>
      <c r="F295" s="7" t="s">
        <v>5938</v>
      </c>
      <c r="G295" s="122"/>
      <c r="H295" s="7"/>
      <c r="I295" s="7"/>
      <c r="J295" s="122" t="s">
        <v>4183</v>
      </c>
      <c r="K295" s="7">
        <v>2035</v>
      </c>
      <c r="L295" s="127">
        <v>2022</v>
      </c>
      <c r="M295" s="122"/>
      <c r="N295" s="7"/>
      <c r="O295" s="7"/>
      <c r="P295" s="7" t="str" cm="1">
        <f t="array" ref="P295">IF(O295="", "", IFERROR(MAX(--_xlfn.TEXTSPLIT(O295,"+")), O295))</f>
        <v/>
      </c>
      <c r="Q295" s="7"/>
      <c r="R295" s="109"/>
      <c r="S295" s="7" t="s">
        <v>1957</v>
      </c>
      <c r="T295" s="7" t="s">
        <v>5937</v>
      </c>
      <c r="U295" s="7">
        <v>2050</v>
      </c>
      <c r="V295" s="7" cm="1">
        <f t="array" ref="V295">IF(U295="", "", IFERROR(MAX(--_xlfn.TEXTSPLIT(U295,"+")), U295))</f>
        <v>2050</v>
      </c>
      <c r="W295" s="7">
        <v>2021</v>
      </c>
      <c r="X295" s="125" t="s">
        <v>5936</v>
      </c>
      <c r="Y295" s="122" t="s">
        <v>4174</v>
      </c>
      <c r="Z295" s="7" t="s">
        <v>5935</v>
      </c>
      <c r="AA295" s="126" t="s">
        <v>5934</v>
      </c>
      <c r="AB295" s="7">
        <v>2022</v>
      </c>
      <c r="AC295" s="7">
        <v>34629000</v>
      </c>
      <c r="AD295" s="7">
        <v>206000</v>
      </c>
      <c r="AE295" s="7">
        <v>126000</v>
      </c>
      <c r="AF295" s="7">
        <v>13767000</v>
      </c>
      <c r="AG295" s="7" t="s">
        <v>5032</v>
      </c>
      <c r="AH295" s="7">
        <f t="shared" si="32"/>
        <v>34755000</v>
      </c>
      <c r="AI295" s="7">
        <f>AH295+AF295</f>
        <v>48522000</v>
      </c>
      <c r="AJ295" s="7">
        <v>2021</v>
      </c>
      <c r="AK295" s="7">
        <v>28825000</v>
      </c>
      <c r="AL295" s="7">
        <v>243000</v>
      </c>
      <c r="AM295" s="7">
        <v>183000</v>
      </c>
      <c r="AN295" s="7">
        <v>12907000</v>
      </c>
      <c r="AO295" s="7">
        <f t="shared" si="33"/>
        <v>29008000</v>
      </c>
      <c r="AP295" s="7">
        <f>AO295+AN295</f>
        <v>41915000</v>
      </c>
      <c r="AQ295" s="27" t="s">
        <v>5933</v>
      </c>
      <c r="AR295" s="7" t="str">
        <f>_xlfn.XLOOKUP(C295,Sheet1!A:A,Sheet1!B:B, "Other")</f>
        <v>North America</v>
      </c>
      <c r="AS295" t="str">
        <f>_xlfn.XLOOKUP(D295,Sheet1!D:D,Sheet1!E:E)</f>
        <v>Transportation and logistics</v>
      </c>
    </row>
    <row r="296" spans="1:45" ht="18" customHeight="1">
      <c r="A296" s="7">
        <v>292</v>
      </c>
      <c r="B296" s="7" t="s">
        <v>5932</v>
      </c>
      <c r="C296" s="7" t="s">
        <v>73</v>
      </c>
      <c r="D296" s="7" t="s">
        <v>171</v>
      </c>
      <c r="E296" s="7" t="s">
        <v>5931</v>
      </c>
      <c r="F296" s="7" t="s">
        <v>5930</v>
      </c>
      <c r="G296" s="122"/>
      <c r="H296" s="7"/>
      <c r="I296" s="7"/>
      <c r="J296" s="122"/>
      <c r="K296" s="7"/>
      <c r="L296" s="127"/>
      <c r="M296" s="122" t="s">
        <v>4519</v>
      </c>
      <c r="N296" s="7" t="s">
        <v>5131</v>
      </c>
      <c r="O296" s="7">
        <v>2060</v>
      </c>
      <c r="P296" s="7" cm="1">
        <f t="array" ref="P296">IF(O296="", "", IFERROR(MAX(--_xlfn.TEXTSPLIT(O296,"+")), O296))</f>
        <v>2060</v>
      </c>
      <c r="Q296" s="7">
        <v>2021</v>
      </c>
      <c r="R296" s="126" t="s">
        <v>5929</v>
      </c>
      <c r="S296" s="7"/>
      <c r="T296" s="7"/>
      <c r="U296" s="7"/>
      <c r="V296" s="7" t="str" cm="1">
        <f t="array" ref="V296">IF(U296="", "", IFERROR(MAX(--_xlfn.TEXTSPLIT(U296,"+")), U296))</f>
        <v/>
      </c>
      <c r="W296" s="7"/>
      <c r="X296" s="7"/>
      <c r="Y296" s="122"/>
      <c r="Z296" s="7"/>
      <c r="AA296" s="126"/>
      <c r="AB296" s="7">
        <v>2021</v>
      </c>
      <c r="AC296" s="7">
        <f>(321889592.49+121901.82+65639.44+4263171.29)*0.001</f>
        <v>326340.30504000001</v>
      </c>
      <c r="AD296" s="7"/>
      <c r="AE296" s="7">
        <f>(1670908747.25+83632556.77+42854756.91+205656189.24)*0.001</f>
        <v>2003052.2501700001</v>
      </c>
      <c r="AF296" s="7"/>
      <c r="AG296" s="7" t="s">
        <v>5032</v>
      </c>
      <c r="AH296" s="124">
        <f t="shared" si="32"/>
        <v>2329392.5552099999</v>
      </c>
      <c r="AI296" s="124">
        <f>AF296+AH296</f>
        <v>2329392.5552099999</v>
      </c>
      <c r="AJ296" s="7" t="s">
        <v>5032</v>
      </c>
      <c r="AK296" s="7"/>
      <c r="AL296" s="7"/>
      <c r="AM296" s="7"/>
      <c r="AN296" s="7"/>
      <c r="AO296" s="124">
        <f t="shared" si="33"/>
        <v>0</v>
      </c>
      <c r="AP296" s="124">
        <f>AN296+AO296</f>
        <v>0</v>
      </c>
      <c r="AQ296" s="27" t="s">
        <v>5928</v>
      </c>
      <c r="AR296" s="7" t="str">
        <f>_xlfn.XLOOKUP(C296,Sheet1!A:A,Sheet1!B:B, "Other")</f>
        <v>Asia</v>
      </c>
      <c r="AS296" t="str">
        <f>_xlfn.XLOOKUP(D296,Sheet1!D:D,Sheet1!E:E)</f>
        <v>Automotive</v>
      </c>
    </row>
    <row r="297" spans="1:45" ht="18" customHeight="1">
      <c r="A297" s="7">
        <v>293</v>
      </c>
      <c r="B297" s="7" t="s">
        <v>5927</v>
      </c>
      <c r="C297" s="7" t="s">
        <v>858</v>
      </c>
      <c r="D297" s="7" t="s">
        <v>71</v>
      </c>
      <c r="E297" s="7" t="s">
        <v>5926</v>
      </c>
      <c r="F297" s="7" t="s">
        <v>5925</v>
      </c>
      <c r="G297" s="122"/>
      <c r="H297" s="7"/>
      <c r="I297" s="7"/>
      <c r="J297" s="122"/>
      <c r="K297" s="7"/>
      <c r="L297" s="127"/>
      <c r="M297" s="122" t="s">
        <v>1957</v>
      </c>
      <c r="N297" s="7" t="s">
        <v>5042</v>
      </c>
      <c r="O297" s="7">
        <v>2022</v>
      </c>
      <c r="P297" s="7" cm="1">
        <f t="array" ref="P297">IF(O297="", "", IFERROR(MAX(--_xlfn.TEXTSPLIT(O297,"+")), O297))</f>
        <v>2022</v>
      </c>
      <c r="Q297" s="7">
        <v>2021</v>
      </c>
      <c r="R297" s="126" t="s">
        <v>5924</v>
      </c>
      <c r="S297" s="7"/>
      <c r="T297" s="7"/>
      <c r="U297" s="7"/>
      <c r="V297" s="7" t="str" cm="1">
        <f t="array" ref="V297">IF(U297="", "", IFERROR(MAX(--_xlfn.TEXTSPLIT(U297,"+")), U297))</f>
        <v/>
      </c>
      <c r="W297" s="7"/>
      <c r="X297" s="7"/>
      <c r="Y297" s="122"/>
      <c r="Z297" s="7"/>
      <c r="AA297" s="109"/>
      <c r="AB297" s="7">
        <v>2022</v>
      </c>
      <c r="AC297" s="7">
        <v>95.4</v>
      </c>
      <c r="AD297" s="7"/>
      <c r="AE297" s="7">
        <v>53.5</v>
      </c>
      <c r="AF297" s="7"/>
      <c r="AG297" s="7" t="s">
        <v>5032</v>
      </c>
      <c r="AH297" s="124">
        <f t="shared" si="32"/>
        <v>148.9</v>
      </c>
      <c r="AI297" s="124">
        <f>AF297+AH297</f>
        <v>148.9</v>
      </c>
      <c r="AJ297" s="7">
        <v>2021</v>
      </c>
      <c r="AK297" s="7">
        <v>71.2</v>
      </c>
      <c r="AL297" s="7"/>
      <c r="AM297" s="7"/>
      <c r="AN297" s="7"/>
      <c r="AO297" s="124">
        <f t="shared" si="33"/>
        <v>71.2</v>
      </c>
      <c r="AP297" s="124">
        <f>AN297+AO297</f>
        <v>71.2</v>
      </c>
      <c r="AQ297" s="27" t="s">
        <v>5923</v>
      </c>
      <c r="AR297" s="7" t="str">
        <f>_xlfn.XLOOKUP(C297,Sheet1!A:A,Sheet1!B:B, "Other")</f>
        <v>Europe</v>
      </c>
      <c r="AS297" t="str">
        <f>_xlfn.XLOOKUP(D297,Sheet1!D:D,Sheet1!E:E)</f>
        <v>Energy and utilities</v>
      </c>
    </row>
    <row r="298" spans="1:45" ht="18" customHeight="1">
      <c r="A298" s="7">
        <v>294</v>
      </c>
      <c r="B298" s="7" t="s">
        <v>849</v>
      </c>
      <c r="C298" s="7" t="s">
        <v>78</v>
      </c>
      <c r="D298" s="7" t="s">
        <v>76</v>
      </c>
      <c r="E298" s="7" t="s">
        <v>5922</v>
      </c>
      <c r="F298" s="7" t="s">
        <v>5921</v>
      </c>
      <c r="G298" s="122" t="s">
        <v>4174</v>
      </c>
      <c r="H298" s="7">
        <v>2017</v>
      </c>
      <c r="I298" s="7">
        <v>2016</v>
      </c>
      <c r="J298" s="122" t="s">
        <v>1960</v>
      </c>
      <c r="K298" s="7"/>
      <c r="L298" s="127" t="s">
        <v>1960</v>
      </c>
      <c r="M298" s="122" t="s">
        <v>1957</v>
      </c>
      <c r="N298" s="7" t="s">
        <v>5920</v>
      </c>
      <c r="O298" s="7">
        <v>2010</v>
      </c>
      <c r="P298" s="7" cm="1">
        <f t="array" ref="P298">IF(O298="", "", IFERROR(MAX(--_xlfn.TEXTSPLIT(O298,"+")), O298))</f>
        <v>2010</v>
      </c>
      <c r="Q298" s="7">
        <v>2010</v>
      </c>
      <c r="R298" s="126" t="s">
        <v>5919</v>
      </c>
      <c r="S298" s="7" t="s">
        <v>4172</v>
      </c>
      <c r="T298" s="7" t="s">
        <v>5918</v>
      </c>
      <c r="U298" s="7">
        <v>2050</v>
      </c>
      <c r="V298" s="7" cm="1">
        <f t="array" ref="V298">IF(U298="", "", IFERROR(MAX(--_xlfn.TEXTSPLIT(U298,"+")), U298))</f>
        <v>2050</v>
      </c>
      <c r="W298" s="7">
        <v>2022</v>
      </c>
      <c r="X298" s="125" t="s">
        <v>5917</v>
      </c>
      <c r="Y298" s="122" t="s">
        <v>4174</v>
      </c>
      <c r="Z298" s="7" t="s">
        <v>5916</v>
      </c>
      <c r="AA298" s="126" t="s">
        <v>5915</v>
      </c>
      <c r="AB298" s="7">
        <v>2022</v>
      </c>
      <c r="AC298" s="7">
        <v>43021</v>
      </c>
      <c r="AD298" s="7">
        <v>77081</v>
      </c>
      <c r="AE298" s="7">
        <v>6934</v>
      </c>
      <c r="AF298" s="7">
        <f>1058672+74060+20433+12092+990</f>
        <v>1166247</v>
      </c>
      <c r="AG298" s="7" t="s">
        <v>5032</v>
      </c>
      <c r="AH298" s="7">
        <f t="shared" si="32"/>
        <v>49955</v>
      </c>
      <c r="AI298" s="7">
        <f>AF298+AH298</f>
        <v>1216202</v>
      </c>
      <c r="AJ298" s="7">
        <v>2021</v>
      </c>
      <c r="AK298" s="7">
        <v>40227</v>
      </c>
      <c r="AL298" s="7">
        <v>78959</v>
      </c>
      <c r="AM298" s="7">
        <v>7274</v>
      </c>
      <c r="AN298" s="7">
        <f>986108+65379+17786+1788+866</f>
        <v>1071927</v>
      </c>
      <c r="AO298" s="7">
        <f t="shared" si="33"/>
        <v>47501</v>
      </c>
      <c r="AP298" s="7">
        <f>AN298+AO298</f>
        <v>1119428</v>
      </c>
      <c r="AQ298" s="27" t="s">
        <v>5914</v>
      </c>
      <c r="AR298" s="7" t="str">
        <f>_xlfn.XLOOKUP(C298,Sheet1!A:A,Sheet1!B:B, "Other")</f>
        <v>North America</v>
      </c>
      <c r="AS298" t="str">
        <f>_xlfn.XLOOKUP(D298,Sheet1!D:D,Sheet1!E:E)</f>
        <v>Financial services</v>
      </c>
    </row>
    <row r="299" spans="1:45" ht="18" customHeight="1">
      <c r="A299" s="7">
        <v>295</v>
      </c>
      <c r="B299" s="7" t="s">
        <v>1548</v>
      </c>
      <c r="C299" s="7" t="s">
        <v>207</v>
      </c>
      <c r="D299" s="7" t="s">
        <v>461</v>
      </c>
      <c r="E299" s="7" t="s">
        <v>5913</v>
      </c>
      <c r="F299" s="7" t="s">
        <v>5912</v>
      </c>
      <c r="G299" s="122"/>
      <c r="H299" s="7"/>
      <c r="I299" s="7"/>
      <c r="J299" s="122" t="s">
        <v>4183</v>
      </c>
      <c r="K299" s="7">
        <v>2031</v>
      </c>
      <c r="L299" s="127">
        <v>2021</v>
      </c>
      <c r="M299" s="122" t="s">
        <v>1957</v>
      </c>
      <c r="N299" s="7" t="s">
        <v>5122</v>
      </c>
      <c r="O299" s="7">
        <v>2030</v>
      </c>
      <c r="P299" s="7" cm="1">
        <f t="array" ref="P299">IF(O299="", "", IFERROR(MAX(--_xlfn.TEXTSPLIT(O299,"+")), O299))</f>
        <v>2030</v>
      </c>
      <c r="Q299" s="7">
        <v>2022</v>
      </c>
      <c r="R299" s="109" t="s">
        <v>5911</v>
      </c>
      <c r="S299" s="7"/>
      <c r="T299" s="7"/>
      <c r="U299" s="7"/>
      <c r="V299" s="7" t="str" cm="1">
        <f t="array" ref="V299">IF(U299="", "", IFERROR(MAX(--_xlfn.TEXTSPLIT(U299,"+")), U299))</f>
        <v/>
      </c>
      <c r="W299" s="7"/>
      <c r="X299" s="7"/>
      <c r="Y299" s="122" t="s">
        <v>4174</v>
      </c>
      <c r="Z299" s="7" t="s">
        <v>5910</v>
      </c>
      <c r="AA299" s="109" t="s">
        <v>5909</v>
      </c>
      <c r="AB299" s="7">
        <v>2021</v>
      </c>
      <c r="AC299" s="124">
        <v>12052</v>
      </c>
      <c r="AD299" s="7"/>
      <c r="AE299" s="124">
        <v>708567</v>
      </c>
      <c r="AF299" s="124">
        <v>8685602</v>
      </c>
      <c r="AG299" s="7" t="s">
        <v>4174</v>
      </c>
      <c r="AH299" s="7">
        <f t="shared" si="32"/>
        <v>720619</v>
      </c>
      <c r="AI299" s="7">
        <f>AH299+AF299</f>
        <v>9406221</v>
      </c>
      <c r="AJ299" s="7">
        <v>2020</v>
      </c>
      <c r="AK299" s="124">
        <v>15416</v>
      </c>
      <c r="AL299" s="7"/>
      <c r="AM299" s="124">
        <v>605513</v>
      </c>
      <c r="AN299" s="124">
        <v>3121487</v>
      </c>
      <c r="AO299" s="7">
        <f t="shared" si="33"/>
        <v>620929</v>
      </c>
      <c r="AP299" s="7">
        <f>AO299+AN299</f>
        <v>3742416</v>
      </c>
      <c r="AQ299" s="7" t="s">
        <v>5908</v>
      </c>
      <c r="AR299" s="7" t="str">
        <f>_xlfn.XLOOKUP(C299,Sheet1!A:A,Sheet1!B:B, "Other")</f>
        <v>Asia</v>
      </c>
      <c r="AS299" t="str">
        <f>_xlfn.XLOOKUP(D299,Sheet1!D:D,Sheet1!E:E)</f>
        <v>Telecommunications and media</v>
      </c>
    </row>
    <row r="300" spans="1:45" ht="18" customHeight="1">
      <c r="A300" s="7">
        <v>296</v>
      </c>
      <c r="B300" s="7" t="s">
        <v>956</v>
      </c>
      <c r="C300" s="7" t="s">
        <v>114</v>
      </c>
      <c r="D300" s="7" t="s">
        <v>76</v>
      </c>
      <c r="E300" s="7" t="s">
        <v>5907</v>
      </c>
      <c r="F300" s="7" t="s">
        <v>5906</v>
      </c>
      <c r="G300" s="122"/>
      <c r="H300" s="7"/>
      <c r="I300" s="7"/>
      <c r="J300" s="122" t="s">
        <v>1960</v>
      </c>
      <c r="K300" s="7"/>
      <c r="L300" s="127" t="s">
        <v>1960</v>
      </c>
      <c r="M300" s="122"/>
      <c r="N300" s="7"/>
      <c r="O300" s="7"/>
      <c r="P300" s="7" t="str" cm="1">
        <f t="array" ref="P300">IF(O300="", "", IFERROR(MAX(--_xlfn.TEXTSPLIT(O300,"+")), O300))</f>
        <v/>
      </c>
      <c r="Q300" s="7"/>
      <c r="R300" s="109"/>
      <c r="S300" s="7"/>
      <c r="T300" s="7"/>
      <c r="U300" s="7"/>
      <c r="V300" s="7" t="str" cm="1">
        <f t="array" ref="V300">IF(U300="", "", IFERROR(MAX(--_xlfn.TEXTSPLIT(U300,"+")), U300))</f>
        <v/>
      </c>
      <c r="W300" s="7"/>
      <c r="X300" s="7"/>
      <c r="Y300" s="122" t="s">
        <v>4174</v>
      </c>
      <c r="Z300" s="7" t="s">
        <v>5905</v>
      </c>
      <c r="AA300" s="109" t="s">
        <v>5904</v>
      </c>
      <c r="AB300" s="7" t="s">
        <v>5032</v>
      </c>
      <c r="AC300" s="7"/>
      <c r="AD300" s="7"/>
      <c r="AE300" s="7"/>
      <c r="AF300" s="7"/>
      <c r="AG300" s="7" t="s">
        <v>5032</v>
      </c>
      <c r="AH300" s="7"/>
      <c r="AI300" s="7"/>
      <c r="AJ300" s="7" t="s">
        <v>5032</v>
      </c>
      <c r="AK300" s="7"/>
      <c r="AL300" s="7"/>
      <c r="AM300" s="7"/>
      <c r="AN300" s="7"/>
      <c r="AO300" s="7"/>
      <c r="AP300" s="7"/>
      <c r="AQ300" s="27"/>
      <c r="AR300" s="7" t="str">
        <f>_xlfn.XLOOKUP(C300,Sheet1!A:A,Sheet1!B:B, "Other")</f>
        <v>Asia</v>
      </c>
      <c r="AS300" t="str">
        <f>_xlfn.XLOOKUP(D300,Sheet1!D:D,Sheet1!E:E)</f>
        <v>Financial services</v>
      </c>
    </row>
    <row r="301" spans="1:45" ht="18" customHeight="1">
      <c r="A301" s="7">
        <v>297</v>
      </c>
      <c r="B301" s="7" t="s">
        <v>790</v>
      </c>
      <c r="C301" s="7" t="s">
        <v>96</v>
      </c>
      <c r="D301" s="7" t="s">
        <v>76</v>
      </c>
      <c r="E301" s="7" t="s">
        <v>5903</v>
      </c>
      <c r="F301" s="7" t="s">
        <v>5902</v>
      </c>
      <c r="G301" s="122" t="s">
        <v>4174</v>
      </c>
      <c r="H301" s="7">
        <v>2020</v>
      </c>
      <c r="I301" s="7">
        <v>2015</v>
      </c>
      <c r="J301" s="122" t="s">
        <v>1957</v>
      </c>
      <c r="K301" s="7"/>
      <c r="L301" s="127">
        <v>2015</v>
      </c>
      <c r="M301" s="122" t="s">
        <v>1957</v>
      </c>
      <c r="N301" s="7" t="s">
        <v>1659</v>
      </c>
      <c r="O301" s="7">
        <v>2007</v>
      </c>
      <c r="P301" s="7" cm="1">
        <f t="array" ref="P301">IF(O301="", "", IFERROR(MAX(--_xlfn.TEXTSPLIT(O301,"+")), O301))</f>
        <v>2007</v>
      </c>
      <c r="Q301" s="7">
        <v>2007</v>
      </c>
      <c r="R301" s="126" t="s">
        <v>4557</v>
      </c>
      <c r="S301" s="7" t="s">
        <v>5050</v>
      </c>
      <c r="T301" s="7" t="s">
        <v>5314</v>
      </c>
      <c r="U301" s="7">
        <v>2050</v>
      </c>
      <c r="V301" s="7" cm="1">
        <f t="array" ref="V301">IF(U301="", "", IFERROR(MAX(--_xlfn.TEXTSPLIT(U301,"+")), U301))</f>
        <v>2050</v>
      </c>
      <c r="W301" s="7">
        <v>2021</v>
      </c>
      <c r="X301" s="125" t="s">
        <v>4557</v>
      </c>
      <c r="Y301" s="122" t="s">
        <v>4174</v>
      </c>
      <c r="Z301" s="7" t="s">
        <v>5609</v>
      </c>
      <c r="AA301" s="126" t="s">
        <v>5901</v>
      </c>
      <c r="AB301" s="7">
        <v>2021</v>
      </c>
      <c r="AC301" s="7">
        <v>10000</v>
      </c>
      <c r="AD301" s="7"/>
      <c r="AE301" s="7">
        <v>8000</v>
      </c>
      <c r="AF301" s="7">
        <v>7000</v>
      </c>
      <c r="AG301" s="7" t="s">
        <v>5032</v>
      </c>
      <c r="AH301" s="7">
        <f>AC301+AE301</f>
        <v>18000</v>
      </c>
      <c r="AI301" s="7">
        <f>AH301+AF301</f>
        <v>25000</v>
      </c>
      <c r="AJ301" s="7">
        <v>2020</v>
      </c>
      <c r="AK301" s="7">
        <v>11000</v>
      </c>
      <c r="AL301" s="7"/>
      <c r="AM301" s="7">
        <v>8000</v>
      </c>
      <c r="AN301" s="7">
        <v>9000</v>
      </c>
      <c r="AO301" s="7">
        <f>AM301+AK301</f>
        <v>19000</v>
      </c>
      <c r="AP301" s="7">
        <f>AO301+AN301</f>
        <v>28000</v>
      </c>
      <c r="AQ301" s="27" t="s">
        <v>5900</v>
      </c>
      <c r="AR301" s="7" t="str">
        <f>_xlfn.XLOOKUP(C301,Sheet1!A:A,Sheet1!B:B, "Other")</f>
        <v>Europe</v>
      </c>
      <c r="AS301" t="str">
        <f>_xlfn.XLOOKUP(D301,Sheet1!D:D,Sheet1!E:E)</f>
        <v>Financial services</v>
      </c>
    </row>
    <row r="302" spans="1:45" ht="18" customHeight="1">
      <c r="A302" s="7">
        <v>298</v>
      </c>
      <c r="B302" s="7" t="s">
        <v>558</v>
      </c>
      <c r="C302" s="7" t="s">
        <v>4457</v>
      </c>
      <c r="D302" s="7" t="s">
        <v>5091</v>
      </c>
      <c r="E302" s="7" t="s">
        <v>5899</v>
      </c>
      <c r="F302" s="7" t="s">
        <v>5898</v>
      </c>
      <c r="G302" s="122"/>
      <c r="H302" s="7"/>
      <c r="I302" s="7"/>
      <c r="J302" s="122" t="s">
        <v>1960</v>
      </c>
      <c r="K302" s="7"/>
      <c r="L302" s="127" t="s">
        <v>1960</v>
      </c>
      <c r="M302" s="122"/>
      <c r="N302" s="7"/>
      <c r="O302" s="7"/>
      <c r="P302" s="7" t="str" cm="1">
        <f t="array" ref="P302">IF(O302="", "", IFERROR(MAX(--_xlfn.TEXTSPLIT(O302,"+")), O302))</f>
        <v/>
      </c>
      <c r="Q302" s="7"/>
      <c r="R302" s="109"/>
      <c r="S302" s="7"/>
      <c r="T302" s="7"/>
      <c r="U302" s="7"/>
      <c r="V302" s="7" t="str" cm="1">
        <f t="array" ref="V302">IF(U302="", "", IFERROR(MAX(--_xlfn.TEXTSPLIT(U302,"+")), U302))</f>
        <v/>
      </c>
      <c r="W302" s="7"/>
      <c r="X302" s="7"/>
      <c r="Y302" s="122" t="s">
        <v>4174</v>
      </c>
      <c r="Z302" s="7" t="s">
        <v>5037</v>
      </c>
      <c r="AA302" s="126" t="s">
        <v>5897</v>
      </c>
      <c r="AB302" s="7" t="s">
        <v>5032</v>
      </c>
      <c r="AC302" s="7"/>
      <c r="AD302" s="7"/>
      <c r="AE302" s="7"/>
      <c r="AF302" s="7"/>
      <c r="AG302" s="7" t="s">
        <v>5032</v>
      </c>
      <c r="AH302" s="7"/>
      <c r="AI302" s="7"/>
      <c r="AJ302" s="7" t="s">
        <v>5032</v>
      </c>
      <c r="AK302" s="7"/>
      <c r="AL302" s="7"/>
      <c r="AM302" s="7"/>
      <c r="AN302" s="7"/>
      <c r="AO302" s="7"/>
      <c r="AP302" s="7"/>
      <c r="AQ302" s="7"/>
      <c r="AR302" s="7" t="str">
        <f>_xlfn.XLOOKUP(C302,Sheet1!A:A,Sheet1!B:B, "Other")</f>
        <v>North America</v>
      </c>
      <c r="AS302" t="str">
        <f>_xlfn.XLOOKUP(D302,Sheet1!D:D,Sheet1!E:E)</f>
        <v>Food, beverages and agriculture</v>
      </c>
    </row>
    <row r="303" spans="1:45" ht="18" customHeight="1">
      <c r="A303" s="7">
        <v>299</v>
      </c>
      <c r="B303" s="7" t="s">
        <v>880</v>
      </c>
      <c r="C303" s="7" t="s">
        <v>63</v>
      </c>
      <c r="D303" s="7" t="s">
        <v>319</v>
      </c>
      <c r="E303" s="7" t="s">
        <v>5896</v>
      </c>
      <c r="F303" s="7" t="s">
        <v>5895</v>
      </c>
      <c r="G303" s="122" t="s">
        <v>4174</v>
      </c>
      <c r="H303" s="7">
        <v>2030</v>
      </c>
      <c r="I303" s="7">
        <v>2020</v>
      </c>
      <c r="J303" s="122" t="s">
        <v>4183</v>
      </c>
      <c r="K303" s="7">
        <v>2030</v>
      </c>
      <c r="L303" s="127">
        <v>2023</v>
      </c>
      <c r="M303" s="122" t="s">
        <v>1957</v>
      </c>
      <c r="N303" s="7" t="s">
        <v>5894</v>
      </c>
      <c r="O303" s="7">
        <v>2030</v>
      </c>
      <c r="P303" s="7" cm="1">
        <f t="array" ref="P303">IF(O303="", "", IFERROR(MAX(--_xlfn.TEXTSPLIT(O303,"+")), O303))</f>
        <v>2030</v>
      </c>
      <c r="Q303" s="7">
        <v>2023</v>
      </c>
      <c r="R303" s="109" t="s">
        <v>5892</v>
      </c>
      <c r="S303" s="7" t="s">
        <v>4172</v>
      </c>
      <c r="T303" s="7" t="s">
        <v>5893</v>
      </c>
      <c r="U303" s="7">
        <v>2045</v>
      </c>
      <c r="V303" s="7" cm="1">
        <f t="array" ref="V303">IF(U303="", "", IFERROR(MAX(--_xlfn.TEXTSPLIT(U303,"+")), U303))</f>
        <v>2045</v>
      </c>
      <c r="W303" s="7">
        <v>2023</v>
      </c>
      <c r="X303" s="7" t="s">
        <v>5892</v>
      </c>
      <c r="Y303" s="122"/>
      <c r="Z303" s="7"/>
      <c r="AA303" s="109"/>
      <c r="AB303" s="7">
        <v>2022</v>
      </c>
      <c r="AC303" s="7">
        <f>338380+47995</f>
        <v>386375</v>
      </c>
      <c r="AD303" s="7"/>
      <c r="AE303" s="7">
        <v>150429</v>
      </c>
      <c r="AF303" s="7">
        <v>4470633</v>
      </c>
      <c r="AG303" s="7" t="s">
        <v>4174</v>
      </c>
      <c r="AH303" s="7">
        <f>AC303+AE303</f>
        <v>536804</v>
      </c>
      <c r="AI303" s="7">
        <f>AH303+AF303</f>
        <v>5007437</v>
      </c>
      <c r="AJ303" s="7">
        <v>2021</v>
      </c>
      <c r="AK303" s="7">
        <f>360074+41196</f>
        <v>401270</v>
      </c>
      <c r="AL303" s="7"/>
      <c r="AM303" s="7">
        <v>173766</v>
      </c>
      <c r="AN303" s="7">
        <v>4353877</v>
      </c>
      <c r="AO303" s="7">
        <f>AK303+AM303</f>
        <v>575036</v>
      </c>
      <c r="AP303" s="7">
        <f>AO303+AN303</f>
        <v>4928913</v>
      </c>
      <c r="AQ303" s="7" t="s">
        <v>5891</v>
      </c>
      <c r="AR303" s="7" t="str">
        <f>_xlfn.XLOOKUP(C303,Sheet1!A:A,Sheet1!B:B, "Other")</f>
        <v>Europe</v>
      </c>
      <c r="AS303" t="str">
        <f>_xlfn.XLOOKUP(D303,Sheet1!D:D,Sheet1!E:E)</f>
        <v>Health care and pharmaceuticals</v>
      </c>
    </row>
    <row r="304" spans="1:45" ht="18" customHeight="1">
      <c r="A304" s="7">
        <v>300</v>
      </c>
      <c r="B304" s="7" t="s">
        <v>1091</v>
      </c>
      <c r="C304" s="7" t="s">
        <v>63</v>
      </c>
      <c r="D304" s="7" t="s">
        <v>76</v>
      </c>
      <c r="E304" s="7" t="s">
        <v>5890</v>
      </c>
      <c r="F304" s="7" t="s">
        <v>5889</v>
      </c>
      <c r="G304" s="122"/>
      <c r="H304" s="7"/>
      <c r="I304" s="7"/>
      <c r="J304" s="122" t="s">
        <v>1960</v>
      </c>
      <c r="K304" s="7"/>
      <c r="L304" s="127" t="s">
        <v>1960</v>
      </c>
      <c r="M304" s="122" t="s">
        <v>5387</v>
      </c>
      <c r="N304" s="7" t="s">
        <v>5888</v>
      </c>
      <c r="O304" s="7" t="s">
        <v>5887</v>
      </c>
      <c r="P304" s="7" cm="1">
        <f t="array" ref="P304">IF(O304="", "", IFERROR(MAX(--_xlfn.TEXTSPLIT(O304,"+")), O304))</f>
        <v>2050</v>
      </c>
      <c r="Q304" s="7">
        <v>2021</v>
      </c>
      <c r="R304" s="126" t="s">
        <v>5886</v>
      </c>
      <c r="S304" s="7"/>
      <c r="T304" s="7"/>
      <c r="U304" s="7"/>
      <c r="V304" s="7" t="str" cm="1">
        <f t="array" ref="V304">IF(U304="", "", IFERROR(MAX(--_xlfn.TEXTSPLIT(U304,"+")), U304))</f>
        <v/>
      </c>
      <c r="W304" s="7"/>
      <c r="X304" s="7"/>
      <c r="Y304" s="122" t="s">
        <v>4174</v>
      </c>
      <c r="Z304" s="7" t="s">
        <v>5885</v>
      </c>
      <c r="AA304" s="126" t="s">
        <v>5884</v>
      </c>
      <c r="AB304" s="7" t="s">
        <v>5032</v>
      </c>
      <c r="AC304" s="7"/>
      <c r="AD304" s="7"/>
      <c r="AE304" s="7"/>
      <c r="AF304" s="7"/>
      <c r="AG304" s="7" t="s">
        <v>5032</v>
      </c>
      <c r="AH304" s="7"/>
      <c r="AI304" s="7"/>
      <c r="AJ304" s="7" t="s">
        <v>5032</v>
      </c>
      <c r="AK304" s="7"/>
      <c r="AL304" s="7"/>
      <c r="AM304" s="7"/>
      <c r="AN304" s="7"/>
      <c r="AO304" s="7"/>
      <c r="AP304" s="7"/>
      <c r="AQ304" s="125" t="s">
        <v>5883</v>
      </c>
      <c r="AR304" s="7" t="str">
        <f>_xlfn.XLOOKUP(C304,Sheet1!A:A,Sheet1!B:B, "Other")</f>
        <v>Europe</v>
      </c>
      <c r="AS304" t="str">
        <f>_xlfn.XLOOKUP(D304,Sheet1!D:D,Sheet1!E:E)</f>
        <v>Financial services</v>
      </c>
    </row>
    <row r="305" spans="1:45" ht="18" customHeight="1">
      <c r="A305" s="7">
        <v>301</v>
      </c>
      <c r="B305" s="7" t="s">
        <v>4597</v>
      </c>
      <c r="C305" s="7" t="s">
        <v>68</v>
      </c>
      <c r="D305" s="7" t="s">
        <v>71</v>
      </c>
      <c r="E305" s="7" t="s">
        <v>5882</v>
      </c>
      <c r="F305" s="7" t="s">
        <v>5881</v>
      </c>
      <c r="G305" s="122"/>
      <c r="H305" s="7"/>
      <c r="I305" s="7"/>
      <c r="J305" s="122" t="s">
        <v>1960</v>
      </c>
      <c r="K305" s="7"/>
      <c r="L305" s="127" t="s">
        <v>1960</v>
      </c>
      <c r="M305" s="122"/>
      <c r="N305" s="7"/>
      <c r="O305" s="7"/>
      <c r="P305" s="7" t="str" cm="1">
        <f t="array" ref="P305">IF(O305="", "", IFERROR(MAX(--_xlfn.TEXTSPLIT(O305,"+")), O305))</f>
        <v/>
      </c>
      <c r="Q305" s="7"/>
      <c r="R305" s="109"/>
      <c r="S305" s="7"/>
      <c r="T305" s="7"/>
      <c r="U305" s="7"/>
      <c r="V305" s="7" t="str" cm="1">
        <f t="array" ref="V305">IF(U305="", "", IFERROR(MAX(--_xlfn.TEXTSPLIT(U305,"+")), U305))</f>
        <v/>
      </c>
      <c r="W305" s="7"/>
      <c r="X305" s="7"/>
      <c r="Y305" s="122"/>
      <c r="Z305" s="7"/>
      <c r="AA305" s="109"/>
      <c r="AB305" s="7">
        <v>2021</v>
      </c>
      <c r="AC305" s="123">
        <v>2409015.36</v>
      </c>
      <c r="AD305" s="123"/>
      <c r="AE305" s="123">
        <v>16762.53</v>
      </c>
      <c r="AF305" s="123">
        <v>49282716.659999996</v>
      </c>
      <c r="AG305" s="7" t="s">
        <v>2082</v>
      </c>
      <c r="AH305" s="123">
        <f>AC305+AE305</f>
        <v>2425777.8899999997</v>
      </c>
      <c r="AI305" s="123">
        <f>AF305+AH305</f>
        <v>51708494.549999997</v>
      </c>
      <c r="AJ305" s="7">
        <v>2020</v>
      </c>
      <c r="AK305" s="123">
        <v>2427764.5499999998</v>
      </c>
      <c r="AL305" s="7"/>
      <c r="AM305" s="123">
        <v>11740.95</v>
      </c>
      <c r="AN305" s="123">
        <v>44582401.479999997</v>
      </c>
      <c r="AO305" s="123">
        <f>AK305+AM305</f>
        <v>2439505.5</v>
      </c>
      <c r="AP305" s="123">
        <f>AN305+AO305</f>
        <v>47021906.979999997</v>
      </c>
      <c r="AQ305" s="27" t="s">
        <v>5880</v>
      </c>
      <c r="AR305" s="7" t="str">
        <f>_xlfn.XLOOKUP(C305,Sheet1!A:A,Sheet1!B:B, "Other")</f>
        <v>Other</v>
      </c>
      <c r="AS305" t="str">
        <f>_xlfn.XLOOKUP(D305,Sheet1!D:D,Sheet1!E:E)</f>
        <v>Energy and utilities</v>
      </c>
    </row>
    <row r="306" spans="1:45" ht="18" customHeight="1">
      <c r="A306" s="7">
        <v>302</v>
      </c>
      <c r="B306" s="7" t="s">
        <v>1111</v>
      </c>
      <c r="C306" s="7" t="s">
        <v>4195</v>
      </c>
      <c r="D306" s="7" t="s">
        <v>461</v>
      </c>
      <c r="E306" s="7" t="s">
        <v>5879</v>
      </c>
      <c r="F306" s="7" t="s">
        <v>5878</v>
      </c>
      <c r="G306" s="122" t="s">
        <v>4174</v>
      </c>
      <c r="H306" s="7">
        <v>2025</v>
      </c>
      <c r="I306" s="7">
        <v>2018</v>
      </c>
      <c r="J306" s="122" t="s">
        <v>4183</v>
      </c>
      <c r="K306" s="7">
        <v>2030</v>
      </c>
      <c r="L306" s="127">
        <v>2020</v>
      </c>
      <c r="M306" s="122"/>
      <c r="N306" s="7"/>
      <c r="O306" s="7"/>
      <c r="P306" s="7" t="str" cm="1">
        <f t="array" ref="P306">IF(O306="", "", IFERROR(MAX(--_xlfn.TEXTSPLIT(O306,"+")), O306))</f>
        <v/>
      </c>
      <c r="Q306" s="7"/>
      <c r="R306" s="109"/>
      <c r="S306" s="7" t="s">
        <v>4172</v>
      </c>
      <c r="T306" s="7" t="s">
        <v>5877</v>
      </c>
      <c r="U306" s="7" t="s">
        <v>4907</v>
      </c>
      <c r="V306" s="7" cm="1">
        <f t="array" ref="V306">IF(U306="", "", IFERROR(MAX(--_xlfn.TEXTSPLIT(U306,"+")), U306))</f>
        <v>2040</v>
      </c>
      <c r="W306" s="7">
        <v>2021</v>
      </c>
      <c r="X306" s="7" t="s">
        <v>5875</v>
      </c>
      <c r="Y306" s="122" t="s">
        <v>4174</v>
      </c>
      <c r="Z306" s="7" t="s">
        <v>5644</v>
      </c>
      <c r="AA306" s="126" t="s">
        <v>5876</v>
      </c>
      <c r="AB306" s="7">
        <v>2022</v>
      </c>
      <c r="AC306" s="7">
        <v>280000</v>
      </c>
      <c r="AD306" s="7">
        <v>2080000</v>
      </c>
      <c r="AE306" s="7">
        <v>690000</v>
      </c>
      <c r="AF306" s="7">
        <v>10100000</v>
      </c>
      <c r="AG306" s="7" t="s">
        <v>4174</v>
      </c>
      <c r="AH306" s="7">
        <f>AC306+AE306</f>
        <v>970000</v>
      </c>
      <c r="AI306" s="7">
        <f>AH306+AF306</f>
        <v>11070000</v>
      </c>
      <c r="AJ306" s="7">
        <v>2021</v>
      </c>
      <c r="AK306" s="7">
        <v>280000</v>
      </c>
      <c r="AL306" s="7">
        <v>1990000</v>
      </c>
      <c r="AM306" s="7">
        <v>800000</v>
      </c>
      <c r="AN306" s="7">
        <v>9600000</v>
      </c>
      <c r="AO306" s="7">
        <f>AK306+AM306</f>
        <v>1080000</v>
      </c>
      <c r="AP306" s="7">
        <f>AO306+AN306</f>
        <v>10680000</v>
      </c>
      <c r="AQ306" s="7" t="s">
        <v>5875</v>
      </c>
      <c r="AR306" s="7" t="str">
        <f>_xlfn.XLOOKUP(C306,Sheet1!A:A,Sheet1!B:B, "Other")</f>
        <v>Europe</v>
      </c>
      <c r="AS306" t="str">
        <f>_xlfn.XLOOKUP(D306,Sheet1!D:D,Sheet1!E:E)</f>
        <v>Telecommunications and media</v>
      </c>
    </row>
    <row r="307" spans="1:45" ht="18" customHeight="1">
      <c r="A307" s="7">
        <v>303</v>
      </c>
      <c r="B307" s="7" t="s">
        <v>1060</v>
      </c>
      <c r="C307" s="7" t="s">
        <v>207</v>
      </c>
      <c r="D307" s="7" t="s">
        <v>171</v>
      </c>
      <c r="E307" s="7" t="s">
        <v>5874</v>
      </c>
      <c r="F307" s="7" t="s">
        <v>5873</v>
      </c>
      <c r="G307" s="122"/>
      <c r="H307" s="7"/>
      <c r="I307" s="7"/>
      <c r="J307" s="122" t="s">
        <v>1960</v>
      </c>
      <c r="K307" s="7"/>
      <c r="L307" s="127" t="s">
        <v>1960</v>
      </c>
      <c r="M307" s="122" t="s">
        <v>1957</v>
      </c>
      <c r="N307" s="7" t="s">
        <v>1659</v>
      </c>
      <c r="O307" s="7">
        <v>2035</v>
      </c>
      <c r="P307" s="7" cm="1">
        <f t="array" ref="P307">IF(O307="", "", IFERROR(MAX(--_xlfn.TEXTSPLIT(O307,"+")), O307))</f>
        <v>2035</v>
      </c>
      <c r="Q307" s="7">
        <v>2021</v>
      </c>
      <c r="R307" s="109" t="s">
        <v>5872</v>
      </c>
      <c r="S307" s="7"/>
      <c r="T307" s="7"/>
      <c r="U307" s="7"/>
      <c r="V307" s="7" t="str" cm="1">
        <f t="array" ref="V307">IF(U307="", "", IFERROR(MAX(--_xlfn.TEXTSPLIT(U307,"+")), U307))</f>
        <v/>
      </c>
      <c r="W307" s="7"/>
      <c r="X307" s="7"/>
      <c r="Y307" s="122"/>
      <c r="Z307" s="7"/>
      <c r="AA307" s="109"/>
      <c r="AB307" s="7">
        <v>2022</v>
      </c>
      <c r="AC307" s="7">
        <v>602000</v>
      </c>
      <c r="AD307" s="7"/>
      <c r="AE307" s="7">
        <v>1336000</v>
      </c>
      <c r="AF307" s="7">
        <v>65788000</v>
      </c>
      <c r="AG307" s="7" t="s">
        <v>4174</v>
      </c>
      <c r="AH307" s="7">
        <f>AC307+AE307</f>
        <v>1938000</v>
      </c>
      <c r="AI307" s="7">
        <f>AH307+AF307</f>
        <v>67726000</v>
      </c>
      <c r="AJ307" s="7">
        <v>2021</v>
      </c>
      <c r="AK307" s="7">
        <v>476000</v>
      </c>
      <c r="AL307" s="7"/>
      <c r="AM307" s="7">
        <v>1416000</v>
      </c>
      <c r="AN307" s="7">
        <f>AP307-AO307</f>
        <v>67552000</v>
      </c>
      <c r="AO307" s="7">
        <f>AK307+AM307</f>
        <v>1892000</v>
      </c>
      <c r="AP307" s="7">
        <v>69444000</v>
      </c>
      <c r="AQ307" s="7" t="s">
        <v>5871</v>
      </c>
      <c r="AR307" s="7" t="str">
        <f>_xlfn.XLOOKUP(C307,Sheet1!A:A,Sheet1!B:B, "Other")</f>
        <v>Asia</v>
      </c>
      <c r="AS307" t="str">
        <f>_xlfn.XLOOKUP(D307,Sheet1!D:D,Sheet1!E:E)</f>
        <v>Automotive</v>
      </c>
    </row>
    <row r="308" spans="1:45" ht="18" customHeight="1">
      <c r="A308" s="7">
        <v>304</v>
      </c>
      <c r="B308" s="7" t="s">
        <v>4267</v>
      </c>
      <c r="C308" s="7" t="s">
        <v>4457</v>
      </c>
      <c r="D308" s="7" t="s">
        <v>91</v>
      </c>
      <c r="E308" s="7" t="s">
        <v>5870</v>
      </c>
      <c r="F308" s="7" t="s">
        <v>5869</v>
      </c>
      <c r="G308" s="122"/>
      <c r="H308" s="7"/>
      <c r="I308" s="7"/>
      <c r="J308" s="122" t="s">
        <v>1960</v>
      </c>
      <c r="K308" s="7"/>
      <c r="L308" s="127" t="s">
        <v>1960</v>
      </c>
      <c r="M308" s="122"/>
      <c r="N308" s="7"/>
      <c r="O308" s="7"/>
      <c r="P308" s="7" t="str" cm="1">
        <f t="array" ref="P308">IF(O308="", "", IFERROR(MAX(--_xlfn.TEXTSPLIT(O308,"+")), O308))</f>
        <v/>
      </c>
      <c r="Q308" s="7"/>
      <c r="R308" s="109"/>
      <c r="S308" s="7"/>
      <c r="T308" s="7"/>
      <c r="U308" s="7"/>
      <c r="V308" s="7" t="str" cm="1">
        <f t="array" ref="V308">IF(U308="", "", IFERROR(MAX(--_xlfn.TEXTSPLIT(U308,"+")), U308))</f>
        <v/>
      </c>
      <c r="W308" s="7"/>
      <c r="X308" s="7"/>
      <c r="Y308" s="122"/>
      <c r="Z308" s="7"/>
      <c r="AA308" s="126"/>
      <c r="AB308" s="7">
        <v>2022</v>
      </c>
      <c r="AC308" s="7">
        <v>793343</v>
      </c>
      <c r="AD308" s="7">
        <v>168188</v>
      </c>
      <c r="AE308" s="7">
        <v>174584</v>
      </c>
      <c r="AF308" s="7"/>
      <c r="AG308" s="7" t="s">
        <v>5032</v>
      </c>
      <c r="AH308" s="7">
        <f>AC308+AE308</f>
        <v>967927</v>
      </c>
      <c r="AI308" s="7">
        <f>AH308</f>
        <v>967927</v>
      </c>
      <c r="AJ308" s="7">
        <v>2021</v>
      </c>
      <c r="AK308" s="7">
        <v>663670</v>
      </c>
      <c r="AL308" s="7">
        <v>149896</v>
      </c>
      <c r="AM308" s="7">
        <v>150403</v>
      </c>
      <c r="AN308" s="7"/>
      <c r="AO308" s="7">
        <f>AK308+AM308</f>
        <v>814073</v>
      </c>
      <c r="AP308" s="7">
        <f>AO308+AN308</f>
        <v>814073</v>
      </c>
      <c r="AQ308" s="27" t="s">
        <v>5868</v>
      </c>
      <c r="AR308" s="7" t="str">
        <f>_xlfn.XLOOKUP(C308,Sheet1!A:A,Sheet1!B:B, "Other")</f>
        <v>North America</v>
      </c>
      <c r="AS308" t="str">
        <f>_xlfn.XLOOKUP(D308,Sheet1!D:D,Sheet1!E:E)</f>
        <v>Retail</v>
      </c>
    </row>
    <row r="309" spans="1:45" ht="18" customHeight="1">
      <c r="A309" s="7">
        <v>305</v>
      </c>
      <c r="B309" s="7" t="s">
        <v>5867</v>
      </c>
      <c r="C309" s="7" t="s">
        <v>114</v>
      </c>
      <c r="D309" s="7" t="s">
        <v>71</v>
      </c>
      <c r="E309" s="7" t="s">
        <v>5866</v>
      </c>
      <c r="F309" s="7" t="s">
        <v>5865</v>
      </c>
      <c r="G309" s="122"/>
      <c r="H309" s="7"/>
      <c r="I309" s="7"/>
      <c r="J309" s="122"/>
      <c r="K309" s="7"/>
      <c r="L309" s="127"/>
      <c r="M309" s="122"/>
      <c r="N309" s="7"/>
      <c r="O309" s="7"/>
      <c r="P309" s="7" t="str" cm="1">
        <f t="array" ref="P309">IF(O309="", "", IFERROR(MAX(--_xlfn.TEXTSPLIT(O309,"+")), O309))</f>
        <v/>
      </c>
      <c r="Q309" s="7"/>
      <c r="R309" s="126"/>
      <c r="S309" s="7"/>
      <c r="T309" s="7"/>
      <c r="U309" s="7"/>
      <c r="V309" s="7" t="str" cm="1">
        <f t="array" ref="V309">IF(U309="", "", IFERROR(MAX(--_xlfn.TEXTSPLIT(U309,"+")), U309))</f>
        <v/>
      </c>
      <c r="W309" s="7"/>
      <c r="X309" s="7"/>
      <c r="Y309" s="122"/>
      <c r="Z309" s="7"/>
      <c r="AA309" s="109"/>
      <c r="AB309" s="7" t="s">
        <v>5032</v>
      </c>
      <c r="AC309" s="124"/>
      <c r="AD309" s="7"/>
      <c r="AE309" s="124"/>
      <c r="AF309" s="7"/>
      <c r="AG309" s="7" t="s">
        <v>5032</v>
      </c>
      <c r="AH309" s="124"/>
      <c r="AI309" s="124"/>
      <c r="AJ309" s="7"/>
      <c r="AK309" s="124"/>
      <c r="AL309" s="7"/>
      <c r="AM309" s="124"/>
      <c r="AN309" s="7"/>
      <c r="AO309" s="124"/>
      <c r="AP309" s="124"/>
      <c r="AQ309" s="27" t="s">
        <v>5864</v>
      </c>
      <c r="AR309" s="7" t="str">
        <f>_xlfn.XLOOKUP(C309,Sheet1!A:A,Sheet1!B:B, "Other")</f>
        <v>Asia</v>
      </c>
      <c r="AS309" t="str">
        <f>_xlfn.XLOOKUP(D309,Sheet1!D:D,Sheet1!E:E)</f>
        <v>Energy and utilities</v>
      </c>
    </row>
    <row r="310" spans="1:45" ht="18" customHeight="1">
      <c r="A310" s="7">
        <v>306</v>
      </c>
      <c r="B310" s="7" t="s">
        <v>261</v>
      </c>
      <c r="C310" s="7" t="s">
        <v>4457</v>
      </c>
      <c r="D310" s="7" t="s">
        <v>71</v>
      </c>
      <c r="E310" s="7" t="s">
        <v>5863</v>
      </c>
      <c r="F310" s="7" t="s">
        <v>5862</v>
      </c>
      <c r="G310" s="122"/>
      <c r="H310" s="7"/>
      <c r="I310" s="7"/>
      <c r="J310" s="122"/>
      <c r="K310" s="7"/>
      <c r="L310" s="127"/>
      <c r="M310" s="122" t="s">
        <v>4172</v>
      </c>
      <c r="N310" s="7" t="s">
        <v>5861</v>
      </c>
      <c r="O310" s="7">
        <v>2050</v>
      </c>
      <c r="P310" s="7" cm="1">
        <f t="array" ref="P310">IF(O310="", "", IFERROR(MAX(--_xlfn.TEXTSPLIT(O310,"+")), O310))</f>
        <v>2050</v>
      </c>
      <c r="Q310" s="7">
        <v>2023</v>
      </c>
      <c r="R310" s="126" t="s">
        <v>5860</v>
      </c>
      <c r="S310" s="7"/>
      <c r="T310" s="7"/>
      <c r="U310" s="7"/>
      <c r="V310" s="7" t="str" cm="1">
        <f t="array" ref="V310">IF(U310="", "", IFERROR(MAX(--_xlfn.TEXTSPLIT(U310,"+")), U310))</f>
        <v/>
      </c>
      <c r="W310" s="7"/>
      <c r="X310" s="7"/>
      <c r="Y310" s="122"/>
      <c r="Z310" s="7"/>
      <c r="AA310" s="109"/>
      <c r="AB310" s="7">
        <v>2021</v>
      </c>
      <c r="AC310" s="7">
        <v>14160000</v>
      </c>
      <c r="AD310" s="7"/>
      <c r="AE310" s="7">
        <v>700000</v>
      </c>
      <c r="AF310" s="7"/>
      <c r="AG310" s="7" t="s">
        <v>5032</v>
      </c>
      <c r="AH310" s="124">
        <f>AC310+AE310</f>
        <v>14860000</v>
      </c>
      <c r="AI310" s="124">
        <f>AF310+AH310</f>
        <v>14860000</v>
      </c>
      <c r="AJ310" s="7">
        <v>2020</v>
      </c>
      <c r="AK310" s="7">
        <v>14200000</v>
      </c>
      <c r="AL310" s="7"/>
      <c r="AM310" s="7">
        <v>720000</v>
      </c>
      <c r="AN310" s="7"/>
      <c r="AO310" s="124">
        <f>AK310+AM310</f>
        <v>14920000</v>
      </c>
      <c r="AP310" s="124">
        <f>AN310+AO310</f>
        <v>14920000</v>
      </c>
      <c r="AQ310" s="27" t="s">
        <v>5859</v>
      </c>
      <c r="AR310" s="7" t="str">
        <f>_xlfn.XLOOKUP(C310,Sheet1!A:A,Sheet1!B:B, "Other")</f>
        <v>North America</v>
      </c>
      <c r="AS310" t="str">
        <f>_xlfn.XLOOKUP(D310,Sheet1!D:D,Sheet1!E:E)</f>
        <v>Energy and utilities</v>
      </c>
    </row>
    <row r="311" spans="1:45" ht="18" customHeight="1">
      <c r="A311" s="7">
        <v>307</v>
      </c>
      <c r="B311" s="7" t="s">
        <v>977</v>
      </c>
      <c r="C311" s="7" t="s">
        <v>980</v>
      </c>
      <c r="D311" s="7" t="s">
        <v>171</v>
      </c>
      <c r="E311" s="7" t="s">
        <v>5858</v>
      </c>
      <c r="F311" s="7" t="s">
        <v>5857</v>
      </c>
      <c r="G311" s="122"/>
      <c r="H311" s="7"/>
      <c r="I311" s="7"/>
      <c r="J311" s="122" t="s">
        <v>4183</v>
      </c>
      <c r="K311" s="7">
        <v>2030</v>
      </c>
      <c r="L311" s="127">
        <v>2020</v>
      </c>
      <c r="M311" s="122" t="s">
        <v>1957</v>
      </c>
      <c r="N311" s="7" t="s">
        <v>5856</v>
      </c>
      <c r="O311" s="7">
        <v>2025</v>
      </c>
      <c r="P311" s="7" cm="1">
        <f t="array" ref="P311">IF(O311="", "", IFERROR(MAX(--_xlfn.TEXTSPLIT(O311,"+")), O311))</f>
        <v>2025</v>
      </c>
      <c r="Q311" s="7">
        <v>2021</v>
      </c>
      <c r="R311" s="126" t="s">
        <v>5855</v>
      </c>
      <c r="S311" s="7" t="s">
        <v>4172</v>
      </c>
      <c r="T311" s="7" t="s">
        <v>2760</v>
      </c>
      <c r="U311" s="7">
        <v>2040</v>
      </c>
      <c r="V311" s="7" cm="1">
        <f t="array" ref="V311">IF(U311="", "", IFERROR(MAX(--_xlfn.TEXTSPLIT(U311,"+")), U311))</f>
        <v>2040</v>
      </c>
      <c r="W311" s="7">
        <v>2023</v>
      </c>
      <c r="X311" s="125" t="s">
        <v>5853</v>
      </c>
      <c r="Y311" s="122" t="s">
        <v>4174</v>
      </c>
      <c r="Z311" s="7" t="s">
        <v>5037</v>
      </c>
      <c r="AA311" s="126" t="s">
        <v>5854</v>
      </c>
      <c r="AB311" s="7">
        <v>2022</v>
      </c>
      <c r="AC311" s="7">
        <v>243000</v>
      </c>
      <c r="AD311" s="7">
        <v>180000</v>
      </c>
      <c r="AE311" s="7">
        <v>81000</v>
      </c>
      <c r="AF311" s="49">
        <v>287000</v>
      </c>
      <c r="AG311" s="49" t="s">
        <v>4174</v>
      </c>
      <c r="AH311" s="7">
        <f>AC311+AE311</f>
        <v>324000</v>
      </c>
      <c r="AI311" s="7">
        <f>AH311+AF311</f>
        <v>611000</v>
      </c>
      <c r="AJ311" s="7">
        <v>2021</v>
      </c>
      <c r="AK311" s="7">
        <v>252000</v>
      </c>
      <c r="AL311" s="7">
        <v>204000</v>
      </c>
      <c r="AM311" s="7">
        <v>115000</v>
      </c>
      <c r="AN311" s="7">
        <v>286000</v>
      </c>
      <c r="AO311" s="7">
        <f>AK311+AM311</f>
        <v>367000</v>
      </c>
      <c r="AP311" s="7">
        <f>AO311+AN311</f>
        <v>653000</v>
      </c>
      <c r="AQ311" s="27" t="s">
        <v>5853</v>
      </c>
      <c r="AR311" s="7" t="str">
        <f>_xlfn.XLOOKUP(C311,Sheet1!A:A,Sheet1!B:B, "Other")</f>
        <v>Europe</v>
      </c>
      <c r="AS311" t="str">
        <f>_xlfn.XLOOKUP(D311,Sheet1!D:D,Sheet1!E:E)</f>
        <v>Automotive</v>
      </c>
    </row>
    <row r="312" spans="1:45" ht="18" customHeight="1">
      <c r="A312" s="7">
        <v>308</v>
      </c>
      <c r="B312" s="7" t="s">
        <v>693</v>
      </c>
      <c r="C312" s="7" t="s">
        <v>4457</v>
      </c>
      <c r="D312" s="7" t="s">
        <v>149</v>
      </c>
      <c r="E312" s="7" t="s">
        <v>5852</v>
      </c>
      <c r="F312" s="7" t="s">
        <v>5851</v>
      </c>
      <c r="G312" s="122" t="s">
        <v>4174</v>
      </c>
      <c r="H312" s="7">
        <v>2025</v>
      </c>
      <c r="I312" s="7">
        <v>2015</v>
      </c>
      <c r="J312" s="122" t="s">
        <v>4183</v>
      </c>
      <c r="K312" s="7">
        <v>2030</v>
      </c>
      <c r="L312" s="127">
        <v>2019</v>
      </c>
      <c r="M312" s="122"/>
      <c r="N312" s="7"/>
      <c r="O312" s="7"/>
      <c r="P312" s="7" t="str" cm="1">
        <f t="array" ref="P312">IF(O312="", "", IFERROR(MAX(--_xlfn.TEXTSPLIT(O312,"+")), O312))</f>
        <v/>
      </c>
      <c r="Q312" s="7"/>
      <c r="R312" s="109"/>
      <c r="S312" s="7" t="s">
        <v>4172</v>
      </c>
      <c r="T312" s="7" t="s">
        <v>1968</v>
      </c>
      <c r="U312" s="7">
        <v>2050</v>
      </c>
      <c r="V312" s="7" cm="1">
        <f t="array" ref="V312">IF(U312="", "", IFERROR(MAX(--_xlfn.TEXTSPLIT(U312,"+")), U312))</f>
        <v>2050</v>
      </c>
      <c r="W312" s="7">
        <v>2019</v>
      </c>
      <c r="X312" s="125" t="s">
        <v>5850</v>
      </c>
      <c r="Y312" s="122" t="s">
        <v>4174</v>
      </c>
      <c r="Z312" s="7" t="s">
        <v>5037</v>
      </c>
      <c r="AA312" s="126" t="s">
        <v>5849</v>
      </c>
      <c r="AB312" s="7">
        <v>2022</v>
      </c>
      <c r="AC312" s="7">
        <v>50868</v>
      </c>
      <c r="AD312" s="7">
        <v>224035</v>
      </c>
      <c r="AE312" s="7">
        <v>24900</v>
      </c>
      <c r="AF312" s="7">
        <v>9953491</v>
      </c>
      <c r="AG312" s="7" t="s">
        <v>4174</v>
      </c>
      <c r="AH312" s="7">
        <f>AE312+AC312</f>
        <v>75768</v>
      </c>
      <c r="AI312" s="7">
        <f>AH312+AF312</f>
        <v>10029259</v>
      </c>
      <c r="AJ312" s="7">
        <v>2021</v>
      </c>
      <c r="AK312" s="7">
        <v>46462</v>
      </c>
      <c r="AL312" s="7"/>
      <c r="AM312" s="7">
        <v>76420</v>
      </c>
      <c r="AN312" s="7">
        <v>10827234</v>
      </c>
      <c r="AO312" s="7">
        <f>AK312+AM312</f>
        <v>122882</v>
      </c>
      <c r="AP312" s="7">
        <f>AN312+AO312</f>
        <v>10950116</v>
      </c>
      <c r="AQ312" s="27" t="s">
        <v>5848</v>
      </c>
      <c r="AR312" s="7" t="str">
        <f>_xlfn.XLOOKUP(C312,Sheet1!A:A,Sheet1!B:B, "Other")</f>
        <v>North America</v>
      </c>
      <c r="AS312" t="str">
        <f>_xlfn.XLOOKUP(D312,Sheet1!D:D,Sheet1!E:E)</f>
        <v>Retail</v>
      </c>
    </row>
    <row r="313" spans="1:45" ht="18" customHeight="1">
      <c r="A313" s="7">
        <v>309</v>
      </c>
      <c r="B313" s="7" t="s">
        <v>883</v>
      </c>
      <c r="C313" s="7" t="s">
        <v>63</v>
      </c>
      <c r="D313" s="7" t="s">
        <v>135</v>
      </c>
      <c r="E313" s="7" t="s">
        <v>5847</v>
      </c>
      <c r="F313" s="7" t="s">
        <v>5846</v>
      </c>
      <c r="G313" s="122"/>
      <c r="H313" s="7"/>
      <c r="I313" s="7"/>
      <c r="J313" s="122" t="s">
        <v>1957</v>
      </c>
      <c r="K313" s="7"/>
      <c r="L313" s="127">
        <v>2022</v>
      </c>
      <c r="M313" s="122"/>
      <c r="N313" s="7"/>
      <c r="O313" s="7"/>
      <c r="P313" s="7" t="str" cm="1">
        <f t="array" ref="P313">IF(O313="", "", IFERROR(MAX(--_xlfn.TEXTSPLIT(O313,"+")), O313))</f>
        <v/>
      </c>
      <c r="Q313" s="7"/>
      <c r="R313" s="126"/>
      <c r="S313" s="7"/>
      <c r="T313" s="7"/>
      <c r="U313" s="7"/>
      <c r="V313" s="7" t="str" cm="1">
        <f t="array" ref="V313">IF(U313="", "", IFERROR(MAX(--_xlfn.TEXTSPLIT(U313,"+")), U313))</f>
        <v/>
      </c>
      <c r="W313" s="7"/>
      <c r="X313" s="7"/>
      <c r="Y313" s="122" t="s">
        <v>4174</v>
      </c>
      <c r="Z313" s="7" t="s">
        <v>5845</v>
      </c>
      <c r="AA313" s="109" t="s">
        <v>5844</v>
      </c>
      <c r="AB313" s="7">
        <v>2022</v>
      </c>
      <c r="AC313" s="7"/>
      <c r="AD313" s="7"/>
      <c r="AE313" s="7"/>
      <c r="AF313" s="7"/>
      <c r="AG313" s="7" t="s">
        <v>5032</v>
      </c>
      <c r="AH313" s="7"/>
      <c r="AI313" s="7">
        <v>15000000</v>
      </c>
      <c r="AJ313" s="7">
        <v>2021</v>
      </c>
      <c r="AK313" s="7"/>
      <c r="AL313" s="7"/>
      <c r="AM313" s="7"/>
      <c r="AN313" s="7"/>
      <c r="AO313" s="7"/>
      <c r="AP313" s="7">
        <v>16000000</v>
      </c>
      <c r="AQ313" s="7" t="s">
        <v>5843</v>
      </c>
      <c r="AR313" s="7" t="str">
        <f>_xlfn.XLOOKUP(C313,Sheet1!A:A,Sheet1!B:B, "Other")</f>
        <v>Europe</v>
      </c>
      <c r="AS313" t="str">
        <f>_xlfn.XLOOKUP(D313,Sheet1!D:D,Sheet1!E:E)</f>
        <v>Engineering and construction</v>
      </c>
    </row>
    <row r="314" spans="1:45" ht="18" customHeight="1">
      <c r="A314" s="7">
        <v>310</v>
      </c>
      <c r="B314" s="7" t="s">
        <v>4180</v>
      </c>
      <c r="C314" s="7" t="s">
        <v>73</v>
      </c>
      <c r="D314" s="7" t="s">
        <v>178</v>
      </c>
      <c r="E314" s="7" t="s">
        <v>5842</v>
      </c>
      <c r="F314" s="7" t="s">
        <v>5841</v>
      </c>
      <c r="G314" s="122"/>
      <c r="H314" s="7"/>
      <c r="I314" s="7"/>
      <c r="J314" s="122" t="s">
        <v>1960</v>
      </c>
      <c r="K314" s="7"/>
      <c r="L314" s="127" t="s">
        <v>1960</v>
      </c>
      <c r="M314" s="122"/>
      <c r="N314" s="7"/>
      <c r="O314" s="7"/>
      <c r="P314" s="7" t="str" cm="1">
        <f t="array" ref="P314">IF(O314="", "", IFERROR(MAX(--_xlfn.TEXTSPLIT(O314,"+")), O314))</f>
        <v/>
      </c>
      <c r="Q314" s="7"/>
      <c r="R314" s="109"/>
      <c r="S314" s="7"/>
      <c r="T314" s="7"/>
      <c r="U314" s="7"/>
      <c r="V314" s="7" t="str" cm="1">
        <f t="array" ref="V314">IF(U314="", "", IFERROR(MAX(--_xlfn.TEXTSPLIT(U314,"+")), U314))</f>
        <v/>
      </c>
      <c r="W314" s="7"/>
      <c r="X314" s="7"/>
      <c r="Y314" s="122"/>
      <c r="Z314" s="7"/>
      <c r="AA314" s="109"/>
      <c r="AB314" s="7" t="s">
        <v>5032</v>
      </c>
      <c r="AC314" s="7"/>
      <c r="AD314" s="7"/>
      <c r="AE314" s="7"/>
      <c r="AF314" s="7"/>
      <c r="AG314" s="7" t="s">
        <v>5032</v>
      </c>
      <c r="AH314" s="7"/>
      <c r="AI314" s="7"/>
      <c r="AJ314" s="7" t="s">
        <v>5032</v>
      </c>
      <c r="AK314" s="7"/>
      <c r="AL314" s="7"/>
      <c r="AM314" s="7"/>
      <c r="AN314" s="7"/>
      <c r="AO314" s="7"/>
      <c r="AP314" s="7"/>
      <c r="AQ314" s="7"/>
      <c r="AR314" s="7" t="str">
        <f>_xlfn.XLOOKUP(C314,Sheet1!A:A,Sheet1!B:B, "Other")</f>
        <v>Asia</v>
      </c>
      <c r="AS314" t="str">
        <f>_xlfn.XLOOKUP(D314,Sheet1!D:D,Sheet1!E:E)</f>
        <v>Transportation and logistics</v>
      </c>
    </row>
    <row r="315" spans="1:45" ht="18" customHeight="1">
      <c r="A315" s="7">
        <v>311</v>
      </c>
      <c r="B315" s="7" t="s">
        <v>913</v>
      </c>
      <c r="C315" s="7" t="s">
        <v>4457</v>
      </c>
      <c r="D315" s="7" t="s">
        <v>454</v>
      </c>
      <c r="E315" s="7" t="s">
        <v>5840</v>
      </c>
      <c r="F315" s="7" t="s">
        <v>5839</v>
      </c>
      <c r="G315" s="122"/>
      <c r="H315" s="7"/>
      <c r="I315" s="7"/>
      <c r="J315" s="122" t="s">
        <v>4183</v>
      </c>
      <c r="K315" s="7">
        <v>2030</v>
      </c>
      <c r="L315" s="127">
        <v>2019</v>
      </c>
      <c r="M315" s="122"/>
      <c r="N315" s="7"/>
      <c r="O315" s="7"/>
      <c r="P315" s="7" t="str" cm="1">
        <f t="array" ref="P315">IF(O315="", "", IFERROR(MAX(--_xlfn.TEXTSPLIT(O315,"+")), O315))</f>
        <v/>
      </c>
      <c r="Q315" s="7"/>
      <c r="R315" s="126"/>
      <c r="S315" s="7" t="s">
        <v>1957</v>
      </c>
      <c r="T315" s="7" t="s">
        <v>4363</v>
      </c>
      <c r="U315" s="7">
        <v>2040</v>
      </c>
      <c r="V315" s="7" cm="1">
        <f t="array" ref="V315">IF(U315="", "", IFERROR(MAX(--_xlfn.TEXTSPLIT(U315,"+")), U315))</f>
        <v>2040</v>
      </c>
      <c r="W315" s="7">
        <v>2020</v>
      </c>
      <c r="X315" s="7" t="s">
        <v>4756</v>
      </c>
      <c r="Y315" s="122"/>
      <c r="Z315" s="7"/>
      <c r="AA315" s="109"/>
      <c r="AB315" s="7">
        <v>2021</v>
      </c>
      <c r="AC315" s="124">
        <v>257049</v>
      </c>
      <c r="AD315" s="7"/>
      <c r="AE315" s="124">
        <v>131875</v>
      </c>
      <c r="AF315" s="124">
        <v>24181848</v>
      </c>
      <c r="AG315" s="7" t="s">
        <v>2082</v>
      </c>
      <c r="AH315" s="7">
        <f>AC315+AE315</f>
        <v>388924</v>
      </c>
      <c r="AI315" s="7">
        <f>AH315+AF315</f>
        <v>24570772</v>
      </c>
      <c r="AJ315" s="7">
        <v>2020</v>
      </c>
      <c r="AK315" s="124">
        <v>246895</v>
      </c>
      <c r="AL315" s="7"/>
      <c r="AM315" s="124">
        <v>154284</v>
      </c>
      <c r="AN315" s="124">
        <v>22899369</v>
      </c>
      <c r="AO315" s="7">
        <f>AK315+AM315</f>
        <v>401179</v>
      </c>
      <c r="AP315" s="7">
        <f>AO315+AN315</f>
        <v>23300548</v>
      </c>
      <c r="AQ315" s="7" t="s">
        <v>5838</v>
      </c>
      <c r="AR315" s="7" t="str">
        <f>_xlfn.XLOOKUP(C315,Sheet1!A:A,Sheet1!B:B, "Other")</f>
        <v>North America</v>
      </c>
      <c r="AS315" t="str">
        <f>_xlfn.XLOOKUP(D315,Sheet1!D:D,Sheet1!E:E)</f>
        <v>Retail</v>
      </c>
    </row>
    <row r="316" spans="1:45" ht="18" customHeight="1">
      <c r="A316" s="7">
        <v>312</v>
      </c>
      <c r="B316" s="7" t="s">
        <v>3770</v>
      </c>
      <c r="C316" s="7" t="s">
        <v>4457</v>
      </c>
      <c r="D316" s="7" t="s">
        <v>319</v>
      </c>
      <c r="E316" s="7" t="s">
        <v>5837</v>
      </c>
      <c r="F316" s="7" t="s">
        <v>5836</v>
      </c>
      <c r="G316" s="122"/>
      <c r="H316" s="7"/>
      <c r="I316" s="7"/>
      <c r="J316" s="122" t="s">
        <v>1957</v>
      </c>
      <c r="K316" s="7"/>
      <c r="L316" s="127">
        <v>2022</v>
      </c>
      <c r="M316" s="122" t="s">
        <v>1957</v>
      </c>
      <c r="N316" s="7" t="s">
        <v>5042</v>
      </c>
      <c r="O316" s="7">
        <v>2040</v>
      </c>
      <c r="P316" s="7" cm="1">
        <f t="array" ref="P316">IF(O316="", "", IFERROR(MAX(--_xlfn.TEXTSPLIT(O316,"+")), O316))</f>
        <v>2040</v>
      </c>
      <c r="Q316" s="7">
        <v>2020</v>
      </c>
      <c r="R316" s="126" t="s">
        <v>5835</v>
      </c>
      <c r="S316" s="7"/>
      <c r="T316" s="7"/>
      <c r="U316" s="7"/>
      <c r="V316" s="7" t="str" cm="1">
        <f t="array" ref="V316">IF(U316="", "", IFERROR(MAX(--_xlfn.TEXTSPLIT(U316,"+")), U316))</f>
        <v/>
      </c>
      <c r="W316" s="7"/>
      <c r="X316" s="7"/>
      <c r="Y316" s="122"/>
      <c r="Z316" s="7"/>
      <c r="AA316" s="109"/>
      <c r="AB316" s="7">
        <v>2021</v>
      </c>
      <c r="AC316" s="7">
        <v>204300</v>
      </c>
      <c r="AD316" s="7"/>
      <c r="AE316" s="7">
        <v>166300</v>
      </c>
      <c r="AF316" s="7">
        <v>1889600</v>
      </c>
      <c r="AG316" s="7" t="s">
        <v>4174</v>
      </c>
      <c r="AH316" s="7">
        <f>AC316+AE316</f>
        <v>370600</v>
      </c>
      <c r="AI316" s="7">
        <f>AH316+AF316</f>
        <v>2260200</v>
      </c>
      <c r="AJ316" s="7">
        <v>2020</v>
      </c>
      <c r="AK316" s="7">
        <v>202400</v>
      </c>
      <c r="AL316" s="7"/>
      <c r="AM316" s="7">
        <v>122600</v>
      </c>
      <c r="AN316" s="7" t="s">
        <v>5834</v>
      </c>
      <c r="AO316" s="7">
        <f>AK316+AM316</f>
        <v>325000</v>
      </c>
      <c r="AP316" s="7">
        <f>AO316</f>
        <v>325000</v>
      </c>
      <c r="AQ316" s="27" t="s">
        <v>5833</v>
      </c>
      <c r="AR316" s="7" t="str">
        <f>_xlfn.XLOOKUP(C316,Sheet1!A:A,Sheet1!B:B, "Other")</f>
        <v>North America</v>
      </c>
      <c r="AS316" t="str">
        <f>_xlfn.XLOOKUP(D316,Sheet1!D:D,Sheet1!E:E)</f>
        <v>Health care and pharmaceuticals</v>
      </c>
    </row>
    <row r="317" spans="1:45" ht="18" customHeight="1">
      <c r="A317" s="7">
        <v>313</v>
      </c>
      <c r="B317" s="7" t="s">
        <v>4716</v>
      </c>
      <c r="C317" s="7" t="s">
        <v>73</v>
      </c>
      <c r="D317" s="7" t="s">
        <v>135</v>
      </c>
      <c r="E317" s="7" t="s">
        <v>5832</v>
      </c>
      <c r="F317" s="7" t="s">
        <v>5831</v>
      </c>
      <c r="G317" s="122"/>
      <c r="H317" s="7"/>
      <c r="I317" s="7"/>
      <c r="J317" s="122" t="s">
        <v>1960</v>
      </c>
      <c r="K317" s="7"/>
      <c r="L317" s="127" t="s">
        <v>1960</v>
      </c>
      <c r="M317" s="122"/>
      <c r="N317" s="7"/>
      <c r="O317" s="7"/>
      <c r="P317" s="7" t="str" cm="1">
        <f t="array" ref="P317">IF(O317="", "", IFERROR(MAX(--_xlfn.TEXTSPLIT(O317,"+")), O317))</f>
        <v/>
      </c>
      <c r="Q317" s="7"/>
      <c r="R317" s="109"/>
      <c r="S317" s="7"/>
      <c r="T317" s="7"/>
      <c r="U317" s="7"/>
      <c r="V317" s="7" t="str" cm="1">
        <f t="array" ref="V317">IF(U317="", "", IFERROR(MAX(--_xlfn.TEXTSPLIT(U317,"+")), U317))</f>
        <v/>
      </c>
      <c r="W317" s="7"/>
      <c r="X317" s="7"/>
      <c r="Y317" s="122"/>
      <c r="Z317" s="7"/>
      <c r="AA317" s="109"/>
      <c r="AB317" s="7" t="s">
        <v>5032</v>
      </c>
      <c r="AC317" s="7"/>
      <c r="AD317" s="7"/>
      <c r="AE317" s="7"/>
      <c r="AF317" s="7"/>
      <c r="AG317" s="7" t="s">
        <v>5032</v>
      </c>
      <c r="AH317" s="7"/>
      <c r="AI317" s="7"/>
      <c r="AJ317" s="7"/>
      <c r="AK317" s="7"/>
      <c r="AL317" s="7"/>
      <c r="AM317" s="7"/>
      <c r="AN317" s="7"/>
      <c r="AO317" s="7"/>
      <c r="AP317" s="7"/>
      <c r="AQ317" s="7"/>
      <c r="AR317" s="7" t="str">
        <f>_xlfn.XLOOKUP(C317,Sheet1!A:A,Sheet1!B:B, "Other")</f>
        <v>Asia</v>
      </c>
      <c r="AS317" t="str">
        <f>_xlfn.XLOOKUP(D317,Sheet1!D:D,Sheet1!E:E)</f>
        <v>Engineering and construction</v>
      </c>
    </row>
    <row r="318" spans="1:45" ht="18" customHeight="1">
      <c r="A318" s="7">
        <v>314</v>
      </c>
      <c r="B318" s="7" t="s">
        <v>4323</v>
      </c>
      <c r="C318" s="7" t="s">
        <v>96</v>
      </c>
      <c r="D318" s="7" t="s">
        <v>454</v>
      </c>
      <c r="E318" s="7" t="s">
        <v>5830</v>
      </c>
      <c r="F318" s="7" t="s">
        <v>5829</v>
      </c>
      <c r="G318" s="122" t="s">
        <v>4174</v>
      </c>
      <c r="H318" s="7">
        <v>2025</v>
      </c>
      <c r="I318" s="7">
        <v>2014</v>
      </c>
      <c r="J318" s="122" t="s">
        <v>4183</v>
      </c>
      <c r="K318" s="7">
        <v>2030</v>
      </c>
      <c r="L318" s="127">
        <v>2020</v>
      </c>
      <c r="M318" s="122" t="s">
        <v>4172</v>
      </c>
      <c r="N318" s="7" t="s">
        <v>2760</v>
      </c>
      <c r="O318" s="7">
        <v>2030</v>
      </c>
      <c r="P318" s="7" cm="1">
        <f t="array" ref="P318">IF(O318="", "", IFERROR(MAX(--_xlfn.TEXTSPLIT(O318,"+")), O318))</f>
        <v>2030</v>
      </c>
      <c r="Q318" s="7">
        <v>2021</v>
      </c>
      <c r="R318" s="109" t="s">
        <v>5827</v>
      </c>
      <c r="S318" s="7" t="s">
        <v>4172</v>
      </c>
      <c r="T318" s="7" t="s">
        <v>2760</v>
      </c>
      <c r="U318" s="7">
        <v>2050</v>
      </c>
      <c r="V318" s="7" cm="1">
        <f t="array" ref="V318">IF(U318="", "", IFERROR(MAX(--_xlfn.TEXTSPLIT(U318,"+")), U318))</f>
        <v>2050</v>
      </c>
      <c r="W318" s="7">
        <v>2021</v>
      </c>
      <c r="X318" s="7" t="s">
        <v>5827</v>
      </c>
      <c r="Y318" s="122" t="s">
        <v>4174</v>
      </c>
      <c r="Z318" s="29" t="s">
        <v>5037</v>
      </c>
      <c r="AA318" s="109" t="s">
        <v>5828</v>
      </c>
      <c r="AB318" s="7">
        <v>2022</v>
      </c>
      <c r="AC318" s="7">
        <v>84168</v>
      </c>
      <c r="AD318" s="7">
        <v>456110</v>
      </c>
      <c r="AE318" s="7">
        <v>21728</v>
      </c>
      <c r="AF318" s="7">
        <f>AI318-AH318</f>
        <v>25699064</v>
      </c>
      <c r="AG318" s="7" t="s">
        <v>4174</v>
      </c>
      <c r="AH318" s="7">
        <f>AC318+AE318</f>
        <v>105896</v>
      </c>
      <c r="AI318" s="7">
        <v>25804960</v>
      </c>
      <c r="AJ318" s="7">
        <v>2021</v>
      </c>
      <c r="AK318" s="7">
        <v>75511</v>
      </c>
      <c r="AL318" s="7">
        <v>429616</v>
      </c>
      <c r="AM318" s="7">
        <v>69523</v>
      </c>
      <c r="AN318" s="7">
        <f>AP318-AO318</f>
        <v>27078472</v>
      </c>
      <c r="AO318" s="7">
        <f t="shared" ref="AO318:AO323" si="34">AK318+AM318</f>
        <v>145034</v>
      </c>
      <c r="AP318" s="7">
        <v>27223506</v>
      </c>
      <c r="AQ318" s="7" t="s">
        <v>5827</v>
      </c>
      <c r="AR318" s="7" t="str">
        <f>_xlfn.XLOOKUP(C318,Sheet1!A:A,Sheet1!B:B, "Other")</f>
        <v>Europe</v>
      </c>
      <c r="AS318" t="str">
        <f>_xlfn.XLOOKUP(D318,Sheet1!D:D,Sheet1!E:E)</f>
        <v>Retail</v>
      </c>
    </row>
    <row r="319" spans="1:45" ht="18" customHeight="1">
      <c r="A319" s="7">
        <v>315</v>
      </c>
      <c r="B319" s="7" t="s">
        <v>944</v>
      </c>
      <c r="C319" s="7" t="s">
        <v>146</v>
      </c>
      <c r="D319" s="7" t="s">
        <v>171</v>
      </c>
      <c r="E319" s="7" t="s">
        <v>5826</v>
      </c>
      <c r="F319" s="7" t="s">
        <v>5825</v>
      </c>
      <c r="G319" s="122"/>
      <c r="H319" s="7"/>
      <c r="I319" s="7"/>
      <c r="J319" s="122" t="s">
        <v>4183</v>
      </c>
      <c r="K319" s="7">
        <v>2030</v>
      </c>
      <c r="L319" s="127">
        <v>2022</v>
      </c>
      <c r="M319" s="122" t="s">
        <v>4172</v>
      </c>
      <c r="N319" s="7" t="s">
        <v>4411</v>
      </c>
      <c r="O319" s="7">
        <v>2040</v>
      </c>
      <c r="P319" s="7" cm="1">
        <f t="array" ref="P319">IF(O319="", "", IFERROR(MAX(--_xlfn.TEXTSPLIT(O319,"+")), O319))</f>
        <v>2040</v>
      </c>
      <c r="Q319" s="7"/>
      <c r="R319" s="109" t="s">
        <v>5822</v>
      </c>
      <c r="S319" s="7" t="s">
        <v>4172</v>
      </c>
      <c r="T319" s="7" t="s">
        <v>5824</v>
      </c>
      <c r="U319" s="7">
        <v>2040</v>
      </c>
      <c r="V319" s="7" cm="1">
        <f t="array" ref="V319">IF(U319="", "", IFERROR(MAX(--_xlfn.TEXTSPLIT(U319,"+")), U319))</f>
        <v>2040</v>
      </c>
      <c r="W319" s="7">
        <v>2019</v>
      </c>
      <c r="X319" s="7" t="s">
        <v>5822</v>
      </c>
      <c r="Y319" s="122" t="s">
        <v>4174</v>
      </c>
      <c r="Z319" s="7" t="s">
        <v>5823</v>
      </c>
      <c r="AA319" s="109" t="s">
        <v>5822</v>
      </c>
      <c r="AB319" s="7">
        <v>2022</v>
      </c>
      <c r="AC319" s="7">
        <v>391000</v>
      </c>
      <c r="AD319" s="7">
        <v>1079000</v>
      </c>
      <c r="AE319" s="7">
        <v>776000</v>
      </c>
      <c r="AF319" s="7">
        <v>82744000</v>
      </c>
      <c r="AG319" s="7" t="s">
        <v>4174</v>
      </c>
      <c r="AH319" s="7">
        <f>AE319+AC319</f>
        <v>1167000</v>
      </c>
      <c r="AI319" s="7">
        <f>AF319+AH319</f>
        <v>83911000</v>
      </c>
      <c r="AJ319" s="7">
        <v>2021</v>
      </c>
      <c r="AK319" s="7">
        <f>0.416*1000000</f>
        <v>416000</v>
      </c>
      <c r="AL319" s="7">
        <f>1.377*1000000</f>
        <v>1377000</v>
      </c>
      <c r="AM319" s="7">
        <f>0.941*1000000</f>
        <v>941000</v>
      </c>
      <c r="AN319" s="7">
        <f>91672*1000000</f>
        <v>91672000000</v>
      </c>
      <c r="AO319" s="7">
        <f t="shared" si="34"/>
        <v>1357000</v>
      </c>
      <c r="AP319" s="7">
        <f>AO319+AN319</f>
        <v>91673357000</v>
      </c>
      <c r="AQ319" s="7" t="s">
        <v>5822</v>
      </c>
      <c r="AR319" s="7" t="str">
        <f>_xlfn.XLOOKUP(C319,Sheet1!A:A,Sheet1!B:B, "Other")</f>
        <v>Europe</v>
      </c>
      <c r="AS319" t="str">
        <f>_xlfn.XLOOKUP(D319,Sheet1!D:D,Sheet1!E:E)</f>
        <v>Automotive</v>
      </c>
    </row>
    <row r="320" spans="1:45" ht="18" customHeight="1">
      <c r="A320" s="7">
        <v>316</v>
      </c>
      <c r="B320" s="7" t="s">
        <v>717</v>
      </c>
      <c r="C320" s="7" t="s">
        <v>287</v>
      </c>
      <c r="D320" s="7" t="s">
        <v>76</v>
      </c>
      <c r="E320" s="7" t="s">
        <v>5821</v>
      </c>
      <c r="F320" s="7" t="s">
        <v>5820</v>
      </c>
      <c r="G320" s="122" t="s">
        <v>4174</v>
      </c>
      <c r="H320" s="7">
        <v>2020</v>
      </c>
      <c r="I320" s="7">
        <v>2014</v>
      </c>
      <c r="J320" s="122" t="s">
        <v>1957</v>
      </c>
      <c r="K320" s="7"/>
      <c r="L320" s="127">
        <v>2019</v>
      </c>
      <c r="M320" s="122" t="s">
        <v>1957</v>
      </c>
      <c r="N320" s="7" t="s">
        <v>5819</v>
      </c>
      <c r="O320" s="7">
        <v>2003</v>
      </c>
      <c r="P320" s="7" cm="1">
        <f t="array" ref="P320">IF(O320="", "", IFERROR(MAX(--_xlfn.TEXTSPLIT(O320,"+")), O320))</f>
        <v>2003</v>
      </c>
      <c r="Q320" s="7">
        <v>2003</v>
      </c>
      <c r="R320" s="109" t="s">
        <v>5815</v>
      </c>
      <c r="S320" s="7" t="s">
        <v>4172</v>
      </c>
      <c r="T320" s="7" t="s">
        <v>5818</v>
      </c>
      <c r="U320" s="7">
        <v>2030</v>
      </c>
      <c r="V320" s="7" cm="1">
        <f t="array" ref="V320">IF(U320="", "", IFERROR(MAX(--_xlfn.TEXTSPLIT(U320,"+")), U320))</f>
        <v>2030</v>
      </c>
      <c r="W320" s="7">
        <v>2019</v>
      </c>
      <c r="X320" s="7" t="s">
        <v>5815</v>
      </c>
      <c r="Y320" s="122" t="s">
        <v>4174</v>
      </c>
      <c r="Z320" s="7" t="s">
        <v>5817</v>
      </c>
      <c r="AA320" s="109" t="s">
        <v>5816</v>
      </c>
      <c r="AB320" s="7">
        <v>2022</v>
      </c>
      <c r="AC320" s="7">
        <v>2902</v>
      </c>
      <c r="AD320" s="7"/>
      <c r="AE320" s="7">
        <v>64</v>
      </c>
      <c r="AF320" s="7">
        <v>26103</v>
      </c>
      <c r="AG320" s="7" t="s">
        <v>5032</v>
      </c>
      <c r="AH320" s="7">
        <f>AC320+AE320</f>
        <v>2966</v>
      </c>
      <c r="AI320" s="7">
        <f>AF320+AH320</f>
        <v>29069</v>
      </c>
      <c r="AJ320" s="7">
        <v>2021</v>
      </c>
      <c r="AK320" s="7">
        <v>2665</v>
      </c>
      <c r="AL320" s="7"/>
      <c r="AM320" s="7">
        <v>61</v>
      </c>
      <c r="AN320" s="7">
        <v>7890</v>
      </c>
      <c r="AO320" s="7">
        <f t="shared" si="34"/>
        <v>2726</v>
      </c>
      <c r="AP320" s="7">
        <f>AN320+AO320</f>
        <v>10616</v>
      </c>
      <c r="AQ320" s="7" t="s">
        <v>5815</v>
      </c>
      <c r="AR320" s="7" t="str">
        <f>_xlfn.XLOOKUP(C320,Sheet1!A:A,Sheet1!B:B, "Other")</f>
        <v>Europe</v>
      </c>
      <c r="AS320" t="str">
        <f>_xlfn.XLOOKUP(D320,Sheet1!D:D,Sheet1!E:E)</f>
        <v>Financial services</v>
      </c>
    </row>
    <row r="321" spans="1:45" ht="18" customHeight="1">
      <c r="A321" s="7">
        <v>317</v>
      </c>
      <c r="B321" s="7" t="s">
        <v>1804</v>
      </c>
      <c r="C321" s="7" t="s">
        <v>376</v>
      </c>
      <c r="D321" s="7" t="s">
        <v>76</v>
      </c>
      <c r="E321" s="7" t="s">
        <v>5814</v>
      </c>
      <c r="F321" s="7" t="s">
        <v>5813</v>
      </c>
      <c r="G321" s="122"/>
      <c r="H321" s="7"/>
      <c r="I321" s="7"/>
      <c r="J321" s="122" t="s">
        <v>1960</v>
      </c>
      <c r="K321" s="7"/>
      <c r="L321" s="127" t="s">
        <v>1960</v>
      </c>
      <c r="M321" s="122" t="s">
        <v>1957</v>
      </c>
      <c r="N321" s="7" t="s">
        <v>5131</v>
      </c>
      <c r="O321" s="7">
        <v>2022</v>
      </c>
      <c r="P321" s="7" cm="1">
        <f t="array" ref="P321">IF(O321="", "", IFERROR(MAX(--_xlfn.TEXTSPLIT(O321,"+")), O321))</f>
        <v>2022</v>
      </c>
      <c r="Q321" s="7">
        <v>2021</v>
      </c>
      <c r="R321" s="109" t="s">
        <v>4726</v>
      </c>
      <c r="S321" s="7" t="s">
        <v>1957</v>
      </c>
      <c r="T321" s="7" t="s">
        <v>5131</v>
      </c>
      <c r="U321" s="7">
        <v>2025</v>
      </c>
      <c r="V321" s="7" cm="1">
        <f t="array" ref="V321">IF(U321="", "", IFERROR(MAX(--_xlfn.TEXTSPLIT(U321,"+")), U321))</f>
        <v>2025</v>
      </c>
      <c r="W321" s="7">
        <v>2021</v>
      </c>
      <c r="X321" s="7" t="s">
        <v>4726</v>
      </c>
      <c r="Y321" s="122"/>
      <c r="Z321" s="7"/>
      <c r="AA321" s="109"/>
      <c r="AB321" s="7">
        <v>2021</v>
      </c>
      <c r="AC321" s="7">
        <v>45</v>
      </c>
      <c r="AD321" s="7"/>
      <c r="AE321" s="7">
        <v>27</v>
      </c>
      <c r="AF321" s="7">
        <v>995</v>
      </c>
      <c r="AG321" s="7" t="s">
        <v>5032</v>
      </c>
      <c r="AH321" s="7">
        <f>AC321+AE321</f>
        <v>72</v>
      </c>
      <c r="AI321" s="7">
        <f>AH321+AF321</f>
        <v>1067</v>
      </c>
      <c r="AJ321" s="7">
        <v>2020</v>
      </c>
      <c r="AK321" s="7">
        <v>5</v>
      </c>
      <c r="AL321" s="7"/>
      <c r="AM321" s="7">
        <v>15</v>
      </c>
      <c r="AN321" s="7">
        <v>742</v>
      </c>
      <c r="AO321" s="7">
        <f t="shared" si="34"/>
        <v>20</v>
      </c>
      <c r="AP321" s="7">
        <f>AO321+AN321</f>
        <v>762</v>
      </c>
      <c r="AQ321" s="27" t="s">
        <v>4726</v>
      </c>
      <c r="AR321" s="7" t="str">
        <f>_xlfn.XLOOKUP(C321,Sheet1!A:A,Sheet1!B:B, "Other")</f>
        <v>Europe</v>
      </c>
      <c r="AS321" t="str">
        <f>_xlfn.XLOOKUP(D321,Sheet1!D:D,Sheet1!E:E)</f>
        <v>Financial services</v>
      </c>
    </row>
    <row r="322" spans="1:45" ht="18" customHeight="1">
      <c r="A322" s="7">
        <v>318</v>
      </c>
      <c r="B322" s="7" t="s">
        <v>1044</v>
      </c>
      <c r="C322" s="7" t="s">
        <v>267</v>
      </c>
      <c r="D322" s="7" t="s">
        <v>76</v>
      </c>
      <c r="E322" s="7" t="s">
        <v>5812</v>
      </c>
      <c r="F322" s="7" t="s">
        <v>5811</v>
      </c>
      <c r="G322" s="122"/>
      <c r="H322" s="7"/>
      <c r="I322" s="7"/>
      <c r="J322" s="122" t="s">
        <v>1957</v>
      </c>
      <c r="K322" s="7"/>
      <c r="L322" s="127">
        <v>2018</v>
      </c>
      <c r="M322" s="122" t="s">
        <v>1957</v>
      </c>
      <c r="N322" s="7" t="s">
        <v>5810</v>
      </c>
      <c r="O322" s="7">
        <v>2020</v>
      </c>
      <c r="P322" s="7" cm="1">
        <f t="array" ref="P322">IF(O322="", "", IFERROR(MAX(--_xlfn.TEXTSPLIT(O322,"+")), O322))</f>
        <v>2020</v>
      </c>
      <c r="Q322" s="7">
        <v>2016</v>
      </c>
      <c r="R322" s="126" t="s">
        <v>4661</v>
      </c>
      <c r="S322" s="7" t="s">
        <v>4172</v>
      </c>
      <c r="T322" s="7" t="s">
        <v>5809</v>
      </c>
      <c r="U322" s="7">
        <v>2050</v>
      </c>
      <c r="V322" s="7" cm="1">
        <f t="array" ref="V322">IF(U322="", "", IFERROR(MAX(--_xlfn.TEXTSPLIT(U322,"+")), U322))</f>
        <v>2050</v>
      </c>
      <c r="W322" s="7">
        <v>2021</v>
      </c>
      <c r="X322" s="125" t="s">
        <v>4659</v>
      </c>
      <c r="Y322" s="122" t="s">
        <v>4174</v>
      </c>
      <c r="Z322" s="7" t="s">
        <v>5609</v>
      </c>
      <c r="AA322" s="126" t="s">
        <v>5808</v>
      </c>
      <c r="AB322" s="7">
        <v>2021</v>
      </c>
      <c r="AC322" s="123">
        <v>49639</v>
      </c>
      <c r="AD322" s="124">
        <v>202492</v>
      </c>
      <c r="AE322" s="124">
        <v>42355</v>
      </c>
      <c r="AF322" s="124">
        <v>9432</v>
      </c>
      <c r="AG322" s="7" t="s">
        <v>5032</v>
      </c>
      <c r="AH322" s="123">
        <f>AC322+AE322</f>
        <v>91994</v>
      </c>
      <c r="AI322" s="123">
        <f>AF322+AH322</f>
        <v>101426</v>
      </c>
      <c r="AJ322" s="7">
        <v>2020</v>
      </c>
      <c r="AK322" s="124">
        <v>12235</v>
      </c>
      <c r="AL322" s="124">
        <v>243033</v>
      </c>
      <c r="AM322" s="124">
        <v>68155</v>
      </c>
      <c r="AN322" s="124">
        <v>5843</v>
      </c>
      <c r="AO322" s="123">
        <f t="shared" si="34"/>
        <v>80390</v>
      </c>
      <c r="AP322" s="124">
        <f>AN322+AO322</f>
        <v>86233</v>
      </c>
      <c r="AQ322" s="27" t="s">
        <v>5807</v>
      </c>
      <c r="AR322" s="7" t="str">
        <f>_xlfn.XLOOKUP(C322,Sheet1!A:A,Sheet1!B:B, "Other")</f>
        <v>Europe</v>
      </c>
      <c r="AS322" t="str">
        <f>_xlfn.XLOOKUP(D322,Sheet1!D:D,Sheet1!E:E)</f>
        <v>Financial services</v>
      </c>
    </row>
    <row r="323" spans="1:45" ht="18" customHeight="1">
      <c r="A323" s="7">
        <v>319</v>
      </c>
      <c r="B323" s="7" t="s">
        <v>1069</v>
      </c>
      <c r="C323" s="7" t="s">
        <v>63</v>
      </c>
      <c r="D323" s="7" t="s">
        <v>461</v>
      </c>
      <c r="E323" s="7" t="s">
        <v>5806</v>
      </c>
      <c r="F323" s="7" t="s">
        <v>5805</v>
      </c>
      <c r="G323" s="122"/>
      <c r="H323" s="7"/>
      <c r="I323" s="7"/>
      <c r="J323" s="122" t="s">
        <v>4183</v>
      </c>
      <c r="K323" s="7">
        <v>2025</v>
      </c>
      <c r="L323" s="127">
        <v>2021</v>
      </c>
      <c r="M323" s="122"/>
      <c r="N323" s="7"/>
      <c r="O323" s="7"/>
      <c r="P323" s="7" t="str" cm="1">
        <f t="array" ref="P323">IF(O323="", "", IFERROR(MAX(--_xlfn.TEXTSPLIT(O323,"+")), O323))</f>
        <v/>
      </c>
      <c r="Q323" s="7"/>
      <c r="R323" s="109"/>
      <c r="S323" s="7" t="s">
        <v>4172</v>
      </c>
      <c r="T323" s="7" t="s">
        <v>3398</v>
      </c>
      <c r="U323" s="7">
        <v>2040</v>
      </c>
      <c r="V323" s="7" cm="1">
        <f t="array" ref="V323">IF(U323="", "", IFERROR(MAX(--_xlfn.TEXTSPLIT(U323,"+")), U323))</f>
        <v>2040</v>
      </c>
      <c r="W323" s="7">
        <v>2020</v>
      </c>
      <c r="X323" s="7" t="s">
        <v>5804</v>
      </c>
      <c r="Y323" s="122"/>
      <c r="Z323" s="7"/>
      <c r="AA323" s="109"/>
      <c r="AB323" s="7">
        <v>2022</v>
      </c>
      <c r="AC323" s="7">
        <v>335654</v>
      </c>
      <c r="AD323" s="7">
        <v>1130929</v>
      </c>
      <c r="AE323" s="7">
        <v>909177</v>
      </c>
      <c r="AF323" s="7"/>
      <c r="AG323" s="7" t="s">
        <v>5032</v>
      </c>
      <c r="AH323" s="7">
        <f>AC323+AE323</f>
        <v>1244831</v>
      </c>
      <c r="AI323" s="7">
        <f>AH323+AF323</f>
        <v>1244831</v>
      </c>
      <c r="AJ323" s="7">
        <v>2021</v>
      </c>
      <c r="AK323" s="7">
        <v>324023</v>
      </c>
      <c r="AL323" s="7">
        <v>1087798</v>
      </c>
      <c r="AM323" s="7">
        <v>978642</v>
      </c>
      <c r="AN323" s="7">
        <v>6072000</v>
      </c>
      <c r="AO323" s="7">
        <f t="shared" si="34"/>
        <v>1302665</v>
      </c>
      <c r="AP323" s="7">
        <f>AO323+AN323</f>
        <v>7374665</v>
      </c>
      <c r="AQ323" s="7" t="s">
        <v>5803</v>
      </c>
      <c r="AR323" s="7" t="str">
        <f>_xlfn.XLOOKUP(C323,Sheet1!A:A,Sheet1!B:B, "Other")</f>
        <v>Europe</v>
      </c>
      <c r="AS323" t="str">
        <f>_xlfn.XLOOKUP(D323,Sheet1!D:D,Sheet1!E:E)</f>
        <v>Telecommunications and media</v>
      </c>
    </row>
    <row r="324" spans="1:45" ht="18" customHeight="1">
      <c r="A324" s="7">
        <v>320</v>
      </c>
      <c r="B324" s="7" t="s">
        <v>4312</v>
      </c>
      <c r="C324" s="7" t="s">
        <v>73</v>
      </c>
      <c r="D324" s="7" t="s">
        <v>85</v>
      </c>
      <c r="E324" s="7" t="s">
        <v>5802</v>
      </c>
      <c r="F324" s="7" t="s">
        <v>5801</v>
      </c>
      <c r="G324" s="122"/>
      <c r="H324" s="7"/>
      <c r="I324" s="7"/>
      <c r="J324" s="122" t="s">
        <v>1960</v>
      </c>
      <c r="K324" s="7"/>
      <c r="L324" s="127" t="s">
        <v>1960</v>
      </c>
      <c r="M324" s="122" t="s">
        <v>4519</v>
      </c>
      <c r="N324" s="7" t="s">
        <v>5131</v>
      </c>
      <c r="O324" s="7">
        <v>2060</v>
      </c>
      <c r="P324" s="7" cm="1">
        <f t="array" ref="P324">IF(O324="", "", IFERROR(MAX(--_xlfn.TEXTSPLIT(O324,"+")), O324))</f>
        <v>2060</v>
      </c>
      <c r="Q324" s="7">
        <v>2021</v>
      </c>
      <c r="R324" s="126" t="s">
        <v>5800</v>
      </c>
      <c r="S324" s="7"/>
      <c r="T324" s="7"/>
      <c r="U324" s="7"/>
      <c r="V324" s="7" t="str" cm="1">
        <f t="array" ref="V324">IF(U324="", "", IFERROR(MAX(--_xlfn.TEXTSPLIT(U324,"+")), U324))</f>
        <v/>
      </c>
      <c r="W324" s="7"/>
      <c r="X324" s="7"/>
      <c r="Y324" s="122"/>
      <c r="Z324" s="7"/>
      <c r="AA324" s="109"/>
      <c r="AB324" s="7" t="s">
        <v>5032</v>
      </c>
      <c r="AC324" s="7"/>
      <c r="AD324" s="7"/>
      <c r="AE324" s="7"/>
      <c r="AF324" s="7"/>
      <c r="AG324" s="7" t="s">
        <v>5032</v>
      </c>
      <c r="AH324" s="7"/>
      <c r="AI324" s="7"/>
      <c r="AJ324" s="7" t="s">
        <v>5032</v>
      </c>
      <c r="AK324" s="7"/>
      <c r="AL324" s="7"/>
      <c r="AM324" s="7"/>
      <c r="AN324" s="7"/>
      <c r="AO324" s="7"/>
      <c r="AP324" s="7"/>
      <c r="AQ324" s="7"/>
      <c r="AR324" s="7" t="str">
        <f>_xlfn.XLOOKUP(C324,Sheet1!A:A,Sheet1!B:B, "Other")</f>
        <v>Asia</v>
      </c>
      <c r="AS324" t="str">
        <f>_xlfn.XLOOKUP(D324,Sheet1!D:D,Sheet1!E:E)</f>
        <v>Industrial goods</v>
      </c>
    </row>
    <row r="325" spans="1:45" ht="18" customHeight="1">
      <c r="A325" s="7">
        <v>321</v>
      </c>
      <c r="B325" s="7" t="s">
        <v>1132</v>
      </c>
      <c r="C325" s="7" t="s">
        <v>207</v>
      </c>
      <c r="D325" s="7" t="s">
        <v>76</v>
      </c>
      <c r="E325" s="7" t="s">
        <v>5799</v>
      </c>
      <c r="F325" s="7" t="s">
        <v>5798</v>
      </c>
      <c r="G325" s="122"/>
      <c r="H325" s="7"/>
      <c r="I325" s="7"/>
      <c r="J325" s="122" t="s">
        <v>1960</v>
      </c>
      <c r="K325" s="7"/>
      <c r="L325" s="127" t="s">
        <v>1960</v>
      </c>
      <c r="M325" s="122"/>
      <c r="N325" s="7"/>
      <c r="O325" s="7"/>
      <c r="P325" s="7" t="str" cm="1">
        <f t="array" ref="P325">IF(O325="", "", IFERROR(MAX(--_xlfn.TEXTSPLIT(O325,"+")), O325))</f>
        <v/>
      </c>
      <c r="Q325" s="7"/>
      <c r="R325" s="109"/>
      <c r="S325" s="7" t="s">
        <v>5387</v>
      </c>
      <c r="T325" s="7" t="s">
        <v>5797</v>
      </c>
      <c r="U325" s="7" t="s">
        <v>4502</v>
      </c>
      <c r="V325" s="7" cm="1">
        <f t="array" ref="V325">IF(U325="", "", IFERROR(MAX(--_xlfn.TEXTSPLIT(U325,"+")), U325))</f>
        <v>2050</v>
      </c>
      <c r="W325" s="7">
        <v>2021</v>
      </c>
      <c r="X325" s="125" t="s">
        <v>5796</v>
      </c>
      <c r="Y325" s="122" t="s">
        <v>4174</v>
      </c>
      <c r="Z325" s="7" t="s">
        <v>5037</v>
      </c>
      <c r="AA325" s="126" t="s">
        <v>5795</v>
      </c>
      <c r="AB325" s="7">
        <v>2022</v>
      </c>
      <c r="AC325" s="124">
        <v>18528</v>
      </c>
      <c r="AD325" s="7"/>
      <c r="AE325" s="124">
        <v>158661</v>
      </c>
      <c r="AF325" s="124">
        <v>975745</v>
      </c>
      <c r="AG325" s="7" t="s">
        <v>5032</v>
      </c>
      <c r="AH325" s="124">
        <f>AC325+AE325</f>
        <v>177189</v>
      </c>
      <c r="AI325" s="124">
        <f>AF325+AH325</f>
        <v>1152934</v>
      </c>
      <c r="AJ325" s="7">
        <v>2021</v>
      </c>
      <c r="AK325" s="124">
        <v>11405</v>
      </c>
      <c r="AL325" s="7"/>
      <c r="AM325" s="124">
        <v>128216</v>
      </c>
      <c r="AN325" s="124">
        <v>22112</v>
      </c>
      <c r="AO325" s="124">
        <f>AK325+AM325</f>
        <v>139621</v>
      </c>
      <c r="AP325" s="124">
        <f>AN325+AO325</f>
        <v>161733</v>
      </c>
      <c r="AQ325" s="27" t="s">
        <v>5794</v>
      </c>
      <c r="AR325" s="7" t="str">
        <f>_xlfn.XLOOKUP(C325,Sheet1!A:A,Sheet1!B:B, "Other")</f>
        <v>Asia</v>
      </c>
      <c r="AS325" t="str">
        <f>_xlfn.XLOOKUP(D325,Sheet1!D:D,Sheet1!E:E)</f>
        <v>Financial services</v>
      </c>
    </row>
    <row r="326" spans="1:45" ht="18" customHeight="1">
      <c r="A326" s="7">
        <v>322</v>
      </c>
      <c r="B326" s="7" t="s">
        <v>587</v>
      </c>
      <c r="C326" s="7" t="s">
        <v>114</v>
      </c>
      <c r="D326" s="7" t="s">
        <v>71</v>
      </c>
      <c r="E326" s="7" t="s">
        <v>5793</v>
      </c>
      <c r="F326" s="7" t="s">
        <v>5792</v>
      </c>
      <c r="G326" s="122"/>
      <c r="H326" s="7"/>
      <c r="I326" s="7"/>
      <c r="J326" s="122" t="s">
        <v>1960</v>
      </c>
      <c r="K326" s="7"/>
      <c r="L326" s="127" t="s">
        <v>1960</v>
      </c>
      <c r="M326" s="122" t="s">
        <v>4519</v>
      </c>
      <c r="N326" s="7" t="s">
        <v>2760</v>
      </c>
      <c r="O326" s="7">
        <v>2050</v>
      </c>
      <c r="P326" s="7" cm="1">
        <f t="array" ref="P326">IF(O326="", "", IFERROR(MAX(--_xlfn.TEXTSPLIT(O326,"+")), O326))</f>
        <v>2050</v>
      </c>
      <c r="Q326" s="7">
        <v>2022</v>
      </c>
      <c r="R326" s="126" t="s">
        <v>5789</v>
      </c>
      <c r="S326" s="7"/>
      <c r="T326" s="7"/>
      <c r="U326" s="7"/>
      <c r="V326" s="7" t="str" cm="1">
        <f t="array" ref="V326">IF(U326="", "", IFERROR(MAX(--_xlfn.TEXTSPLIT(U326,"+")), U326))</f>
        <v/>
      </c>
      <c r="W326" s="7"/>
      <c r="X326" s="7"/>
      <c r="Y326" s="122" t="s">
        <v>4174</v>
      </c>
      <c r="Z326" s="7" t="s">
        <v>5791</v>
      </c>
      <c r="AA326" s="109" t="s">
        <v>5790</v>
      </c>
      <c r="AB326" s="7">
        <v>2022</v>
      </c>
      <c r="AC326" s="7">
        <v>7151506</v>
      </c>
      <c r="AD326" s="7"/>
      <c r="AE326" s="7">
        <v>1905607</v>
      </c>
      <c r="AF326" s="7"/>
      <c r="AG326" s="7" t="s">
        <v>5032</v>
      </c>
      <c r="AH326" s="7">
        <f>AC326+AE326</f>
        <v>9057113</v>
      </c>
      <c r="AI326" s="7">
        <f>AH326</f>
        <v>9057113</v>
      </c>
      <c r="AJ326" s="7">
        <v>2021</v>
      </c>
      <c r="AK326" s="7">
        <v>6545310</v>
      </c>
      <c r="AL326" s="7"/>
      <c r="AM326" s="7">
        <v>1910848</v>
      </c>
      <c r="AN326" s="7"/>
      <c r="AO326" s="7">
        <f>AK326+AM326</f>
        <v>8456158</v>
      </c>
      <c r="AP326" s="7">
        <f>AO326</f>
        <v>8456158</v>
      </c>
      <c r="AQ326" s="27" t="s">
        <v>5789</v>
      </c>
      <c r="AR326" s="7" t="str">
        <f>_xlfn.XLOOKUP(C326,Sheet1!A:A,Sheet1!B:B, "Other")</f>
        <v>Asia</v>
      </c>
      <c r="AS326" t="str">
        <f>_xlfn.XLOOKUP(D326,Sheet1!D:D,Sheet1!E:E)</f>
        <v>Energy and utilities</v>
      </c>
    </row>
    <row r="327" spans="1:45" ht="18" customHeight="1">
      <c r="A327" s="7">
        <v>323</v>
      </c>
      <c r="B327" s="7" t="s">
        <v>547</v>
      </c>
      <c r="C327" s="7" t="s">
        <v>73</v>
      </c>
      <c r="D327" s="7" t="s">
        <v>71</v>
      </c>
      <c r="E327" s="7" t="s">
        <v>5788</v>
      </c>
      <c r="F327" s="7" t="s">
        <v>5787</v>
      </c>
      <c r="G327" s="122"/>
      <c r="H327" s="7"/>
      <c r="I327" s="7"/>
      <c r="J327" s="122" t="s">
        <v>1960</v>
      </c>
      <c r="K327" s="7"/>
      <c r="L327" s="127" t="s">
        <v>1960</v>
      </c>
      <c r="M327" s="122"/>
      <c r="N327" s="7"/>
      <c r="O327" s="7"/>
      <c r="P327" s="7" t="str" cm="1">
        <f t="array" ref="P327">IF(O327="", "", IFERROR(MAX(--_xlfn.TEXTSPLIT(O327,"+")), O327))</f>
        <v/>
      </c>
      <c r="Q327" s="7"/>
      <c r="R327" s="109"/>
      <c r="S327" s="7"/>
      <c r="T327" s="7"/>
      <c r="U327" s="7"/>
      <c r="V327" s="7" t="str" cm="1">
        <f t="array" ref="V327">IF(U327="", "", IFERROR(MAX(--_xlfn.TEXTSPLIT(U327,"+")), U327))</f>
        <v/>
      </c>
      <c r="W327" s="7"/>
      <c r="X327" s="7"/>
      <c r="Y327" s="122"/>
      <c r="Z327" s="7"/>
      <c r="AA327" s="109"/>
      <c r="AB327" s="7" t="s">
        <v>5032</v>
      </c>
      <c r="AC327" s="7"/>
      <c r="AD327" s="7"/>
      <c r="AE327" s="7"/>
      <c r="AF327" s="7"/>
      <c r="AG327" s="7" t="s">
        <v>5032</v>
      </c>
      <c r="AH327" s="7"/>
      <c r="AI327" s="7"/>
      <c r="AJ327" s="7"/>
      <c r="AK327" s="7"/>
      <c r="AL327" s="7"/>
      <c r="AM327" s="7"/>
      <c r="AN327" s="7"/>
      <c r="AO327" s="7"/>
      <c r="AP327" s="7"/>
      <c r="AQ327" s="7" t="s">
        <v>5786</v>
      </c>
      <c r="AR327" s="7" t="str">
        <f>_xlfn.XLOOKUP(C327,Sheet1!A:A,Sheet1!B:B, "Other")</f>
        <v>Asia</v>
      </c>
      <c r="AS327" t="str">
        <f>_xlfn.XLOOKUP(D327,Sheet1!D:D,Sheet1!E:E)</f>
        <v>Energy and utilities</v>
      </c>
    </row>
    <row r="328" spans="1:45" ht="18" customHeight="1">
      <c r="A328" s="7">
        <v>324</v>
      </c>
      <c r="B328" s="7" t="s">
        <v>447</v>
      </c>
      <c r="C328" s="7" t="s">
        <v>63</v>
      </c>
      <c r="D328" s="7" t="s">
        <v>71</v>
      </c>
      <c r="E328" s="7" t="s">
        <v>5785</v>
      </c>
      <c r="F328" s="7" t="s">
        <v>5784</v>
      </c>
      <c r="G328" s="122"/>
      <c r="H328" s="7"/>
      <c r="I328" s="7"/>
      <c r="J328" s="122" t="s">
        <v>4183</v>
      </c>
      <c r="K328" s="7">
        <v>2034</v>
      </c>
      <c r="L328" s="127">
        <v>2021</v>
      </c>
      <c r="M328" s="122"/>
      <c r="N328" s="7"/>
      <c r="O328" s="7"/>
      <c r="P328" s="7" t="str" cm="1">
        <f t="array" ref="P328">IF(O328="", "", IFERROR(MAX(--_xlfn.TEXTSPLIT(O328,"+")), O328))</f>
        <v/>
      </c>
      <c r="Q328" s="7"/>
      <c r="R328" s="109"/>
      <c r="S328" s="7" t="s">
        <v>4172</v>
      </c>
      <c r="T328" s="7" t="s">
        <v>5783</v>
      </c>
      <c r="U328" s="7">
        <v>2050</v>
      </c>
      <c r="V328" s="7" cm="1">
        <f t="array" ref="V328">IF(U328="", "", IFERROR(MAX(--_xlfn.TEXTSPLIT(U328,"+")), U328))</f>
        <v>2050</v>
      </c>
      <c r="W328" s="7">
        <v>2021</v>
      </c>
      <c r="X328" s="125" t="s">
        <v>5782</v>
      </c>
      <c r="Y328" s="122"/>
      <c r="Z328" s="7"/>
      <c r="AA328" s="126"/>
      <c r="AB328" s="7">
        <v>2022</v>
      </c>
      <c r="AC328" s="7">
        <v>28600000</v>
      </c>
      <c r="AD328" s="7"/>
      <c r="AE328" s="7">
        <v>5000000</v>
      </c>
      <c r="AF328" s="7">
        <v>29510000</v>
      </c>
      <c r="AG328" s="7" t="s">
        <v>4174</v>
      </c>
      <c r="AH328" s="7">
        <f>AC328+AE328</f>
        <v>33600000</v>
      </c>
      <c r="AI328" s="7">
        <f>AH328+AF328</f>
        <v>63110000</v>
      </c>
      <c r="AJ328" s="7">
        <v>2021</v>
      </c>
      <c r="AK328" s="7">
        <v>26700000</v>
      </c>
      <c r="AL328" s="7"/>
      <c r="AM328" s="7">
        <v>3800000</v>
      </c>
      <c r="AN328" s="7">
        <v>25560000</v>
      </c>
      <c r="AO328" s="7">
        <f>+AK328+AM328</f>
        <v>30500000</v>
      </c>
      <c r="AP328" s="7">
        <f>AO328+AN328</f>
        <v>56060000</v>
      </c>
      <c r="AQ328" s="27" t="s">
        <v>5781</v>
      </c>
      <c r="AR328" s="7" t="str">
        <f>_xlfn.XLOOKUP(C328,Sheet1!A:A,Sheet1!B:B, "Other")</f>
        <v>Europe</v>
      </c>
      <c r="AS328" t="str">
        <f>_xlfn.XLOOKUP(D328,Sheet1!D:D,Sheet1!E:E)</f>
        <v>Energy and utilities</v>
      </c>
    </row>
    <row r="329" spans="1:45" ht="18" customHeight="1">
      <c r="A329" s="7">
        <v>325</v>
      </c>
      <c r="B329" s="7" t="s">
        <v>757</v>
      </c>
      <c r="C329" s="7" t="s">
        <v>4195</v>
      </c>
      <c r="D329" s="7" t="s">
        <v>76</v>
      </c>
      <c r="E329" s="7" t="s">
        <v>5780</v>
      </c>
      <c r="F329" s="7" t="s">
        <v>5779</v>
      </c>
      <c r="G329" s="122" t="s">
        <v>4174</v>
      </c>
      <c r="H329" s="7">
        <v>2025</v>
      </c>
      <c r="I329" s="7">
        <v>2019</v>
      </c>
      <c r="J329" s="122" t="s">
        <v>1960</v>
      </c>
      <c r="K329" s="7"/>
      <c r="L329" s="127" t="s">
        <v>1960</v>
      </c>
      <c r="M329" s="122" t="s">
        <v>1957</v>
      </c>
      <c r="N329" s="7" t="s">
        <v>5042</v>
      </c>
      <c r="O329" s="7">
        <v>2020</v>
      </c>
      <c r="P329" s="7" cm="1">
        <f t="array" ref="P329">IF(O329="", "", IFERROR(MAX(--_xlfn.TEXTSPLIT(O329,"+")), O329))</f>
        <v>2020</v>
      </c>
      <c r="Q329" s="7">
        <v>2018</v>
      </c>
      <c r="R329" s="126" t="s">
        <v>5778</v>
      </c>
      <c r="S329" s="7" t="s">
        <v>1957</v>
      </c>
      <c r="T329" s="7" t="s">
        <v>5777</v>
      </c>
      <c r="U329" s="7">
        <v>2050</v>
      </c>
      <c r="V329" s="7" cm="1">
        <f t="array" ref="V329">IF(U329="", "", IFERROR(MAX(--_xlfn.TEXTSPLIT(U329,"+")), U329))</f>
        <v>2050</v>
      </c>
      <c r="W329" s="7">
        <v>2020</v>
      </c>
      <c r="X329" s="125" t="s">
        <v>5776</v>
      </c>
      <c r="Y329" s="122" t="s">
        <v>4174</v>
      </c>
      <c r="Z329" s="7" t="s">
        <v>5775</v>
      </c>
      <c r="AA329" s="126" t="s">
        <v>5774</v>
      </c>
      <c r="AB329" s="7">
        <v>2022</v>
      </c>
      <c r="AC329" s="7">
        <v>20000</v>
      </c>
      <c r="AD329" s="7"/>
      <c r="AE329" s="7">
        <v>103400</v>
      </c>
      <c r="AF329" s="7">
        <v>19400</v>
      </c>
      <c r="AG329" s="7" t="s">
        <v>5032</v>
      </c>
      <c r="AH329" s="7">
        <f>AC329+AE329</f>
        <v>123400</v>
      </c>
      <c r="AI329" s="7">
        <f>AF329+AH329</f>
        <v>142800</v>
      </c>
      <c r="AJ329" s="7">
        <v>2021</v>
      </c>
      <c r="AK329" s="7">
        <v>23200</v>
      </c>
      <c r="AL329" s="7"/>
      <c r="AM329" s="7">
        <v>124200</v>
      </c>
      <c r="AN329" s="7">
        <v>2400</v>
      </c>
      <c r="AO329" s="7">
        <f>AK329+AM329</f>
        <v>147400</v>
      </c>
      <c r="AP329" s="7">
        <f>AN329+AO329</f>
        <v>149800</v>
      </c>
      <c r="AQ329" s="27" t="s">
        <v>5773</v>
      </c>
      <c r="AR329" s="7" t="str">
        <f>_xlfn.XLOOKUP(C329,Sheet1!A:A,Sheet1!B:B, "Other")</f>
        <v>Europe</v>
      </c>
      <c r="AS329" t="str">
        <f>_xlfn.XLOOKUP(D329,Sheet1!D:D,Sheet1!E:E)</f>
        <v>Financial services</v>
      </c>
    </row>
    <row r="330" spans="1:45" ht="18" customHeight="1">
      <c r="A330" s="7">
        <v>326</v>
      </c>
      <c r="B330" s="7" t="s">
        <v>865</v>
      </c>
      <c r="C330" s="7" t="s">
        <v>4457</v>
      </c>
      <c r="D330" s="7" t="s">
        <v>178</v>
      </c>
      <c r="E330" s="7" t="s">
        <v>5772</v>
      </c>
      <c r="F330" s="7" t="s">
        <v>5771</v>
      </c>
      <c r="G330" s="122"/>
      <c r="H330" s="7"/>
      <c r="I330" s="7"/>
      <c r="J330" s="122" t="s">
        <v>4183</v>
      </c>
      <c r="K330" s="7">
        <v>2035</v>
      </c>
      <c r="L330" s="127">
        <v>2023</v>
      </c>
      <c r="M330" s="122"/>
      <c r="N330" s="7"/>
      <c r="O330" s="7"/>
      <c r="P330" s="7" t="str" cm="1">
        <f t="array" ref="P330">IF(O330="", "", IFERROR(MAX(--_xlfn.TEXTSPLIT(O330,"+")), O330))</f>
        <v/>
      </c>
      <c r="Q330" s="7"/>
      <c r="R330" s="109"/>
      <c r="S330" s="7" t="s">
        <v>1957</v>
      </c>
      <c r="T330" s="7" t="s">
        <v>5131</v>
      </c>
      <c r="U330" s="7">
        <v>2050</v>
      </c>
      <c r="V330" s="7" cm="1">
        <f t="array" ref="V330">IF(U330="", "", IFERROR(MAX(--_xlfn.TEXTSPLIT(U330,"+")), U330))</f>
        <v>2050</v>
      </c>
      <c r="W330" s="7">
        <v>2020</v>
      </c>
      <c r="X330" s="125" t="s">
        <v>5770</v>
      </c>
      <c r="Y330" s="122" t="s">
        <v>4174</v>
      </c>
      <c r="Z330" s="7" t="s">
        <v>5769</v>
      </c>
      <c r="AA330" s="126" t="s">
        <v>5768</v>
      </c>
      <c r="AB330" s="7">
        <v>2022</v>
      </c>
      <c r="AC330" s="124">
        <v>30401144</v>
      </c>
      <c r="AD330" s="7"/>
      <c r="AE330" s="124">
        <v>139194</v>
      </c>
      <c r="AF330" s="124">
        <v>13108411</v>
      </c>
      <c r="AG330" s="7" t="s">
        <v>4174</v>
      </c>
      <c r="AH330" s="124">
        <f>AC330+AE330</f>
        <v>30540338</v>
      </c>
      <c r="AI330" s="124">
        <f>AF330+AH330</f>
        <v>43648749</v>
      </c>
      <c r="AJ330" s="7">
        <v>2021</v>
      </c>
      <c r="AK330" s="124">
        <v>21370485</v>
      </c>
      <c r="AL330" s="7"/>
      <c r="AM330" s="124">
        <v>160794</v>
      </c>
      <c r="AN330" s="124">
        <v>5561745</v>
      </c>
      <c r="AO330" s="124">
        <f>AK330+AM330</f>
        <v>21531279</v>
      </c>
      <c r="AP330" s="124">
        <f>AN330+AO330</f>
        <v>27093024</v>
      </c>
      <c r="AQ330" s="27" t="s">
        <v>5767</v>
      </c>
      <c r="AR330" s="7" t="str">
        <f>_xlfn.XLOOKUP(C330,Sheet1!A:A,Sheet1!B:B, "Other")</f>
        <v>North America</v>
      </c>
      <c r="AS330" t="str">
        <f>_xlfn.XLOOKUP(D330,Sheet1!D:D,Sheet1!E:E)</f>
        <v>Transportation and logistics</v>
      </c>
    </row>
    <row r="331" spans="1:45" ht="18" customHeight="1">
      <c r="A331" s="7">
        <v>327</v>
      </c>
      <c r="B331" s="7" t="s">
        <v>405</v>
      </c>
      <c r="C331" s="7" t="s">
        <v>78</v>
      </c>
      <c r="D331" s="7" t="s">
        <v>71</v>
      </c>
      <c r="E331" s="7" t="s">
        <v>5766</v>
      </c>
      <c r="F331" s="7" t="s">
        <v>5765</v>
      </c>
      <c r="G331" s="122"/>
      <c r="H331" s="7"/>
      <c r="I331" s="7"/>
      <c r="J331" s="122" t="s">
        <v>1960</v>
      </c>
      <c r="K331" s="7"/>
      <c r="L331" s="127" t="s">
        <v>1960</v>
      </c>
      <c r="M331" s="122"/>
      <c r="N331" s="7"/>
      <c r="O331" s="7"/>
      <c r="P331" s="7" t="str" cm="1">
        <f t="array" ref="P331">IF(O331="", "", IFERROR(MAX(--_xlfn.TEXTSPLIT(O331,"+")), O331))</f>
        <v/>
      </c>
      <c r="Q331" s="7"/>
      <c r="R331" s="109"/>
      <c r="S331" s="7" t="s">
        <v>1957</v>
      </c>
      <c r="T331" s="7" t="s">
        <v>1659</v>
      </c>
      <c r="U331" s="7">
        <v>2050</v>
      </c>
      <c r="V331" s="7" cm="1">
        <f t="array" ref="V331">IF(U331="", "", IFERROR(MAX(--_xlfn.TEXTSPLIT(U331,"+")), U331))</f>
        <v>2050</v>
      </c>
      <c r="W331" s="7">
        <v>2021</v>
      </c>
      <c r="X331" s="125" t="s">
        <v>5764</v>
      </c>
      <c r="Y331" s="122" t="s">
        <v>4174</v>
      </c>
      <c r="Z331" s="7" t="s">
        <v>5037</v>
      </c>
      <c r="AA331" s="126" t="s">
        <v>5763</v>
      </c>
      <c r="AB331" s="7">
        <v>2022</v>
      </c>
      <c r="AC331" s="7"/>
      <c r="AD331" s="7"/>
      <c r="AE331" s="7"/>
      <c r="AF331" s="7"/>
      <c r="AG331" s="7" t="s">
        <v>5032</v>
      </c>
      <c r="AH331" s="7">
        <f>28810000+34960000</f>
        <v>63770000</v>
      </c>
      <c r="AI331" s="7">
        <f>AH331</f>
        <v>63770000</v>
      </c>
      <c r="AJ331" s="7">
        <v>2021</v>
      </c>
      <c r="AK331" s="7"/>
      <c r="AL331" s="7"/>
      <c r="AM331" s="7"/>
      <c r="AN331" s="7"/>
      <c r="AO331" s="7">
        <f>28580000+34150000</f>
        <v>62730000</v>
      </c>
      <c r="AP331" s="7">
        <f>AO331</f>
        <v>62730000</v>
      </c>
      <c r="AQ331" s="27" t="s">
        <v>5763</v>
      </c>
      <c r="AR331" s="7" t="str">
        <f>_xlfn.XLOOKUP(C331,Sheet1!A:A,Sheet1!B:B, "Other")</f>
        <v>North America</v>
      </c>
      <c r="AS331" t="str">
        <f>_xlfn.XLOOKUP(D331,Sheet1!D:D,Sheet1!E:E)</f>
        <v>Energy and utilities</v>
      </c>
    </row>
    <row r="332" spans="1:45" ht="18" customHeight="1">
      <c r="A332" s="7">
        <v>328</v>
      </c>
      <c r="B332" s="7" t="s">
        <v>2250</v>
      </c>
      <c r="C332" s="7" t="s">
        <v>4457</v>
      </c>
      <c r="D332" s="7" t="s">
        <v>319</v>
      </c>
      <c r="E332" s="7" t="s">
        <v>5762</v>
      </c>
      <c r="F332" s="7" t="s">
        <v>5761</v>
      </c>
      <c r="G332" s="122"/>
      <c r="H332" s="7"/>
      <c r="I332" s="7"/>
      <c r="J332" s="122" t="s">
        <v>4183</v>
      </c>
      <c r="K332" s="7">
        <v>2030</v>
      </c>
      <c r="L332" s="127">
        <v>2023</v>
      </c>
      <c r="M332" s="122"/>
      <c r="N332" s="7"/>
      <c r="O332" s="7"/>
      <c r="P332" s="7" t="str" cm="1">
        <f t="array" ref="P332">IF(O332="", "", IFERROR(MAX(--_xlfn.TEXTSPLIT(O332,"+")), O332))</f>
        <v/>
      </c>
      <c r="Q332" s="7"/>
      <c r="R332" s="109"/>
      <c r="S332" s="7" t="s">
        <v>4172</v>
      </c>
      <c r="T332" s="7" t="s">
        <v>5760</v>
      </c>
      <c r="U332" s="7">
        <v>2050</v>
      </c>
      <c r="V332" s="7" cm="1">
        <f t="array" ref="V332">IF(U332="", "", IFERROR(MAX(--_xlfn.TEXTSPLIT(U332,"+")), U332))</f>
        <v>2050</v>
      </c>
      <c r="W332" s="7">
        <v>2021</v>
      </c>
      <c r="X332" s="125" t="s">
        <v>4656</v>
      </c>
      <c r="Y332" s="122"/>
      <c r="Z332" s="7"/>
      <c r="AA332" s="109"/>
      <c r="AB332" s="7">
        <v>2022</v>
      </c>
      <c r="AC332" s="7">
        <v>351834</v>
      </c>
      <c r="AD332" s="7">
        <v>416928</v>
      </c>
      <c r="AE332" s="7">
        <v>254395</v>
      </c>
      <c r="AF332" s="7">
        <v>12568651</v>
      </c>
      <c r="AG332" s="7" t="s">
        <v>4174</v>
      </c>
      <c r="AH332" s="7">
        <f t="shared" ref="AH332:AH337" si="35">AC332+AE332</f>
        <v>606229</v>
      </c>
      <c r="AI332" s="7">
        <f>AH332+AF332</f>
        <v>13174880</v>
      </c>
      <c r="AJ332" s="7">
        <v>2021</v>
      </c>
      <c r="AK332" s="7">
        <v>350244</v>
      </c>
      <c r="AL332" s="7">
        <v>443181</v>
      </c>
      <c r="AM332" s="7">
        <v>311121</v>
      </c>
      <c r="AN332" s="7">
        <v>12791743</v>
      </c>
      <c r="AO332" s="7">
        <f>AM332+AK332</f>
        <v>661365</v>
      </c>
      <c r="AP332" s="7">
        <f>AO332+AN332</f>
        <v>13453108</v>
      </c>
      <c r="AQ332" s="27" t="s">
        <v>5759</v>
      </c>
      <c r="AR332" s="7" t="str">
        <f>_xlfn.XLOOKUP(C332,Sheet1!A:A,Sheet1!B:B, "Other")</f>
        <v>North America</v>
      </c>
      <c r="AS332" t="str">
        <f>_xlfn.XLOOKUP(D332,Sheet1!D:D,Sheet1!E:E)</f>
        <v>Health care and pharmaceuticals</v>
      </c>
    </row>
    <row r="333" spans="1:45" ht="18" customHeight="1">
      <c r="A333" s="7">
        <v>329</v>
      </c>
      <c r="B333" s="7" t="s">
        <v>1052</v>
      </c>
      <c r="C333" s="7" t="s">
        <v>73</v>
      </c>
      <c r="D333" s="7" t="s">
        <v>76</v>
      </c>
      <c r="E333" s="7" t="s">
        <v>5758</v>
      </c>
      <c r="F333" s="7" t="s">
        <v>5757</v>
      </c>
      <c r="G333" s="122"/>
      <c r="H333" s="7"/>
      <c r="I333" s="7"/>
      <c r="J333" s="122" t="s">
        <v>1960</v>
      </c>
      <c r="K333" s="7"/>
      <c r="L333" s="127" t="s">
        <v>1960</v>
      </c>
      <c r="M333" s="122" t="s">
        <v>4519</v>
      </c>
      <c r="N333" s="7" t="s">
        <v>5131</v>
      </c>
      <c r="O333" s="7">
        <v>2060</v>
      </c>
      <c r="P333" s="7" cm="1">
        <f t="array" ref="P333">IF(O333="", "", IFERROR(MAX(--_xlfn.TEXTSPLIT(O333,"+")), O333))</f>
        <v>2060</v>
      </c>
      <c r="Q333" s="7">
        <v>2021</v>
      </c>
      <c r="R333" s="109" t="s">
        <v>5756</v>
      </c>
      <c r="S333" s="7"/>
      <c r="T333" s="7"/>
      <c r="U333" s="7"/>
      <c r="V333" s="7" t="str" cm="1">
        <f t="array" ref="V333">IF(U333="", "", IFERROR(MAX(--_xlfn.TEXTSPLIT(U333,"+")), U333))</f>
        <v/>
      </c>
      <c r="W333" s="7"/>
      <c r="X333" s="7"/>
      <c r="Y333" s="122"/>
      <c r="Z333" s="7"/>
      <c r="AA333" s="109"/>
      <c r="AB333" s="7">
        <v>2021</v>
      </c>
      <c r="AC333" s="7">
        <v>8345.81</v>
      </c>
      <c r="AD333" s="7"/>
      <c r="AE333" s="7">
        <v>73749.81</v>
      </c>
      <c r="AF333" s="7"/>
      <c r="AG333" s="7" t="s">
        <v>5032</v>
      </c>
      <c r="AH333" s="7">
        <f t="shared" si="35"/>
        <v>82095.62</v>
      </c>
      <c r="AI333" s="7">
        <f>AH333+AF333</f>
        <v>82095.62</v>
      </c>
      <c r="AJ333" s="7">
        <v>2020</v>
      </c>
      <c r="AK333" s="7">
        <v>9829.84</v>
      </c>
      <c r="AL333" s="7"/>
      <c r="AM333" s="7">
        <v>69937.23</v>
      </c>
      <c r="AN333" s="7"/>
      <c r="AO333" s="7">
        <f>AK333+AM333</f>
        <v>79767.069999999992</v>
      </c>
      <c r="AP333" s="7">
        <f>AO333+AN333</f>
        <v>79767.069999999992</v>
      </c>
      <c r="AQ333" s="7" t="s">
        <v>5755</v>
      </c>
      <c r="AR333" s="7" t="str">
        <f>_xlfn.XLOOKUP(C333,Sheet1!A:A,Sheet1!B:B, "Other")</f>
        <v>Asia</v>
      </c>
      <c r="AS333" t="str">
        <f>_xlfn.XLOOKUP(D333,Sheet1!D:D,Sheet1!E:E)</f>
        <v>Financial services</v>
      </c>
    </row>
    <row r="334" spans="1:45" ht="18" customHeight="1">
      <c r="A334" s="7">
        <v>330</v>
      </c>
      <c r="B334" s="7" t="s">
        <v>1117</v>
      </c>
      <c r="C334" s="7" t="s">
        <v>146</v>
      </c>
      <c r="D334" s="7" t="s">
        <v>85</v>
      </c>
      <c r="E334" s="7" t="s">
        <v>5754</v>
      </c>
      <c r="F334" s="7" t="s">
        <v>5753</v>
      </c>
      <c r="G334" s="122"/>
      <c r="H334" s="7"/>
      <c r="I334" s="7"/>
      <c r="J334" s="122" t="s">
        <v>4183</v>
      </c>
      <c r="K334" s="7">
        <v>2030</v>
      </c>
      <c r="L334" s="127">
        <v>2019</v>
      </c>
      <c r="M334" s="122" t="s">
        <v>1957</v>
      </c>
      <c r="N334" s="7" t="s">
        <v>1659</v>
      </c>
      <c r="O334" s="7">
        <v>2050</v>
      </c>
      <c r="P334" s="7" cm="1">
        <f t="array" ref="P334">IF(O334="", "", IFERROR(MAX(--_xlfn.TEXTSPLIT(O334,"+")), O334))</f>
        <v>2050</v>
      </c>
      <c r="Q334" s="7">
        <v>2019</v>
      </c>
      <c r="R334" s="126" t="s">
        <v>4675</v>
      </c>
      <c r="S334" s="7"/>
      <c r="T334" s="7"/>
      <c r="U334" s="7"/>
      <c r="V334" s="7" t="str" cm="1">
        <f t="array" ref="V334">IF(U334="", "", IFERROR(MAX(--_xlfn.TEXTSPLIT(U334,"+")), U334))</f>
        <v/>
      </c>
      <c r="W334" s="7"/>
      <c r="X334" s="7"/>
      <c r="Y334" s="122"/>
      <c r="Z334" s="7"/>
      <c r="AA334" s="109"/>
      <c r="AB334" s="7">
        <v>2022</v>
      </c>
      <c r="AC334" s="7">
        <v>21400000</v>
      </c>
      <c r="AD334" s="7"/>
      <c r="AE334" s="7">
        <v>800000</v>
      </c>
      <c r="AF334" s="7">
        <v>3600000</v>
      </c>
      <c r="AG334" s="7" t="s">
        <v>5032</v>
      </c>
      <c r="AH334" s="7">
        <f t="shared" si="35"/>
        <v>22200000</v>
      </c>
      <c r="AI334" s="7">
        <f>AF334+AH334</f>
        <v>25800000</v>
      </c>
      <c r="AJ334" s="7">
        <v>2021</v>
      </c>
      <c r="AK334" s="7">
        <v>22800000</v>
      </c>
      <c r="AL334" s="7"/>
      <c r="AM334" s="7">
        <v>1000000</v>
      </c>
      <c r="AN334" s="7">
        <v>3900000</v>
      </c>
      <c r="AO334" s="7">
        <f>AK334+AM334</f>
        <v>23800000</v>
      </c>
      <c r="AP334" s="7">
        <f>AN334+AO334</f>
        <v>27700000</v>
      </c>
      <c r="AQ334" s="27" t="s">
        <v>5752</v>
      </c>
      <c r="AR334" s="7" t="str">
        <f>_xlfn.XLOOKUP(C334,Sheet1!A:A,Sheet1!B:B, "Other")</f>
        <v>Europe</v>
      </c>
      <c r="AS334" t="str">
        <f>_xlfn.XLOOKUP(D334,Sheet1!D:D,Sheet1!E:E)</f>
        <v>Industrial goods</v>
      </c>
    </row>
    <row r="335" spans="1:45" ht="18" customHeight="1">
      <c r="A335" s="7">
        <v>331</v>
      </c>
      <c r="B335" s="7" t="s">
        <v>4429</v>
      </c>
      <c r="C335" s="7" t="s">
        <v>4195</v>
      </c>
      <c r="D335" s="7" t="s">
        <v>319</v>
      </c>
      <c r="E335" s="7" t="s">
        <v>5751</v>
      </c>
      <c r="F335" s="7" t="s">
        <v>5750</v>
      </c>
      <c r="G335" s="122" t="s">
        <v>4174</v>
      </c>
      <c r="H335" s="7">
        <v>2025</v>
      </c>
      <c r="I335" s="7">
        <v>2016</v>
      </c>
      <c r="J335" s="122" t="s">
        <v>4183</v>
      </c>
      <c r="K335" s="7">
        <v>2026</v>
      </c>
      <c r="L335" s="127">
        <v>2021</v>
      </c>
      <c r="M335" s="122" t="s">
        <v>4172</v>
      </c>
      <c r="N335" s="7" t="s">
        <v>2760</v>
      </c>
      <c r="O335" s="7">
        <v>2030</v>
      </c>
      <c r="P335" s="7" cm="1">
        <f t="array" ref="P335">IF(O335="", "", IFERROR(MAX(--_xlfn.TEXTSPLIT(O335,"+")), O335))</f>
        <v>2030</v>
      </c>
      <c r="Q335" s="7">
        <v>2020</v>
      </c>
      <c r="R335" s="126" t="s">
        <v>5749</v>
      </c>
      <c r="S335" s="7" t="s">
        <v>4172</v>
      </c>
      <c r="T335" s="7" t="s">
        <v>2760</v>
      </c>
      <c r="U335" s="7">
        <v>2045</v>
      </c>
      <c r="V335" s="7" cm="1">
        <f t="array" ref="V335">IF(U335="", "", IFERROR(MAX(--_xlfn.TEXTSPLIT(U335,"+")), U335))</f>
        <v>2045</v>
      </c>
      <c r="W335" s="7">
        <v>2021</v>
      </c>
      <c r="X335" s="7" t="s">
        <v>5120</v>
      </c>
      <c r="Y335" s="122" t="s">
        <v>4174</v>
      </c>
      <c r="Z335" s="7" t="s">
        <v>5748</v>
      </c>
      <c r="AA335" s="126" t="s">
        <v>5747</v>
      </c>
      <c r="AB335" s="7">
        <v>2022</v>
      </c>
      <c r="AC335" s="124">
        <v>245117</v>
      </c>
      <c r="AD335" s="7"/>
      <c r="AE335" s="124">
        <v>18491</v>
      </c>
      <c r="AF335" s="124">
        <v>6388133</v>
      </c>
      <c r="AG335" s="7" t="s">
        <v>4174</v>
      </c>
      <c r="AH335" s="124">
        <f t="shared" si="35"/>
        <v>263608</v>
      </c>
      <c r="AI335" s="124">
        <f>AF335+AH335</f>
        <v>6651741</v>
      </c>
      <c r="AJ335" s="7">
        <v>2021</v>
      </c>
      <c r="AK335" s="124">
        <v>246705</v>
      </c>
      <c r="AL335" s="7"/>
      <c r="AM335" s="124">
        <v>21135</v>
      </c>
      <c r="AN335" s="124">
        <v>6017727</v>
      </c>
      <c r="AO335" s="124">
        <f>AK335+AM335</f>
        <v>267840</v>
      </c>
      <c r="AP335" s="124">
        <f>AN335+AO335</f>
        <v>6285567</v>
      </c>
      <c r="AQ335" s="27" t="s">
        <v>5746</v>
      </c>
      <c r="AR335" s="7" t="str">
        <f>_xlfn.XLOOKUP(C335,Sheet1!A:A,Sheet1!B:B, "Other")</f>
        <v>Europe</v>
      </c>
      <c r="AS335" t="str">
        <f>_xlfn.XLOOKUP(D335,Sheet1!D:D,Sheet1!E:E)</f>
        <v>Health care and pharmaceuticals</v>
      </c>
    </row>
    <row r="336" spans="1:45" ht="18" customHeight="1">
      <c r="A336" s="7">
        <v>332</v>
      </c>
      <c r="B336" s="7" t="s">
        <v>705</v>
      </c>
      <c r="C336" s="7" t="s">
        <v>68</v>
      </c>
      <c r="D336" s="7" t="s">
        <v>71</v>
      </c>
      <c r="E336" s="7" t="s">
        <v>5745</v>
      </c>
      <c r="F336" s="7" t="s">
        <v>5744</v>
      </c>
      <c r="G336" s="122"/>
      <c r="H336" s="7"/>
      <c r="I336" s="7"/>
      <c r="J336" s="122"/>
      <c r="K336" s="7"/>
      <c r="L336" s="127"/>
      <c r="M336" s="122"/>
      <c r="N336" s="7"/>
      <c r="O336" s="7"/>
      <c r="P336" s="7" t="str" cm="1">
        <f t="array" ref="P336">IF(O336="", "", IFERROR(MAX(--_xlfn.TEXTSPLIT(O336,"+")), O336))</f>
        <v/>
      </c>
      <c r="Q336" s="7"/>
      <c r="R336" s="109"/>
      <c r="S336" s="7" t="s">
        <v>1957</v>
      </c>
      <c r="T336" s="49" t="s">
        <v>109</v>
      </c>
      <c r="U336" s="7">
        <v>2050</v>
      </c>
      <c r="V336" s="7" cm="1">
        <f t="array" ref="V336">IF(U336="", "", IFERROR(MAX(--_xlfn.TEXTSPLIT(U336,"+")), U336))</f>
        <v>2050</v>
      </c>
      <c r="W336" s="7">
        <v>2020</v>
      </c>
      <c r="X336" s="7" t="s">
        <v>5743</v>
      </c>
      <c r="Y336" s="122" t="s">
        <v>4174</v>
      </c>
      <c r="Z336" s="7" t="s">
        <v>5742</v>
      </c>
      <c r="AA336" s="109" t="s">
        <v>5741</v>
      </c>
      <c r="AB336" s="7">
        <v>2022</v>
      </c>
      <c r="AC336" s="7">
        <v>8600000</v>
      </c>
      <c r="AD336" s="7"/>
      <c r="AE336" s="7">
        <v>300000</v>
      </c>
      <c r="AF336" s="7">
        <v>447800000</v>
      </c>
      <c r="AG336" s="7" t="s">
        <v>5032</v>
      </c>
      <c r="AH336" s="7">
        <f t="shared" si="35"/>
        <v>8900000</v>
      </c>
      <c r="AI336" s="7">
        <f>AH336+AF336</f>
        <v>456700000</v>
      </c>
      <c r="AJ336" s="7">
        <v>2021</v>
      </c>
      <c r="AK336" s="7">
        <v>8700000</v>
      </c>
      <c r="AL336" s="7"/>
      <c r="AM336" s="7">
        <v>300000</v>
      </c>
      <c r="AN336" s="7">
        <v>491600000</v>
      </c>
      <c r="AO336" s="7">
        <f>AK336+AM336</f>
        <v>9000000</v>
      </c>
      <c r="AP336" s="7">
        <f>AO336+AN336</f>
        <v>500600000</v>
      </c>
      <c r="AQ336" s="7" t="s">
        <v>5740</v>
      </c>
      <c r="AR336" s="7" t="str">
        <f>_xlfn.XLOOKUP(C336,Sheet1!A:A,Sheet1!B:B, "Other")</f>
        <v>Other</v>
      </c>
      <c r="AS336" t="str">
        <f>_xlfn.XLOOKUP(D336,Sheet1!D:D,Sheet1!E:E)</f>
        <v>Energy and utilities</v>
      </c>
    </row>
    <row r="337" spans="1:45" ht="18" customHeight="1">
      <c r="A337" s="7">
        <v>333</v>
      </c>
      <c r="B337" s="7" t="s">
        <v>960</v>
      </c>
      <c r="C337" s="7" t="s">
        <v>3277</v>
      </c>
      <c r="D337" s="7" t="s">
        <v>186</v>
      </c>
      <c r="E337" s="7" t="s">
        <v>5739</v>
      </c>
      <c r="F337" s="7" t="s">
        <v>5738</v>
      </c>
      <c r="G337" s="122"/>
      <c r="H337" s="7"/>
      <c r="I337" s="7"/>
      <c r="J337" s="122" t="s">
        <v>1957</v>
      </c>
      <c r="K337" s="7"/>
      <c r="L337" s="127">
        <v>2022</v>
      </c>
      <c r="M337" s="122"/>
      <c r="N337" s="7"/>
      <c r="O337" s="7"/>
      <c r="P337" s="7" t="str" cm="1">
        <f t="array" ref="P337">IF(O337="", "", IFERROR(MAX(--_xlfn.TEXTSPLIT(O337,"+")), O337))</f>
        <v/>
      </c>
      <c r="Q337" s="7"/>
      <c r="R337" s="109"/>
      <c r="S337" s="7"/>
      <c r="T337" s="7"/>
      <c r="U337" s="7"/>
      <c r="V337" s="7" t="str" cm="1">
        <f t="array" ref="V337">IF(U337="", "", IFERROR(MAX(--_xlfn.TEXTSPLIT(U337,"+")), U337))</f>
        <v/>
      </c>
      <c r="W337" s="7"/>
      <c r="X337" s="7"/>
      <c r="Y337" s="122"/>
      <c r="Z337" s="7"/>
      <c r="AA337" s="109"/>
      <c r="AB337" s="7">
        <v>2021</v>
      </c>
      <c r="AC337" s="7">
        <v>33442.43</v>
      </c>
      <c r="AD337" s="7"/>
      <c r="AE337" s="7">
        <v>480916.86</v>
      </c>
      <c r="AF337" s="7">
        <v>709.29</v>
      </c>
      <c r="AG337" s="7" t="s">
        <v>5032</v>
      </c>
      <c r="AH337" s="7">
        <f t="shared" si="35"/>
        <v>514359.29</v>
      </c>
      <c r="AI337" s="7">
        <f>AH337+AF337</f>
        <v>515068.57999999996</v>
      </c>
      <c r="AJ337" s="7">
        <v>2020</v>
      </c>
      <c r="AK337" s="7">
        <v>32595.1</v>
      </c>
      <c r="AL337" s="7"/>
      <c r="AM337" s="7">
        <v>566482.91</v>
      </c>
      <c r="AN337" s="7"/>
      <c r="AO337" s="7">
        <f>AK337+AM337</f>
        <v>599078.01</v>
      </c>
      <c r="AP337" s="7">
        <f>AO337</f>
        <v>599078.01</v>
      </c>
      <c r="AQ337" s="125" t="s">
        <v>5737</v>
      </c>
      <c r="AR337" s="7" t="str">
        <f>_xlfn.XLOOKUP(C337,Sheet1!A:A,Sheet1!B:B, "Other")</f>
        <v>Asia</v>
      </c>
      <c r="AS337" t="str">
        <f>_xlfn.XLOOKUP(D337,Sheet1!D:D,Sheet1!E:E)</f>
        <v>Technology</v>
      </c>
    </row>
    <row r="338" spans="1:45" ht="18" customHeight="1">
      <c r="A338" s="7">
        <v>334</v>
      </c>
      <c r="B338" s="7" t="s">
        <v>4548</v>
      </c>
      <c r="C338" s="7" t="s">
        <v>4457</v>
      </c>
      <c r="D338" s="7" t="s">
        <v>186</v>
      </c>
      <c r="E338" s="7" t="s">
        <v>5736</v>
      </c>
      <c r="F338" s="7" t="s">
        <v>5735</v>
      </c>
      <c r="G338" s="122"/>
      <c r="H338" s="7"/>
      <c r="I338" s="7"/>
      <c r="J338" s="122" t="s">
        <v>1957</v>
      </c>
      <c r="K338" s="7"/>
      <c r="L338" s="127">
        <v>2021</v>
      </c>
      <c r="M338" s="122"/>
      <c r="N338" s="7"/>
      <c r="O338" s="7"/>
      <c r="P338" s="7" t="str" cm="1">
        <f t="array" ref="P338">IF(O338="", "", IFERROR(MAX(--_xlfn.TEXTSPLIT(O338,"+")), O338))</f>
        <v/>
      </c>
      <c r="Q338" s="7"/>
      <c r="R338" s="109"/>
      <c r="S338" s="7" t="s">
        <v>4172</v>
      </c>
      <c r="T338" s="7" t="s">
        <v>5734</v>
      </c>
      <c r="U338" s="7">
        <v>2040</v>
      </c>
      <c r="V338" s="7" cm="1">
        <f t="array" ref="V338">IF(U338="", "", IFERROR(MAX(--_xlfn.TEXTSPLIT(U338,"+")), U338))</f>
        <v>2040</v>
      </c>
      <c r="W338" s="7">
        <v>2021</v>
      </c>
      <c r="X338" s="125" t="s">
        <v>4547</v>
      </c>
      <c r="Y338" s="122" t="s">
        <v>4174</v>
      </c>
      <c r="Z338" s="7" t="s">
        <v>5037</v>
      </c>
      <c r="AA338" s="126" t="s">
        <v>5733</v>
      </c>
      <c r="AB338" s="7">
        <v>2022</v>
      </c>
      <c r="AC338" s="7">
        <v>104850</v>
      </c>
      <c r="AD338" s="7"/>
      <c r="AE338" s="7">
        <v>160417</v>
      </c>
      <c r="AF338" s="7">
        <v>6394094</v>
      </c>
      <c r="AG338" s="7" t="s">
        <v>4174</v>
      </c>
      <c r="AH338" s="7">
        <f>AE338+AC338</f>
        <v>265267</v>
      </c>
      <c r="AI338" s="7">
        <f>AH338+AF338</f>
        <v>6659361</v>
      </c>
      <c r="AJ338" s="7">
        <v>2021</v>
      </c>
      <c r="AK338" s="7">
        <v>106659</v>
      </c>
      <c r="AL338" s="7"/>
      <c r="AM338" s="7">
        <v>171932</v>
      </c>
      <c r="AN338" s="7">
        <v>3745914</v>
      </c>
      <c r="AO338" s="7">
        <f>AM338+AK338</f>
        <v>278591</v>
      </c>
      <c r="AP338" s="7">
        <f>AO338+AN338</f>
        <v>4024505</v>
      </c>
      <c r="AQ338" s="27" t="s">
        <v>5732</v>
      </c>
      <c r="AR338" s="7" t="str">
        <f>_xlfn.XLOOKUP(C338,Sheet1!A:A,Sheet1!B:B, "Other")</f>
        <v>North America</v>
      </c>
      <c r="AS338" t="str">
        <f>_xlfn.XLOOKUP(D338,Sheet1!D:D,Sheet1!E:E)</f>
        <v>Technology</v>
      </c>
    </row>
    <row r="339" spans="1:45" ht="18" customHeight="1">
      <c r="A339" s="7">
        <v>335</v>
      </c>
      <c r="B339" s="7" t="s">
        <v>1051</v>
      </c>
      <c r="C339" s="7" t="s">
        <v>161</v>
      </c>
      <c r="D339" s="7" t="s">
        <v>342</v>
      </c>
      <c r="E339" s="7" t="s">
        <v>5731</v>
      </c>
      <c r="F339" s="7" t="s">
        <v>5730</v>
      </c>
      <c r="G339" s="122" t="s">
        <v>4174</v>
      </c>
      <c r="H339" s="7">
        <v>2025</v>
      </c>
      <c r="I339" s="7">
        <v>2020</v>
      </c>
      <c r="J339" s="122" t="s">
        <v>4183</v>
      </c>
      <c r="K339" s="7">
        <v>2030</v>
      </c>
      <c r="L339" s="127">
        <v>2020</v>
      </c>
      <c r="M339" s="122"/>
      <c r="N339" s="7"/>
      <c r="O339" s="7"/>
      <c r="P339" s="7" t="str" cm="1">
        <f t="array" ref="P339">IF(O339="", "", IFERROR(MAX(--_xlfn.TEXTSPLIT(O339,"+")), O339))</f>
        <v/>
      </c>
      <c r="Q339" s="7"/>
      <c r="R339" s="126"/>
      <c r="S339" s="7" t="s">
        <v>1957</v>
      </c>
      <c r="T339" s="7" t="s">
        <v>5042</v>
      </c>
      <c r="U339" s="7">
        <v>2050</v>
      </c>
      <c r="V339" s="7" cm="1">
        <f t="array" ref="V339">IF(U339="", "", IFERROR(MAX(--_xlfn.TEXTSPLIT(U339,"+")), U339))</f>
        <v>2050</v>
      </c>
      <c r="W339" s="7">
        <v>2021</v>
      </c>
      <c r="X339" s="125" t="s">
        <v>5729</v>
      </c>
      <c r="Y339" s="122" t="s">
        <v>4174</v>
      </c>
      <c r="Z339" s="7" t="s">
        <v>5037</v>
      </c>
      <c r="AA339" s="109" t="s">
        <v>5728</v>
      </c>
      <c r="AB339" s="7">
        <v>2022</v>
      </c>
      <c r="AC339" s="7"/>
      <c r="AD339" s="7"/>
      <c r="AE339" s="7"/>
      <c r="AF339" s="7">
        <v>28200000</v>
      </c>
      <c r="AG339" s="7" t="s">
        <v>4174</v>
      </c>
      <c r="AH339" s="124">
        <v>2010037</v>
      </c>
      <c r="AI339" s="124">
        <f>AH339+AF339</f>
        <v>30210037</v>
      </c>
      <c r="AJ339" s="7">
        <v>2021</v>
      </c>
      <c r="AK339" s="7"/>
      <c r="AL339" s="7"/>
      <c r="AM339" s="7"/>
      <c r="AN339" s="124">
        <v>367187</v>
      </c>
      <c r="AO339" s="124">
        <v>2007245</v>
      </c>
      <c r="AP339" s="7">
        <f>AO339+AN339</f>
        <v>2374432</v>
      </c>
      <c r="AQ339" s="7" t="s">
        <v>5727</v>
      </c>
      <c r="AR339" s="7" t="str">
        <f>_xlfn.XLOOKUP(C339,Sheet1!A:A,Sheet1!B:B, "Other")</f>
        <v>Other</v>
      </c>
      <c r="AS339" t="str">
        <f>_xlfn.XLOOKUP(D339,Sheet1!D:D,Sheet1!E:E)</f>
        <v>Food, beverages and agriculture</v>
      </c>
    </row>
    <row r="340" spans="1:45" ht="18" customHeight="1">
      <c r="A340" s="7">
        <v>336</v>
      </c>
      <c r="B340" s="7" t="s">
        <v>745</v>
      </c>
      <c r="C340" s="7" t="s">
        <v>78</v>
      </c>
      <c r="D340" s="7" t="s">
        <v>342</v>
      </c>
      <c r="E340" s="7" t="s">
        <v>5726</v>
      </c>
      <c r="F340" s="7" t="s">
        <v>5725</v>
      </c>
      <c r="G340" s="122"/>
      <c r="H340" s="7"/>
      <c r="I340" s="7"/>
      <c r="J340" s="122" t="s">
        <v>1957</v>
      </c>
      <c r="K340" s="7"/>
      <c r="L340" s="127">
        <v>2022</v>
      </c>
      <c r="M340" s="122"/>
      <c r="N340" s="7"/>
      <c r="O340" s="7"/>
      <c r="P340" s="7" t="str" cm="1">
        <f t="array" ref="P340">IF(O340="", "", IFERROR(MAX(--_xlfn.TEXTSPLIT(O340,"+")), O340))</f>
        <v/>
      </c>
      <c r="Q340" s="7"/>
      <c r="R340" s="109"/>
      <c r="S340" s="7" t="s">
        <v>4504</v>
      </c>
      <c r="T340" s="7" t="s">
        <v>5724</v>
      </c>
      <c r="U340" s="7" t="s">
        <v>4670</v>
      </c>
      <c r="V340" s="7" cm="1">
        <f t="array" ref="V340">IF(U340="", "", IFERROR(MAX(--_xlfn.TEXTSPLIT(U340,"+")), U340))</f>
        <v>2050</v>
      </c>
      <c r="W340" s="7">
        <v>2022</v>
      </c>
      <c r="X340" s="125" t="s">
        <v>5723</v>
      </c>
      <c r="Y340" s="122"/>
      <c r="Z340" s="7"/>
      <c r="AA340" s="126"/>
      <c r="AB340" s="7">
        <v>2022</v>
      </c>
      <c r="AC340" s="7">
        <v>625531</v>
      </c>
      <c r="AD340" s="7"/>
      <c r="AE340" s="7">
        <v>407217</v>
      </c>
      <c r="AF340" s="7">
        <v>90871</v>
      </c>
      <c r="AG340" s="7" t="s">
        <v>5032</v>
      </c>
      <c r="AH340" s="7">
        <f>AC340+AE340</f>
        <v>1032748</v>
      </c>
      <c r="AI340" s="7">
        <f>AH340+AF340</f>
        <v>1123619</v>
      </c>
      <c r="AJ340" s="7">
        <v>2021</v>
      </c>
      <c r="AK340" s="7">
        <v>629664</v>
      </c>
      <c r="AL340" s="7"/>
      <c r="AM340" s="7">
        <v>427855</v>
      </c>
      <c r="AN340" s="7">
        <v>97820</v>
      </c>
      <c r="AO340" s="7">
        <f>AK340+AM340</f>
        <v>1057519</v>
      </c>
      <c r="AP340" s="7">
        <f>AN340+AO340</f>
        <v>1155339</v>
      </c>
      <c r="AQ340" s="27" t="s">
        <v>5722</v>
      </c>
      <c r="AR340" s="7" t="str">
        <f>_xlfn.XLOOKUP(C340,Sheet1!A:A,Sheet1!B:B, "Other")</f>
        <v>North America</v>
      </c>
      <c r="AS340" t="str">
        <f>_xlfn.XLOOKUP(D340,Sheet1!D:D,Sheet1!E:E)</f>
        <v>Food, beverages and agriculture</v>
      </c>
    </row>
    <row r="341" spans="1:45" ht="18" customHeight="1">
      <c r="A341" s="7">
        <v>337</v>
      </c>
      <c r="B341" s="7" t="s">
        <v>948</v>
      </c>
      <c r="C341" s="7" t="s">
        <v>87</v>
      </c>
      <c r="D341" s="7" t="s">
        <v>171</v>
      </c>
      <c r="E341" s="7" t="s">
        <v>5721</v>
      </c>
      <c r="F341" s="7" t="s">
        <v>5720</v>
      </c>
      <c r="G341" s="122" t="s">
        <v>4174</v>
      </c>
      <c r="H341" s="7">
        <v>2030</v>
      </c>
      <c r="I341" s="7">
        <v>2016</v>
      </c>
      <c r="J341" s="122" t="s">
        <v>1957</v>
      </c>
      <c r="K341" s="7"/>
      <c r="L341" s="127">
        <v>2022</v>
      </c>
      <c r="M341" s="122"/>
      <c r="N341" s="7"/>
      <c r="O341" s="7"/>
      <c r="P341" s="7" t="str" cm="1">
        <f t="array" ref="P341">IF(O341="", "", IFERROR(MAX(--_xlfn.TEXTSPLIT(O341,"+")), O341))</f>
        <v/>
      </c>
      <c r="Q341" s="7"/>
      <c r="R341" s="109"/>
      <c r="S341" s="7" t="s">
        <v>1957</v>
      </c>
      <c r="T341" s="7" t="s">
        <v>5131</v>
      </c>
      <c r="U341" s="7">
        <v>2045</v>
      </c>
      <c r="V341" s="7" cm="1">
        <f t="array" ref="V341">IF(U341="", "", IFERROR(MAX(--_xlfn.TEXTSPLIT(U341,"+")), U341))</f>
        <v>2045</v>
      </c>
      <c r="W341" s="7">
        <v>2022</v>
      </c>
      <c r="X341" s="125" t="s">
        <v>5719</v>
      </c>
      <c r="Y341" s="122"/>
      <c r="Z341" s="7"/>
      <c r="AA341" s="109"/>
      <c r="AB341" s="7" t="s">
        <v>5032</v>
      </c>
      <c r="AC341" s="7"/>
      <c r="AD341" s="7"/>
      <c r="AE341" s="7"/>
      <c r="AF341" s="7"/>
      <c r="AG341" s="7" t="s">
        <v>5032</v>
      </c>
      <c r="AH341" s="7"/>
      <c r="AI341" s="7"/>
      <c r="AJ341" s="7" t="s">
        <v>5032</v>
      </c>
      <c r="AK341" s="7"/>
      <c r="AL341" s="7"/>
      <c r="AM341" s="7"/>
      <c r="AN341" s="7"/>
      <c r="AO341" s="7"/>
      <c r="AP341" s="7"/>
      <c r="AQ341" s="7"/>
      <c r="AR341" s="7" t="str">
        <f>_xlfn.XLOOKUP(C341,Sheet1!A:A,Sheet1!B:B, "Other")</f>
        <v>Asia</v>
      </c>
      <c r="AS341" t="str">
        <f>_xlfn.XLOOKUP(D341,Sheet1!D:D,Sheet1!E:E)</f>
        <v>Automotive</v>
      </c>
    </row>
    <row r="342" spans="1:45" ht="18" customHeight="1">
      <c r="A342" s="7">
        <v>338</v>
      </c>
      <c r="B342" s="7" t="s">
        <v>443</v>
      </c>
      <c r="C342" s="7" t="s">
        <v>4457</v>
      </c>
      <c r="D342" s="7" t="s">
        <v>319</v>
      </c>
      <c r="E342" s="7" t="s">
        <v>5718</v>
      </c>
      <c r="F342" s="7" t="s">
        <v>5717</v>
      </c>
      <c r="G342" s="122"/>
      <c r="H342" s="7"/>
      <c r="I342" s="7"/>
      <c r="J342" s="122" t="s">
        <v>4183</v>
      </c>
      <c r="K342" s="7">
        <v>2030</v>
      </c>
      <c r="L342" s="127">
        <v>2022</v>
      </c>
      <c r="M342" s="122"/>
      <c r="N342" s="7"/>
      <c r="O342" s="7"/>
      <c r="P342" s="7" t="str" cm="1">
        <f t="array" ref="P342">IF(O342="", "", IFERROR(MAX(--_xlfn.TEXTSPLIT(O342,"+")), O342))</f>
        <v/>
      </c>
      <c r="Q342" s="7"/>
      <c r="R342" s="109"/>
      <c r="S342" s="7"/>
      <c r="T342" s="7"/>
      <c r="U342" s="7"/>
      <c r="V342" s="7" t="str" cm="1">
        <f t="array" ref="V342">IF(U342="", "", IFERROR(MAX(--_xlfn.TEXTSPLIT(U342,"+")), U342))</f>
        <v/>
      </c>
      <c r="W342" s="7"/>
      <c r="X342" s="7"/>
      <c r="Y342" s="122"/>
      <c r="Z342" s="7"/>
      <c r="AA342" s="126"/>
      <c r="AB342" s="7">
        <v>2022</v>
      </c>
      <c r="AC342" s="7">
        <v>530000</v>
      </c>
      <c r="AD342" s="7">
        <f>1000*(1006-530)</f>
        <v>476000</v>
      </c>
      <c r="AE342" s="7">
        <f>1000*(929-530)</f>
        <v>399000</v>
      </c>
      <c r="AF342" s="7">
        <v>12829000</v>
      </c>
      <c r="AG342" s="7" t="s">
        <v>4174</v>
      </c>
      <c r="AH342" s="7">
        <f>AE342+AC342</f>
        <v>929000</v>
      </c>
      <c r="AI342" s="7">
        <f>AH342+AF342</f>
        <v>13758000</v>
      </c>
      <c r="AJ342" s="7">
        <v>2021</v>
      </c>
      <c r="AK342" s="7">
        <v>536000</v>
      </c>
      <c r="AL342" s="7">
        <f>1013000-AK342</f>
        <v>477000</v>
      </c>
      <c r="AM342" s="7">
        <f>AO342-AK342</f>
        <v>397000</v>
      </c>
      <c r="AN342" s="7">
        <f>AP342-AO342</f>
        <v>12395571.428571429</v>
      </c>
      <c r="AO342" s="7">
        <v>933000</v>
      </c>
      <c r="AP342" s="7">
        <f>AO342*(100/7)</f>
        <v>13328571.428571429</v>
      </c>
      <c r="AQ342" s="27" t="s">
        <v>5716</v>
      </c>
      <c r="AR342" s="7" t="str">
        <f>_xlfn.XLOOKUP(C342,Sheet1!A:A,Sheet1!B:B, "Other")</f>
        <v>North America</v>
      </c>
      <c r="AS342" t="str">
        <f>_xlfn.XLOOKUP(D342,Sheet1!D:D,Sheet1!E:E)</f>
        <v>Health care and pharmaceuticals</v>
      </c>
    </row>
    <row r="343" spans="1:45" ht="18" customHeight="1">
      <c r="A343" s="7">
        <v>339</v>
      </c>
      <c r="B343" s="7" t="s">
        <v>322</v>
      </c>
      <c r="C343" s="7" t="s">
        <v>114</v>
      </c>
      <c r="D343" s="7" t="s">
        <v>76</v>
      </c>
      <c r="E343" s="7" t="s">
        <v>5715</v>
      </c>
      <c r="F343" s="7" t="s">
        <v>5714</v>
      </c>
      <c r="G343" s="122" t="s">
        <v>4174</v>
      </c>
      <c r="H343" s="7">
        <v>2040</v>
      </c>
      <c r="I343" s="7">
        <v>2021</v>
      </c>
      <c r="J343" s="122" t="s">
        <v>4183</v>
      </c>
      <c r="K343" s="7">
        <v>2030</v>
      </c>
      <c r="L343" s="127">
        <v>2021</v>
      </c>
      <c r="M343" s="122"/>
      <c r="N343" s="7"/>
      <c r="O343" s="7"/>
      <c r="P343" s="7" t="str" cm="1">
        <f t="array" ref="P343">IF(O343="", "", IFERROR(MAX(--_xlfn.TEXTSPLIT(O343,"+")), O343))</f>
        <v/>
      </c>
      <c r="Q343" s="7"/>
      <c r="R343" s="126"/>
      <c r="S343" s="7" t="s">
        <v>5387</v>
      </c>
      <c r="T343" s="7" t="s">
        <v>5713</v>
      </c>
      <c r="U343" s="7" t="s">
        <v>4670</v>
      </c>
      <c r="V343" s="7" cm="1">
        <f t="array" ref="V343">IF(U343="", "", IFERROR(MAX(--_xlfn.TEXTSPLIT(U343,"+")), U343))</f>
        <v>2050</v>
      </c>
      <c r="W343" s="7">
        <v>2020</v>
      </c>
      <c r="X343" s="125" t="s">
        <v>3018</v>
      </c>
      <c r="Y343" s="122" t="s">
        <v>4174</v>
      </c>
      <c r="Z343" s="7" t="s">
        <v>5712</v>
      </c>
      <c r="AA343" s="126" t="s">
        <v>5711</v>
      </c>
      <c r="AB343" s="7">
        <v>2021</v>
      </c>
      <c r="AC343" s="124">
        <v>15649</v>
      </c>
      <c r="AD343" s="7"/>
      <c r="AE343" s="124">
        <v>116818</v>
      </c>
      <c r="AF343" s="124">
        <v>28061961</v>
      </c>
      <c r="AG343" s="7" t="s">
        <v>5032</v>
      </c>
      <c r="AH343" s="124">
        <f>AC343+AE343</f>
        <v>132467</v>
      </c>
      <c r="AI343" s="124">
        <f>AC343+AE343</f>
        <v>132467</v>
      </c>
      <c r="AJ343" s="7">
        <v>2020</v>
      </c>
      <c r="AK343" s="124">
        <v>17861</v>
      </c>
      <c r="AL343" s="7"/>
      <c r="AM343" s="124">
        <v>122027</v>
      </c>
      <c r="AN343" s="124">
        <v>26761188</v>
      </c>
      <c r="AO343" s="124">
        <f>AK343+AM343</f>
        <v>139888</v>
      </c>
      <c r="AP343" s="124">
        <f>AN343+AO343</f>
        <v>26901076</v>
      </c>
      <c r="AQ343" s="52" t="s">
        <v>3018</v>
      </c>
      <c r="AR343" s="7" t="str">
        <f>_xlfn.XLOOKUP(C343,Sheet1!A:A,Sheet1!B:B, "Other")</f>
        <v>Asia</v>
      </c>
      <c r="AS343" t="str">
        <f>_xlfn.XLOOKUP(D343,Sheet1!D:D,Sheet1!E:E)</f>
        <v>Financial services</v>
      </c>
    </row>
    <row r="344" spans="1:45" ht="18" customHeight="1">
      <c r="A344" s="7">
        <v>340</v>
      </c>
      <c r="B344" s="7" t="s">
        <v>2407</v>
      </c>
      <c r="C344" s="7" t="s">
        <v>63</v>
      </c>
      <c r="D344" s="7" t="s">
        <v>178</v>
      </c>
      <c r="E344" s="7" t="s">
        <v>5710</v>
      </c>
      <c r="F344" s="7" t="s">
        <v>5709</v>
      </c>
      <c r="G344" s="122"/>
      <c r="H344" s="7"/>
      <c r="I344" s="7"/>
      <c r="J344" s="122" t="s">
        <v>4183</v>
      </c>
      <c r="K344" s="7">
        <v>2030</v>
      </c>
      <c r="L344" s="127">
        <v>2019</v>
      </c>
      <c r="M344" s="122" t="s">
        <v>1957</v>
      </c>
      <c r="N344" s="7" t="s">
        <v>418</v>
      </c>
      <c r="O344" s="7">
        <v>2035</v>
      </c>
      <c r="P344" s="7" cm="1">
        <f t="array" ref="P344">IF(O344="", "", IFERROR(MAX(--_xlfn.TEXTSPLIT(O344,"+")), O344))</f>
        <v>2035</v>
      </c>
      <c r="Q344" s="7">
        <v>2020</v>
      </c>
      <c r="R344" s="126" t="s">
        <v>5708</v>
      </c>
      <c r="S344" s="7"/>
      <c r="T344" s="7"/>
      <c r="U344" s="7"/>
      <c r="V344" s="7" t="str" cm="1">
        <f t="array" ref="V344">IF(U344="", "", IFERROR(MAX(--_xlfn.TEXTSPLIT(U344,"+")), U344))</f>
        <v/>
      </c>
      <c r="W344" s="7"/>
      <c r="X344" s="7"/>
      <c r="Y344" s="122"/>
      <c r="Z344" s="7"/>
      <c r="AA344" s="109"/>
      <c r="AB344" s="7">
        <v>2022</v>
      </c>
      <c r="AC344" s="7">
        <f>1641000+188000</f>
        <v>1829000</v>
      </c>
      <c r="AD344" s="7"/>
      <c r="AE344" s="7">
        <f>590000+224000</f>
        <v>814000</v>
      </c>
      <c r="AF344" s="7">
        <f>558000+59000+2616000+1389000</f>
        <v>4622000</v>
      </c>
      <c r="AG344" s="7" t="s">
        <v>5032</v>
      </c>
      <c r="AH344" s="7">
        <f>AE344+AC344</f>
        <v>2643000</v>
      </c>
      <c r="AI344" s="7">
        <f>AH344+AF344</f>
        <v>7265000</v>
      </c>
      <c r="AJ344" s="7">
        <v>2021</v>
      </c>
      <c r="AK344" s="7">
        <f>1496000+220000</f>
        <v>1716000</v>
      </c>
      <c r="AL344" s="7"/>
      <c r="AM344" s="7">
        <f>490000+171000</f>
        <v>661000</v>
      </c>
      <c r="AN344" s="7">
        <f>515000+65000+2038000+1031000+382000</f>
        <v>4031000</v>
      </c>
      <c r="AO344" s="7">
        <f>AK344+AM344</f>
        <v>2377000</v>
      </c>
      <c r="AP344" s="7">
        <f>AO344+AN344</f>
        <v>6408000</v>
      </c>
      <c r="AQ344" s="27" t="s">
        <v>5707</v>
      </c>
      <c r="AR344" s="7" t="str">
        <f>_xlfn.XLOOKUP(C344,Sheet1!A:A,Sheet1!B:B, "Other")</f>
        <v>Europe</v>
      </c>
      <c r="AS344" t="str">
        <f>_xlfn.XLOOKUP(D344,Sheet1!D:D,Sheet1!E:E)</f>
        <v>Transportation and logistics</v>
      </c>
    </row>
    <row r="345" spans="1:45" ht="18" customHeight="1">
      <c r="A345" s="7">
        <v>341</v>
      </c>
      <c r="B345" s="7" t="s">
        <v>617</v>
      </c>
      <c r="C345" s="7" t="s">
        <v>73</v>
      </c>
      <c r="D345" s="7" t="s">
        <v>5398</v>
      </c>
      <c r="E345" s="7" t="s">
        <v>5706</v>
      </c>
      <c r="F345" s="7" t="s">
        <v>5705</v>
      </c>
      <c r="G345" s="122"/>
      <c r="H345" s="7"/>
      <c r="I345" s="7"/>
      <c r="J345" s="122" t="s">
        <v>1960</v>
      </c>
      <c r="K345" s="7"/>
      <c r="L345" s="127" t="s">
        <v>1960</v>
      </c>
      <c r="M345" s="122"/>
      <c r="N345" s="7"/>
      <c r="O345" s="7"/>
      <c r="P345" s="7" t="str" cm="1">
        <f t="array" ref="P345">IF(O345="", "", IFERROR(MAX(--_xlfn.TEXTSPLIT(O345,"+")), O345))</f>
        <v/>
      </c>
      <c r="Q345" s="7"/>
      <c r="R345" s="109"/>
      <c r="S345" s="7"/>
      <c r="T345" s="7"/>
      <c r="U345" s="7"/>
      <c r="V345" s="7" t="str" cm="1">
        <f t="array" ref="V345">IF(U345="", "", IFERROR(MAX(--_xlfn.TEXTSPLIT(U345,"+")), U345))</f>
        <v/>
      </c>
      <c r="W345" s="7"/>
      <c r="X345" s="7"/>
      <c r="Y345" s="122"/>
      <c r="Z345" s="7"/>
      <c r="AA345" s="109"/>
      <c r="AB345" s="7" t="s">
        <v>5032</v>
      </c>
      <c r="AC345" s="7"/>
      <c r="AD345" s="7"/>
      <c r="AE345" s="7"/>
      <c r="AF345" s="7"/>
      <c r="AG345" s="7" t="s">
        <v>5032</v>
      </c>
      <c r="AH345" s="7"/>
      <c r="AI345" s="7"/>
      <c r="AJ345" s="7"/>
      <c r="AK345" s="7"/>
      <c r="AL345" s="7"/>
      <c r="AM345" s="7"/>
      <c r="AN345" s="7"/>
      <c r="AO345" s="7"/>
      <c r="AP345" s="7"/>
      <c r="AQ345" s="7"/>
      <c r="AR345" s="7" t="str">
        <f>_xlfn.XLOOKUP(C345,Sheet1!A:A,Sheet1!B:B, "Other")</f>
        <v>Asia</v>
      </c>
      <c r="AS345" t="str">
        <f>_xlfn.XLOOKUP(D345,Sheet1!D:D,Sheet1!E:E)</f>
        <v>Aerospace and defense</v>
      </c>
    </row>
    <row r="346" spans="1:45" ht="18" customHeight="1">
      <c r="A346" s="7">
        <v>342</v>
      </c>
      <c r="B346" s="7" t="s">
        <v>561</v>
      </c>
      <c r="C346" s="7" t="s">
        <v>287</v>
      </c>
      <c r="D346" s="7" t="s">
        <v>76</v>
      </c>
      <c r="E346" s="7" t="s">
        <v>5704</v>
      </c>
      <c r="F346" s="7" t="s">
        <v>5703</v>
      </c>
      <c r="G346" s="122"/>
      <c r="H346" s="7"/>
      <c r="I346" s="7"/>
      <c r="J346" s="122" t="s">
        <v>1960</v>
      </c>
      <c r="K346" s="7"/>
      <c r="L346" s="127" t="s">
        <v>1960</v>
      </c>
      <c r="M346" s="122" t="s">
        <v>1957</v>
      </c>
      <c r="N346" s="7" t="s">
        <v>5042</v>
      </c>
      <c r="O346" s="7">
        <v>2022</v>
      </c>
      <c r="P346" s="7" cm="1">
        <f t="array" ref="P346">IF(O346="", "", IFERROR(MAX(--_xlfn.TEXTSPLIT(O346,"+")), O346))</f>
        <v>2022</v>
      </c>
      <c r="Q346" s="7">
        <v>2021</v>
      </c>
      <c r="R346" s="109" t="s">
        <v>5702</v>
      </c>
      <c r="S346" s="7"/>
      <c r="T346" s="7"/>
      <c r="U346" s="7"/>
      <c r="V346" s="7" t="str" cm="1">
        <f t="array" ref="V346">IF(U346="", "", IFERROR(MAX(--_xlfn.TEXTSPLIT(U346,"+")), U346))</f>
        <v/>
      </c>
      <c r="W346" s="7"/>
      <c r="X346" s="7"/>
      <c r="Y346" s="122" t="s">
        <v>4174</v>
      </c>
      <c r="Z346" s="7" t="s">
        <v>5701</v>
      </c>
      <c r="AA346" s="109" t="s">
        <v>5700</v>
      </c>
      <c r="AB346" s="7">
        <v>2022</v>
      </c>
      <c r="AC346" s="124">
        <v>22405</v>
      </c>
      <c r="AD346" s="124">
        <v>37698</v>
      </c>
      <c r="AE346" s="7">
        <v>7706</v>
      </c>
      <c r="AF346" s="7">
        <v>17492</v>
      </c>
      <c r="AG346" s="7" t="s">
        <v>5032</v>
      </c>
      <c r="AH346" s="124">
        <f>AC346+AE346</f>
        <v>30111</v>
      </c>
      <c r="AI346" s="124">
        <f>AH346+AF346</f>
        <v>47603</v>
      </c>
      <c r="AJ346" s="7">
        <v>2021</v>
      </c>
      <c r="AK346" s="124">
        <v>19933</v>
      </c>
      <c r="AL346" s="7"/>
      <c r="AM346" s="124">
        <v>24393</v>
      </c>
      <c r="AN346" s="7">
        <f>21736+167+1147+5207+3555.15+1651.85+8576</f>
        <v>42040</v>
      </c>
      <c r="AO346" s="124">
        <f>AK346+AM346</f>
        <v>44326</v>
      </c>
      <c r="AP346" s="124">
        <f>AN346+AO346</f>
        <v>86366</v>
      </c>
      <c r="AQ346" s="7" t="s">
        <v>5699</v>
      </c>
      <c r="AR346" s="7" t="str">
        <f>_xlfn.XLOOKUP(C346,Sheet1!A:A,Sheet1!B:B, "Other")</f>
        <v>Europe</v>
      </c>
      <c r="AS346" t="str">
        <f>_xlfn.XLOOKUP(D346,Sheet1!D:D,Sheet1!E:E)</f>
        <v>Financial services</v>
      </c>
    </row>
    <row r="347" spans="1:45" ht="18" customHeight="1">
      <c r="A347" s="7">
        <v>343</v>
      </c>
      <c r="B347" s="7" t="s">
        <v>4725</v>
      </c>
      <c r="C347" s="7" t="s">
        <v>4195</v>
      </c>
      <c r="D347" s="7" t="s">
        <v>319</v>
      </c>
      <c r="E347" s="7" t="s">
        <v>5698</v>
      </c>
      <c r="F347" s="7" t="s">
        <v>5697</v>
      </c>
      <c r="G347" s="122" t="s">
        <v>4174</v>
      </c>
      <c r="H347" s="7">
        <v>2025</v>
      </c>
      <c r="I347" s="7">
        <v>2020</v>
      </c>
      <c r="J347" s="122" t="s">
        <v>4183</v>
      </c>
      <c r="K347" s="7">
        <v>2025</v>
      </c>
      <c r="L347" s="127">
        <v>2019</v>
      </c>
      <c r="M347" s="122"/>
      <c r="N347" s="7"/>
      <c r="O347" s="7"/>
      <c r="P347" s="7" t="str" cm="1">
        <f t="array" ref="P347">IF(O347="", "", IFERROR(MAX(--_xlfn.TEXTSPLIT(O347,"+")), O347))</f>
        <v/>
      </c>
      <c r="Q347" s="7"/>
      <c r="R347" s="126"/>
      <c r="S347" s="7" t="s">
        <v>4172</v>
      </c>
      <c r="T347" s="7" t="s">
        <v>1968</v>
      </c>
      <c r="U347" s="7" t="s">
        <v>5696</v>
      </c>
      <c r="V347" s="7" cm="1">
        <f t="array" ref="V347">IF(U347="", "", IFERROR(MAX(--_xlfn.TEXTSPLIT(U347,"+")), U347))</f>
        <v>2045</v>
      </c>
      <c r="W347" s="7">
        <v>2020</v>
      </c>
      <c r="X347" s="7" t="s">
        <v>5695</v>
      </c>
      <c r="Y347" s="122"/>
      <c r="Z347" s="7"/>
      <c r="AA347" s="109"/>
      <c r="AB347" s="7">
        <v>2022</v>
      </c>
      <c r="AC347" s="7">
        <f>626418</f>
        <v>626418</v>
      </c>
      <c r="AD347" s="7">
        <f>264677</f>
        <v>264677</v>
      </c>
      <c r="AE347" s="7">
        <f>88368</f>
        <v>88368</v>
      </c>
      <c r="AF347" s="7" t="s">
        <v>5694</v>
      </c>
      <c r="AG347" s="7" t="s">
        <v>5032</v>
      </c>
      <c r="AH347" s="7">
        <f>AC347+AE347</f>
        <v>714786</v>
      </c>
      <c r="AI347" s="7">
        <f>AH347</f>
        <v>714786</v>
      </c>
      <c r="AJ347" s="7">
        <v>2021</v>
      </c>
      <c r="AK347" s="7">
        <f>633*1000</f>
        <v>633000</v>
      </c>
      <c r="AL347" s="7">
        <v>285000</v>
      </c>
      <c r="AM347" s="7">
        <v>131000</v>
      </c>
      <c r="AN347" s="124">
        <v>8624000</v>
      </c>
      <c r="AO347" s="124">
        <f>AM347+AK347</f>
        <v>764000</v>
      </c>
      <c r="AP347" s="124">
        <f>AO347+AN347</f>
        <v>9388000</v>
      </c>
      <c r="AQ347" s="7" t="s">
        <v>5693</v>
      </c>
      <c r="AR347" s="7" t="str">
        <f>_xlfn.XLOOKUP(C347,Sheet1!A:A,Sheet1!B:B, "Other")</f>
        <v>Europe</v>
      </c>
      <c r="AS347" t="str">
        <f>_xlfn.XLOOKUP(D347,Sheet1!D:D,Sheet1!E:E)</f>
        <v>Health care and pharmaceuticals</v>
      </c>
    </row>
    <row r="348" spans="1:45" ht="18" customHeight="1">
      <c r="A348" s="7">
        <v>344</v>
      </c>
      <c r="B348" s="7" t="s">
        <v>517</v>
      </c>
      <c r="C348" s="7" t="s">
        <v>4457</v>
      </c>
      <c r="D348" s="7" t="s">
        <v>5091</v>
      </c>
      <c r="E348" s="7" t="s">
        <v>5692</v>
      </c>
      <c r="F348" s="7" t="s">
        <v>5691</v>
      </c>
      <c r="G348" s="122" t="s">
        <v>4174</v>
      </c>
      <c r="H348" s="7">
        <v>2030</v>
      </c>
      <c r="I348" s="7">
        <v>2015</v>
      </c>
      <c r="J348" s="122" t="s">
        <v>4183</v>
      </c>
      <c r="K348" s="7">
        <v>2030</v>
      </c>
      <c r="L348" s="127">
        <v>2019</v>
      </c>
      <c r="M348" s="122"/>
      <c r="N348" s="7"/>
      <c r="O348" s="7"/>
      <c r="P348" s="7" t="str" cm="1">
        <f t="array" ref="P348">IF(O348="", "", IFERROR(MAX(--_xlfn.TEXTSPLIT(O348,"+")), O348))</f>
        <v/>
      </c>
      <c r="Q348" s="7"/>
      <c r="R348" s="109"/>
      <c r="S348" s="7" t="s">
        <v>4172</v>
      </c>
      <c r="T348" s="7" t="s">
        <v>2760</v>
      </c>
      <c r="U348" s="7">
        <v>2050</v>
      </c>
      <c r="V348" s="7" cm="1">
        <f t="array" ref="V348">IF(U348="", "", IFERROR(MAX(--_xlfn.TEXTSPLIT(U348,"+")), U348))</f>
        <v>2050</v>
      </c>
      <c r="W348" s="7">
        <v>2019</v>
      </c>
      <c r="X348" s="125" t="s">
        <v>5690</v>
      </c>
      <c r="Y348" s="122" t="s">
        <v>4174</v>
      </c>
      <c r="Z348" s="7" t="s">
        <v>5037</v>
      </c>
      <c r="AA348" s="126" t="s">
        <v>5689</v>
      </c>
      <c r="AB348" s="7">
        <v>2022</v>
      </c>
      <c r="AC348" s="124">
        <v>304144</v>
      </c>
      <c r="AD348" s="7"/>
      <c r="AE348" s="124">
        <v>890400</v>
      </c>
      <c r="AF348" s="7">
        <f>4363071+5577615</f>
        <v>9940686</v>
      </c>
      <c r="AG348" s="7" t="s">
        <v>4174</v>
      </c>
      <c r="AH348" s="7">
        <f>AE348+AC348</f>
        <v>1194544</v>
      </c>
      <c r="AI348" s="7">
        <f>AH348+AF348</f>
        <v>11135230</v>
      </c>
      <c r="AJ348" s="7">
        <v>2021</v>
      </c>
      <c r="AK348" s="124">
        <v>325833</v>
      </c>
      <c r="AL348" s="7"/>
      <c r="AM348" s="124">
        <v>869832</v>
      </c>
      <c r="AN348" s="7">
        <f>4299247+5494912</f>
        <v>9794159</v>
      </c>
      <c r="AO348" s="7">
        <f>AK348+AM348</f>
        <v>1195665</v>
      </c>
      <c r="AP348" s="7">
        <f>AO348+AN348</f>
        <v>10989824</v>
      </c>
      <c r="AQ348" s="7" t="s">
        <v>5688</v>
      </c>
      <c r="AR348" s="7" t="str">
        <f>_xlfn.XLOOKUP(C348,Sheet1!A:A,Sheet1!B:B, "Other")</f>
        <v>North America</v>
      </c>
      <c r="AS348" t="str">
        <f>_xlfn.XLOOKUP(D348,Sheet1!D:D,Sheet1!E:E)</f>
        <v>Food, beverages and agriculture</v>
      </c>
    </row>
    <row r="349" spans="1:45" ht="18" customHeight="1">
      <c r="A349" s="7">
        <v>345</v>
      </c>
      <c r="B349" s="7" t="s">
        <v>621</v>
      </c>
      <c r="C349" s="7" t="s">
        <v>3277</v>
      </c>
      <c r="D349" s="7" t="s">
        <v>186</v>
      </c>
      <c r="E349" s="7" t="s">
        <v>5687</v>
      </c>
      <c r="F349" s="7" t="s">
        <v>5686</v>
      </c>
      <c r="G349" s="122"/>
      <c r="H349" s="7"/>
      <c r="I349" s="7"/>
      <c r="J349" s="122" t="s">
        <v>1957</v>
      </c>
      <c r="K349" s="7"/>
      <c r="L349" s="127">
        <v>2022</v>
      </c>
      <c r="M349" s="122" t="s">
        <v>1957</v>
      </c>
      <c r="N349" s="7" t="s">
        <v>5131</v>
      </c>
      <c r="O349" s="7">
        <v>2050</v>
      </c>
      <c r="P349" s="7" cm="1">
        <f t="array" ref="P349">IF(O349="", "", IFERROR(MAX(--_xlfn.TEXTSPLIT(O349,"+")), O349))</f>
        <v>2050</v>
      </c>
      <c r="Q349" s="7">
        <v>2022</v>
      </c>
      <c r="R349" s="126" t="s">
        <v>5685</v>
      </c>
      <c r="S349" s="7"/>
      <c r="T349" s="7"/>
      <c r="U349" s="7"/>
      <c r="V349" s="7" t="str" cm="1">
        <f t="array" ref="V349">IF(U349="", "", IFERROR(MAX(--_xlfn.TEXTSPLIT(U349,"+")), U349))</f>
        <v/>
      </c>
      <c r="W349" s="7"/>
      <c r="X349" s="7"/>
      <c r="Y349" s="122"/>
      <c r="Z349" s="7"/>
      <c r="AA349" s="109"/>
      <c r="AB349" s="7" t="s">
        <v>5032</v>
      </c>
      <c r="AC349" s="7"/>
      <c r="AD349" s="7"/>
      <c r="AE349" s="7"/>
      <c r="AF349" s="7"/>
      <c r="AG349" s="7" t="s">
        <v>5032</v>
      </c>
      <c r="AH349" s="7"/>
      <c r="AI349" s="7"/>
      <c r="AJ349" s="7"/>
      <c r="AK349" s="7"/>
      <c r="AL349" s="7"/>
      <c r="AM349" s="7"/>
      <c r="AN349" s="7"/>
      <c r="AO349" s="7"/>
      <c r="AP349" s="7"/>
      <c r="AQ349" s="7"/>
      <c r="AR349" s="7" t="str">
        <f>_xlfn.XLOOKUP(C349,Sheet1!A:A,Sheet1!B:B, "Other")</f>
        <v>Asia</v>
      </c>
      <c r="AS349" t="str">
        <f>_xlfn.XLOOKUP(D349,Sheet1!D:D,Sheet1!E:E)</f>
        <v>Technology</v>
      </c>
    </row>
    <row r="350" spans="1:45" ht="18" customHeight="1">
      <c r="A350" s="7">
        <v>346</v>
      </c>
      <c r="B350" s="7" t="s">
        <v>777</v>
      </c>
      <c r="C350" s="7" t="s">
        <v>146</v>
      </c>
      <c r="D350" s="7" t="s">
        <v>319</v>
      </c>
      <c r="E350" s="7" t="s">
        <v>5684</v>
      </c>
      <c r="F350" s="7" t="s">
        <v>5683</v>
      </c>
      <c r="G350" s="122"/>
      <c r="H350" s="7"/>
      <c r="I350" s="7"/>
      <c r="J350" s="122" t="s">
        <v>1960</v>
      </c>
      <c r="K350" s="7"/>
      <c r="L350" s="127" t="s">
        <v>1960</v>
      </c>
      <c r="M350" s="122" t="s">
        <v>1957</v>
      </c>
      <c r="N350" s="7" t="s">
        <v>5122</v>
      </c>
      <c r="O350" s="7">
        <v>2040</v>
      </c>
      <c r="P350" s="7" cm="1">
        <f t="array" ref="P350">IF(O350="", "", IFERROR(MAX(--_xlfn.TEXTSPLIT(O350,"+")), O350))</f>
        <v>2040</v>
      </c>
      <c r="Q350" s="7">
        <v>2022</v>
      </c>
      <c r="R350" s="109" t="s">
        <v>5682</v>
      </c>
      <c r="S350" s="7"/>
      <c r="T350" s="7"/>
      <c r="U350" s="7"/>
      <c r="V350" s="7" t="str" cm="1">
        <f t="array" ref="V350">IF(U350="", "", IFERROR(MAX(--_xlfn.TEXTSPLIT(U350,"+")), U350))</f>
        <v/>
      </c>
      <c r="W350" s="7"/>
      <c r="X350" s="7"/>
      <c r="Y350" s="122" t="s">
        <v>4174</v>
      </c>
      <c r="Z350" s="7" t="s">
        <v>5681</v>
      </c>
      <c r="AA350" s="109" t="s">
        <v>5680</v>
      </c>
      <c r="AB350" s="7">
        <v>2022</v>
      </c>
      <c r="AC350" s="7">
        <v>563000</v>
      </c>
      <c r="AD350" s="7">
        <v>899000</v>
      </c>
      <c r="AE350" s="7">
        <v>758000</v>
      </c>
      <c r="AF350" s="7"/>
      <c r="AG350" s="7" t="s">
        <v>5032</v>
      </c>
      <c r="AH350" s="7">
        <f>AC350+AE350</f>
        <v>1321000</v>
      </c>
      <c r="AI350" s="7">
        <f>AH350</f>
        <v>1321000</v>
      </c>
      <c r="AJ350" s="7">
        <v>2021</v>
      </c>
      <c r="AK350" s="7">
        <v>578000</v>
      </c>
      <c r="AL350" s="7"/>
      <c r="AM350" s="7">
        <v>946000</v>
      </c>
      <c r="AN350" s="7"/>
      <c r="AO350" s="7">
        <f>AK350+AM350</f>
        <v>1524000</v>
      </c>
      <c r="AP350" s="7">
        <f>AO350</f>
        <v>1524000</v>
      </c>
      <c r="AQ350" s="7" t="s">
        <v>5679</v>
      </c>
      <c r="AR350" s="7" t="str">
        <f>_xlfn.XLOOKUP(C350,Sheet1!A:A,Sheet1!B:B, "Other")</f>
        <v>Europe</v>
      </c>
      <c r="AS350" t="str">
        <f>_xlfn.XLOOKUP(D350,Sheet1!D:D,Sheet1!E:E)</f>
        <v>Health care and pharmaceuticals</v>
      </c>
    </row>
    <row r="351" spans="1:45" ht="18" customHeight="1">
      <c r="A351" s="7">
        <v>347</v>
      </c>
      <c r="B351" s="7" t="s">
        <v>919</v>
      </c>
      <c r="C351" s="7" t="s">
        <v>287</v>
      </c>
      <c r="D351" s="7" t="s">
        <v>76</v>
      </c>
      <c r="E351" s="7" t="s">
        <v>5678</v>
      </c>
      <c r="F351" s="7" t="s">
        <v>5677</v>
      </c>
      <c r="G351" s="122" t="s">
        <v>4174</v>
      </c>
      <c r="H351" s="7">
        <v>2025</v>
      </c>
      <c r="I351" s="7">
        <v>2015</v>
      </c>
      <c r="J351" s="122" t="s">
        <v>1960</v>
      </c>
      <c r="K351" s="7"/>
      <c r="L351" s="127" t="s">
        <v>1960</v>
      </c>
      <c r="M351" s="122"/>
      <c r="N351" s="7"/>
      <c r="O351" s="7"/>
      <c r="P351" s="7" t="str" cm="1">
        <f t="array" ref="P351">IF(O351="", "", IFERROR(MAX(--_xlfn.TEXTSPLIT(O351,"+")), O351))</f>
        <v/>
      </c>
      <c r="Q351" s="7"/>
      <c r="R351" s="109"/>
      <c r="S351" s="7" t="s">
        <v>4504</v>
      </c>
      <c r="T351" s="7" t="s">
        <v>5676</v>
      </c>
      <c r="U351" s="7" t="s">
        <v>4555</v>
      </c>
      <c r="V351" s="7" cm="1">
        <f t="array" ref="V351">IF(U351="", "", IFERROR(MAX(--_xlfn.TEXTSPLIT(U351,"+")), U351))</f>
        <v>2050</v>
      </c>
      <c r="W351" s="7">
        <v>2021</v>
      </c>
      <c r="X351" s="125" t="s">
        <v>5675</v>
      </c>
      <c r="Y351" s="122" t="s">
        <v>4174</v>
      </c>
      <c r="Z351" s="7" t="s">
        <v>5037</v>
      </c>
      <c r="AA351" s="126" t="s">
        <v>5674</v>
      </c>
      <c r="AB351" s="7">
        <v>2022</v>
      </c>
      <c r="AC351" s="7">
        <v>8570</v>
      </c>
      <c r="AD351" s="7">
        <v>110470</v>
      </c>
      <c r="AE351" s="7">
        <v>3873</v>
      </c>
      <c r="AF351" s="7">
        <v>23344</v>
      </c>
      <c r="AG351" s="7" t="s">
        <v>5032</v>
      </c>
      <c r="AH351" s="7">
        <f>AC351+AE351</f>
        <v>12443</v>
      </c>
      <c r="AI351" s="7">
        <f>AH351+AF351</f>
        <v>35787</v>
      </c>
      <c r="AJ351" s="7">
        <v>2021</v>
      </c>
      <c r="AK351" s="7">
        <v>10726</v>
      </c>
      <c r="AL351" s="7">
        <v>124756</v>
      </c>
      <c r="AM351" s="7">
        <v>3574</v>
      </c>
      <c r="AN351" s="7">
        <v>15683</v>
      </c>
      <c r="AO351" s="7">
        <f>AK351+AM351</f>
        <v>14300</v>
      </c>
      <c r="AP351" s="7">
        <f>AO351+AN351</f>
        <v>29983</v>
      </c>
      <c r="AQ351" s="27" t="s">
        <v>5673</v>
      </c>
      <c r="AR351" s="7" t="str">
        <f>_xlfn.XLOOKUP(C351,Sheet1!A:A,Sheet1!B:B, "Other")</f>
        <v>Europe</v>
      </c>
      <c r="AS351" t="str">
        <f>_xlfn.XLOOKUP(D351,Sheet1!D:D,Sheet1!E:E)</f>
        <v>Financial services</v>
      </c>
    </row>
    <row r="352" spans="1:45" ht="18" customHeight="1">
      <c r="A352" s="7">
        <v>348</v>
      </c>
      <c r="B352" s="7" t="s">
        <v>696</v>
      </c>
      <c r="C352" s="7" t="s">
        <v>73</v>
      </c>
      <c r="D352" s="7" t="s">
        <v>85</v>
      </c>
      <c r="E352" s="7" t="s">
        <v>5672</v>
      </c>
      <c r="F352" s="7" t="s">
        <v>5671</v>
      </c>
      <c r="G352" s="122"/>
      <c r="H352" s="7"/>
      <c r="I352" s="7"/>
      <c r="J352" s="122" t="s">
        <v>1960</v>
      </c>
      <c r="K352" s="7"/>
      <c r="L352" s="127" t="s">
        <v>1960</v>
      </c>
      <c r="M352" s="122" t="s">
        <v>4519</v>
      </c>
      <c r="N352" s="7" t="s">
        <v>5131</v>
      </c>
      <c r="O352" s="7">
        <v>2060</v>
      </c>
      <c r="P352" s="7" cm="1">
        <f t="array" ref="P352">IF(O352="", "", IFERROR(MAX(--_xlfn.TEXTSPLIT(O352,"+")), O352))</f>
        <v>2060</v>
      </c>
      <c r="Q352" s="7">
        <v>2021</v>
      </c>
      <c r="R352" s="126" t="s">
        <v>5670</v>
      </c>
      <c r="S352" s="7"/>
      <c r="T352" s="7"/>
      <c r="U352" s="7"/>
      <c r="V352" s="7" t="str" cm="1">
        <f t="array" ref="V352">IF(U352="", "", IFERROR(MAX(--_xlfn.TEXTSPLIT(U352,"+")), U352))</f>
        <v/>
      </c>
      <c r="W352" s="7"/>
      <c r="X352" s="7"/>
      <c r="Y352" s="122"/>
      <c r="Z352" s="7"/>
      <c r="AA352" s="109"/>
      <c r="AB352" s="7" t="s">
        <v>5032</v>
      </c>
      <c r="AC352" s="7"/>
      <c r="AD352" s="7"/>
      <c r="AE352" s="7"/>
      <c r="AF352" s="7"/>
      <c r="AG352" s="7" t="s">
        <v>5032</v>
      </c>
      <c r="AH352" s="7"/>
      <c r="AI352" s="7"/>
      <c r="AJ352" s="7"/>
      <c r="AK352" s="7"/>
      <c r="AL352" s="7"/>
      <c r="AM352" s="7"/>
      <c r="AN352" s="7"/>
      <c r="AO352" s="7"/>
      <c r="AP352" s="7"/>
      <c r="AQ352" s="7"/>
      <c r="AR352" s="7" t="str">
        <f>_xlfn.XLOOKUP(C352,Sheet1!A:A,Sheet1!B:B, "Other")</f>
        <v>Asia</v>
      </c>
      <c r="AS352" t="str">
        <f>_xlfn.XLOOKUP(D352,Sheet1!D:D,Sheet1!E:E)</f>
        <v>Industrial goods</v>
      </c>
    </row>
    <row r="353" spans="1:45" ht="18" customHeight="1">
      <c r="A353" s="7">
        <v>349</v>
      </c>
      <c r="B353" s="7" t="s">
        <v>1180</v>
      </c>
      <c r="C353" s="7" t="s">
        <v>4457</v>
      </c>
      <c r="D353" s="7" t="s">
        <v>461</v>
      </c>
      <c r="E353" s="7" t="s">
        <v>5669</v>
      </c>
      <c r="F353" s="7" t="s">
        <v>5668</v>
      </c>
      <c r="G353" s="122"/>
      <c r="H353" s="7"/>
      <c r="I353" s="7"/>
      <c r="J353" s="122" t="s">
        <v>4183</v>
      </c>
      <c r="K353" s="7">
        <v>2030</v>
      </c>
      <c r="L353" s="127">
        <v>2020</v>
      </c>
      <c r="M353" s="122"/>
      <c r="N353" s="7"/>
      <c r="O353" s="7"/>
      <c r="P353" s="7" t="str" cm="1">
        <f t="array" ref="P353">IF(O353="", "", IFERROR(MAX(--_xlfn.TEXTSPLIT(O353,"+")), O353))</f>
        <v/>
      </c>
      <c r="Q353" s="7"/>
      <c r="R353" s="109"/>
      <c r="S353" s="7" t="s">
        <v>4172</v>
      </c>
      <c r="T353" s="7" t="s">
        <v>4630</v>
      </c>
      <c r="U353" s="7">
        <v>2050</v>
      </c>
      <c r="V353" s="7" cm="1">
        <f t="array" ref="V353">IF(U353="", "", IFERROR(MAX(--_xlfn.TEXTSPLIT(U353,"+")), U353))</f>
        <v>2050</v>
      </c>
      <c r="W353" s="7">
        <v>2020</v>
      </c>
      <c r="X353" s="7" t="s">
        <v>5667</v>
      </c>
      <c r="Y353" s="122"/>
      <c r="Z353" s="7"/>
      <c r="AA353" s="109"/>
      <c r="AB353" s="7">
        <v>2022</v>
      </c>
      <c r="AC353" s="7">
        <v>305501</v>
      </c>
      <c r="AD353" s="7"/>
      <c r="AE353" s="7">
        <v>1911841</v>
      </c>
      <c r="AF353" s="7">
        <f>2667186+62544</f>
        <v>2729730</v>
      </c>
      <c r="AG353" s="7" t="s">
        <v>5032</v>
      </c>
      <c r="AH353" s="7">
        <f>AC353+AE353</f>
        <v>2217342</v>
      </c>
      <c r="AI353" s="7">
        <f>AH353+AF353</f>
        <v>4947072</v>
      </c>
      <c r="AJ353" s="7">
        <v>2021</v>
      </c>
      <c r="AK353" s="7">
        <v>292318</v>
      </c>
      <c r="AL353" s="7"/>
      <c r="AM353" s="7">
        <v>2114353</v>
      </c>
      <c r="AN353" s="7">
        <f>2558738+106939</f>
        <v>2665677</v>
      </c>
      <c r="AO353" s="7">
        <f>AK353+AM353</f>
        <v>2406671</v>
      </c>
      <c r="AP353" s="7">
        <f>AO353+AN353</f>
        <v>5072348</v>
      </c>
      <c r="AQ353" s="7" t="s">
        <v>5666</v>
      </c>
      <c r="AR353" s="7" t="str">
        <f>_xlfn.XLOOKUP(C353,Sheet1!A:A,Sheet1!B:B, "Other")</f>
        <v>North America</v>
      </c>
      <c r="AS353" t="str">
        <f>_xlfn.XLOOKUP(D353,Sheet1!D:D,Sheet1!E:E)</f>
        <v>Telecommunications and media</v>
      </c>
    </row>
    <row r="354" spans="1:45" ht="18" customHeight="1">
      <c r="A354" s="7">
        <v>350</v>
      </c>
      <c r="B354" s="7" t="s">
        <v>660</v>
      </c>
      <c r="C354" s="7" t="s">
        <v>207</v>
      </c>
      <c r="D354" s="7" t="s">
        <v>76</v>
      </c>
      <c r="E354" s="7" t="s">
        <v>5665</v>
      </c>
      <c r="F354" s="7" t="s">
        <v>5664</v>
      </c>
      <c r="G354" s="122"/>
      <c r="H354" s="7"/>
      <c r="I354" s="7"/>
      <c r="J354" s="122" t="s">
        <v>1960</v>
      </c>
      <c r="K354" s="7"/>
      <c r="L354" s="127" t="s">
        <v>1960</v>
      </c>
      <c r="M354" s="122" t="s">
        <v>1957</v>
      </c>
      <c r="N354" s="7" t="s">
        <v>5042</v>
      </c>
      <c r="O354" s="7">
        <v>2030</v>
      </c>
      <c r="P354" s="7" cm="1">
        <f t="array" ref="P354">IF(O354="", "", IFERROR(MAX(--_xlfn.TEXTSPLIT(O354,"+")), O354))</f>
        <v>2030</v>
      </c>
      <c r="Q354" s="7">
        <v>2022</v>
      </c>
      <c r="R354" s="126" t="s">
        <v>5662</v>
      </c>
      <c r="S354" s="7" t="s">
        <v>5387</v>
      </c>
      <c r="T354" s="7" t="s">
        <v>5663</v>
      </c>
      <c r="U354" s="7">
        <v>2050</v>
      </c>
      <c r="V354" s="7" cm="1">
        <f t="array" ref="V354">IF(U354="", "", IFERROR(MAX(--_xlfn.TEXTSPLIT(U354,"+")), U354))</f>
        <v>2050</v>
      </c>
      <c r="W354" s="7">
        <v>2022</v>
      </c>
      <c r="X354" s="125" t="s">
        <v>5662</v>
      </c>
      <c r="Y354" s="122" t="s">
        <v>4174</v>
      </c>
      <c r="Z354" s="7" t="s">
        <v>5037</v>
      </c>
      <c r="AA354" s="126" t="s">
        <v>5661</v>
      </c>
      <c r="AB354" s="7">
        <v>2021</v>
      </c>
      <c r="AC354" s="124">
        <v>11341</v>
      </c>
      <c r="AD354" s="7"/>
      <c r="AE354" s="124">
        <v>141921</v>
      </c>
      <c r="AF354" s="7">
        <v>831</v>
      </c>
      <c r="AG354" s="7" t="s">
        <v>5032</v>
      </c>
      <c r="AH354" s="124">
        <f>AC354+AE354</f>
        <v>153262</v>
      </c>
      <c r="AI354" s="124">
        <f>AF354+AH354</f>
        <v>154093</v>
      </c>
      <c r="AJ354" s="7">
        <v>2020</v>
      </c>
      <c r="AK354" s="124">
        <v>14053</v>
      </c>
      <c r="AL354" s="7"/>
      <c r="AM354" s="124">
        <v>155184</v>
      </c>
      <c r="AN354" s="124">
        <v>1375</v>
      </c>
      <c r="AO354" s="124">
        <f>AK354+AM354</f>
        <v>169237</v>
      </c>
      <c r="AP354" s="124">
        <f>AN354+AO354</f>
        <v>170612</v>
      </c>
      <c r="AQ354" s="27" t="s">
        <v>5660</v>
      </c>
      <c r="AR354" s="7" t="str">
        <f>_xlfn.XLOOKUP(C354,Sheet1!A:A,Sheet1!B:B, "Other")</f>
        <v>Asia</v>
      </c>
      <c r="AS354" t="str">
        <f>_xlfn.XLOOKUP(D354,Sheet1!D:D,Sheet1!E:E)</f>
        <v>Financial services</v>
      </c>
    </row>
    <row r="355" spans="1:45" ht="18" customHeight="1">
      <c r="A355" s="7">
        <v>351</v>
      </c>
      <c r="B355" s="7" t="s">
        <v>2449</v>
      </c>
      <c r="C355" s="7" t="s">
        <v>73</v>
      </c>
      <c r="D355" s="7" t="s">
        <v>135</v>
      </c>
      <c r="E355" s="7" t="s">
        <v>5659</v>
      </c>
      <c r="F355" s="7" t="s">
        <v>5658</v>
      </c>
      <c r="G355" s="122"/>
      <c r="H355" s="7"/>
      <c r="I355" s="7"/>
      <c r="J355" s="122" t="s">
        <v>1960</v>
      </c>
      <c r="K355" s="7"/>
      <c r="L355" s="127" t="s">
        <v>1960</v>
      </c>
      <c r="M355" s="122"/>
      <c r="N355" s="7"/>
      <c r="O355" s="7"/>
      <c r="P355" s="7" t="str" cm="1">
        <f t="array" ref="P355">IF(O355="", "", IFERROR(MAX(--_xlfn.TEXTSPLIT(O355,"+")), O355))</f>
        <v/>
      </c>
      <c r="Q355" s="7"/>
      <c r="R355" s="109"/>
      <c r="S355" s="7"/>
      <c r="T355" s="7"/>
      <c r="U355" s="7"/>
      <c r="V355" s="7" t="str" cm="1">
        <f t="array" ref="V355">IF(U355="", "", IFERROR(MAX(--_xlfn.TEXTSPLIT(U355,"+")), U355))</f>
        <v/>
      </c>
      <c r="W355" s="7"/>
      <c r="X355" s="7"/>
      <c r="Y355" s="122"/>
      <c r="Z355" s="7"/>
      <c r="AA355" s="109"/>
      <c r="AB355" s="7" t="s">
        <v>5032</v>
      </c>
      <c r="AC355" s="7"/>
      <c r="AD355" s="7"/>
      <c r="AE355" s="7"/>
      <c r="AF355" s="7"/>
      <c r="AG355" s="7" t="s">
        <v>5032</v>
      </c>
      <c r="AH355" s="7"/>
      <c r="AI355" s="7"/>
      <c r="AJ355" s="7"/>
      <c r="AK355" s="7"/>
      <c r="AL355" s="7"/>
      <c r="AM355" s="7"/>
      <c r="AN355" s="7"/>
      <c r="AO355" s="7"/>
      <c r="AP355" s="7"/>
      <c r="AQ355" s="7"/>
      <c r="AR355" s="7" t="str">
        <f>_xlfn.XLOOKUP(C355,Sheet1!A:A,Sheet1!B:B, "Other")</f>
        <v>Asia</v>
      </c>
      <c r="AS355" t="str">
        <f>_xlfn.XLOOKUP(D355,Sheet1!D:D,Sheet1!E:E)</f>
        <v>Engineering and construction</v>
      </c>
    </row>
    <row r="356" spans="1:45" ht="18" customHeight="1">
      <c r="A356" s="7">
        <v>352</v>
      </c>
      <c r="B356" s="7" t="s">
        <v>802</v>
      </c>
      <c r="C356" s="7" t="s">
        <v>4457</v>
      </c>
      <c r="D356" s="7" t="s">
        <v>186</v>
      </c>
      <c r="E356" s="7" t="s">
        <v>5657</v>
      </c>
      <c r="F356" s="7" t="s">
        <v>5656</v>
      </c>
      <c r="G356" s="122"/>
      <c r="H356" s="7"/>
      <c r="I356" s="7"/>
      <c r="J356" s="122" t="s">
        <v>1960</v>
      </c>
      <c r="K356" s="7"/>
      <c r="L356" s="127" t="s">
        <v>1960</v>
      </c>
      <c r="M356" s="122"/>
      <c r="N356" s="7"/>
      <c r="O356" s="7"/>
      <c r="P356" s="7" t="str" cm="1">
        <f t="array" ref="P356">IF(O356="", "", IFERROR(MAX(--_xlfn.TEXTSPLIT(O356,"+")), O356))</f>
        <v/>
      </c>
      <c r="Q356" s="7"/>
      <c r="R356" s="109"/>
      <c r="S356" s="7" t="s">
        <v>4172</v>
      </c>
      <c r="T356" s="7" t="s">
        <v>4667</v>
      </c>
      <c r="U356" s="7">
        <v>2050</v>
      </c>
      <c r="V356" s="7" cm="1">
        <f t="array" ref="V356">IF(U356="", "", IFERROR(MAX(--_xlfn.TEXTSPLIT(U356,"+")), U356))</f>
        <v>2050</v>
      </c>
      <c r="W356" s="7">
        <v>2023</v>
      </c>
      <c r="X356" s="125" t="s">
        <v>5654</v>
      </c>
      <c r="Y356" s="122" t="s">
        <v>4174</v>
      </c>
      <c r="Z356" s="7" t="s">
        <v>5037</v>
      </c>
      <c r="AA356" s="126" t="s">
        <v>5655</v>
      </c>
      <c r="AB356" s="7">
        <v>2021</v>
      </c>
      <c r="AC356" s="124">
        <v>9489</v>
      </c>
      <c r="AD356" s="7"/>
      <c r="AE356" s="124">
        <v>450700</v>
      </c>
      <c r="AF356" s="124">
        <v>580031</v>
      </c>
      <c r="AG356" s="7" t="s">
        <v>5032</v>
      </c>
      <c r="AH356" s="124">
        <v>460189</v>
      </c>
      <c r="AI356" s="124">
        <f>AH356+AF356</f>
        <v>1040220</v>
      </c>
      <c r="AJ356" s="7">
        <v>2020</v>
      </c>
      <c r="AK356" s="124">
        <v>10300</v>
      </c>
      <c r="AL356" s="7"/>
      <c r="AM356" s="124">
        <v>419277</v>
      </c>
      <c r="AN356" s="124">
        <v>1577176</v>
      </c>
      <c r="AO356" s="124">
        <f>AK356+AM356</f>
        <v>429577</v>
      </c>
      <c r="AP356" s="124">
        <f>AN356+AO356</f>
        <v>2006753</v>
      </c>
      <c r="AQ356" s="27" t="s">
        <v>5654</v>
      </c>
      <c r="AR356" s="7" t="str">
        <f>_xlfn.XLOOKUP(C356,Sheet1!A:A,Sheet1!B:B, "Other")</f>
        <v>North America</v>
      </c>
      <c r="AS356" t="str">
        <f>_xlfn.XLOOKUP(D356,Sheet1!D:D,Sheet1!E:E)</f>
        <v>Technology</v>
      </c>
    </row>
    <row r="357" spans="1:45" ht="18" customHeight="1">
      <c r="A357" s="7">
        <v>353</v>
      </c>
      <c r="B357" s="7" t="s">
        <v>86</v>
      </c>
      <c r="C357" s="7" t="s">
        <v>87</v>
      </c>
      <c r="D357" s="7" t="s">
        <v>91</v>
      </c>
      <c r="E357" s="7" t="s">
        <v>5653</v>
      </c>
      <c r="F357" s="7" t="s">
        <v>5652</v>
      </c>
      <c r="G357" s="122"/>
      <c r="H357" s="7"/>
      <c r="I357" s="7"/>
      <c r="J357" s="122" t="s">
        <v>1960</v>
      </c>
      <c r="K357" s="7"/>
      <c r="L357" s="127" t="s">
        <v>1960</v>
      </c>
      <c r="M357" s="122"/>
      <c r="N357" s="7"/>
      <c r="O357" s="7"/>
      <c r="P357" s="7" t="str" cm="1">
        <f t="array" ref="P357">IF(O357="", "", IFERROR(MAX(--_xlfn.TEXTSPLIT(O357,"+")), O357))</f>
        <v/>
      </c>
      <c r="Q357" s="7"/>
      <c r="R357" s="109"/>
      <c r="S357" s="7"/>
      <c r="T357" s="7"/>
      <c r="U357" s="7"/>
      <c r="V357" s="7" t="str" cm="1">
        <f t="array" ref="V357">IF(U357="", "", IFERROR(MAX(--_xlfn.TEXTSPLIT(U357,"+")), U357))</f>
        <v/>
      </c>
      <c r="W357" s="7"/>
      <c r="X357" s="7"/>
      <c r="Y357" s="122"/>
      <c r="Z357" s="7"/>
      <c r="AA357" s="126"/>
      <c r="AB357" s="7" t="s">
        <v>5032</v>
      </c>
      <c r="AC357" s="7"/>
      <c r="AD357" s="7"/>
      <c r="AE357" s="7"/>
      <c r="AF357" s="7"/>
      <c r="AG357" s="7" t="s">
        <v>5032</v>
      </c>
      <c r="AH357" s="7"/>
      <c r="AI357" s="7"/>
      <c r="AJ357" s="7"/>
      <c r="AK357" s="7"/>
      <c r="AL357" s="7"/>
      <c r="AM357" s="7"/>
      <c r="AN357" s="7"/>
      <c r="AO357" s="7"/>
      <c r="AP357" s="7"/>
      <c r="AQ357" s="7"/>
      <c r="AR357" s="7" t="str">
        <f>_xlfn.XLOOKUP(C357,Sheet1!A:A,Sheet1!B:B, "Other")</f>
        <v>Asia</v>
      </c>
      <c r="AS357" t="str">
        <f>_xlfn.XLOOKUP(D357,Sheet1!D:D,Sheet1!E:E)</f>
        <v>Retail</v>
      </c>
    </row>
    <row r="358" spans="1:45" ht="18" customHeight="1">
      <c r="A358" s="7">
        <v>354</v>
      </c>
      <c r="B358" s="7" t="s">
        <v>1023</v>
      </c>
      <c r="C358" s="7" t="s">
        <v>146</v>
      </c>
      <c r="D358" s="7" t="s">
        <v>76</v>
      </c>
      <c r="E358" s="7" t="s">
        <v>5651</v>
      </c>
      <c r="F358" s="7" t="s">
        <v>5650</v>
      </c>
      <c r="G358" s="122" t="s">
        <v>4174</v>
      </c>
      <c r="H358" s="7">
        <v>2025</v>
      </c>
      <c r="I358" s="7">
        <v>2022</v>
      </c>
      <c r="J358" s="122"/>
      <c r="K358" s="7"/>
      <c r="L358" s="127"/>
      <c r="M358" s="122"/>
      <c r="N358" s="7"/>
      <c r="O358" s="7"/>
      <c r="P358" s="7" t="str" cm="1">
        <f t="array" ref="P358">IF(O358="", "", IFERROR(MAX(--_xlfn.TEXTSPLIT(O358,"+")), O358))</f>
        <v/>
      </c>
      <c r="Q358" s="7"/>
      <c r="R358" s="126"/>
      <c r="S358" s="7" t="s">
        <v>1957</v>
      </c>
      <c r="T358" s="7" t="s">
        <v>5131</v>
      </c>
      <c r="U358" s="7">
        <v>2050</v>
      </c>
      <c r="V358" s="7" cm="1">
        <f t="array" ref="V358">IF(U358="", "", IFERROR(MAX(--_xlfn.TEXTSPLIT(U358,"+")), U358))</f>
        <v>2050</v>
      </c>
      <c r="W358" s="7">
        <v>2021</v>
      </c>
      <c r="X358" s="125" t="s">
        <v>4663</v>
      </c>
      <c r="Y358" s="122" t="s">
        <v>4174</v>
      </c>
      <c r="Z358" s="7" t="s">
        <v>5037</v>
      </c>
      <c r="AA358" s="126" t="s">
        <v>5649</v>
      </c>
      <c r="AB358" s="7">
        <v>2022</v>
      </c>
      <c r="AC358" s="124">
        <v>25110</v>
      </c>
      <c r="AD358" s="7"/>
      <c r="AE358" s="124">
        <v>30751</v>
      </c>
      <c r="AF358" s="124">
        <v>18438</v>
      </c>
      <c r="AG358" s="7" t="s">
        <v>5032</v>
      </c>
      <c r="AH358" s="124">
        <f>AC358+AE358</f>
        <v>55861</v>
      </c>
      <c r="AI358" s="124">
        <f>AF358+AH358</f>
        <v>74299</v>
      </c>
      <c r="AJ358" s="7">
        <v>2021</v>
      </c>
      <c r="AK358" s="124">
        <v>31122</v>
      </c>
      <c r="AL358" s="7"/>
      <c r="AM358" s="124">
        <v>36331</v>
      </c>
      <c r="AN358" s="124">
        <v>5444</v>
      </c>
      <c r="AO358" s="124">
        <f>AK358+AM358</f>
        <v>67453</v>
      </c>
      <c r="AP358" s="124">
        <f>AN358+AO358</f>
        <v>72897</v>
      </c>
      <c r="AQ358" s="27" t="s">
        <v>5648</v>
      </c>
      <c r="AR358" s="7" t="str">
        <f>_xlfn.XLOOKUP(C358,Sheet1!A:A,Sheet1!B:B, "Other")</f>
        <v>Europe</v>
      </c>
      <c r="AS358" t="str">
        <f>_xlfn.XLOOKUP(D358,Sheet1!D:D,Sheet1!E:E)</f>
        <v>Financial services</v>
      </c>
    </row>
    <row r="359" spans="1:45" ht="18" customHeight="1">
      <c r="A359" s="7">
        <v>355</v>
      </c>
      <c r="B359" s="7" t="s">
        <v>1240</v>
      </c>
      <c r="C359" s="7" t="s">
        <v>267</v>
      </c>
      <c r="D359" s="7" t="s">
        <v>461</v>
      </c>
      <c r="E359" s="7" t="s">
        <v>5647</v>
      </c>
      <c r="F359" s="7" t="s">
        <v>5646</v>
      </c>
      <c r="G359" s="122" t="s">
        <v>4174</v>
      </c>
      <c r="H359" s="7">
        <v>2030</v>
      </c>
      <c r="I359" s="7">
        <v>2017</v>
      </c>
      <c r="J359" s="122" t="s">
        <v>4183</v>
      </c>
      <c r="K359" s="7">
        <v>2030</v>
      </c>
      <c r="L359" s="127">
        <v>2022</v>
      </c>
      <c r="M359" s="122"/>
      <c r="N359" s="7"/>
      <c r="O359" s="7"/>
      <c r="P359" s="7" t="str" cm="1">
        <f t="array" ref="P359">IF(O359="", "", IFERROR(MAX(--_xlfn.TEXTSPLIT(O359,"+")), O359))</f>
        <v/>
      </c>
      <c r="Q359" s="7"/>
      <c r="R359" s="109"/>
      <c r="S359" s="7" t="s">
        <v>4504</v>
      </c>
      <c r="T359" s="7" t="s">
        <v>5618</v>
      </c>
      <c r="U359" s="7" t="s">
        <v>4571</v>
      </c>
      <c r="V359" s="7" cm="1">
        <f t="array" ref="V359">IF(U359="", "", IFERROR(MAX(--_xlfn.TEXTSPLIT(U359,"+")), U359))</f>
        <v>2040</v>
      </c>
      <c r="W359" s="7">
        <v>2020</v>
      </c>
      <c r="X359" s="7" t="s">
        <v>5645</v>
      </c>
      <c r="Y359" s="122" t="s">
        <v>4174</v>
      </c>
      <c r="Z359" s="7" t="s">
        <v>5644</v>
      </c>
      <c r="AA359" s="109" t="s">
        <v>5643</v>
      </c>
      <c r="AB359" s="7">
        <v>2022</v>
      </c>
      <c r="AC359" s="124">
        <v>131809</v>
      </c>
      <c r="AD359" s="124">
        <v>1002189</v>
      </c>
      <c r="AE359" s="124">
        <v>221537</v>
      </c>
      <c r="AF359" s="124">
        <v>1930051</v>
      </c>
      <c r="AG359" s="7" t="s">
        <v>4174</v>
      </c>
      <c r="AH359" s="124">
        <f>AC359+AE359</f>
        <v>353346</v>
      </c>
      <c r="AI359" s="124">
        <f>AF359+AH359</f>
        <v>2283397</v>
      </c>
      <c r="AJ359" s="7">
        <v>2021</v>
      </c>
      <c r="AK359" s="124">
        <v>183231</v>
      </c>
      <c r="AL359" s="124">
        <v>1212173</v>
      </c>
      <c r="AM359" s="124">
        <v>353506</v>
      </c>
      <c r="AN359" s="124">
        <v>2072159</v>
      </c>
      <c r="AO359" s="124">
        <f>AK359+AM359</f>
        <v>536737</v>
      </c>
      <c r="AP359" s="124">
        <f>AN359+AO359</f>
        <v>2608896</v>
      </c>
      <c r="AQ359" s="7" t="s">
        <v>5642</v>
      </c>
      <c r="AR359" s="7" t="str">
        <f>_xlfn.XLOOKUP(C359,Sheet1!A:A,Sheet1!B:B, "Other")</f>
        <v>Europe</v>
      </c>
      <c r="AS359" t="str">
        <f>_xlfn.XLOOKUP(D359,Sheet1!D:D,Sheet1!E:E)</f>
        <v>Telecommunications and media</v>
      </c>
    </row>
    <row r="360" spans="1:45" ht="18" customHeight="1">
      <c r="A360" s="7">
        <v>356</v>
      </c>
      <c r="B360" s="7" t="s">
        <v>3638</v>
      </c>
      <c r="C360" s="7" t="s">
        <v>73</v>
      </c>
      <c r="D360" s="7" t="s">
        <v>138</v>
      </c>
      <c r="E360" s="7" t="s">
        <v>5641</v>
      </c>
      <c r="F360" s="7" t="s">
        <v>5640</v>
      </c>
      <c r="G360" s="122"/>
      <c r="H360" s="7"/>
      <c r="I360" s="7"/>
      <c r="J360" s="122" t="s">
        <v>1960</v>
      </c>
      <c r="K360" s="7"/>
      <c r="L360" s="127" t="s">
        <v>1960</v>
      </c>
      <c r="M360" s="122"/>
      <c r="N360" s="7"/>
      <c r="O360" s="7"/>
      <c r="P360" s="7" t="str" cm="1">
        <f t="array" ref="P360">IF(O360="", "", IFERROR(MAX(--_xlfn.TEXTSPLIT(O360,"+")), O360))</f>
        <v/>
      </c>
      <c r="Q360" s="7"/>
      <c r="R360" s="109"/>
      <c r="S360" s="7"/>
      <c r="T360" s="7"/>
      <c r="U360" s="7"/>
      <c r="V360" s="7" t="str" cm="1">
        <f t="array" ref="V360">IF(U360="", "", IFERROR(MAX(--_xlfn.TEXTSPLIT(U360,"+")), U360))</f>
        <v/>
      </c>
      <c r="W360" s="7"/>
      <c r="X360" s="7"/>
      <c r="Y360" s="122"/>
      <c r="Z360" s="7"/>
      <c r="AA360" s="109"/>
      <c r="AB360" s="7" t="s">
        <v>5032</v>
      </c>
      <c r="AC360" s="7"/>
      <c r="AD360" s="7"/>
      <c r="AE360" s="7"/>
      <c r="AF360" s="7"/>
      <c r="AG360" s="7" t="s">
        <v>5032</v>
      </c>
      <c r="AH360" s="7"/>
      <c r="AI360" s="7"/>
      <c r="AJ360" s="7"/>
      <c r="AK360" s="7"/>
      <c r="AL360" s="7"/>
      <c r="AM360" s="7"/>
      <c r="AN360" s="7"/>
      <c r="AO360" s="7"/>
      <c r="AP360" s="7"/>
      <c r="AQ360" s="7"/>
      <c r="AR360" s="7" t="str">
        <f>_xlfn.XLOOKUP(C360,Sheet1!A:A,Sheet1!B:B, "Other")</f>
        <v>Asia</v>
      </c>
      <c r="AS360" t="str">
        <f>_xlfn.XLOOKUP(D360,Sheet1!D:D,Sheet1!E:E)</f>
        <v>Oil and gas</v>
      </c>
    </row>
    <row r="361" spans="1:45" ht="18" customHeight="1">
      <c r="A361" s="7">
        <v>357</v>
      </c>
      <c r="B361" s="7" t="s">
        <v>1006</v>
      </c>
      <c r="C361" s="7" t="s">
        <v>207</v>
      </c>
      <c r="D361" s="7" t="s">
        <v>461</v>
      </c>
      <c r="E361" s="7" t="s">
        <v>5639</v>
      </c>
      <c r="F361" s="7" t="s">
        <v>5638</v>
      </c>
      <c r="G361" s="122" t="s">
        <v>4174</v>
      </c>
      <c r="H361" s="7">
        <v>2050</v>
      </c>
      <c r="I361" s="7">
        <v>2023</v>
      </c>
      <c r="J361" s="122" t="s">
        <v>4183</v>
      </c>
      <c r="K361" s="7">
        <v>2030</v>
      </c>
      <c r="L361" s="127">
        <v>2022</v>
      </c>
      <c r="M361" s="122" t="s">
        <v>1957</v>
      </c>
      <c r="N361" s="7" t="s">
        <v>5042</v>
      </c>
      <c r="O361" s="7">
        <v>2030</v>
      </c>
      <c r="P361" s="7" cm="1">
        <f t="array" ref="P361">IF(O361="", "", IFERROR(MAX(--_xlfn.TEXTSPLIT(O361,"+")), O361))</f>
        <v>2030</v>
      </c>
      <c r="Q361" s="7">
        <v>2022</v>
      </c>
      <c r="R361" s="109" t="s">
        <v>5636</v>
      </c>
      <c r="S361" s="7" t="s">
        <v>4172</v>
      </c>
      <c r="T361" s="7" t="s">
        <v>5637</v>
      </c>
      <c r="U361" s="7">
        <v>2050</v>
      </c>
      <c r="V361" s="7" cm="1">
        <f t="array" ref="V361">IF(U361="", "", IFERROR(MAX(--_xlfn.TEXTSPLIT(U361,"+")), U361))</f>
        <v>2050</v>
      </c>
      <c r="W361" s="7">
        <v>2022</v>
      </c>
      <c r="X361" s="125" t="s">
        <v>5636</v>
      </c>
      <c r="Y361" s="122" t="s">
        <v>4174</v>
      </c>
      <c r="Z361" s="7" t="s">
        <v>5635</v>
      </c>
      <c r="AA361" s="109" t="s">
        <v>5634</v>
      </c>
      <c r="AB361" s="7">
        <v>2022</v>
      </c>
      <c r="AC361" s="7">
        <v>7962</v>
      </c>
      <c r="AD361" s="7"/>
      <c r="AE361" s="7">
        <v>1078552</v>
      </c>
      <c r="AF361" s="7">
        <v>5060794</v>
      </c>
      <c r="AG361" s="7" t="s">
        <v>4174</v>
      </c>
      <c r="AH361" s="7">
        <f>AC361+AE361</f>
        <v>1086514</v>
      </c>
      <c r="AI361" s="7">
        <f>AH361+AF361</f>
        <v>6147308</v>
      </c>
      <c r="AJ361" s="7">
        <v>2021</v>
      </c>
      <c r="AK361" s="7">
        <v>5746</v>
      </c>
      <c r="AL361" s="7"/>
      <c r="AM361" s="7">
        <v>1049105</v>
      </c>
      <c r="AN361" s="7">
        <v>5390054</v>
      </c>
      <c r="AO361" s="7">
        <f>AK361+AM361</f>
        <v>1054851</v>
      </c>
      <c r="AP361" s="7">
        <f>AO361+AN361</f>
        <v>6444905</v>
      </c>
      <c r="AQ361" s="7" t="s">
        <v>5634</v>
      </c>
      <c r="AR361" s="7" t="str">
        <f>_xlfn.XLOOKUP(C361,Sheet1!A:A,Sheet1!B:B, "Other")</f>
        <v>Asia</v>
      </c>
      <c r="AS361" t="str">
        <f>_xlfn.XLOOKUP(D361,Sheet1!D:D,Sheet1!E:E)</f>
        <v>Telecommunications and media</v>
      </c>
    </row>
    <row r="362" spans="1:45" ht="18" customHeight="1">
      <c r="A362" s="7">
        <v>358</v>
      </c>
      <c r="B362" s="7" t="s">
        <v>1027</v>
      </c>
      <c r="C362" s="7" t="s">
        <v>287</v>
      </c>
      <c r="D362" s="7" t="s">
        <v>76</v>
      </c>
      <c r="E362" s="7" t="s">
        <v>5633</v>
      </c>
      <c r="F362" s="7" t="s">
        <v>5632</v>
      </c>
      <c r="G362" s="122" t="s">
        <v>4174</v>
      </c>
      <c r="H362" s="7">
        <v>2022</v>
      </c>
      <c r="I362" s="7">
        <v>2019</v>
      </c>
      <c r="J362" s="122" t="s">
        <v>1957</v>
      </c>
      <c r="K362" s="7"/>
      <c r="L362" s="127">
        <v>2019</v>
      </c>
      <c r="M362" s="122" t="s">
        <v>1957</v>
      </c>
      <c r="N362" s="7" t="s">
        <v>4492</v>
      </c>
      <c r="O362" s="7">
        <v>2014</v>
      </c>
      <c r="P362" s="7" cm="1">
        <f t="array" ref="P362">IF(O362="", "", IFERROR(MAX(--_xlfn.TEXTSPLIT(O362,"+")), O362))</f>
        <v>2014</v>
      </c>
      <c r="Q362" s="7">
        <v>2014</v>
      </c>
      <c r="R362" s="109" t="s">
        <v>5631</v>
      </c>
      <c r="S362" s="7" t="s">
        <v>5387</v>
      </c>
      <c r="T362" s="7" t="s">
        <v>1659</v>
      </c>
      <c r="U362" s="7" t="s">
        <v>4502</v>
      </c>
      <c r="V362" s="7" cm="1">
        <f t="array" ref="V362">IF(U362="", "", IFERROR(MAX(--_xlfn.TEXTSPLIT(U362,"+")), U362))</f>
        <v>2050</v>
      </c>
      <c r="W362" s="7">
        <v>2022</v>
      </c>
      <c r="X362" s="7" t="s">
        <v>4833</v>
      </c>
      <c r="Y362" s="122" t="s">
        <v>4174</v>
      </c>
      <c r="Z362" s="7" t="s">
        <v>5630</v>
      </c>
      <c r="AA362" s="109" t="s">
        <v>5629</v>
      </c>
      <c r="AB362" s="7">
        <v>2021</v>
      </c>
      <c r="AC362" s="7"/>
      <c r="AD362" s="7"/>
      <c r="AE362" s="7"/>
      <c r="AF362" s="7">
        <v>27131</v>
      </c>
      <c r="AG362" s="7" t="s">
        <v>5032</v>
      </c>
      <c r="AH362" s="7">
        <v>21424</v>
      </c>
      <c r="AI362" s="7">
        <f>AF362+AH362</f>
        <v>48555</v>
      </c>
      <c r="AJ362" s="7">
        <v>2020</v>
      </c>
      <c r="AK362" s="7"/>
      <c r="AL362" s="7"/>
      <c r="AM362" s="7"/>
      <c r="AN362" s="7">
        <v>43766</v>
      </c>
      <c r="AO362" s="7">
        <v>28262</v>
      </c>
      <c r="AP362" s="7">
        <f>AO362+AN362</f>
        <v>72028</v>
      </c>
      <c r="AQ362" s="7" t="s">
        <v>4833</v>
      </c>
      <c r="AR362" s="7" t="str">
        <f>_xlfn.XLOOKUP(C362,Sheet1!A:A,Sheet1!B:B, "Other")</f>
        <v>Europe</v>
      </c>
      <c r="AS362" t="str">
        <f>_xlfn.XLOOKUP(D362,Sheet1!D:D,Sheet1!E:E)</f>
        <v>Financial services</v>
      </c>
    </row>
    <row r="363" spans="1:45" ht="18" customHeight="1">
      <c r="A363" s="7">
        <v>359</v>
      </c>
      <c r="B363" s="7" t="s">
        <v>231</v>
      </c>
      <c r="C363" s="7" t="s">
        <v>73</v>
      </c>
      <c r="D363" s="7" t="s">
        <v>71</v>
      </c>
      <c r="E363" s="7" t="s">
        <v>5628</v>
      </c>
      <c r="F363" s="7" t="s">
        <v>5627</v>
      </c>
      <c r="G363" s="122"/>
      <c r="H363" s="7"/>
      <c r="I363" s="7"/>
      <c r="J363" s="122" t="s">
        <v>1960</v>
      </c>
      <c r="K363" s="7"/>
      <c r="L363" s="127" t="s">
        <v>1960</v>
      </c>
      <c r="M363" s="122"/>
      <c r="N363" s="7"/>
      <c r="O363" s="7"/>
      <c r="P363" s="7" t="str" cm="1">
        <f t="array" ref="P363">IF(O363="", "", IFERROR(MAX(--_xlfn.TEXTSPLIT(O363,"+")), O363))</f>
        <v/>
      </c>
      <c r="Q363" s="7"/>
      <c r="R363" s="109"/>
      <c r="S363" s="7"/>
      <c r="T363" s="7"/>
      <c r="U363" s="7"/>
      <c r="V363" s="7" t="str" cm="1">
        <f t="array" ref="V363">IF(U363="", "", IFERROR(MAX(--_xlfn.TEXTSPLIT(U363,"+")), U363))</f>
        <v/>
      </c>
      <c r="W363" s="7"/>
      <c r="X363" s="7"/>
      <c r="Y363" s="122"/>
      <c r="Z363" s="7"/>
      <c r="AA363" s="109"/>
      <c r="AB363" s="7" t="s">
        <v>5032</v>
      </c>
      <c r="AC363" s="7"/>
      <c r="AD363" s="7"/>
      <c r="AE363" s="7"/>
      <c r="AF363" s="7"/>
      <c r="AG363" s="7" t="s">
        <v>5032</v>
      </c>
      <c r="AH363" s="7"/>
      <c r="AI363" s="7"/>
      <c r="AJ363" s="7"/>
      <c r="AK363" s="7"/>
      <c r="AL363" s="7"/>
      <c r="AM363" s="7"/>
      <c r="AN363" s="7"/>
      <c r="AO363" s="7"/>
      <c r="AP363" s="7"/>
      <c r="AQ363" s="7"/>
      <c r="AR363" s="7" t="str">
        <f>_xlfn.XLOOKUP(C363,Sheet1!A:A,Sheet1!B:B, "Other")</f>
        <v>Asia</v>
      </c>
      <c r="AS363" t="str">
        <f>_xlfn.XLOOKUP(D363,Sheet1!D:D,Sheet1!E:E)</f>
        <v>Energy and utilities</v>
      </c>
    </row>
    <row r="364" spans="1:45" ht="18" customHeight="1">
      <c r="A364" s="7">
        <v>360</v>
      </c>
      <c r="B364" s="7" t="s">
        <v>213</v>
      </c>
      <c r="C364" s="7" t="s">
        <v>73</v>
      </c>
      <c r="D364" s="7" t="s">
        <v>186</v>
      </c>
      <c r="E364" s="7" t="s">
        <v>5626</v>
      </c>
      <c r="F364" s="7" t="s">
        <v>5625</v>
      </c>
      <c r="G364" s="122"/>
      <c r="H364" s="7"/>
      <c r="I364" s="7"/>
      <c r="J364" s="122" t="s">
        <v>1960</v>
      </c>
      <c r="K364" s="7"/>
      <c r="L364" s="127" t="s">
        <v>1960</v>
      </c>
      <c r="M364" s="122"/>
      <c r="N364" s="7"/>
      <c r="O364" s="7"/>
      <c r="P364" s="7" t="str" cm="1">
        <f t="array" ref="P364">IF(O364="", "", IFERROR(MAX(--_xlfn.TEXTSPLIT(O364,"+")), O364))</f>
        <v/>
      </c>
      <c r="Q364" s="7"/>
      <c r="R364" s="109"/>
      <c r="S364" s="7"/>
      <c r="T364" s="7"/>
      <c r="U364" s="7"/>
      <c r="V364" s="7" t="str" cm="1">
        <f t="array" ref="V364">IF(U364="", "", IFERROR(MAX(--_xlfn.TEXTSPLIT(U364,"+")), U364))</f>
        <v/>
      </c>
      <c r="W364" s="7"/>
      <c r="X364" s="7"/>
      <c r="Y364" s="122"/>
      <c r="Z364" s="7"/>
      <c r="AA364" s="109"/>
      <c r="AB364" s="7">
        <v>2022</v>
      </c>
      <c r="AC364" s="123">
        <v>7122.6</v>
      </c>
      <c r="AD364" s="7"/>
      <c r="AE364" s="123">
        <v>78620.009999999995</v>
      </c>
      <c r="AF364" s="7"/>
      <c r="AG364" s="7" t="s">
        <v>5032</v>
      </c>
      <c r="AH364" s="7">
        <f>AC364+AE364</f>
        <v>85742.61</v>
      </c>
      <c r="AI364" s="7">
        <f>AH364</f>
        <v>85742.61</v>
      </c>
      <c r="AJ364" s="7">
        <v>2021</v>
      </c>
      <c r="AK364" s="123">
        <v>9096.9500000000007</v>
      </c>
      <c r="AL364" s="123"/>
      <c r="AM364" s="123">
        <v>73723.210000000006</v>
      </c>
      <c r="AN364" s="123">
        <v>12368223.289999999</v>
      </c>
      <c r="AO364" s="7">
        <f>AK364+AM364</f>
        <v>82820.160000000003</v>
      </c>
      <c r="AP364" s="7">
        <f>AO364+AN364</f>
        <v>12451043.449999999</v>
      </c>
      <c r="AQ364" s="7" t="s">
        <v>5624</v>
      </c>
      <c r="AR364" s="7" t="str">
        <f>_xlfn.XLOOKUP(C364,Sheet1!A:A,Sheet1!B:B, "Other")</f>
        <v>Asia</v>
      </c>
      <c r="AS364" t="str">
        <f>_xlfn.XLOOKUP(D364,Sheet1!D:D,Sheet1!E:E)</f>
        <v>Technology</v>
      </c>
    </row>
    <row r="365" spans="1:45" ht="18" customHeight="1">
      <c r="A365" s="7">
        <v>361</v>
      </c>
      <c r="B365" s="7" t="s">
        <v>81</v>
      </c>
      <c r="C365" s="7" t="s">
        <v>4457</v>
      </c>
      <c r="D365" s="7" t="s">
        <v>85</v>
      </c>
      <c r="E365" s="7" t="s">
        <v>5623</v>
      </c>
      <c r="F365" s="7" t="s">
        <v>5622</v>
      </c>
      <c r="G365" s="122"/>
      <c r="H365" s="7"/>
      <c r="I365" s="7"/>
      <c r="J365" s="122" t="s">
        <v>1960</v>
      </c>
      <c r="K365" s="7"/>
      <c r="L365" s="127" t="s">
        <v>1960</v>
      </c>
      <c r="M365" s="122"/>
      <c r="N365" s="7"/>
      <c r="O365" s="7"/>
      <c r="P365" s="7" t="str" cm="1">
        <f t="array" ref="P365">IF(O365="", "", IFERROR(MAX(--_xlfn.TEXTSPLIT(O365,"+")), O365))</f>
        <v/>
      </c>
      <c r="Q365" s="7"/>
      <c r="R365" s="109"/>
      <c r="S365" s="7"/>
      <c r="T365" s="7"/>
      <c r="U365" s="7"/>
      <c r="V365" s="7" t="str" cm="1">
        <f t="array" ref="V365">IF(U365="", "", IFERROR(MAX(--_xlfn.TEXTSPLIT(U365,"+")), U365))</f>
        <v/>
      </c>
      <c r="W365" s="7"/>
      <c r="X365" s="125"/>
      <c r="Y365" s="122"/>
      <c r="Z365" s="7"/>
      <c r="AA365" s="126"/>
      <c r="AB365" s="7">
        <v>2022</v>
      </c>
      <c r="AC365" s="7">
        <v>6500000</v>
      </c>
      <c r="AD365" s="7"/>
      <c r="AE365" s="7">
        <v>5000000</v>
      </c>
      <c r="AF365" s="7">
        <v>8800000</v>
      </c>
      <c r="AG365" s="7" t="s">
        <v>5032</v>
      </c>
      <c r="AH365" s="7">
        <f>AC365+AE365</f>
        <v>11500000</v>
      </c>
      <c r="AI365" s="7">
        <f>AF365+AH365</f>
        <v>20300000</v>
      </c>
      <c r="AJ365" s="7">
        <v>2021</v>
      </c>
      <c r="AK365" s="7">
        <v>7100000</v>
      </c>
      <c r="AL365" s="7"/>
      <c r="AM365" s="7">
        <v>5700000</v>
      </c>
      <c r="AN365" s="7">
        <v>7300000</v>
      </c>
      <c r="AO365" s="7">
        <f>AK365+AM365</f>
        <v>12800000</v>
      </c>
      <c r="AP365" s="7">
        <f>AN365+AO365</f>
        <v>20100000</v>
      </c>
      <c r="AQ365" s="27" t="s">
        <v>5621</v>
      </c>
      <c r="AR365" s="7" t="str">
        <f>_xlfn.XLOOKUP(C365,Sheet1!A:A,Sheet1!B:B, "Other")</f>
        <v>North America</v>
      </c>
      <c r="AS365" t="str">
        <f>_xlfn.XLOOKUP(D365,Sheet1!D:D,Sheet1!E:E)</f>
        <v>Industrial goods</v>
      </c>
    </row>
    <row r="366" spans="1:45" ht="18" customHeight="1">
      <c r="A366" s="7">
        <v>362</v>
      </c>
      <c r="B366" s="7" t="s">
        <v>1143</v>
      </c>
      <c r="C366" s="7" t="s">
        <v>146</v>
      </c>
      <c r="D366" s="7" t="s">
        <v>171</v>
      </c>
      <c r="E366" s="7" t="s">
        <v>5620</v>
      </c>
      <c r="F366" s="7" t="s">
        <v>5619</v>
      </c>
      <c r="G366" s="122" t="s">
        <v>4174</v>
      </c>
      <c r="H366" s="7">
        <v>2040</v>
      </c>
      <c r="I366" s="7">
        <v>2020</v>
      </c>
      <c r="J366" s="122" t="s">
        <v>4183</v>
      </c>
      <c r="K366" s="7">
        <v>2030</v>
      </c>
      <c r="L366" s="127">
        <v>2020</v>
      </c>
      <c r="M366" s="122" t="s">
        <v>4504</v>
      </c>
      <c r="N366" s="7" t="s">
        <v>5618</v>
      </c>
      <c r="O366" s="7" t="s">
        <v>4670</v>
      </c>
      <c r="P366" s="7" cm="1">
        <f t="array" ref="P366">IF(O366="", "", IFERROR(MAX(--_xlfn.TEXTSPLIT(O366,"+")), O366))</f>
        <v>2050</v>
      </c>
      <c r="Q366" s="7">
        <v>2020</v>
      </c>
      <c r="R366" s="109" t="s">
        <v>5615</v>
      </c>
      <c r="S366" s="7"/>
      <c r="T366" s="7"/>
      <c r="U366" s="7"/>
      <c r="V366" s="7" t="str" cm="1">
        <f t="array" ref="V366">IF(U366="", "", IFERROR(MAX(--_xlfn.TEXTSPLIT(U366,"+")), U366))</f>
        <v/>
      </c>
      <c r="W366" s="7"/>
      <c r="X366" s="7"/>
      <c r="Y366" s="122" t="s">
        <v>4174</v>
      </c>
      <c r="Z366" s="7" t="s">
        <v>5617</v>
      </c>
      <c r="AA366" s="109" t="s">
        <v>5616</v>
      </c>
      <c r="AB366" s="7">
        <v>2022</v>
      </c>
      <c r="AC366" s="7">
        <v>760000</v>
      </c>
      <c r="AD366" s="7"/>
      <c r="AE366" s="7">
        <v>230000</v>
      </c>
      <c r="AF366" s="7">
        <v>105950000</v>
      </c>
      <c r="AG366" s="7" t="s">
        <v>4174</v>
      </c>
      <c r="AH366" s="7">
        <f>AC366+AE366</f>
        <v>990000</v>
      </c>
      <c r="AI366" s="7">
        <f>AF366+AH366</f>
        <v>106940000</v>
      </c>
      <c r="AJ366" s="7">
        <v>2021</v>
      </c>
      <c r="AK366" s="7">
        <v>820000</v>
      </c>
      <c r="AL366" s="7"/>
      <c r="AM366" s="7">
        <v>230000</v>
      </c>
      <c r="AN366" s="7">
        <v>108890000</v>
      </c>
      <c r="AO366" s="7">
        <f>AK366+AM366</f>
        <v>1050000</v>
      </c>
      <c r="AP366" s="7">
        <f>AN366+AO366</f>
        <v>109940000</v>
      </c>
      <c r="AQ366" s="7" t="s">
        <v>5615</v>
      </c>
      <c r="AR366" s="7" t="str">
        <f>_xlfn.XLOOKUP(C366,Sheet1!A:A,Sheet1!B:B, "Other")</f>
        <v>Europe</v>
      </c>
      <c r="AS366" t="str">
        <f>_xlfn.XLOOKUP(D366,Sheet1!D:D,Sheet1!E:E)</f>
        <v>Automotive</v>
      </c>
    </row>
    <row r="367" spans="1:45" ht="18" customHeight="1">
      <c r="A367" s="7">
        <v>363</v>
      </c>
      <c r="B367" s="7" t="s">
        <v>4275</v>
      </c>
      <c r="C367" s="7" t="s">
        <v>73</v>
      </c>
      <c r="D367" s="7" t="s">
        <v>5091</v>
      </c>
      <c r="E367" s="7" t="s">
        <v>5614</v>
      </c>
      <c r="F367" s="7" t="s">
        <v>5613</v>
      </c>
      <c r="G367" s="122"/>
      <c r="H367" s="7"/>
      <c r="I367" s="7"/>
      <c r="J367" s="122" t="s">
        <v>1960</v>
      </c>
      <c r="K367" s="7"/>
      <c r="L367" s="127" t="s">
        <v>1960</v>
      </c>
      <c r="M367" s="122"/>
      <c r="N367" s="7"/>
      <c r="O367" s="7"/>
      <c r="P367" s="7" t="str" cm="1">
        <f t="array" ref="P367">IF(O367="", "", IFERROR(MAX(--_xlfn.TEXTSPLIT(O367,"+")), O367))</f>
        <v/>
      </c>
      <c r="Q367" s="7"/>
      <c r="R367" s="109"/>
      <c r="S367" s="7"/>
      <c r="T367" s="7"/>
      <c r="U367" s="7"/>
      <c r="V367" s="7" t="str" cm="1">
        <f t="array" ref="V367">IF(U367="", "", IFERROR(MAX(--_xlfn.TEXTSPLIT(U367,"+")), U367))</f>
        <v/>
      </c>
      <c r="W367" s="7"/>
      <c r="X367" s="7"/>
      <c r="Y367" s="122"/>
      <c r="Z367" s="7"/>
      <c r="AA367" s="109"/>
      <c r="AB367" s="7" t="s">
        <v>5032</v>
      </c>
      <c r="AC367" s="7"/>
      <c r="AD367" s="7"/>
      <c r="AE367" s="7"/>
      <c r="AF367" s="7"/>
      <c r="AG367" s="7" t="s">
        <v>5032</v>
      </c>
      <c r="AH367" s="7"/>
      <c r="AI367" s="7"/>
      <c r="AJ367" s="7" t="s">
        <v>5032</v>
      </c>
      <c r="AK367" s="7"/>
      <c r="AL367" s="7"/>
      <c r="AM367" s="7"/>
      <c r="AN367" s="7"/>
      <c r="AO367" s="7"/>
      <c r="AP367" s="7"/>
      <c r="AQ367" s="7"/>
      <c r="AR367" s="7" t="str">
        <f>_xlfn.XLOOKUP(C367,Sheet1!A:A,Sheet1!B:B, "Other")</f>
        <v>Asia</v>
      </c>
      <c r="AS367" t="str">
        <f>_xlfn.XLOOKUP(D367,Sheet1!D:D,Sheet1!E:E)</f>
        <v>Food, beverages and agriculture</v>
      </c>
    </row>
    <row r="368" spans="1:45" ht="18" customHeight="1">
      <c r="A368" s="7">
        <v>364</v>
      </c>
      <c r="B368" s="7" t="s">
        <v>4602</v>
      </c>
      <c r="C368" s="7" t="s">
        <v>287</v>
      </c>
      <c r="D368" s="7" t="s">
        <v>178</v>
      </c>
      <c r="E368" s="7" t="s">
        <v>5612</v>
      </c>
      <c r="F368" s="7" t="s">
        <v>5611</v>
      </c>
      <c r="G368" s="122"/>
      <c r="H368" s="7"/>
      <c r="I368" s="7"/>
      <c r="J368" s="122" t="s">
        <v>4183</v>
      </c>
      <c r="K368" s="7">
        <v>2030</v>
      </c>
      <c r="L368" s="127">
        <v>2021</v>
      </c>
      <c r="M368" s="122"/>
      <c r="N368" s="7"/>
      <c r="O368" s="7"/>
      <c r="P368" s="7" t="str" cm="1">
        <f t="array" ref="P368">IF(O368="", "", IFERROR(MAX(--_xlfn.TEXTSPLIT(O368,"+")), O368))</f>
        <v/>
      </c>
      <c r="Q368" s="7"/>
      <c r="R368" s="109"/>
      <c r="S368" s="7" t="s">
        <v>4172</v>
      </c>
      <c r="T368" s="7" t="s">
        <v>1968</v>
      </c>
      <c r="U368" s="7">
        <v>2050</v>
      </c>
      <c r="V368" s="7" cm="1">
        <f t="array" ref="V368">IF(U368="", "", IFERROR(MAX(--_xlfn.TEXTSPLIT(U368,"+")), U368))</f>
        <v>2050</v>
      </c>
      <c r="W368" s="7">
        <v>2022</v>
      </c>
      <c r="X368" s="125" t="s">
        <v>5610</v>
      </c>
      <c r="Y368" s="122" t="s">
        <v>4174</v>
      </c>
      <c r="Z368" s="7" t="s">
        <v>5609</v>
      </c>
      <c r="AA368" s="126" t="s">
        <v>5608</v>
      </c>
      <c r="AB368" s="7">
        <v>2022</v>
      </c>
      <c r="AC368" s="7">
        <v>181000</v>
      </c>
      <c r="AD368" s="7">
        <v>38000</v>
      </c>
      <c r="AE368" s="7"/>
      <c r="AF368" s="7">
        <v>14006000</v>
      </c>
      <c r="AG368" s="7" t="s">
        <v>5032</v>
      </c>
      <c r="AH368" s="7">
        <f>AC368+AD368</f>
        <v>219000</v>
      </c>
      <c r="AI368" s="7">
        <f>AF368+AH368</f>
        <v>14225000</v>
      </c>
      <c r="AJ368" s="7">
        <v>2021</v>
      </c>
      <c r="AK368" s="7">
        <v>160000</v>
      </c>
      <c r="AL368" s="7">
        <v>80000</v>
      </c>
      <c r="AM368" s="7"/>
      <c r="AN368" s="7">
        <v>16400000</v>
      </c>
      <c r="AO368" s="7">
        <f>AK368+AL368</f>
        <v>240000</v>
      </c>
      <c r="AP368" s="7">
        <f>AN368+AO368</f>
        <v>16640000</v>
      </c>
      <c r="AQ368" s="27" t="s">
        <v>5607</v>
      </c>
      <c r="AR368" s="7" t="str">
        <f>_xlfn.XLOOKUP(C368,Sheet1!A:A,Sheet1!B:B, "Other")</f>
        <v>Europe</v>
      </c>
      <c r="AS368" t="str">
        <f>_xlfn.XLOOKUP(D368,Sheet1!D:D,Sheet1!E:E)</f>
        <v>Transportation and logistics</v>
      </c>
    </row>
    <row r="369" spans="1:45" ht="18" customHeight="1">
      <c r="A369" s="7">
        <v>365</v>
      </c>
      <c r="B369" s="7" t="s">
        <v>680</v>
      </c>
      <c r="C369" s="7" t="s">
        <v>78</v>
      </c>
      <c r="D369" s="7" t="s">
        <v>71</v>
      </c>
      <c r="E369" s="7" t="s">
        <v>5606</v>
      </c>
      <c r="F369" s="7" t="s">
        <v>5605</v>
      </c>
      <c r="G369" s="122"/>
      <c r="H369" s="7"/>
      <c r="I369" s="7"/>
      <c r="J369" s="122" t="s">
        <v>1960</v>
      </c>
      <c r="K369" s="7"/>
      <c r="L369" s="127" t="s">
        <v>1960</v>
      </c>
      <c r="M369" s="122"/>
      <c r="N369" s="7"/>
      <c r="O369" s="7"/>
      <c r="P369" s="7" t="str" cm="1">
        <f t="array" ref="P369">IF(O369="", "", IFERROR(MAX(--_xlfn.TEXTSPLIT(O369,"+")), O369))</f>
        <v/>
      </c>
      <c r="Q369" s="7"/>
      <c r="R369" s="109"/>
      <c r="S369" s="7" t="s">
        <v>1957</v>
      </c>
      <c r="T369" s="7" t="s">
        <v>5604</v>
      </c>
      <c r="U369" s="7">
        <v>2050</v>
      </c>
      <c r="V369" s="7" cm="1">
        <f t="array" ref="V369">IF(U369="", "", IFERROR(MAX(--_xlfn.TEXTSPLIT(U369,"+")), U369))</f>
        <v>2050</v>
      </c>
      <c r="W369" s="7">
        <v>2020</v>
      </c>
      <c r="X369" s="125" t="s">
        <v>5603</v>
      </c>
      <c r="Y369" s="122" t="s">
        <v>4174</v>
      </c>
      <c r="Z369" s="7" t="s">
        <v>5037</v>
      </c>
      <c r="AA369" s="126" t="s">
        <v>5602</v>
      </c>
      <c r="AB369" s="7">
        <v>2022</v>
      </c>
      <c r="AC369" s="124">
        <v>7715000</v>
      </c>
      <c r="AD369" s="124">
        <v>6693000</v>
      </c>
      <c r="AE369" s="124">
        <v>6117000</v>
      </c>
      <c r="AF369" s="124">
        <v>54126000</v>
      </c>
      <c r="AG369" s="7" t="s">
        <v>5032</v>
      </c>
      <c r="AH369" s="124">
        <f>AC369+AE369</f>
        <v>13832000</v>
      </c>
      <c r="AI369" s="124">
        <f>AF369+AH369</f>
        <v>67958000</v>
      </c>
      <c r="AJ369" s="7">
        <v>2021</v>
      </c>
      <c r="AK369" s="124">
        <v>7431000</v>
      </c>
      <c r="AL369" s="124">
        <v>5997000</v>
      </c>
      <c r="AM369" s="7"/>
      <c r="AN369" s="124">
        <v>48512000</v>
      </c>
      <c r="AO369" s="124">
        <f>AK369+AL369</f>
        <v>13428000</v>
      </c>
      <c r="AP369" s="124">
        <f>AN369+AO369</f>
        <v>61940000</v>
      </c>
      <c r="AQ369" s="27" t="s">
        <v>5601</v>
      </c>
      <c r="AR369" s="7" t="str">
        <f>_xlfn.XLOOKUP(C369,Sheet1!A:A,Sheet1!B:B, "Other")</f>
        <v>North America</v>
      </c>
      <c r="AS369" t="str">
        <f>_xlfn.XLOOKUP(D369,Sheet1!D:D,Sheet1!E:E)</f>
        <v>Energy and utilities</v>
      </c>
    </row>
    <row r="370" spans="1:45" ht="18" customHeight="1">
      <c r="A370" s="7">
        <v>366</v>
      </c>
      <c r="B370" s="7" t="s">
        <v>838</v>
      </c>
      <c r="C370" s="7" t="s">
        <v>4457</v>
      </c>
      <c r="D370" s="7" t="s">
        <v>76</v>
      </c>
      <c r="E370" s="7" t="s">
        <v>5600</v>
      </c>
      <c r="F370" s="7" t="s">
        <v>5599</v>
      </c>
      <c r="G370" s="122"/>
      <c r="H370" s="7"/>
      <c r="I370" s="7"/>
      <c r="J370" s="122" t="s">
        <v>1960</v>
      </c>
      <c r="K370" s="7"/>
      <c r="L370" s="127" t="s">
        <v>1960</v>
      </c>
      <c r="M370" s="122"/>
      <c r="N370" s="7"/>
      <c r="O370" s="7"/>
      <c r="P370" s="7" t="str" cm="1">
        <f t="array" ref="P370">IF(O370="", "", IFERROR(MAX(--_xlfn.TEXTSPLIT(O370,"+")), O370))</f>
        <v/>
      </c>
      <c r="Q370" s="7"/>
      <c r="R370" s="109"/>
      <c r="S370" s="7" t="s">
        <v>4504</v>
      </c>
      <c r="T370" s="7" t="s">
        <v>5598</v>
      </c>
      <c r="U370" s="7" t="s">
        <v>4670</v>
      </c>
      <c r="V370" s="7" cm="1">
        <f t="array" ref="V370">IF(U370="", "", IFERROR(MAX(--_xlfn.TEXTSPLIT(U370,"+")), U370))</f>
        <v>2050</v>
      </c>
      <c r="W370" s="7">
        <v>2021</v>
      </c>
      <c r="X370" s="125" t="s">
        <v>5597</v>
      </c>
      <c r="Y370" s="122"/>
      <c r="Z370" s="7"/>
      <c r="AA370" s="126"/>
      <c r="AB370" s="7">
        <v>2021</v>
      </c>
      <c r="AC370" s="7">
        <v>5646</v>
      </c>
      <c r="AD370" s="7"/>
      <c r="AE370" s="7">
        <v>12122</v>
      </c>
      <c r="AF370" s="7">
        <v>10369</v>
      </c>
      <c r="AG370" s="7" t="s">
        <v>5032</v>
      </c>
      <c r="AH370" s="7">
        <f>AC370+AE370</f>
        <v>17768</v>
      </c>
      <c r="AI370" s="7">
        <f>AH370+AF370</f>
        <v>28137</v>
      </c>
      <c r="AJ370" s="7">
        <v>2020</v>
      </c>
      <c r="AK370" s="7">
        <v>5630</v>
      </c>
      <c r="AL370" s="7"/>
      <c r="AM370" s="7">
        <v>13148</v>
      </c>
      <c r="AN370" s="7">
        <v>13678</v>
      </c>
      <c r="AO370" s="7">
        <f>AK370+AM370</f>
        <v>18778</v>
      </c>
      <c r="AP370" s="7">
        <f>AN370+AO370</f>
        <v>32456</v>
      </c>
      <c r="AQ370" s="27" t="s">
        <v>5596</v>
      </c>
      <c r="AR370" s="7" t="str">
        <f>_xlfn.XLOOKUP(C370,Sheet1!A:A,Sheet1!B:B, "Other")</f>
        <v>North America</v>
      </c>
      <c r="AS370" t="str">
        <f>_xlfn.XLOOKUP(D370,Sheet1!D:D,Sheet1!E:E)</f>
        <v>Financial services</v>
      </c>
    </row>
    <row r="371" spans="1:45" ht="18" customHeight="1">
      <c r="A371" s="7">
        <v>367</v>
      </c>
      <c r="B371" s="7" t="s">
        <v>1219</v>
      </c>
      <c r="C371" s="7" t="s">
        <v>146</v>
      </c>
      <c r="D371" s="7" t="s">
        <v>71</v>
      </c>
      <c r="E371" s="7" t="s">
        <v>5595</v>
      </c>
      <c r="F371" s="7" t="s">
        <v>5594</v>
      </c>
      <c r="G371" s="122"/>
      <c r="H371" s="7"/>
      <c r="I371" s="7"/>
      <c r="J371" s="122" t="s">
        <v>4183</v>
      </c>
      <c r="K371" s="7">
        <v>2030</v>
      </c>
      <c r="L371" s="127">
        <v>2020</v>
      </c>
      <c r="M371" s="122" t="s">
        <v>4172</v>
      </c>
      <c r="N371" s="7" t="s">
        <v>1968</v>
      </c>
      <c r="O371" s="7">
        <v>2040</v>
      </c>
      <c r="P371" s="7" cm="1">
        <f t="array" ref="P371">IF(O371="", "", IFERROR(MAX(--_xlfn.TEXTSPLIT(O371,"+")), O371))</f>
        <v>2040</v>
      </c>
      <c r="Q371" s="7">
        <v>2019</v>
      </c>
      <c r="R371" s="126" t="s">
        <v>5593</v>
      </c>
      <c r="S371" s="7"/>
      <c r="T371" s="7"/>
      <c r="U371" s="7"/>
      <c r="V371" s="7" t="str" cm="1">
        <f t="array" ref="V371">IF(U371="", "", IFERROR(MAX(--_xlfn.TEXTSPLIT(U371,"+")), U371))</f>
        <v/>
      </c>
      <c r="W371" s="7"/>
      <c r="X371" s="125"/>
      <c r="Y371" s="122" t="s">
        <v>4174</v>
      </c>
      <c r="Z371" s="7" t="s">
        <v>5303</v>
      </c>
      <c r="AA371" s="126" t="s">
        <v>5592</v>
      </c>
      <c r="AB371" s="7">
        <v>2022</v>
      </c>
      <c r="AC371" s="7">
        <v>70366000</v>
      </c>
      <c r="AD371" s="7">
        <v>2566000</v>
      </c>
      <c r="AE371" s="7"/>
      <c r="AF371" s="7">
        <f>693728+590245+5481594+269190+52153+1828+16118+5466+59539+11708952</f>
        <v>18878813</v>
      </c>
      <c r="AG371" s="7" t="s">
        <v>4174</v>
      </c>
      <c r="AH371" s="7">
        <f>AC371+AD371</f>
        <v>72932000</v>
      </c>
      <c r="AI371" s="7">
        <f>AH371+AF371</f>
        <v>91810813</v>
      </c>
      <c r="AJ371" s="7">
        <v>2021</v>
      </c>
      <c r="AK371" s="7">
        <v>86900000</v>
      </c>
      <c r="AL371" s="7"/>
      <c r="AM371" s="7">
        <v>2700000</v>
      </c>
      <c r="AN371" s="7">
        <v>22700000</v>
      </c>
      <c r="AO371" s="7">
        <f>AK371+AM371</f>
        <v>89600000</v>
      </c>
      <c r="AP371" s="7">
        <f>AO371+AN371</f>
        <v>112300000</v>
      </c>
      <c r="AQ371" s="27" t="s">
        <v>5591</v>
      </c>
      <c r="AR371" s="7" t="str">
        <f>_xlfn.XLOOKUP(C371,Sheet1!A:A,Sheet1!B:B, "Other")</f>
        <v>Europe</v>
      </c>
      <c r="AS371" t="str">
        <f>_xlfn.XLOOKUP(D371,Sheet1!D:D,Sheet1!E:E)</f>
        <v>Energy and utilities</v>
      </c>
    </row>
    <row r="372" spans="1:45" ht="18" customHeight="1">
      <c r="A372" s="7">
        <v>368</v>
      </c>
      <c r="B372" s="7" t="s">
        <v>589</v>
      </c>
      <c r="C372" s="7" t="s">
        <v>73</v>
      </c>
      <c r="D372" s="7" t="s">
        <v>186</v>
      </c>
      <c r="E372" s="7" t="s">
        <v>5590</v>
      </c>
      <c r="F372" s="7" t="s">
        <v>5589</v>
      </c>
      <c r="G372" s="122"/>
      <c r="H372" s="7"/>
      <c r="I372" s="7"/>
      <c r="J372" s="122" t="s">
        <v>1960</v>
      </c>
      <c r="K372" s="7"/>
      <c r="L372" s="127" t="s">
        <v>1960</v>
      </c>
      <c r="M372" s="122"/>
      <c r="N372" s="7"/>
      <c r="O372" s="7"/>
      <c r="P372" s="7" t="str" cm="1">
        <f t="array" ref="P372">IF(O372="", "", IFERROR(MAX(--_xlfn.TEXTSPLIT(O372,"+")), O372))</f>
        <v/>
      </c>
      <c r="Q372" s="7"/>
      <c r="R372" s="109"/>
      <c r="S372" s="7"/>
      <c r="T372" s="7"/>
      <c r="U372" s="7"/>
      <c r="V372" s="7" t="str" cm="1">
        <f t="array" ref="V372">IF(U372="", "", IFERROR(MAX(--_xlfn.TEXTSPLIT(U372,"+")), U372))</f>
        <v/>
      </c>
      <c r="W372" s="7"/>
      <c r="X372" s="7"/>
      <c r="Y372" s="122"/>
      <c r="Z372" s="7"/>
      <c r="AA372" s="109"/>
      <c r="AB372" s="7" t="s">
        <v>5032</v>
      </c>
      <c r="AC372" s="7"/>
      <c r="AD372" s="7"/>
      <c r="AE372" s="7"/>
      <c r="AF372" s="7"/>
      <c r="AG372" s="7" t="s">
        <v>5032</v>
      </c>
      <c r="AH372" s="7"/>
      <c r="AI372" s="7"/>
      <c r="AJ372" s="7" t="s">
        <v>5032</v>
      </c>
      <c r="AK372" s="7"/>
      <c r="AL372" s="7"/>
      <c r="AM372" s="7"/>
      <c r="AN372" s="7"/>
      <c r="AO372" s="7"/>
      <c r="AP372" s="7"/>
      <c r="AQ372" s="7" t="s">
        <v>5588</v>
      </c>
      <c r="AR372" s="7" t="str">
        <f>_xlfn.XLOOKUP(C372,Sheet1!A:A,Sheet1!B:B, "Other")</f>
        <v>Asia</v>
      </c>
      <c r="AS372" t="str">
        <f>_xlfn.XLOOKUP(D372,Sheet1!D:D,Sheet1!E:E)</f>
        <v>Technology</v>
      </c>
    </row>
    <row r="373" spans="1:45" ht="18" customHeight="1">
      <c r="A373" s="7">
        <v>369</v>
      </c>
      <c r="B373" s="7" t="s">
        <v>775</v>
      </c>
      <c r="C373" s="7" t="s">
        <v>4457</v>
      </c>
      <c r="D373" s="7" t="s">
        <v>76</v>
      </c>
      <c r="E373" s="7" t="s">
        <v>5587</v>
      </c>
      <c r="F373" s="7" t="s">
        <v>5586</v>
      </c>
      <c r="G373" s="122"/>
      <c r="H373" s="7"/>
      <c r="I373" s="7"/>
      <c r="J373" s="122" t="s">
        <v>1960</v>
      </c>
      <c r="K373" s="7"/>
      <c r="L373" s="127" t="s">
        <v>1960</v>
      </c>
      <c r="M373" s="122"/>
      <c r="N373" s="7"/>
      <c r="O373" s="7"/>
      <c r="P373" s="7" t="str" cm="1">
        <f t="array" ref="P373">IF(O373="", "", IFERROR(MAX(--_xlfn.TEXTSPLIT(O373,"+")), O373))</f>
        <v/>
      </c>
      <c r="Q373" s="7"/>
      <c r="R373" s="109"/>
      <c r="S373" s="7" t="s">
        <v>5387</v>
      </c>
      <c r="T373" s="7" t="s">
        <v>4604</v>
      </c>
      <c r="U373" s="7" t="s">
        <v>4502</v>
      </c>
      <c r="V373" s="7" cm="1">
        <f t="array" ref="V373">IF(U373="", "", IFERROR(MAX(--_xlfn.TEXTSPLIT(U373,"+")), U373))</f>
        <v>2050</v>
      </c>
      <c r="W373" s="7">
        <v>2021</v>
      </c>
      <c r="X373" s="125" t="s">
        <v>5585</v>
      </c>
      <c r="Y373" s="122" t="s">
        <v>4174</v>
      </c>
      <c r="Z373" s="7" t="s">
        <v>5303</v>
      </c>
      <c r="AA373" s="126" t="s">
        <v>5584</v>
      </c>
      <c r="AB373" s="7">
        <v>2022</v>
      </c>
      <c r="AC373" s="124">
        <v>13566</v>
      </c>
      <c r="AD373" s="124">
        <v>14270</v>
      </c>
      <c r="AE373" s="124">
        <v>10075</v>
      </c>
      <c r="AF373" s="7"/>
      <c r="AG373" s="7" t="s">
        <v>5032</v>
      </c>
      <c r="AH373" s="7">
        <f>AC373+AE373</f>
        <v>23641</v>
      </c>
      <c r="AI373" s="7">
        <f>AH373</f>
        <v>23641</v>
      </c>
      <c r="AJ373" s="7">
        <v>2021</v>
      </c>
      <c r="AK373" s="124">
        <v>10237</v>
      </c>
      <c r="AL373" s="124">
        <v>14960</v>
      </c>
      <c r="AM373" s="124">
        <v>14960</v>
      </c>
      <c r="AN373" s="7"/>
      <c r="AO373" s="124">
        <f>AK373+AM373</f>
        <v>25197</v>
      </c>
      <c r="AP373" s="124">
        <f>AO373</f>
        <v>25197</v>
      </c>
      <c r="AQ373" s="27" t="s">
        <v>5583</v>
      </c>
      <c r="AR373" s="7" t="str">
        <f>_xlfn.XLOOKUP(C373,Sheet1!A:A,Sheet1!B:B, "Other")</f>
        <v>North America</v>
      </c>
      <c r="AS373" t="str">
        <f>_xlfn.XLOOKUP(D373,Sheet1!D:D,Sheet1!E:E)</f>
        <v>Financial services</v>
      </c>
    </row>
    <row r="374" spans="1:45" ht="18" customHeight="1">
      <c r="A374" s="7">
        <v>370</v>
      </c>
      <c r="B374" s="7" t="s">
        <v>512</v>
      </c>
      <c r="C374" s="7" t="s">
        <v>63</v>
      </c>
      <c r="D374" s="7" t="s">
        <v>511</v>
      </c>
      <c r="E374" s="7" t="s">
        <v>5575</v>
      </c>
      <c r="F374" s="7" t="s">
        <v>5582</v>
      </c>
      <c r="G374" s="122"/>
      <c r="H374" s="7"/>
      <c r="I374" s="7"/>
      <c r="J374" s="122" t="s">
        <v>4183</v>
      </c>
      <c r="K374" s="7">
        <v>2025</v>
      </c>
      <c r="L374" s="127">
        <v>2018</v>
      </c>
      <c r="M374" s="122" t="s">
        <v>1957</v>
      </c>
      <c r="N374" s="7" t="s">
        <v>5581</v>
      </c>
      <c r="O374" s="7">
        <v>2025</v>
      </c>
      <c r="P374" s="7" cm="1">
        <f t="array" ref="P374">IF(O374="", "", IFERROR(MAX(--_xlfn.TEXTSPLIT(O374,"+")), O374))</f>
        <v>2025</v>
      </c>
      <c r="Q374" s="7">
        <v>2018</v>
      </c>
      <c r="R374" s="126" t="s">
        <v>5580</v>
      </c>
      <c r="S374" s="7" t="s">
        <v>4172</v>
      </c>
      <c r="T374" s="7" t="s">
        <v>1968</v>
      </c>
      <c r="U374" s="7">
        <v>2050</v>
      </c>
      <c r="V374" s="7" cm="1">
        <f t="array" ref="V374">IF(U374="", "", IFERROR(MAX(--_xlfn.TEXTSPLIT(U374,"+")), U374))</f>
        <v>2050</v>
      </c>
      <c r="W374" s="7">
        <v>2019</v>
      </c>
      <c r="X374" s="125" t="s">
        <v>5579</v>
      </c>
      <c r="Y374" s="122" t="s">
        <v>4174</v>
      </c>
      <c r="Z374" s="7" t="s">
        <v>5578</v>
      </c>
      <c r="AA374" s="126" t="s">
        <v>5577</v>
      </c>
      <c r="AB374" s="7">
        <v>2022</v>
      </c>
      <c r="AC374" s="7">
        <v>19700</v>
      </c>
      <c r="AD374" s="7"/>
      <c r="AE374" s="7">
        <v>5400</v>
      </c>
      <c r="AF374" s="7">
        <v>11245000</v>
      </c>
      <c r="AG374" s="7" t="s">
        <v>4174</v>
      </c>
      <c r="AH374" s="7">
        <v>25100</v>
      </c>
      <c r="AI374" s="7">
        <v>11270100</v>
      </c>
      <c r="AJ374" s="7">
        <v>2021</v>
      </c>
      <c r="AK374" s="7">
        <v>27700</v>
      </c>
      <c r="AL374" s="7"/>
      <c r="AM374" s="7">
        <v>10600</v>
      </c>
      <c r="AN374" s="7"/>
      <c r="AO374" s="7">
        <v>38300</v>
      </c>
      <c r="AP374" s="7">
        <f>AO374</f>
        <v>38300</v>
      </c>
      <c r="AQ374" s="27" t="s">
        <v>5576</v>
      </c>
      <c r="AR374" s="7" t="str">
        <f>_xlfn.XLOOKUP(C374,Sheet1!A:A,Sheet1!B:B, "Other")</f>
        <v>Europe</v>
      </c>
      <c r="AS374" t="str">
        <f>_xlfn.XLOOKUP(D374,Sheet1!D:D,Sheet1!E:E)</f>
        <v>Household and personal products</v>
      </c>
    </row>
    <row r="375" spans="1:45" ht="18" customHeight="1">
      <c r="A375" s="7">
        <v>371</v>
      </c>
      <c r="B375" s="7" t="s">
        <v>113</v>
      </c>
      <c r="C375" s="7" t="s">
        <v>114</v>
      </c>
      <c r="D375" s="7" t="s">
        <v>66</v>
      </c>
      <c r="E375" s="7" t="s">
        <v>5575</v>
      </c>
      <c r="F375" s="7" t="s">
        <v>5574</v>
      </c>
      <c r="G375" s="122"/>
      <c r="H375" s="7"/>
      <c r="I375" s="7"/>
      <c r="J375" s="122" t="s">
        <v>1957</v>
      </c>
      <c r="K375" s="7"/>
      <c r="L375" s="127">
        <v>2022</v>
      </c>
      <c r="M375" s="122" t="s">
        <v>1957</v>
      </c>
      <c r="N375" s="7" t="s">
        <v>3793</v>
      </c>
      <c r="O375" s="7">
        <v>2030</v>
      </c>
      <c r="P375" s="7" cm="1">
        <f t="array" ref="P375">IF(O375="", "", IFERROR(MAX(--_xlfn.TEXTSPLIT(O375,"+")), O375))</f>
        <v>2030</v>
      </c>
      <c r="Q375" s="7">
        <v>2022</v>
      </c>
      <c r="R375" s="126" t="s">
        <v>5572</v>
      </c>
      <c r="S375" s="7" t="s">
        <v>1957</v>
      </c>
      <c r="T375" s="7" t="s">
        <v>109</v>
      </c>
      <c r="U375" s="7">
        <v>2050</v>
      </c>
      <c r="V375" s="7" cm="1">
        <f t="array" ref="V375">IF(U375="", "", IFERROR(MAX(--_xlfn.TEXTSPLIT(U375,"+")), U375))</f>
        <v>2050</v>
      </c>
      <c r="W375" s="7">
        <v>2022</v>
      </c>
      <c r="X375" s="125" t="s">
        <v>5572</v>
      </c>
      <c r="Y375" s="122" t="s">
        <v>4174</v>
      </c>
      <c r="Z375" s="7" t="s">
        <v>5573</v>
      </c>
      <c r="AA375" s="126" t="s">
        <v>5572</v>
      </c>
      <c r="AB375" s="7">
        <v>2022</v>
      </c>
      <c r="AC375" s="7">
        <v>5638675</v>
      </c>
      <c r="AD375" s="7"/>
      <c r="AE375" s="7">
        <v>4404614</v>
      </c>
      <c r="AF375" s="7">
        <v>1213600</v>
      </c>
      <c r="AG375" s="7" t="s">
        <v>4174</v>
      </c>
      <c r="AH375" s="7">
        <f t="shared" ref="AH375:AH380" si="36">AC375+AE375</f>
        <v>10043289</v>
      </c>
      <c r="AI375" s="7">
        <f>AH375+AF375</f>
        <v>11256889</v>
      </c>
      <c r="AJ375" s="7">
        <v>2021</v>
      </c>
      <c r="AK375" s="7">
        <v>5439321</v>
      </c>
      <c r="AL375" s="7"/>
      <c r="AM375" s="7">
        <v>4895882</v>
      </c>
      <c r="AN375" s="7">
        <v>1339125</v>
      </c>
      <c r="AO375" s="7">
        <f>AK375+AM375</f>
        <v>10335203</v>
      </c>
      <c r="AP375" s="7">
        <f>AO375+AN375</f>
        <v>11674328</v>
      </c>
      <c r="AQ375" s="27" t="s">
        <v>5572</v>
      </c>
      <c r="AR375" s="7" t="str">
        <f>_xlfn.XLOOKUP(C375,Sheet1!A:A,Sheet1!B:B, "Other")</f>
        <v>Asia</v>
      </c>
      <c r="AS375" t="str">
        <f>_xlfn.XLOOKUP(D375,Sheet1!D:D,Sheet1!E:E)</f>
        <v>Chemicals</v>
      </c>
    </row>
    <row r="376" spans="1:45" ht="18" customHeight="1">
      <c r="A376" s="7">
        <v>372</v>
      </c>
      <c r="B376" s="7" t="s">
        <v>520</v>
      </c>
      <c r="C376" s="7" t="s">
        <v>114</v>
      </c>
      <c r="D376" s="7" t="s">
        <v>171</v>
      </c>
      <c r="E376" s="7" t="s">
        <v>5571</v>
      </c>
      <c r="F376" s="7" t="s">
        <v>5570</v>
      </c>
      <c r="G376" s="122" t="s">
        <v>4174</v>
      </c>
      <c r="H376" s="7">
        <v>2040</v>
      </c>
      <c r="I376" s="7">
        <v>2022</v>
      </c>
      <c r="J376" s="122" t="s">
        <v>1957</v>
      </c>
      <c r="K376" s="7"/>
      <c r="L376" s="127">
        <v>2021</v>
      </c>
      <c r="M376" s="122"/>
      <c r="N376" s="7"/>
      <c r="O376" s="7"/>
      <c r="P376" s="7" t="str" cm="1">
        <f t="array" ref="P376">IF(O376="", "", IFERROR(MAX(--_xlfn.TEXTSPLIT(O376,"+")), O376))</f>
        <v/>
      </c>
      <c r="Q376" s="7"/>
      <c r="R376" s="126"/>
      <c r="S376" s="7" t="s">
        <v>4504</v>
      </c>
      <c r="T376" s="7" t="s">
        <v>5569</v>
      </c>
      <c r="U376" s="7" t="s">
        <v>5568</v>
      </c>
      <c r="V376" s="7" cm="1">
        <f t="array" ref="V376">IF(U376="", "", IFERROR(MAX(--_xlfn.TEXTSPLIT(U376,"+")), U376))</f>
        <v>2045</v>
      </c>
      <c r="W376" s="7">
        <v>2021</v>
      </c>
      <c r="X376" s="125" t="s">
        <v>5567</v>
      </c>
      <c r="Y376" s="122"/>
      <c r="Z376" s="7"/>
      <c r="AA376" s="126"/>
      <c r="AB376" s="7">
        <v>2022</v>
      </c>
      <c r="AC376" s="124">
        <v>46775</v>
      </c>
      <c r="AD376" s="7"/>
      <c r="AE376" s="124">
        <v>242594</v>
      </c>
      <c r="AF376" s="124">
        <v>22066251</v>
      </c>
      <c r="AG376" s="7" t="s">
        <v>5032</v>
      </c>
      <c r="AH376" s="124">
        <f t="shared" si="36"/>
        <v>289369</v>
      </c>
      <c r="AI376" s="124">
        <f>AF376+AH376</f>
        <v>22355620</v>
      </c>
      <c r="AJ376" s="7">
        <v>2021</v>
      </c>
      <c r="AK376" s="124">
        <v>50947</v>
      </c>
      <c r="AL376" s="7"/>
      <c r="AM376" s="124">
        <v>314208</v>
      </c>
      <c r="AN376" s="124">
        <v>21151023</v>
      </c>
      <c r="AO376" s="124">
        <f>AK376+AM376</f>
        <v>365155</v>
      </c>
      <c r="AP376" s="124">
        <f>AN376+AO376</f>
        <v>21516178</v>
      </c>
      <c r="AQ376" s="27" t="s">
        <v>5566</v>
      </c>
      <c r="AR376" s="7" t="str">
        <f>_xlfn.XLOOKUP(C376,Sheet1!A:A,Sheet1!B:B, "Other")</f>
        <v>Asia</v>
      </c>
      <c r="AS376" t="str">
        <f>_xlfn.XLOOKUP(D376,Sheet1!D:D,Sheet1!E:E)</f>
        <v>Automotive</v>
      </c>
    </row>
    <row r="377" spans="1:45" ht="18" customHeight="1">
      <c r="A377" s="7">
        <v>373</v>
      </c>
      <c r="B377" s="7" t="s">
        <v>4176</v>
      </c>
      <c r="C377" s="7" t="s">
        <v>73</v>
      </c>
      <c r="D377" s="7" t="s">
        <v>85</v>
      </c>
      <c r="E377" s="7" t="s">
        <v>5565</v>
      </c>
      <c r="F377" s="7" t="s">
        <v>5564</v>
      </c>
      <c r="G377" s="122"/>
      <c r="H377" s="7"/>
      <c r="I377" s="7"/>
      <c r="J377" s="122" t="s">
        <v>1960</v>
      </c>
      <c r="K377" s="7"/>
      <c r="L377" s="127" t="s">
        <v>1960</v>
      </c>
      <c r="M377" s="122" t="s">
        <v>1957</v>
      </c>
      <c r="N377" s="7" t="s">
        <v>5131</v>
      </c>
      <c r="O377" s="7">
        <v>2050</v>
      </c>
      <c r="P377" s="7" cm="1">
        <f t="array" ref="P377">IF(O377="", "", IFERROR(MAX(--_xlfn.TEXTSPLIT(O377,"+")), O377))</f>
        <v>2050</v>
      </c>
      <c r="Q377" s="7">
        <v>2023</v>
      </c>
      <c r="R377" s="126" t="s">
        <v>5563</v>
      </c>
      <c r="S377" s="7"/>
      <c r="T377" s="7"/>
      <c r="U377" s="7"/>
      <c r="V377" s="7" t="str" cm="1">
        <f t="array" ref="V377">IF(U377="", "", IFERROR(MAX(--_xlfn.TEXTSPLIT(U377,"+")), U377))</f>
        <v/>
      </c>
      <c r="W377" s="7"/>
      <c r="X377" s="7"/>
      <c r="Y377" s="122" t="s">
        <v>4174</v>
      </c>
      <c r="Z377" s="7" t="s">
        <v>5562</v>
      </c>
      <c r="AA377" s="126" t="s">
        <v>5561</v>
      </c>
      <c r="AB377" s="7">
        <v>2021</v>
      </c>
      <c r="AC377" s="7">
        <v>2790000</v>
      </c>
      <c r="AD377" s="7"/>
      <c r="AE377" s="7">
        <v>4470000</v>
      </c>
      <c r="AF377" s="7"/>
      <c r="AG377" s="7" t="s">
        <v>5032</v>
      </c>
      <c r="AH377" s="7">
        <f t="shared" si="36"/>
        <v>7260000</v>
      </c>
      <c r="AI377" s="7">
        <f>AH377</f>
        <v>7260000</v>
      </c>
      <c r="AJ377" s="7">
        <v>2020</v>
      </c>
      <c r="AK377" s="7">
        <v>2540000</v>
      </c>
      <c r="AL377" s="7"/>
      <c r="AM377" s="7">
        <v>3570000</v>
      </c>
      <c r="AN377" s="7"/>
      <c r="AO377" s="7">
        <f>AK377+AM377</f>
        <v>6110000</v>
      </c>
      <c r="AP377" s="7">
        <f>AO377</f>
        <v>6110000</v>
      </c>
      <c r="AQ377" s="27" t="s">
        <v>5560</v>
      </c>
      <c r="AR377" s="7" t="str">
        <f>_xlfn.XLOOKUP(C377,Sheet1!A:A,Sheet1!B:B, "Other")</f>
        <v>Asia</v>
      </c>
      <c r="AS377" t="str">
        <f>_xlfn.XLOOKUP(D377,Sheet1!D:D,Sheet1!E:E)</f>
        <v>Industrial goods</v>
      </c>
    </row>
    <row r="378" spans="1:45" ht="18" customHeight="1">
      <c r="A378" s="7">
        <v>374</v>
      </c>
      <c r="B378" s="7" t="s">
        <v>5559</v>
      </c>
      <c r="C378" s="7" t="s">
        <v>114</v>
      </c>
      <c r="D378" s="7" t="s">
        <v>71</v>
      </c>
      <c r="E378" s="7" t="s">
        <v>5558</v>
      </c>
      <c r="F378" s="7" t="s">
        <v>5557</v>
      </c>
      <c r="G378" s="122"/>
      <c r="H378" s="7"/>
      <c r="I378" s="7"/>
      <c r="J378" s="122"/>
      <c r="K378" s="7"/>
      <c r="L378" s="127"/>
      <c r="M378" s="122" t="s">
        <v>1957</v>
      </c>
      <c r="N378" s="7" t="s">
        <v>5131</v>
      </c>
      <c r="O378" s="7">
        <v>2045</v>
      </c>
      <c r="P378" s="7" cm="1">
        <f t="array" ref="P378">IF(O378="", "", IFERROR(MAX(--_xlfn.TEXTSPLIT(O378,"+")), O378))</f>
        <v>2045</v>
      </c>
      <c r="Q378" s="7">
        <v>2021</v>
      </c>
      <c r="R378" s="126" t="s">
        <v>5556</v>
      </c>
      <c r="S378" s="7"/>
      <c r="T378" s="7"/>
      <c r="U378" s="7"/>
      <c r="V378" s="7" t="str" cm="1">
        <f t="array" ref="V378">IF(U378="", "", IFERROR(MAX(--_xlfn.TEXTSPLIT(U378,"+")), U378))</f>
        <v/>
      </c>
      <c r="W378" s="7"/>
      <c r="X378" s="7"/>
      <c r="Y378" s="122"/>
      <c r="Z378" s="7"/>
      <c r="AA378" s="109"/>
      <c r="AB378" s="7">
        <v>2021</v>
      </c>
      <c r="AC378" s="124">
        <v>279215</v>
      </c>
      <c r="AD378" s="7"/>
      <c r="AE378" s="124">
        <v>408452</v>
      </c>
      <c r="AF378" s="124">
        <v>115984248</v>
      </c>
      <c r="AG378" s="7" t="s">
        <v>5032</v>
      </c>
      <c r="AH378" s="124">
        <f t="shared" si="36"/>
        <v>687667</v>
      </c>
      <c r="AI378" s="124">
        <f>AF378+AH378</f>
        <v>116671915</v>
      </c>
      <c r="AJ378" s="7">
        <v>2020</v>
      </c>
      <c r="AK378" s="124">
        <v>206510</v>
      </c>
      <c r="AL378" s="7"/>
      <c r="AM378" s="124">
        <v>388752</v>
      </c>
      <c r="AN378" s="124">
        <v>102494723</v>
      </c>
      <c r="AO378" s="124">
        <f>AK378+AM378</f>
        <v>595262</v>
      </c>
      <c r="AP378" s="124">
        <f>AN378+AO378</f>
        <v>103089985</v>
      </c>
      <c r="AQ378" s="27" t="s">
        <v>5556</v>
      </c>
      <c r="AR378" s="7" t="str">
        <f>_xlfn.XLOOKUP(C378,Sheet1!A:A,Sheet1!B:B, "Other")</f>
        <v>Asia</v>
      </c>
      <c r="AS378" t="str">
        <f>_xlfn.XLOOKUP(D378,Sheet1!D:D,Sheet1!E:E)</f>
        <v>Energy and utilities</v>
      </c>
    </row>
    <row r="379" spans="1:45" ht="18" customHeight="1">
      <c r="A379" s="7">
        <v>375</v>
      </c>
      <c r="B379" s="7" t="s">
        <v>747</v>
      </c>
      <c r="C379" s="7" t="s">
        <v>207</v>
      </c>
      <c r="D379" s="7" t="s">
        <v>76</v>
      </c>
      <c r="E379" s="7" t="s">
        <v>5555</v>
      </c>
      <c r="F379" s="7" t="s">
        <v>5554</v>
      </c>
      <c r="G379" s="122"/>
      <c r="H379" s="7"/>
      <c r="I379" s="7"/>
      <c r="J379" s="122" t="s">
        <v>1960</v>
      </c>
      <c r="K379" s="7"/>
      <c r="L379" s="127" t="s">
        <v>1960</v>
      </c>
      <c r="M379" s="122"/>
      <c r="N379" s="7"/>
      <c r="O379" s="7"/>
      <c r="P379" s="7" t="str" cm="1">
        <f t="array" ref="P379">IF(O379="", "", IFERROR(MAX(--_xlfn.TEXTSPLIT(O379,"+")), O379))</f>
        <v/>
      </c>
      <c r="Q379" s="7"/>
      <c r="R379" s="109"/>
      <c r="S379" s="7" t="s">
        <v>4172</v>
      </c>
      <c r="T379" s="7" t="s">
        <v>5553</v>
      </c>
      <c r="U379" s="7">
        <v>2050</v>
      </c>
      <c r="V379" s="7" cm="1">
        <f t="array" ref="V379">IF(U379="", "", IFERROR(MAX(--_xlfn.TEXTSPLIT(U379,"+")), U379))</f>
        <v>2050</v>
      </c>
      <c r="W379" s="7">
        <v>2021</v>
      </c>
      <c r="X379" s="125" t="s">
        <v>5552</v>
      </c>
      <c r="Y379" s="122"/>
      <c r="Z379" s="7"/>
      <c r="AA379" s="109"/>
      <c r="AB379" s="7">
        <v>2021</v>
      </c>
      <c r="AC379" s="124">
        <v>6450</v>
      </c>
      <c r="AD379" s="7"/>
      <c r="AE379" s="124">
        <v>89086</v>
      </c>
      <c r="AF379" s="124">
        <v>45684</v>
      </c>
      <c r="AG379" s="7" t="s">
        <v>5032</v>
      </c>
      <c r="AH379" s="124">
        <f t="shared" si="36"/>
        <v>95536</v>
      </c>
      <c r="AI379" s="124">
        <f>AF379+AH379</f>
        <v>141220</v>
      </c>
      <c r="AJ379" s="7">
        <v>2020</v>
      </c>
      <c r="AK379" s="124">
        <v>6226</v>
      </c>
      <c r="AL379" s="124">
        <v>89821</v>
      </c>
      <c r="AM379" s="7"/>
      <c r="AN379" s="124">
        <v>48457</v>
      </c>
      <c r="AO379" s="124">
        <f>AK379+AL379</f>
        <v>96047</v>
      </c>
      <c r="AP379" s="124">
        <f>AN379+AO379</f>
        <v>144504</v>
      </c>
      <c r="AQ379" s="27" t="s">
        <v>5551</v>
      </c>
      <c r="AR379" s="7" t="str">
        <f>_xlfn.XLOOKUP(C379,Sheet1!A:A,Sheet1!B:B, "Other")</f>
        <v>Asia</v>
      </c>
      <c r="AS379" t="str">
        <f>_xlfn.XLOOKUP(D379,Sheet1!D:D,Sheet1!E:E)</f>
        <v>Financial services</v>
      </c>
    </row>
    <row r="380" spans="1:45" ht="18" customHeight="1">
      <c r="A380" s="7">
        <v>376</v>
      </c>
      <c r="B380" s="7" t="s">
        <v>4585</v>
      </c>
      <c r="C380" s="7" t="s">
        <v>183</v>
      </c>
      <c r="D380" s="7" t="s">
        <v>91</v>
      </c>
      <c r="E380" s="7" t="s">
        <v>5550</v>
      </c>
      <c r="F380" s="7" t="s">
        <v>5549</v>
      </c>
      <c r="G380" s="122"/>
      <c r="H380" s="7"/>
      <c r="I380" s="7"/>
      <c r="J380" s="122" t="s">
        <v>4183</v>
      </c>
      <c r="K380" s="7">
        <v>2030</v>
      </c>
      <c r="L380" s="127">
        <v>2019</v>
      </c>
      <c r="M380" s="122"/>
      <c r="N380" s="7"/>
      <c r="O380" s="7"/>
      <c r="P380" s="7" t="str" cm="1">
        <f t="array" ref="P380">IF(O380="", "", IFERROR(MAX(--_xlfn.TEXTSPLIT(O380,"+")), O380))</f>
        <v/>
      </c>
      <c r="Q380" s="7"/>
      <c r="R380" s="109"/>
      <c r="S380" s="7"/>
      <c r="T380" s="7"/>
      <c r="U380" s="7"/>
      <c r="V380" s="7" t="str" cm="1">
        <f t="array" ref="V380">IF(U380="", "", IFERROR(MAX(--_xlfn.TEXTSPLIT(U380,"+")), U380))</f>
        <v/>
      </c>
      <c r="W380" s="7"/>
      <c r="X380" s="125"/>
      <c r="Y380" s="122" t="s">
        <v>4174</v>
      </c>
      <c r="Z380" s="7" t="s">
        <v>5037</v>
      </c>
      <c r="AA380" s="126" t="s">
        <v>5548</v>
      </c>
      <c r="AB380" s="7">
        <v>2022</v>
      </c>
      <c r="AC380" s="7">
        <v>4020000</v>
      </c>
      <c r="AD380" s="7"/>
      <c r="AE380" s="7">
        <v>260000</v>
      </c>
      <c r="AF380" s="7">
        <f>87220000+1420000+440000+260000+190000</f>
        <v>89530000</v>
      </c>
      <c r="AG380" s="7" t="s">
        <v>4174</v>
      </c>
      <c r="AH380" s="7">
        <f t="shared" si="36"/>
        <v>4280000</v>
      </c>
      <c r="AI380" s="7">
        <f>AF380+AH380</f>
        <v>93810000</v>
      </c>
      <c r="AJ380" s="7">
        <v>2021</v>
      </c>
      <c r="AK380" s="7">
        <v>2674000</v>
      </c>
      <c r="AL380" s="7"/>
      <c r="AM380" s="7">
        <v>183000</v>
      </c>
      <c r="AN380" s="7">
        <f>85097000+1512000+680000+207000+9000</f>
        <v>87505000</v>
      </c>
      <c r="AO380" s="7">
        <f>AK380+AM380</f>
        <v>2857000</v>
      </c>
      <c r="AP380" s="7">
        <f>AN380+AO380</f>
        <v>90362000</v>
      </c>
      <c r="AQ380" s="27" t="s">
        <v>5547</v>
      </c>
      <c r="AR380" s="7" t="str">
        <f>_xlfn.XLOOKUP(C380,Sheet1!A:A,Sheet1!B:B, "Other")</f>
        <v>Asia</v>
      </c>
      <c r="AS380" t="str">
        <f>_xlfn.XLOOKUP(D380,Sheet1!D:D,Sheet1!E:E)</f>
        <v>Retail</v>
      </c>
    </row>
    <row r="381" spans="1:45" ht="18" customHeight="1">
      <c r="A381" s="7">
        <v>377</v>
      </c>
      <c r="B381" s="7" t="s">
        <v>4535</v>
      </c>
      <c r="C381" s="7" t="s">
        <v>73</v>
      </c>
      <c r="D381" s="7" t="s">
        <v>178</v>
      </c>
      <c r="E381" s="7" t="s">
        <v>5546</v>
      </c>
      <c r="F381" s="7" t="s">
        <v>5545</v>
      </c>
      <c r="G381" s="122"/>
      <c r="H381" s="7"/>
      <c r="I381" s="7"/>
      <c r="J381" s="122" t="s">
        <v>1960</v>
      </c>
      <c r="K381" s="7"/>
      <c r="L381" s="127" t="s">
        <v>1960</v>
      </c>
      <c r="M381" s="122" t="s">
        <v>4519</v>
      </c>
      <c r="N381" s="7" t="s">
        <v>1659</v>
      </c>
      <c r="O381" s="7">
        <v>2060</v>
      </c>
      <c r="P381" s="7" cm="1">
        <f t="array" ref="P381">IF(O381="", "", IFERROR(MAX(--_xlfn.TEXTSPLIT(O381,"+")), O381))</f>
        <v>2060</v>
      </c>
      <c r="Q381" s="7">
        <v>2021</v>
      </c>
      <c r="R381" s="126" t="s">
        <v>5544</v>
      </c>
      <c r="S381" s="7"/>
      <c r="T381" s="7"/>
      <c r="U381" s="7"/>
      <c r="V381" s="7" t="str" cm="1">
        <f t="array" ref="V381">IF(U381="", "", IFERROR(MAX(--_xlfn.TEXTSPLIT(U381,"+")), U381))</f>
        <v/>
      </c>
      <c r="W381" s="7"/>
      <c r="X381" s="7"/>
      <c r="Y381" s="122"/>
      <c r="Z381" s="7"/>
      <c r="AA381" s="126"/>
      <c r="AB381" s="7">
        <v>2022</v>
      </c>
      <c r="AC381" s="7">
        <f>322253+3143752</f>
        <v>3466005</v>
      </c>
      <c r="AD381" s="7"/>
      <c r="AE381" s="7">
        <f>1804248.5+80543</f>
        <v>1884791.5</v>
      </c>
      <c r="AF381" s="7">
        <f>2070158+4559874.1</f>
        <v>6630032.0999999996</v>
      </c>
      <c r="AG381" s="7" t="s">
        <v>2082</v>
      </c>
      <c r="AH381" s="7">
        <f>AE381+AC381</f>
        <v>5350796.5</v>
      </c>
      <c r="AI381" s="7">
        <f>AH381+AF381</f>
        <v>11980828.6</v>
      </c>
      <c r="AJ381" s="7">
        <v>2021</v>
      </c>
      <c r="AK381" s="7">
        <v>2834500.1</v>
      </c>
      <c r="AL381" s="7"/>
      <c r="AM381" s="7">
        <v>1684937.7</v>
      </c>
      <c r="AN381" s="7">
        <v>4559874.0999999996</v>
      </c>
      <c r="AO381" s="7">
        <f>AK381+AM381</f>
        <v>4519437.8</v>
      </c>
      <c r="AP381" s="7">
        <f>AO381+AN381</f>
        <v>9079311.8999999985</v>
      </c>
      <c r="AQ381" s="27" t="s">
        <v>5544</v>
      </c>
      <c r="AR381" s="7" t="str">
        <f>_xlfn.XLOOKUP(C381,Sheet1!A:A,Sheet1!B:B, "Other")</f>
        <v>Asia</v>
      </c>
      <c r="AS381" t="str">
        <f>_xlfn.XLOOKUP(D381,Sheet1!D:D,Sheet1!E:E)</f>
        <v>Transportation and logistics</v>
      </c>
    </row>
    <row r="382" spans="1:45" ht="18" customHeight="1">
      <c r="A382" s="7">
        <v>378</v>
      </c>
      <c r="B382" s="7" t="s">
        <v>518</v>
      </c>
      <c r="C382" s="7" t="s">
        <v>3277</v>
      </c>
      <c r="D382" s="7" t="s">
        <v>71</v>
      </c>
      <c r="E382" s="7" t="s">
        <v>5543</v>
      </c>
      <c r="F382" s="7" t="s">
        <v>5542</v>
      </c>
      <c r="G382" s="122"/>
      <c r="H382" s="7"/>
      <c r="I382" s="7"/>
      <c r="J382" s="122" t="s">
        <v>1960</v>
      </c>
      <c r="K382" s="7"/>
      <c r="L382" s="127" t="s">
        <v>1960</v>
      </c>
      <c r="M382" s="122"/>
      <c r="N382" s="7"/>
      <c r="O382" s="7"/>
      <c r="P382" s="7" t="str" cm="1">
        <f t="array" ref="P382">IF(O382="", "", IFERROR(MAX(--_xlfn.TEXTSPLIT(O382,"+")), O382))</f>
        <v/>
      </c>
      <c r="Q382" s="7"/>
      <c r="R382" s="109"/>
      <c r="S382" s="7"/>
      <c r="T382" s="7"/>
      <c r="U382" s="7"/>
      <c r="V382" s="7" t="str" cm="1">
        <f t="array" ref="V382">IF(U382="", "", IFERROR(MAX(--_xlfn.TEXTSPLIT(U382,"+")), U382))</f>
        <v/>
      </c>
      <c r="W382" s="7"/>
      <c r="X382" s="7"/>
      <c r="Y382" s="122"/>
      <c r="Z382" s="7"/>
      <c r="AA382" s="109"/>
      <c r="AB382" s="7">
        <v>2021</v>
      </c>
      <c r="AC382" s="7">
        <v>650300000</v>
      </c>
      <c r="AD382" s="7"/>
      <c r="AE382" s="7">
        <v>118300000</v>
      </c>
      <c r="AF382" s="7"/>
      <c r="AG382" s="7" t="s">
        <v>5032</v>
      </c>
      <c r="AH382" s="7">
        <f>AC382+AE382</f>
        <v>768600000</v>
      </c>
      <c r="AI382" s="7">
        <f>AH382</f>
        <v>768600000</v>
      </c>
      <c r="AJ382" s="7">
        <v>2020</v>
      </c>
      <c r="AK382" s="7">
        <v>586400000</v>
      </c>
      <c r="AL382" s="7"/>
      <c r="AM382" s="7">
        <v>128400000</v>
      </c>
      <c r="AN382" s="7"/>
      <c r="AO382" s="7">
        <f>AK382+AM382</f>
        <v>714800000</v>
      </c>
      <c r="AP382" s="7">
        <f>AO382</f>
        <v>714800000</v>
      </c>
      <c r="AQ382" s="27" t="s">
        <v>5541</v>
      </c>
      <c r="AR382" s="7" t="str">
        <f>_xlfn.XLOOKUP(C382,Sheet1!A:A,Sheet1!B:B, "Other")</f>
        <v>Asia</v>
      </c>
      <c r="AS382" t="str">
        <f>_xlfn.XLOOKUP(D382,Sheet1!D:D,Sheet1!E:E)</f>
        <v>Energy and utilities</v>
      </c>
    </row>
    <row r="383" spans="1:45" ht="18" customHeight="1">
      <c r="A383" s="7">
        <v>379</v>
      </c>
      <c r="B383" s="7" t="s">
        <v>688</v>
      </c>
      <c r="C383" s="7" t="s">
        <v>4457</v>
      </c>
      <c r="D383" s="7" t="s">
        <v>5398</v>
      </c>
      <c r="E383" s="7" t="s">
        <v>5540</v>
      </c>
      <c r="F383" s="7" t="s">
        <v>2920</v>
      </c>
      <c r="G383" s="122"/>
      <c r="H383" s="7"/>
      <c r="I383" s="7"/>
      <c r="J383" s="122" t="s">
        <v>1960</v>
      </c>
      <c r="K383" s="7"/>
      <c r="L383" s="127" t="s">
        <v>1960</v>
      </c>
      <c r="M383" s="122"/>
      <c r="N383" s="7"/>
      <c r="O383" s="7"/>
      <c r="P383" s="7" t="str" cm="1">
        <f t="array" ref="P383">IF(O383="", "", IFERROR(MAX(--_xlfn.TEXTSPLIT(O383,"+")), O383))</f>
        <v/>
      </c>
      <c r="Q383" s="7"/>
      <c r="R383" s="109"/>
      <c r="S383" s="7"/>
      <c r="T383" s="7"/>
      <c r="U383" s="7"/>
      <c r="V383" s="7" t="str" cm="1">
        <f t="array" ref="V383">IF(U383="", "", IFERROR(MAX(--_xlfn.TEXTSPLIT(U383,"+")), U383))</f>
        <v/>
      </c>
      <c r="W383" s="7"/>
      <c r="X383" s="7"/>
      <c r="Y383" s="122"/>
      <c r="Z383" s="7"/>
      <c r="AA383" s="126"/>
      <c r="AB383" s="7">
        <v>2021</v>
      </c>
      <c r="AC383" s="7">
        <v>300000</v>
      </c>
      <c r="AD383" s="7"/>
      <c r="AE383" s="7">
        <v>390000</v>
      </c>
      <c r="AF383" s="7"/>
      <c r="AG383" s="7" t="s">
        <v>5032</v>
      </c>
      <c r="AH383" s="7">
        <f>AC383+AE383</f>
        <v>690000</v>
      </c>
      <c r="AI383" s="7">
        <f>AH383</f>
        <v>690000</v>
      </c>
      <c r="AJ383" s="7">
        <v>2020</v>
      </c>
      <c r="AK383" s="7">
        <v>300000</v>
      </c>
      <c r="AL383" s="7"/>
      <c r="AM383" s="7">
        <v>400000</v>
      </c>
      <c r="AN383" s="7"/>
      <c r="AO383" s="7">
        <f>AK383+AM383</f>
        <v>700000</v>
      </c>
      <c r="AP383" s="7">
        <f>AO383</f>
        <v>700000</v>
      </c>
      <c r="AQ383" s="27" t="s">
        <v>5539</v>
      </c>
      <c r="AR383" s="7" t="str">
        <f>_xlfn.XLOOKUP(C383,Sheet1!A:A,Sheet1!B:B, "Other")</f>
        <v>North America</v>
      </c>
      <c r="AS383" t="str">
        <f>_xlfn.XLOOKUP(D383,Sheet1!D:D,Sheet1!E:E)</f>
        <v>Aerospace and defense</v>
      </c>
    </row>
    <row r="384" spans="1:45" ht="18" customHeight="1">
      <c r="A384" s="7">
        <v>380</v>
      </c>
      <c r="B384" s="7" t="s">
        <v>4340</v>
      </c>
      <c r="C384" s="7" t="s">
        <v>73</v>
      </c>
      <c r="D384" s="7" t="s">
        <v>135</v>
      </c>
      <c r="E384" s="7" t="s">
        <v>5538</v>
      </c>
      <c r="F384" s="7" t="s">
        <v>5537</v>
      </c>
      <c r="G384" s="122"/>
      <c r="H384" s="7"/>
      <c r="I384" s="7"/>
      <c r="J384" s="122" t="s">
        <v>1960</v>
      </c>
      <c r="K384" s="7"/>
      <c r="L384" s="127" t="s">
        <v>1960</v>
      </c>
      <c r="M384" s="122"/>
      <c r="N384" s="7"/>
      <c r="O384" s="7"/>
      <c r="P384" s="7" t="str" cm="1">
        <f t="array" ref="P384">IF(O384="", "", IFERROR(MAX(--_xlfn.TEXTSPLIT(O384,"+")), O384))</f>
        <v/>
      </c>
      <c r="Q384" s="7"/>
      <c r="R384" s="109"/>
      <c r="S384" s="7"/>
      <c r="T384" s="7"/>
      <c r="U384" s="7"/>
      <c r="V384" s="7" t="str" cm="1">
        <f t="array" ref="V384">IF(U384="", "", IFERROR(MAX(--_xlfn.TEXTSPLIT(U384,"+")), U384))</f>
        <v/>
      </c>
      <c r="W384" s="7"/>
      <c r="X384" s="7"/>
      <c r="Y384" s="122"/>
      <c r="Z384" s="7"/>
      <c r="AA384" s="109"/>
      <c r="AB384" s="7" t="s">
        <v>5032</v>
      </c>
      <c r="AC384" s="7"/>
      <c r="AD384" s="7"/>
      <c r="AE384" s="7"/>
      <c r="AF384" s="7"/>
      <c r="AG384" s="7" t="s">
        <v>5032</v>
      </c>
      <c r="AH384" s="7"/>
      <c r="AI384" s="7"/>
      <c r="AJ384" s="7" t="s">
        <v>5032</v>
      </c>
      <c r="AK384" s="7"/>
      <c r="AL384" s="7"/>
      <c r="AM384" s="7"/>
      <c r="AN384" s="7"/>
      <c r="AO384" s="7"/>
      <c r="AP384" s="7"/>
      <c r="AQ384" s="7"/>
      <c r="AR384" s="7" t="str">
        <f>_xlfn.XLOOKUP(C384,Sheet1!A:A,Sheet1!B:B, "Other")</f>
        <v>Asia</v>
      </c>
      <c r="AS384" t="str">
        <f>_xlfn.XLOOKUP(D384,Sheet1!D:D,Sheet1!E:E)</f>
        <v>Engineering and construction</v>
      </c>
    </row>
    <row r="385" spans="1:45" ht="18" customHeight="1">
      <c r="A385" s="7">
        <v>381</v>
      </c>
      <c r="B385" s="7" t="s">
        <v>3635</v>
      </c>
      <c r="C385" s="7" t="s">
        <v>73</v>
      </c>
      <c r="D385" s="7" t="s">
        <v>71</v>
      </c>
      <c r="E385" s="7" t="s">
        <v>5536</v>
      </c>
      <c r="F385" s="7" t="s">
        <v>5535</v>
      </c>
      <c r="G385" s="122"/>
      <c r="H385" s="7"/>
      <c r="I385" s="7"/>
      <c r="J385" s="122" t="s">
        <v>1960</v>
      </c>
      <c r="K385" s="7"/>
      <c r="L385" s="127" t="s">
        <v>1960</v>
      </c>
      <c r="M385" s="122" t="s">
        <v>4519</v>
      </c>
      <c r="N385" s="7" t="s">
        <v>5131</v>
      </c>
      <c r="O385" s="7">
        <v>2060</v>
      </c>
      <c r="P385" s="7" cm="1">
        <f t="array" ref="P385">IF(O385="", "", IFERROR(MAX(--_xlfn.TEXTSPLIT(O385,"+")), O385))</f>
        <v>2060</v>
      </c>
      <c r="Q385" s="7">
        <v>2020</v>
      </c>
      <c r="R385" s="126" t="s">
        <v>5534</v>
      </c>
      <c r="S385" s="7"/>
      <c r="T385" s="7"/>
      <c r="U385" s="7"/>
      <c r="V385" s="7" t="str" cm="1">
        <f t="array" ref="V385">IF(U385="", "", IFERROR(MAX(--_xlfn.TEXTSPLIT(U385,"+")), U385))</f>
        <v/>
      </c>
      <c r="W385" s="7"/>
      <c r="X385" s="7"/>
      <c r="Y385" s="122"/>
      <c r="Z385" s="7"/>
      <c r="AA385" s="109"/>
      <c r="AB385" s="7" t="s">
        <v>5032</v>
      </c>
      <c r="AC385" s="7"/>
      <c r="AD385" s="7"/>
      <c r="AE385" s="7"/>
      <c r="AF385" s="7"/>
      <c r="AG385" s="7" t="s">
        <v>5032</v>
      </c>
      <c r="AH385" s="7"/>
      <c r="AI385" s="7"/>
      <c r="AJ385" s="7" t="s">
        <v>5032</v>
      </c>
      <c r="AK385" s="7"/>
      <c r="AL385" s="7"/>
      <c r="AM385" s="7"/>
      <c r="AN385" s="7"/>
      <c r="AO385" s="7"/>
      <c r="AP385" s="7"/>
      <c r="AQ385" s="7"/>
      <c r="AR385" s="7" t="str">
        <f>_xlfn.XLOOKUP(C385,Sheet1!A:A,Sheet1!B:B, "Other")</f>
        <v>Asia</v>
      </c>
      <c r="AS385" t="str">
        <f>_xlfn.XLOOKUP(D385,Sheet1!D:D,Sheet1!E:E)</f>
        <v>Energy and utilities</v>
      </c>
    </row>
    <row r="386" spans="1:45" ht="18" customHeight="1">
      <c r="A386" s="7">
        <v>382</v>
      </c>
      <c r="B386" s="7" t="s">
        <v>645</v>
      </c>
      <c r="C386" s="7" t="s">
        <v>207</v>
      </c>
      <c r="D386" s="7" t="s">
        <v>85</v>
      </c>
      <c r="E386" s="7" t="s">
        <v>5533</v>
      </c>
      <c r="F386" s="7" t="s">
        <v>5532</v>
      </c>
      <c r="G386" s="122"/>
      <c r="H386" s="7"/>
      <c r="I386" s="7"/>
      <c r="J386" s="122" t="s">
        <v>1960</v>
      </c>
      <c r="K386" s="7"/>
      <c r="L386" s="127" t="s">
        <v>1960</v>
      </c>
      <c r="M386" s="122" t="s">
        <v>1957</v>
      </c>
      <c r="N386" s="7" t="s">
        <v>5131</v>
      </c>
      <c r="O386" s="7">
        <v>2050</v>
      </c>
      <c r="P386" s="7" cm="1">
        <f t="array" ref="P386">IF(O386="", "", IFERROR(MAX(--_xlfn.TEXTSPLIT(O386,"+")), O386))</f>
        <v>2050</v>
      </c>
      <c r="Q386" s="7">
        <v>2021</v>
      </c>
      <c r="R386" s="126" t="s">
        <v>5531</v>
      </c>
      <c r="S386" s="7"/>
      <c r="T386" s="7"/>
      <c r="U386" s="7"/>
      <c r="V386" s="7" t="str" cm="1">
        <f t="array" ref="V386">IF(U386="", "", IFERROR(MAX(--_xlfn.TEXTSPLIT(U386,"+")), U386))</f>
        <v/>
      </c>
      <c r="W386" s="7"/>
      <c r="X386" s="7"/>
      <c r="Y386" s="122"/>
      <c r="Z386" s="7"/>
      <c r="AA386" s="109"/>
      <c r="AB386" s="7">
        <v>2021</v>
      </c>
      <c r="AC386" s="7">
        <v>51900000</v>
      </c>
      <c r="AD386" s="7"/>
      <c r="AE386" s="7">
        <v>7100000</v>
      </c>
      <c r="AF386" s="7">
        <v>20778000000</v>
      </c>
      <c r="AG386" s="7" t="s">
        <v>5032</v>
      </c>
      <c r="AH386" s="7">
        <f>AC386+AE386</f>
        <v>59000000</v>
      </c>
      <c r="AI386" s="7">
        <f>AF386+AH386</f>
        <v>20837000000</v>
      </c>
      <c r="AJ386" s="7">
        <v>2020</v>
      </c>
      <c r="AK386" s="7">
        <v>46600000</v>
      </c>
      <c r="AL386" s="7"/>
      <c r="AM386" s="7">
        <v>6400000</v>
      </c>
      <c r="AN386" s="7">
        <v>14369000000</v>
      </c>
      <c r="AO386" s="7">
        <f>AK386+AM386</f>
        <v>53000000</v>
      </c>
      <c r="AP386" s="7">
        <f>AN386+AO386</f>
        <v>14422000000</v>
      </c>
      <c r="AQ386" s="27" t="s">
        <v>5530</v>
      </c>
      <c r="AR386" s="7" t="str">
        <f>_xlfn.XLOOKUP(C386,Sheet1!A:A,Sheet1!B:B, "Other")</f>
        <v>Asia</v>
      </c>
      <c r="AS386" t="str">
        <f>_xlfn.XLOOKUP(D386,Sheet1!D:D,Sheet1!E:E)</f>
        <v>Industrial goods</v>
      </c>
    </row>
    <row r="387" spans="1:45" ht="18" customHeight="1">
      <c r="A387" s="7">
        <v>383</v>
      </c>
      <c r="B387" s="7" t="s">
        <v>773</v>
      </c>
      <c r="C387" s="7" t="s">
        <v>376</v>
      </c>
      <c r="D387" s="7" t="s">
        <v>76</v>
      </c>
      <c r="E387" s="7" t="s">
        <v>5529</v>
      </c>
      <c r="F387" s="7" t="s">
        <v>5528</v>
      </c>
      <c r="G387" s="122"/>
      <c r="H387" s="7"/>
      <c r="I387" s="7"/>
      <c r="J387" s="122" t="s">
        <v>1957</v>
      </c>
      <c r="K387" s="7"/>
      <c r="L387" s="127">
        <v>2022</v>
      </c>
      <c r="M387" s="122" t="s">
        <v>1957</v>
      </c>
      <c r="N387" s="7" t="s">
        <v>5131</v>
      </c>
      <c r="O387" s="7">
        <v>2030</v>
      </c>
      <c r="P387" s="7" cm="1">
        <f t="array" ref="P387">IF(O387="", "", IFERROR(MAX(--_xlfn.TEXTSPLIT(O387,"+")), O387))</f>
        <v>2030</v>
      </c>
      <c r="Q387" s="7">
        <v>2021</v>
      </c>
      <c r="R387" s="109" t="s">
        <v>5527</v>
      </c>
      <c r="S387" s="7" t="s">
        <v>5387</v>
      </c>
      <c r="T387" s="7" t="s">
        <v>5526</v>
      </c>
      <c r="U387" s="7">
        <v>2050</v>
      </c>
      <c r="V387" s="7" cm="1">
        <f t="array" ref="V387">IF(U387="", "", IFERROR(MAX(--_xlfn.TEXTSPLIT(U387,"+")), U387))</f>
        <v>2050</v>
      </c>
      <c r="W387" s="7">
        <v>2021</v>
      </c>
      <c r="X387" s="7" t="s">
        <v>5525</v>
      </c>
      <c r="Y387" s="122" t="s">
        <v>4174</v>
      </c>
      <c r="Z387" s="7" t="s">
        <v>5524</v>
      </c>
      <c r="AA387" s="109" t="s">
        <v>5523</v>
      </c>
      <c r="AB387" s="7">
        <v>2022</v>
      </c>
      <c r="AC387" s="7">
        <v>59030</v>
      </c>
      <c r="AD387" s="7">
        <v>110075</v>
      </c>
      <c r="AE387" s="7">
        <v>16838</v>
      </c>
      <c r="AF387" s="124">
        <v>50532</v>
      </c>
      <c r="AG387" s="7" t="s">
        <v>4174</v>
      </c>
      <c r="AH387" s="7">
        <v>75869</v>
      </c>
      <c r="AI387" s="124">
        <f>AH387+AF387</f>
        <v>126401</v>
      </c>
      <c r="AJ387" s="7">
        <v>2021</v>
      </c>
      <c r="AK387" s="7">
        <v>49630</v>
      </c>
      <c r="AL387" s="7">
        <v>133695</v>
      </c>
      <c r="AM387" s="7">
        <v>30901</v>
      </c>
      <c r="AN387" s="124">
        <v>58428</v>
      </c>
      <c r="AO387" s="7">
        <f>AM387+AK387</f>
        <v>80531</v>
      </c>
      <c r="AP387" s="124">
        <f>AO387+AN387</f>
        <v>138959</v>
      </c>
      <c r="AQ387" s="7" t="s">
        <v>5522</v>
      </c>
      <c r="AR387" s="7" t="str">
        <f>_xlfn.XLOOKUP(C387,Sheet1!A:A,Sheet1!B:B, "Other")</f>
        <v>Europe</v>
      </c>
      <c r="AS387" t="str">
        <f>_xlfn.XLOOKUP(D387,Sheet1!D:D,Sheet1!E:E)</f>
        <v>Financial services</v>
      </c>
    </row>
    <row r="388" spans="1:45" ht="18" customHeight="1">
      <c r="A388" s="7">
        <v>384</v>
      </c>
      <c r="B388" s="7" t="s">
        <v>1098</v>
      </c>
      <c r="C388" s="7" t="s">
        <v>207</v>
      </c>
      <c r="D388" s="7" t="s">
        <v>76</v>
      </c>
      <c r="E388" s="7" t="s">
        <v>5521</v>
      </c>
      <c r="F388" s="7" t="s">
        <v>5520</v>
      </c>
      <c r="G388" s="122"/>
      <c r="H388" s="7"/>
      <c r="I388" s="7"/>
      <c r="J388" s="122" t="s">
        <v>1957</v>
      </c>
      <c r="K388" s="7"/>
      <c r="L388" s="127">
        <v>2016</v>
      </c>
      <c r="M388" s="122"/>
      <c r="N388" s="7"/>
      <c r="O388" s="7"/>
      <c r="P388" s="7" t="str" cm="1">
        <f t="array" ref="P388">IF(O388="", "", IFERROR(MAX(--_xlfn.TEXTSPLIT(O388,"+")), O388))</f>
        <v/>
      </c>
      <c r="Q388" s="7"/>
      <c r="R388" s="109"/>
      <c r="S388" s="7" t="s">
        <v>4172</v>
      </c>
      <c r="T388" s="7" t="s">
        <v>1968</v>
      </c>
      <c r="U388" s="7">
        <v>2050</v>
      </c>
      <c r="V388" s="7" cm="1">
        <f t="array" ref="V388">IF(U388="", "", IFERROR(MAX(--_xlfn.TEXTSPLIT(U388,"+")), U388))</f>
        <v>2050</v>
      </c>
      <c r="W388" s="7">
        <v>2021</v>
      </c>
      <c r="X388" s="125" t="s">
        <v>5517</v>
      </c>
      <c r="Y388" s="122" t="s">
        <v>4174</v>
      </c>
      <c r="Z388" s="7" t="s">
        <v>5519</v>
      </c>
      <c r="AA388" s="126" t="s">
        <v>5518</v>
      </c>
      <c r="AB388" s="7">
        <v>2021</v>
      </c>
      <c r="AC388" s="7">
        <v>17584</v>
      </c>
      <c r="AD388" s="7"/>
      <c r="AE388" s="7">
        <v>53907</v>
      </c>
      <c r="AF388" s="7">
        <v>128139</v>
      </c>
      <c r="AG388" s="7" t="s">
        <v>5032</v>
      </c>
      <c r="AH388" s="7">
        <f>AC388+AE388</f>
        <v>71491</v>
      </c>
      <c r="AI388" s="7">
        <f>AH388+AF388</f>
        <v>199630</v>
      </c>
      <c r="AJ388" s="7">
        <v>2020</v>
      </c>
      <c r="AK388" s="7">
        <v>19686</v>
      </c>
      <c r="AL388" s="7"/>
      <c r="AM388" s="7">
        <v>57569</v>
      </c>
      <c r="AN388" s="7">
        <v>147344</v>
      </c>
      <c r="AO388" s="7">
        <f>AK388+AM388</f>
        <v>77255</v>
      </c>
      <c r="AP388" s="7">
        <f>AN388+AO388</f>
        <v>224599</v>
      </c>
      <c r="AQ388" s="27" t="s">
        <v>5517</v>
      </c>
      <c r="AR388" s="7" t="str">
        <f>_xlfn.XLOOKUP(C388,Sheet1!A:A,Sheet1!B:B, "Other")</f>
        <v>Asia</v>
      </c>
      <c r="AS388" t="str">
        <f>_xlfn.XLOOKUP(D388,Sheet1!D:D,Sheet1!E:E)</f>
        <v>Financial services</v>
      </c>
    </row>
    <row r="389" spans="1:45" ht="18" customHeight="1">
      <c r="A389" s="7">
        <v>385</v>
      </c>
      <c r="B389" s="7" t="s">
        <v>270</v>
      </c>
      <c r="C389" s="7" t="s">
        <v>73</v>
      </c>
      <c r="D389" s="7" t="s">
        <v>76</v>
      </c>
      <c r="E389" s="7" t="s">
        <v>5516</v>
      </c>
      <c r="F389" s="7" t="s">
        <v>5515</v>
      </c>
      <c r="G389" s="122"/>
      <c r="H389" s="7"/>
      <c r="I389" s="7"/>
      <c r="J389" s="122" t="s">
        <v>1960</v>
      </c>
      <c r="K389" s="7"/>
      <c r="L389" s="127" t="s">
        <v>1960</v>
      </c>
      <c r="M389" s="122" t="s">
        <v>1957</v>
      </c>
      <c r="N389" s="7" t="s">
        <v>4282</v>
      </c>
      <c r="O389" s="7">
        <v>2030</v>
      </c>
      <c r="P389" s="7" cm="1">
        <f t="array" ref="P389">IF(O389="", "", IFERROR(MAX(--_xlfn.TEXTSPLIT(O389,"+")), O389))</f>
        <v>2030</v>
      </c>
      <c r="Q389" s="7">
        <v>2023</v>
      </c>
      <c r="R389" s="109" t="s">
        <v>5514</v>
      </c>
      <c r="S389" s="7" t="s">
        <v>5050</v>
      </c>
      <c r="T389" s="7" t="s">
        <v>4381</v>
      </c>
      <c r="U389" s="7">
        <v>2060</v>
      </c>
      <c r="V389" s="7" cm="1">
        <f t="array" ref="V389">IF(U389="", "", IFERROR(MAX(--_xlfn.TEXTSPLIT(U389,"+")), U389))</f>
        <v>2060</v>
      </c>
      <c r="W389" s="7">
        <v>2023</v>
      </c>
      <c r="X389" s="130" t="s">
        <v>5513</v>
      </c>
      <c r="Y389" s="122"/>
      <c r="Z389" s="7"/>
      <c r="AA389" s="109"/>
      <c r="AB389" s="7">
        <v>2022</v>
      </c>
      <c r="AC389" s="123">
        <v>2595.9899999999998</v>
      </c>
      <c r="AD389" s="123"/>
      <c r="AE389" s="123">
        <v>74303.72</v>
      </c>
      <c r="AF389" s="7">
        <v>747.63</v>
      </c>
      <c r="AG389" s="7" t="s">
        <v>5032</v>
      </c>
      <c r="AH389" s="123">
        <f>AC389+AE389</f>
        <v>76899.710000000006</v>
      </c>
      <c r="AI389" s="123">
        <f>AF389+AH389</f>
        <v>77647.340000000011</v>
      </c>
      <c r="AJ389" s="7">
        <v>2021</v>
      </c>
      <c r="AK389" s="123">
        <v>1423.15</v>
      </c>
      <c r="AL389" s="7"/>
      <c r="AM389" s="123">
        <v>29853.58</v>
      </c>
      <c r="AN389" s="123">
        <v>4481.07</v>
      </c>
      <c r="AO389" s="123">
        <f>AK389+AM389</f>
        <v>31276.730000000003</v>
      </c>
      <c r="AP389" s="123">
        <f>AN389+AO389</f>
        <v>35757.800000000003</v>
      </c>
      <c r="AQ389" s="27" t="s">
        <v>5512</v>
      </c>
      <c r="AR389" s="7" t="str">
        <f>_xlfn.XLOOKUP(C389,Sheet1!A:A,Sheet1!B:B, "Other")</f>
        <v>Asia</v>
      </c>
      <c r="AS389" t="str">
        <f>_xlfn.XLOOKUP(D389,Sheet1!D:D,Sheet1!E:E)</f>
        <v>Financial services</v>
      </c>
    </row>
    <row r="390" spans="1:45" ht="18" customHeight="1">
      <c r="A390" s="7">
        <v>386</v>
      </c>
      <c r="B390" s="7" t="s">
        <v>542</v>
      </c>
      <c r="C390" s="7" t="s">
        <v>4457</v>
      </c>
      <c r="D390" s="7" t="s">
        <v>76</v>
      </c>
      <c r="E390" s="7" t="s">
        <v>5511</v>
      </c>
      <c r="F390" s="7" t="s">
        <v>5510</v>
      </c>
      <c r="G390" s="122" t="s">
        <v>4174</v>
      </c>
      <c r="H390" s="7">
        <v>2021</v>
      </c>
      <c r="I390" s="7">
        <v>2018</v>
      </c>
      <c r="J390" s="122" t="s">
        <v>1960</v>
      </c>
      <c r="K390" s="7"/>
      <c r="L390" s="127" t="s">
        <v>1960</v>
      </c>
      <c r="M390" s="122" t="s">
        <v>1957</v>
      </c>
      <c r="N390" s="7" t="s">
        <v>5509</v>
      </c>
      <c r="O390" s="7">
        <v>2030</v>
      </c>
      <c r="P390" s="7" cm="1">
        <f t="array" ref="P390">IF(O390="", "", IFERROR(MAX(--_xlfn.TEXTSPLIT(O390,"+")), O390))</f>
        <v>2030</v>
      </c>
      <c r="Q390" s="7">
        <v>2020</v>
      </c>
      <c r="R390" s="109" t="s">
        <v>5508</v>
      </c>
      <c r="S390" s="7"/>
      <c r="T390" s="7"/>
      <c r="U390" s="7"/>
      <c r="V390" s="7" t="str" cm="1">
        <f t="array" ref="V390">IF(U390="", "", IFERROR(MAX(--_xlfn.TEXTSPLIT(U390,"+")), U390))</f>
        <v/>
      </c>
      <c r="W390" s="7"/>
      <c r="X390" s="7"/>
      <c r="Y390" s="122" t="s">
        <v>4174</v>
      </c>
      <c r="Z390" s="7" t="s">
        <v>5507</v>
      </c>
      <c r="AA390" s="126" t="s">
        <v>5506</v>
      </c>
      <c r="AB390" s="7">
        <v>2022</v>
      </c>
      <c r="AC390" s="124">
        <v>7296</v>
      </c>
      <c r="AD390" s="124">
        <v>83850</v>
      </c>
      <c r="AE390" s="124">
        <v>1914</v>
      </c>
      <c r="AF390" s="124">
        <v>250428</v>
      </c>
      <c r="AG390" s="7" t="s">
        <v>5032</v>
      </c>
      <c r="AH390" s="124">
        <f>AC390+AE390</f>
        <v>9210</v>
      </c>
      <c r="AI390" s="124">
        <v>341574</v>
      </c>
      <c r="AJ390" s="7">
        <v>2021</v>
      </c>
      <c r="AK390" s="124">
        <v>6608</v>
      </c>
      <c r="AL390" s="124">
        <v>95911</v>
      </c>
      <c r="AM390" s="124">
        <v>1756</v>
      </c>
      <c r="AN390" s="124">
        <v>223852</v>
      </c>
      <c r="AO390" s="124">
        <f>AM390+AK390</f>
        <v>8364</v>
      </c>
      <c r="AP390" s="124">
        <f>AO390+AN390</f>
        <v>232216</v>
      </c>
      <c r="AQ390" s="7" t="s">
        <v>5505</v>
      </c>
      <c r="AR390" s="7" t="str">
        <f>_xlfn.XLOOKUP(C390,Sheet1!A:A,Sheet1!B:B, "Other")</f>
        <v>North America</v>
      </c>
      <c r="AS390" t="str">
        <f>_xlfn.XLOOKUP(D390,Sheet1!D:D,Sheet1!E:E)</f>
        <v>Financial services</v>
      </c>
    </row>
    <row r="391" spans="1:45" ht="18" customHeight="1">
      <c r="A391" s="7">
        <v>387</v>
      </c>
      <c r="B391" s="7" t="s">
        <v>5504</v>
      </c>
      <c r="C391" s="7" t="s">
        <v>4457</v>
      </c>
      <c r="D391" s="7" t="s">
        <v>71</v>
      </c>
      <c r="E391" s="7" t="s">
        <v>5503</v>
      </c>
      <c r="F391" s="7" t="s">
        <v>5502</v>
      </c>
      <c r="G391" s="122"/>
      <c r="H391" s="7"/>
      <c r="I391" s="7"/>
      <c r="J391" s="122"/>
      <c r="K391" s="7"/>
      <c r="L391" s="127"/>
      <c r="M391" s="122"/>
      <c r="N391" s="7"/>
      <c r="O391" s="7"/>
      <c r="P391" s="7" t="str" cm="1">
        <f t="array" ref="P391">IF(O391="", "", IFERROR(MAX(--_xlfn.TEXTSPLIT(O391,"+")), O391))</f>
        <v/>
      </c>
      <c r="Q391" s="7"/>
      <c r="R391" s="109"/>
      <c r="S391" s="7"/>
      <c r="T391" s="7"/>
      <c r="U391" s="7"/>
      <c r="V391" s="7" t="str" cm="1">
        <f t="array" ref="V391">IF(U391="", "", IFERROR(MAX(--_xlfn.TEXTSPLIT(U391,"+")), U391))</f>
        <v/>
      </c>
      <c r="W391" s="7"/>
      <c r="X391" s="7"/>
      <c r="Y391" s="122"/>
      <c r="Z391" s="7"/>
      <c r="AA391" s="109"/>
      <c r="AB391" s="7">
        <v>2022</v>
      </c>
      <c r="AC391" s="7">
        <v>7740000</v>
      </c>
      <c r="AD391" s="7"/>
      <c r="AE391" s="7">
        <v>997000</v>
      </c>
      <c r="AF391" s="7"/>
      <c r="AG391" s="7" t="s">
        <v>5032</v>
      </c>
      <c r="AH391" s="124">
        <f>AC391+AE391</f>
        <v>8737000</v>
      </c>
      <c r="AI391" s="124">
        <f>AF391+AH391</f>
        <v>8737000</v>
      </c>
      <c r="AJ391" s="7">
        <v>2021</v>
      </c>
      <c r="AK391" s="7">
        <v>4147000</v>
      </c>
      <c r="AL391" s="7"/>
      <c r="AM391" s="7">
        <v>535000</v>
      </c>
      <c r="AN391" s="7"/>
      <c r="AO391" s="124">
        <f>AK391+AM391</f>
        <v>4682000</v>
      </c>
      <c r="AP391" s="124">
        <f>AN391+AO391</f>
        <v>4682000</v>
      </c>
      <c r="AQ391" s="27" t="s">
        <v>5501</v>
      </c>
      <c r="AR391" s="7" t="str">
        <f>_xlfn.XLOOKUP(C391,Sheet1!A:A,Sheet1!B:B, "Other")</f>
        <v>North America</v>
      </c>
      <c r="AS391" t="str">
        <f>_xlfn.XLOOKUP(D391,Sheet1!D:D,Sheet1!E:E)</f>
        <v>Energy and utilities</v>
      </c>
    </row>
    <row r="392" spans="1:45" ht="18" customHeight="1">
      <c r="A392" s="7">
        <v>388</v>
      </c>
      <c r="B392" s="7" t="s">
        <v>425</v>
      </c>
      <c r="C392" s="7" t="s">
        <v>146</v>
      </c>
      <c r="D392" s="7" t="s">
        <v>319</v>
      </c>
      <c r="E392" s="7" t="s">
        <v>5500</v>
      </c>
      <c r="F392" s="7" t="s">
        <v>5499</v>
      </c>
      <c r="G392" s="122"/>
      <c r="H392" s="7"/>
      <c r="I392" s="7"/>
      <c r="J392" s="122" t="s">
        <v>1960</v>
      </c>
      <c r="K392" s="7"/>
      <c r="L392" s="127" t="s">
        <v>1960</v>
      </c>
      <c r="M392" s="122" t="s">
        <v>1957</v>
      </c>
      <c r="N392" s="7" t="s">
        <v>1659</v>
      </c>
      <c r="O392" s="7">
        <v>2030</v>
      </c>
      <c r="P392" s="7" cm="1">
        <f t="array" ref="P392">IF(O392="", "", IFERROR(MAX(--_xlfn.TEXTSPLIT(O392,"+")), O392))</f>
        <v>2030</v>
      </c>
      <c r="Q392" s="7">
        <v>2023</v>
      </c>
      <c r="R392" s="126" t="s">
        <v>5498</v>
      </c>
      <c r="S392" s="7"/>
      <c r="T392" s="7"/>
      <c r="U392" s="7"/>
      <c r="V392" s="7" t="str" cm="1">
        <f t="array" ref="V392">IF(U392="", "", IFERROR(MAX(--_xlfn.TEXTSPLIT(U392,"+")), U392))</f>
        <v/>
      </c>
      <c r="W392" s="7"/>
      <c r="X392" s="125"/>
      <c r="Y392" s="122"/>
      <c r="Z392" s="7"/>
      <c r="AA392" s="126"/>
      <c r="AB392" s="7">
        <v>2022</v>
      </c>
      <c r="AC392" s="124">
        <v>57354</v>
      </c>
      <c r="AD392" s="124">
        <v>69742</v>
      </c>
      <c r="AE392" s="124">
        <v>45608</v>
      </c>
      <c r="AF392" s="124">
        <v>9656296</v>
      </c>
      <c r="AG392" s="7" t="s">
        <v>4174</v>
      </c>
      <c r="AH392" s="7">
        <f>AC392+AE392</f>
        <v>102962</v>
      </c>
      <c r="AI392" s="7">
        <f>AF392+AH392</f>
        <v>9759258</v>
      </c>
      <c r="AJ392" s="7">
        <v>2021</v>
      </c>
      <c r="AK392" s="124">
        <v>53167</v>
      </c>
      <c r="AL392" s="124">
        <v>62861</v>
      </c>
      <c r="AM392" s="7"/>
      <c r="AN392" s="7"/>
      <c r="AO392" s="124">
        <f>AK392+AL392</f>
        <v>116028</v>
      </c>
      <c r="AP392" s="124">
        <f>AO392</f>
        <v>116028</v>
      </c>
      <c r="AQ392" s="27" t="s">
        <v>5497</v>
      </c>
      <c r="AR392" s="7" t="str">
        <f>_xlfn.XLOOKUP(C392,Sheet1!A:A,Sheet1!B:B, "Other")</f>
        <v>Europe</v>
      </c>
      <c r="AS392" t="str">
        <f>_xlfn.XLOOKUP(D392,Sheet1!D:D,Sheet1!E:E)</f>
        <v>Health care and pharmaceuticals</v>
      </c>
    </row>
    <row r="393" spans="1:45" ht="18" customHeight="1">
      <c r="A393" s="7">
        <v>389</v>
      </c>
      <c r="B393" s="7" t="s">
        <v>4577</v>
      </c>
      <c r="C393" s="7" t="s">
        <v>73</v>
      </c>
      <c r="D393" s="7" t="s">
        <v>135</v>
      </c>
      <c r="E393" s="7" t="s">
        <v>5496</v>
      </c>
      <c r="F393" s="7" t="s">
        <v>5495</v>
      </c>
      <c r="G393" s="122"/>
      <c r="H393" s="7"/>
      <c r="I393" s="7"/>
      <c r="J393" s="122" t="s">
        <v>1960</v>
      </c>
      <c r="K393" s="7"/>
      <c r="L393" s="127" t="s">
        <v>1960</v>
      </c>
      <c r="M393" s="122"/>
      <c r="N393" s="7"/>
      <c r="O393" s="7"/>
      <c r="P393" s="7" t="str" cm="1">
        <f t="array" ref="P393">IF(O393="", "", IFERROR(MAX(--_xlfn.TEXTSPLIT(O393,"+")), O393))</f>
        <v/>
      </c>
      <c r="Q393" s="7"/>
      <c r="R393" s="109"/>
      <c r="S393" s="7"/>
      <c r="T393" s="7"/>
      <c r="U393" s="7"/>
      <c r="V393" s="7" t="str" cm="1">
        <f t="array" ref="V393">IF(U393="", "", IFERROR(MAX(--_xlfn.TEXTSPLIT(U393,"+")), U393))</f>
        <v/>
      </c>
      <c r="W393" s="7"/>
      <c r="X393" s="7"/>
      <c r="Y393" s="122"/>
      <c r="Z393" s="7"/>
      <c r="AA393" s="109"/>
      <c r="AB393" s="7" t="s">
        <v>5032</v>
      </c>
      <c r="AC393" s="7"/>
      <c r="AD393" s="7"/>
      <c r="AE393" s="7"/>
      <c r="AF393" s="7"/>
      <c r="AG393" s="7" t="s">
        <v>5032</v>
      </c>
      <c r="AH393" s="7"/>
      <c r="AI393" s="7"/>
      <c r="AJ393" s="7"/>
      <c r="AK393" s="7"/>
      <c r="AL393" s="7"/>
      <c r="AM393" s="7"/>
      <c r="AN393" s="7"/>
      <c r="AO393" s="7"/>
      <c r="AP393" s="7"/>
      <c r="AQ393" s="7"/>
      <c r="AR393" s="7" t="str">
        <f>_xlfn.XLOOKUP(C393,Sheet1!A:A,Sheet1!B:B, "Other")</f>
        <v>Asia</v>
      </c>
      <c r="AS393" t="str">
        <f>_xlfn.XLOOKUP(D393,Sheet1!D:D,Sheet1!E:E)</f>
        <v>Engineering and construction</v>
      </c>
    </row>
    <row r="394" spans="1:45" ht="18" customHeight="1">
      <c r="A394" s="7">
        <v>390</v>
      </c>
      <c r="B394" s="7" t="s">
        <v>753</v>
      </c>
      <c r="C394" s="7" t="s">
        <v>4195</v>
      </c>
      <c r="D394" s="7" t="s">
        <v>342</v>
      </c>
      <c r="E394" s="7" t="s">
        <v>5494</v>
      </c>
      <c r="F394" s="7" t="s">
        <v>5493</v>
      </c>
      <c r="G394" s="122"/>
      <c r="H394" s="7"/>
      <c r="I394" s="7"/>
      <c r="J394" s="122" t="s">
        <v>4183</v>
      </c>
      <c r="K394" s="7">
        <v>2030</v>
      </c>
      <c r="L394" s="127">
        <v>2020</v>
      </c>
      <c r="M394" s="122"/>
      <c r="N394" s="7"/>
      <c r="O394" s="7"/>
      <c r="P394" s="7" t="str" cm="1">
        <f t="array" ref="P394">IF(O394="", "", IFERROR(MAX(--_xlfn.TEXTSPLIT(O394,"+")), O394))</f>
        <v/>
      </c>
      <c r="Q394" s="7"/>
      <c r="R394" s="109"/>
      <c r="S394" s="7" t="s">
        <v>1957</v>
      </c>
      <c r="T394" s="7" t="s">
        <v>4223</v>
      </c>
      <c r="U394" s="7">
        <v>2035</v>
      </c>
      <c r="V394" s="7" cm="1">
        <f t="array" ref="V394">IF(U394="", "", IFERROR(MAX(--_xlfn.TEXTSPLIT(U394,"+")), U394))</f>
        <v>2035</v>
      </c>
      <c r="W394" s="7">
        <v>2021</v>
      </c>
      <c r="X394" s="125" t="s">
        <v>5492</v>
      </c>
      <c r="Y394" s="122" t="s">
        <v>4174</v>
      </c>
      <c r="Z394" s="7" t="s">
        <v>5491</v>
      </c>
      <c r="AA394" s="126" t="s">
        <v>5490</v>
      </c>
      <c r="AB394" s="7">
        <v>2022</v>
      </c>
      <c r="AC394" s="123">
        <v>461692.37</v>
      </c>
      <c r="AD394" s="123">
        <v>220215.26</v>
      </c>
      <c r="AE394" s="7"/>
      <c r="AF394" s="7"/>
      <c r="AG394" s="7" t="s">
        <v>5032</v>
      </c>
      <c r="AH394" s="124">
        <v>461692</v>
      </c>
      <c r="AI394" s="124">
        <f>AH394</f>
        <v>461692</v>
      </c>
      <c r="AJ394" s="7">
        <v>2021</v>
      </c>
      <c r="AK394" s="123">
        <v>518033.32</v>
      </c>
      <c r="AL394" s="123">
        <v>257834.04</v>
      </c>
      <c r="AM394" s="123">
        <v>228647.2</v>
      </c>
      <c r="AN394" s="7"/>
      <c r="AO394" s="124">
        <v>746681</v>
      </c>
      <c r="AP394" s="124">
        <f>AO394</f>
        <v>746681</v>
      </c>
      <c r="AQ394" s="27" t="s">
        <v>5489</v>
      </c>
      <c r="AR394" s="7" t="str">
        <f>_xlfn.XLOOKUP(C394,Sheet1!A:A,Sheet1!B:B, "Other")</f>
        <v>Europe</v>
      </c>
      <c r="AS394" t="str">
        <f>_xlfn.XLOOKUP(D394,Sheet1!D:D,Sheet1!E:E)</f>
        <v>Food, beverages and agriculture</v>
      </c>
    </row>
    <row r="395" spans="1:45" ht="18" customHeight="1">
      <c r="A395" s="7">
        <v>391</v>
      </c>
      <c r="B395" s="7" t="s">
        <v>2431</v>
      </c>
      <c r="C395" s="7" t="s">
        <v>73</v>
      </c>
      <c r="D395" s="7" t="s">
        <v>76</v>
      </c>
      <c r="E395" s="7" t="s">
        <v>5488</v>
      </c>
      <c r="F395" s="7" t="s">
        <v>5487</v>
      </c>
      <c r="G395" s="122"/>
      <c r="H395" s="7"/>
      <c r="I395" s="7"/>
      <c r="J395" s="122" t="s">
        <v>1960</v>
      </c>
      <c r="K395" s="7"/>
      <c r="L395" s="127" t="s">
        <v>1960</v>
      </c>
      <c r="M395" s="122"/>
      <c r="N395" s="7"/>
      <c r="O395" s="7"/>
      <c r="P395" s="7" t="str" cm="1">
        <f t="array" ref="P395">IF(O395="", "", IFERROR(MAX(--_xlfn.TEXTSPLIT(O395,"+")), O395))</f>
        <v/>
      </c>
      <c r="Q395" s="7"/>
      <c r="R395" s="109"/>
      <c r="S395" s="7"/>
      <c r="T395" s="7"/>
      <c r="U395" s="7"/>
      <c r="V395" s="7" t="str" cm="1">
        <f t="array" ref="V395">IF(U395="", "", IFERROR(MAX(--_xlfn.TEXTSPLIT(U395,"+")), U395))</f>
        <v/>
      </c>
      <c r="W395" s="7"/>
      <c r="X395" s="7"/>
      <c r="Y395" s="122"/>
      <c r="Z395" s="7"/>
      <c r="AA395" s="109"/>
      <c r="AB395" s="7" t="s">
        <v>5032</v>
      </c>
      <c r="AC395" s="7"/>
      <c r="AD395" s="7"/>
      <c r="AE395" s="7"/>
      <c r="AF395" s="7"/>
      <c r="AG395" s="7" t="s">
        <v>5032</v>
      </c>
      <c r="AH395" s="7"/>
      <c r="AI395" s="7"/>
      <c r="AJ395" s="7" t="s">
        <v>5032</v>
      </c>
      <c r="AK395" s="7"/>
      <c r="AL395" s="7"/>
      <c r="AM395" s="7"/>
      <c r="AN395" s="7"/>
      <c r="AO395" s="7"/>
      <c r="AP395" s="7"/>
      <c r="AQ395" s="7"/>
      <c r="AR395" s="7" t="str">
        <f>_xlfn.XLOOKUP(C395,Sheet1!A:A,Sheet1!B:B, "Other")</f>
        <v>Asia</v>
      </c>
      <c r="AS395" t="str">
        <f>_xlfn.XLOOKUP(D395,Sheet1!D:D,Sheet1!E:E)</f>
        <v>Financial services</v>
      </c>
    </row>
    <row r="396" spans="1:45" ht="18" customHeight="1">
      <c r="A396" s="7">
        <v>392</v>
      </c>
      <c r="B396" s="7" t="s">
        <v>5486</v>
      </c>
      <c r="C396" s="7" t="s">
        <v>78</v>
      </c>
      <c r="D396" s="7" t="s">
        <v>5091</v>
      </c>
      <c r="E396" s="7" t="s">
        <v>5485</v>
      </c>
      <c r="F396" s="7" t="s">
        <v>5484</v>
      </c>
      <c r="G396" s="122"/>
      <c r="H396" s="7"/>
      <c r="I396" s="7"/>
      <c r="J396" s="122"/>
      <c r="K396" s="7"/>
      <c r="L396" s="127"/>
      <c r="M396" s="122"/>
      <c r="N396" s="7"/>
      <c r="O396" s="7"/>
      <c r="P396" s="7" t="str" cm="1">
        <f t="array" ref="P396">IF(O396="", "", IFERROR(MAX(--_xlfn.TEXTSPLIT(O396,"+")), O396))</f>
        <v/>
      </c>
      <c r="Q396" s="7"/>
      <c r="R396" s="109"/>
      <c r="S396" s="7"/>
      <c r="T396" s="7"/>
      <c r="U396" s="7"/>
      <c r="V396" s="7" t="str" cm="1">
        <f t="array" ref="V396">IF(U396="", "", IFERROR(MAX(--_xlfn.TEXTSPLIT(U396,"+")), U396))</f>
        <v/>
      </c>
      <c r="W396" s="7"/>
      <c r="X396" s="7"/>
      <c r="Y396" s="122" t="s">
        <v>4174</v>
      </c>
      <c r="Z396" s="7" t="s">
        <v>5483</v>
      </c>
      <c r="AA396" s="126" t="s">
        <v>5482</v>
      </c>
      <c r="AB396" s="7">
        <v>2022</v>
      </c>
      <c r="AC396" s="7">
        <v>10270000</v>
      </c>
      <c r="AD396" s="7"/>
      <c r="AE396" s="7">
        <v>2490000</v>
      </c>
      <c r="AF396" s="7"/>
      <c r="AG396" s="7" t="s">
        <v>5032</v>
      </c>
      <c r="AH396" s="124">
        <f>AC396+AE396</f>
        <v>12760000</v>
      </c>
      <c r="AI396" s="124">
        <f>AF396+AH396</f>
        <v>12760000</v>
      </c>
      <c r="AJ396" s="7">
        <v>2021</v>
      </c>
      <c r="AK396" s="7">
        <v>11050000</v>
      </c>
      <c r="AL396" s="7"/>
      <c r="AM396" s="7">
        <v>2700000</v>
      </c>
      <c r="AN396" s="7"/>
      <c r="AO396" s="124">
        <f>AK396+AM396</f>
        <v>13750000</v>
      </c>
      <c r="AP396" s="124">
        <f>AN396+AO396</f>
        <v>13750000</v>
      </c>
      <c r="AQ396" s="27" t="s">
        <v>5481</v>
      </c>
      <c r="AR396" s="7" t="str">
        <f>_xlfn.XLOOKUP(C396,Sheet1!A:A,Sheet1!B:B, "Other")</f>
        <v>North America</v>
      </c>
      <c r="AS396" t="str">
        <f>_xlfn.XLOOKUP(D396,Sheet1!D:D,Sheet1!E:E)</f>
        <v>Food, beverages and agriculture</v>
      </c>
    </row>
    <row r="397" spans="1:45" ht="18" customHeight="1">
      <c r="A397" s="7">
        <v>393</v>
      </c>
      <c r="B397" s="7" t="s">
        <v>116</v>
      </c>
      <c r="C397" s="7" t="s">
        <v>4457</v>
      </c>
      <c r="D397" s="7" t="s">
        <v>454</v>
      </c>
      <c r="E397" s="7" t="s">
        <v>5480</v>
      </c>
      <c r="F397" s="7" t="s">
        <v>5479</v>
      </c>
      <c r="G397" s="122"/>
      <c r="H397" s="7"/>
      <c r="I397" s="7"/>
      <c r="J397" s="122" t="s">
        <v>1960</v>
      </c>
      <c r="K397" s="7"/>
      <c r="L397" s="127" t="s">
        <v>1960</v>
      </c>
      <c r="M397" s="122"/>
      <c r="N397" s="7"/>
      <c r="O397" s="7"/>
      <c r="P397" s="7" t="str" cm="1">
        <f t="array" ref="P397">IF(O397="", "", IFERROR(MAX(--_xlfn.TEXTSPLIT(O397,"+")), O397))</f>
        <v/>
      </c>
      <c r="Q397" s="7"/>
      <c r="R397" s="109"/>
      <c r="S397" s="7"/>
      <c r="T397" s="7"/>
      <c r="U397" s="7"/>
      <c r="V397" s="7" t="str" cm="1">
        <f t="array" ref="V397">IF(U397="", "", IFERROR(MAX(--_xlfn.TEXTSPLIT(U397,"+")), U397))</f>
        <v/>
      </c>
      <c r="W397" s="7"/>
      <c r="X397" s="7"/>
      <c r="Y397" s="122"/>
      <c r="Z397" s="7"/>
      <c r="AA397" s="126"/>
      <c r="AB397" s="7">
        <v>2022</v>
      </c>
      <c r="AC397" s="7">
        <v>658617</v>
      </c>
      <c r="AD397" s="7"/>
      <c r="AE397" s="7">
        <v>1286468</v>
      </c>
      <c r="AF397" s="7"/>
      <c r="AG397" s="7" t="s">
        <v>5032</v>
      </c>
      <c r="AH397" s="7">
        <f>AC397+AE397</f>
        <v>1945085</v>
      </c>
      <c r="AI397" s="7">
        <f>AH397+AF397</f>
        <v>1945085</v>
      </c>
      <c r="AJ397" s="7">
        <v>2021</v>
      </c>
      <c r="AK397" s="7">
        <v>625813</v>
      </c>
      <c r="AL397" s="7"/>
      <c r="AM397" s="7">
        <v>1175716</v>
      </c>
      <c r="AN397" s="7"/>
      <c r="AO397" s="7">
        <f>AK397+AM397</f>
        <v>1801529</v>
      </c>
      <c r="AP397" s="7">
        <f>AO397+AN397</f>
        <v>1801529</v>
      </c>
      <c r="AQ397" s="27" t="s">
        <v>5478</v>
      </c>
      <c r="AR397" s="7" t="str">
        <f>_xlfn.XLOOKUP(C397,Sheet1!A:A,Sheet1!B:B, "Other")</f>
        <v>North America</v>
      </c>
      <c r="AS397" t="str">
        <f>_xlfn.XLOOKUP(D397,Sheet1!D:D,Sheet1!E:E)</f>
        <v>Retail</v>
      </c>
    </row>
    <row r="398" spans="1:45" ht="18" customHeight="1">
      <c r="A398" s="7">
        <v>394</v>
      </c>
      <c r="B398" s="7" t="s">
        <v>828</v>
      </c>
      <c r="C398" s="7" t="s">
        <v>78</v>
      </c>
      <c r="D398" s="7" t="s">
        <v>171</v>
      </c>
      <c r="E398" s="7" t="s">
        <v>5477</v>
      </c>
      <c r="F398" s="7" t="s">
        <v>5476</v>
      </c>
      <c r="G398" s="122"/>
      <c r="H398" s="7"/>
      <c r="I398" s="7"/>
      <c r="J398" s="122"/>
      <c r="K398" s="7"/>
      <c r="L398" s="127"/>
      <c r="M398" s="122" t="s">
        <v>1957</v>
      </c>
      <c r="N398" s="7" t="s">
        <v>5042</v>
      </c>
      <c r="O398" s="7">
        <v>2030</v>
      </c>
      <c r="P398" s="7" cm="1">
        <f t="array" ref="P398">IF(O398="", "", IFERROR(MAX(--_xlfn.TEXTSPLIT(O398,"+")), O398))</f>
        <v>2030</v>
      </c>
      <c r="Q398" s="7">
        <v>2021</v>
      </c>
      <c r="R398" s="126" t="s">
        <v>5475</v>
      </c>
      <c r="S398" s="7"/>
      <c r="T398" s="7"/>
      <c r="U398" s="7"/>
      <c r="V398" s="7" t="str" cm="1">
        <f t="array" ref="V398">IF(U398="", "", IFERROR(MAX(--_xlfn.TEXTSPLIT(U398,"+")), U398))</f>
        <v/>
      </c>
      <c r="W398" s="7"/>
      <c r="X398" s="7"/>
      <c r="Y398" s="122"/>
      <c r="Z398" s="7"/>
      <c r="AA398" s="109"/>
      <c r="AB398" s="7">
        <v>2022</v>
      </c>
      <c r="AC398" s="7"/>
      <c r="AD398" s="7"/>
      <c r="AE398" s="7"/>
      <c r="AF398" s="7"/>
      <c r="AG398" s="7" t="s">
        <v>5032</v>
      </c>
      <c r="AH398" s="124">
        <v>1460959</v>
      </c>
      <c r="AI398" s="124">
        <f>AH398</f>
        <v>1460959</v>
      </c>
      <c r="AJ398" s="7">
        <v>2021</v>
      </c>
      <c r="AK398" s="7"/>
      <c r="AL398" s="7"/>
      <c r="AM398" s="7"/>
      <c r="AN398" s="7"/>
      <c r="AO398" s="124">
        <v>1613922</v>
      </c>
      <c r="AP398" s="124">
        <f>AO398</f>
        <v>1613922</v>
      </c>
      <c r="AQ398" s="27" t="s">
        <v>5474</v>
      </c>
      <c r="AR398" s="7" t="str">
        <f>_xlfn.XLOOKUP(C398,Sheet1!A:A,Sheet1!B:B, "Other")</f>
        <v>North America</v>
      </c>
      <c r="AS398" t="str">
        <f>_xlfn.XLOOKUP(D398,Sheet1!D:D,Sheet1!E:E)</f>
        <v>Automotive</v>
      </c>
    </row>
    <row r="399" spans="1:45" ht="18" customHeight="1">
      <c r="A399" s="7">
        <v>395</v>
      </c>
      <c r="B399" s="7" t="s">
        <v>904</v>
      </c>
      <c r="C399" s="7" t="s">
        <v>4315</v>
      </c>
      <c r="D399" s="7" t="s">
        <v>171</v>
      </c>
      <c r="E399" s="7" t="s">
        <v>5473</v>
      </c>
      <c r="F399" s="7" t="s">
        <v>5472</v>
      </c>
      <c r="G399" s="122"/>
      <c r="H399" s="7"/>
      <c r="I399" s="7"/>
      <c r="J399" s="122" t="s">
        <v>1960</v>
      </c>
      <c r="K399" s="7"/>
      <c r="L399" s="127" t="s">
        <v>1960</v>
      </c>
      <c r="M399" s="122" t="s">
        <v>4519</v>
      </c>
      <c r="N399" s="7" t="s">
        <v>5131</v>
      </c>
      <c r="O399" s="7">
        <v>2050</v>
      </c>
      <c r="P399" s="7" cm="1">
        <f t="array" ref="P399">IF(O399="", "", IFERROR(MAX(--_xlfn.TEXTSPLIT(O399,"+")), O399))</f>
        <v>2050</v>
      </c>
      <c r="Q399" s="7">
        <v>2021</v>
      </c>
      <c r="R399" s="126" t="s">
        <v>5471</v>
      </c>
      <c r="S399" s="7"/>
      <c r="T399" s="7"/>
      <c r="U399" s="7"/>
      <c r="V399" s="7" t="str" cm="1">
        <f t="array" ref="V399">IF(U399="", "", IFERROR(MAX(--_xlfn.TEXTSPLIT(U399,"+")), U399))</f>
        <v/>
      </c>
      <c r="W399" s="7"/>
      <c r="X399" s="7"/>
      <c r="Y399" s="122" t="s">
        <v>4174</v>
      </c>
      <c r="Z399" s="7" t="s">
        <v>5303</v>
      </c>
      <c r="AA399" s="126" t="s">
        <v>5470</v>
      </c>
      <c r="AB399" s="7">
        <v>2022</v>
      </c>
      <c r="AC399" s="7">
        <v>4839300</v>
      </c>
      <c r="AD399" s="7">
        <v>1460400</v>
      </c>
      <c r="AE399" s="7">
        <v>1395100</v>
      </c>
      <c r="AF399" s="7"/>
      <c r="AG399" s="7" t="s">
        <v>5032</v>
      </c>
      <c r="AH399" s="7">
        <f>AC399+AE399</f>
        <v>6234400</v>
      </c>
      <c r="AI399" s="7">
        <f>AH399</f>
        <v>6234400</v>
      </c>
      <c r="AJ399" s="7">
        <v>2021</v>
      </c>
      <c r="AK399" s="7">
        <v>4394700</v>
      </c>
      <c r="AL399" s="7">
        <v>1331500</v>
      </c>
      <c r="AM399" s="7">
        <v>1325400</v>
      </c>
      <c r="AN399" s="7"/>
      <c r="AO399" s="7">
        <f>AK399+AM399</f>
        <v>5720100</v>
      </c>
      <c r="AP399" s="7">
        <f>AO399</f>
        <v>5720100</v>
      </c>
      <c r="AQ399" s="125" t="s">
        <v>5469</v>
      </c>
      <c r="AR399" s="7" t="str">
        <f>_xlfn.XLOOKUP(C399,Sheet1!A:A,Sheet1!B:B, "Other")</f>
        <v>North America</v>
      </c>
      <c r="AS399" t="str">
        <f>_xlfn.XLOOKUP(D399,Sheet1!D:D,Sheet1!E:E)</f>
        <v>Automotive</v>
      </c>
    </row>
    <row r="400" spans="1:45" ht="18" customHeight="1">
      <c r="A400" s="7">
        <v>396</v>
      </c>
      <c r="B400" s="7" t="s">
        <v>312</v>
      </c>
      <c r="C400" s="7" t="s">
        <v>73</v>
      </c>
      <c r="D400" s="7" t="s">
        <v>71</v>
      </c>
      <c r="E400" s="7" t="s">
        <v>5468</v>
      </c>
      <c r="F400" s="7" t="s">
        <v>5467</v>
      </c>
      <c r="G400" s="122"/>
      <c r="H400" s="7"/>
      <c r="I400" s="7"/>
      <c r="J400" s="122" t="s">
        <v>1960</v>
      </c>
      <c r="K400" s="7"/>
      <c r="L400" s="127" t="s">
        <v>1960</v>
      </c>
      <c r="M400" s="122" t="s">
        <v>4519</v>
      </c>
      <c r="N400" s="7" t="s">
        <v>5131</v>
      </c>
      <c r="O400" s="7">
        <v>2060</v>
      </c>
      <c r="P400" s="7" cm="1">
        <f t="array" ref="P400">IF(O400="", "", IFERROR(MAX(--_xlfn.TEXTSPLIT(O400,"+")), O400))</f>
        <v>2060</v>
      </c>
      <c r="Q400" s="7">
        <v>2021</v>
      </c>
      <c r="R400" s="126" t="s">
        <v>5466</v>
      </c>
      <c r="S400" s="7"/>
      <c r="T400" s="7"/>
      <c r="U400" s="7"/>
      <c r="V400" s="7" t="str" cm="1">
        <f t="array" ref="V400">IF(U400="", "", IFERROR(MAX(--_xlfn.TEXTSPLIT(U400,"+")), U400))</f>
        <v/>
      </c>
      <c r="W400" s="7"/>
      <c r="X400" s="7"/>
      <c r="Y400" s="122"/>
      <c r="Z400" s="7"/>
      <c r="AA400" s="109"/>
      <c r="AB400" s="7" t="s">
        <v>5032</v>
      </c>
      <c r="AC400" s="7"/>
      <c r="AD400" s="7"/>
      <c r="AE400" s="7"/>
      <c r="AF400" s="7"/>
      <c r="AG400" s="7" t="s">
        <v>5032</v>
      </c>
      <c r="AH400" s="7"/>
      <c r="AI400" s="7"/>
      <c r="AJ400" s="7"/>
      <c r="AK400" s="7"/>
      <c r="AL400" s="7"/>
      <c r="AM400" s="7"/>
      <c r="AN400" s="7"/>
      <c r="AO400" s="7"/>
      <c r="AP400" s="7"/>
      <c r="AQ400" s="7"/>
      <c r="AR400" s="7" t="str">
        <f>_xlfn.XLOOKUP(C400,Sheet1!A:A,Sheet1!B:B, "Other")</f>
        <v>Asia</v>
      </c>
      <c r="AS400" t="str">
        <f>_xlfn.XLOOKUP(D400,Sheet1!D:D,Sheet1!E:E)</f>
        <v>Energy and utilities</v>
      </c>
    </row>
    <row r="401" spans="1:45" ht="18" customHeight="1">
      <c r="A401" s="7">
        <v>397</v>
      </c>
      <c r="B401" s="7" t="s">
        <v>5465</v>
      </c>
      <c r="C401" s="7" t="s">
        <v>5464</v>
      </c>
      <c r="D401" s="7" t="s">
        <v>71</v>
      </c>
      <c r="E401" s="7" t="s">
        <v>5463</v>
      </c>
      <c r="F401" s="7" t="s">
        <v>5462</v>
      </c>
      <c r="G401" s="122"/>
      <c r="H401" s="7"/>
      <c r="I401" s="7"/>
      <c r="J401" s="122"/>
      <c r="K401" s="7"/>
      <c r="L401" s="127"/>
      <c r="M401" s="122"/>
      <c r="N401" s="7"/>
      <c r="O401" s="7"/>
      <c r="P401" s="7" t="str" cm="1">
        <f t="array" ref="P401">IF(O401="", "", IFERROR(MAX(--_xlfn.TEXTSPLIT(O401,"+")), O401))</f>
        <v/>
      </c>
      <c r="Q401" s="7"/>
      <c r="R401" s="109"/>
      <c r="S401" s="7" t="s">
        <v>1957</v>
      </c>
      <c r="T401" s="7" t="s">
        <v>5131</v>
      </c>
      <c r="U401" s="7">
        <v>2050</v>
      </c>
      <c r="V401" s="7" cm="1">
        <f t="array" ref="V401">IF(U401="", "", IFERROR(MAX(--_xlfn.TEXTSPLIT(U401,"+")), U401))</f>
        <v>2050</v>
      </c>
      <c r="W401" s="7">
        <v>2021</v>
      </c>
      <c r="X401" s="125" t="s">
        <v>5461</v>
      </c>
      <c r="Y401" s="122" t="s">
        <v>4174</v>
      </c>
      <c r="Z401" s="7" t="s">
        <v>5460</v>
      </c>
      <c r="AA401" s="126" t="s">
        <v>5459</v>
      </c>
      <c r="AB401" s="7">
        <v>2022</v>
      </c>
      <c r="AC401" s="124">
        <v>13309595</v>
      </c>
      <c r="AD401" s="7"/>
      <c r="AE401" s="124">
        <v>416501</v>
      </c>
      <c r="AF401" s="124">
        <v>150528333</v>
      </c>
      <c r="AG401" s="7" t="s">
        <v>2082</v>
      </c>
      <c r="AH401" s="124">
        <f>AC401+AE401</f>
        <v>13726096</v>
      </c>
      <c r="AI401" s="124">
        <f>AF401+AH401</f>
        <v>164254429</v>
      </c>
      <c r="AJ401" s="7">
        <v>2021</v>
      </c>
      <c r="AK401" s="124">
        <v>13436094</v>
      </c>
      <c r="AL401" s="7"/>
      <c r="AM401" s="124">
        <v>574750</v>
      </c>
      <c r="AN401" s="124">
        <v>137264619</v>
      </c>
      <c r="AO401" s="124">
        <f>AK401+AM401</f>
        <v>14010844</v>
      </c>
      <c r="AP401" s="124">
        <f>AN401+AO401</f>
        <v>151275463</v>
      </c>
      <c r="AQ401" s="27" t="s">
        <v>5458</v>
      </c>
      <c r="AR401" s="7" t="str">
        <f>_xlfn.XLOOKUP(C401,Sheet1!A:A,Sheet1!B:B, "Other")</f>
        <v>Other</v>
      </c>
      <c r="AS401" t="str">
        <f>_xlfn.XLOOKUP(D401,Sheet1!D:D,Sheet1!E:E)</f>
        <v>Energy and utilities</v>
      </c>
    </row>
    <row r="402" spans="1:45" ht="18" customHeight="1">
      <c r="A402" s="7">
        <v>398</v>
      </c>
      <c r="B402" s="7" t="s">
        <v>2001</v>
      </c>
      <c r="C402" s="7" t="s">
        <v>972</v>
      </c>
      <c r="D402" s="7" t="s">
        <v>342</v>
      </c>
      <c r="E402" s="7" t="s">
        <v>5457</v>
      </c>
      <c r="F402" s="7" t="s">
        <v>5456</v>
      </c>
      <c r="G402" s="122"/>
      <c r="H402" s="7"/>
      <c r="I402" s="7"/>
      <c r="J402" s="122" t="s">
        <v>1957</v>
      </c>
      <c r="K402" s="7"/>
      <c r="L402" s="127">
        <v>2020</v>
      </c>
      <c r="M402" s="122" t="s">
        <v>1957</v>
      </c>
      <c r="N402" s="7" t="s">
        <v>5131</v>
      </c>
      <c r="O402" s="7">
        <v>2050</v>
      </c>
      <c r="P402" s="7" cm="1">
        <f t="array" ref="P402">IF(O402="", "", IFERROR(MAX(--_xlfn.TEXTSPLIT(O402,"+")), O402))</f>
        <v>2050</v>
      </c>
      <c r="Q402" s="7">
        <v>2020</v>
      </c>
      <c r="R402" s="126" t="s">
        <v>5455</v>
      </c>
      <c r="S402" s="7"/>
      <c r="T402" s="7"/>
      <c r="U402" s="7"/>
      <c r="V402" s="7" t="str" cm="1">
        <f t="array" ref="V402">IF(U402="", "", IFERROR(MAX(--_xlfn.TEXTSPLIT(U402,"+")), U402))</f>
        <v/>
      </c>
      <c r="W402" s="7"/>
      <c r="X402" s="7"/>
      <c r="Y402" s="122"/>
      <c r="Z402" s="7"/>
      <c r="AA402" s="126"/>
      <c r="AB402" s="7">
        <v>2022</v>
      </c>
      <c r="AC402" s="7">
        <v>1471703</v>
      </c>
      <c r="AD402" s="7">
        <v>1495218</v>
      </c>
      <c r="AE402" s="7">
        <v>1461176</v>
      </c>
      <c r="AF402" s="7">
        <v>29462037</v>
      </c>
      <c r="AG402" s="7" t="s">
        <v>4174</v>
      </c>
      <c r="AH402" s="7">
        <f>AC402+AE402</f>
        <v>2932879</v>
      </c>
      <c r="AI402" s="7">
        <f>AH402+AF402</f>
        <v>32394916</v>
      </c>
      <c r="AJ402" s="7">
        <v>2021</v>
      </c>
      <c r="AK402" s="7">
        <v>1393170</v>
      </c>
      <c r="AL402" s="7">
        <v>1508387</v>
      </c>
      <c r="AM402" s="7">
        <v>1481679</v>
      </c>
      <c r="AN402" s="7">
        <v>28456439</v>
      </c>
      <c r="AO402" s="7">
        <f>AK402+AM402</f>
        <v>2874849</v>
      </c>
      <c r="AP402" s="7">
        <f>AO402+AN402</f>
        <v>31331288</v>
      </c>
      <c r="AQ402" s="27" t="s">
        <v>5454</v>
      </c>
      <c r="AR402" s="7" t="str">
        <f>_xlfn.XLOOKUP(C402,Sheet1!A:A,Sheet1!B:B, "Other")</f>
        <v>Europe</v>
      </c>
      <c r="AS402" t="str">
        <f>_xlfn.XLOOKUP(D402,Sheet1!D:D,Sheet1!E:E)</f>
        <v>Food, beverages and agriculture</v>
      </c>
    </row>
    <row r="403" spans="1:45" ht="18" customHeight="1">
      <c r="A403" s="7">
        <v>399</v>
      </c>
      <c r="B403" s="7" t="s">
        <v>723</v>
      </c>
      <c r="C403" s="7" t="s">
        <v>78</v>
      </c>
      <c r="D403" s="7" t="s">
        <v>76</v>
      </c>
      <c r="E403" s="7" t="s">
        <v>5453</v>
      </c>
      <c r="F403" s="7" t="s">
        <v>5452</v>
      </c>
      <c r="G403" s="122"/>
      <c r="H403" s="7"/>
      <c r="I403" s="7"/>
      <c r="J403" s="122" t="s">
        <v>1960</v>
      </c>
      <c r="K403" s="7"/>
      <c r="L403" s="127" t="s">
        <v>1960</v>
      </c>
      <c r="M403" s="122"/>
      <c r="N403" s="7"/>
      <c r="O403" s="7"/>
      <c r="P403" s="7" t="str" cm="1">
        <f t="array" ref="P403">IF(O403="", "", IFERROR(MAX(--_xlfn.TEXTSPLIT(O403,"+")), O403))</f>
        <v/>
      </c>
      <c r="Q403" s="7"/>
      <c r="R403" s="109"/>
      <c r="S403" s="7" t="s">
        <v>1957</v>
      </c>
      <c r="T403" s="7" t="s">
        <v>4513</v>
      </c>
      <c r="U403" s="7">
        <v>2050</v>
      </c>
      <c r="V403" s="7" cm="1">
        <f t="array" ref="V403">IF(U403="", "", IFERROR(MAX(--_xlfn.TEXTSPLIT(U403,"+")), U403))</f>
        <v>2050</v>
      </c>
      <c r="W403" s="7">
        <v>2021</v>
      </c>
      <c r="X403" s="7" t="s">
        <v>5451</v>
      </c>
      <c r="Y403" s="122"/>
      <c r="Z403" s="7"/>
      <c r="AA403" s="109"/>
      <c r="AB403" s="7">
        <v>2021</v>
      </c>
      <c r="AC403" s="124">
        <v>9751</v>
      </c>
      <c r="AD403" s="7"/>
      <c r="AE403" s="124">
        <v>15075</v>
      </c>
      <c r="AF403" s="124">
        <v>73316</v>
      </c>
      <c r="AG403" s="7" t="s">
        <v>5032</v>
      </c>
      <c r="AH403" s="7">
        <f>AC403+AE403</f>
        <v>24826</v>
      </c>
      <c r="AI403" s="7">
        <f>AH403+AF403</f>
        <v>98142</v>
      </c>
      <c r="AJ403" s="7">
        <v>2020</v>
      </c>
      <c r="AK403" s="124">
        <v>9648</v>
      </c>
      <c r="AL403" s="7"/>
      <c r="AM403" s="124">
        <v>18540</v>
      </c>
      <c r="AN403" s="124">
        <v>74897</v>
      </c>
      <c r="AO403" s="7">
        <f>AK403+AM403</f>
        <v>28188</v>
      </c>
      <c r="AP403" s="7">
        <f>AO403+AN403</f>
        <v>103085</v>
      </c>
      <c r="AQ403" s="7" t="s">
        <v>5450</v>
      </c>
      <c r="AR403" s="7" t="str">
        <f>_xlfn.XLOOKUP(C403,Sheet1!A:A,Sheet1!B:B, "Other")</f>
        <v>North America</v>
      </c>
      <c r="AS403" t="str">
        <f>_xlfn.XLOOKUP(D403,Sheet1!D:D,Sheet1!E:E)</f>
        <v>Financial services</v>
      </c>
    </row>
    <row r="404" spans="1:45" ht="18" customHeight="1">
      <c r="A404" s="7">
        <v>400</v>
      </c>
      <c r="B404" s="7" t="s">
        <v>751</v>
      </c>
      <c r="C404" s="7" t="s">
        <v>73</v>
      </c>
      <c r="D404" s="7" t="s">
        <v>5398</v>
      </c>
      <c r="E404" s="7" t="s">
        <v>5449</v>
      </c>
      <c r="F404" s="7" t="s">
        <v>5448</v>
      </c>
      <c r="G404" s="122"/>
      <c r="H404" s="7"/>
      <c r="I404" s="7"/>
      <c r="J404" s="122" t="s">
        <v>1960</v>
      </c>
      <c r="K404" s="7"/>
      <c r="L404" s="127" t="s">
        <v>1960</v>
      </c>
      <c r="M404" s="122"/>
      <c r="N404" s="7"/>
      <c r="O404" s="7"/>
      <c r="P404" s="7" t="str" cm="1">
        <f t="array" ref="P404">IF(O404="", "", IFERROR(MAX(--_xlfn.TEXTSPLIT(O404,"+")), O404))</f>
        <v/>
      </c>
      <c r="Q404" s="7"/>
      <c r="R404" s="109"/>
      <c r="S404" s="7"/>
      <c r="T404" s="7"/>
      <c r="U404" s="7"/>
      <c r="V404" s="7" t="str" cm="1">
        <f t="array" ref="V404">IF(U404="", "", IFERROR(MAX(--_xlfn.TEXTSPLIT(U404,"+")), U404))</f>
        <v/>
      </c>
      <c r="W404" s="7"/>
      <c r="X404" s="7"/>
      <c r="Y404" s="122"/>
      <c r="Z404" s="7"/>
      <c r="AA404" s="109"/>
      <c r="AB404" s="7" t="s">
        <v>5032</v>
      </c>
      <c r="AC404" s="7"/>
      <c r="AD404" s="7"/>
      <c r="AE404" s="7"/>
      <c r="AF404" s="7"/>
      <c r="AG404" s="7" t="s">
        <v>5032</v>
      </c>
      <c r="AH404" s="7"/>
      <c r="AI404" s="7"/>
      <c r="AJ404" s="7"/>
      <c r="AK404" s="7"/>
      <c r="AL404" s="7"/>
      <c r="AM404" s="7"/>
      <c r="AN404" s="7"/>
      <c r="AO404" s="7"/>
      <c r="AP404" s="7"/>
      <c r="AQ404" s="7"/>
      <c r="AR404" s="7" t="str">
        <f>_xlfn.XLOOKUP(C404,Sheet1!A:A,Sheet1!B:B, "Other")</f>
        <v>Asia</v>
      </c>
      <c r="AS404" t="str">
        <f>_xlfn.XLOOKUP(D404,Sheet1!D:D,Sheet1!E:E)</f>
        <v>Aerospace and defense</v>
      </c>
    </row>
    <row r="405" spans="1:45" ht="18" customHeight="1">
      <c r="A405" s="7">
        <v>401</v>
      </c>
      <c r="B405" s="7" t="s">
        <v>5447</v>
      </c>
      <c r="C405" s="7" t="s">
        <v>96</v>
      </c>
      <c r="D405" s="7" t="s">
        <v>71</v>
      </c>
      <c r="E405" s="7" t="s">
        <v>5446</v>
      </c>
      <c r="F405" s="7" t="s">
        <v>5445</v>
      </c>
      <c r="G405" s="122"/>
      <c r="H405" s="7"/>
      <c r="I405" s="7"/>
      <c r="J405" s="122"/>
      <c r="K405" s="7"/>
      <c r="L405" s="127"/>
      <c r="M405" s="122" t="s">
        <v>4519</v>
      </c>
      <c r="N405" s="7" t="s">
        <v>5131</v>
      </c>
      <c r="O405" s="7">
        <v>2050</v>
      </c>
      <c r="P405" s="7" cm="1">
        <f t="array" ref="P405">IF(O405="", "", IFERROR(MAX(--_xlfn.TEXTSPLIT(O405,"+")), O405))</f>
        <v>2050</v>
      </c>
      <c r="Q405" s="7">
        <v>2019</v>
      </c>
      <c r="R405" s="126" t="s">
        <v>5444</v>
      </c>
      <c r="S405" s="7"/>
      <c r="T405" s="7"/>
      <c r="U405" s="7"/>
      <c r="V405" s="7" t="str" cm="1">
        <f t="array" ref="V405">IF(U405="", "", IFERROR(MAX(--_xlfn.TEXTSPLIT(U405,"+")), U405))</f>
        <v/>
      </c>
      <c r="W405" s="7"/>
      <c r="X405" s="7"/>
      <c r="Y405" s="122"/>
      <c r="Z405" s="7"/>
      <c r="AA405" s="109"/>
      <c r="AB405" s="7" t="s">
        <v>5032</v>
      </c>
      <c r="AC405" s="7"/>
      <c r="AD405" s="7"/>
      <c r="AE405" s="7"/>
      <c r="AF405" s="7"/>
      <c r="AG405" s="7" t="s">
        <v>5032</v>
      </c>
      <c r="AH405" s="124"/>
      <c r="AI405" s="124"/>
      <c r="AJ405" s="7" t="s">
        <v>5032</v>
      </c>
      <c r="AK405" s="7"/>
      <c r="AL405" s="7"/>
      <c r="AM405" s="7"/>
      <c r="AN405" s="7"/>
      <c r="AO405" s="124">
        <f t="shared" ref="AO405:AO411" si="37">AK405+AM405</f>
        <v>0</v>
      </c>
      <c r="AP405" s="124">
        <f>AN405+AO405</f>
        <v>0</v>
      </c>
      <c r="AQ405" s="27" t="s">
        <v>5444</v>
      </c>
      <c r="AR405" s="7" t="str">
        <f>_xlfn.XLOOKUP(C405,Sheet1!A:A,Sheet1!B:B, "Other")</f>
        <v>Europe</v>
      </c>
      <c r="AS405" t="str">
        <f>_xlfn.XLOOKUP(D405,Sheet1!D:D,Sheet1!E:E)</f>
        <v>Energy and utilities</v>
      </c>
    </row>
    <row r="406" spans="1:45" ht="18" customHeight="1">
      <c r="A406" s="7">
        <v>402</v>
      </c>
      <c r="B406" s="7" t="s">
        <v>4304</v>
      </c>
      <c r="C406" s="7" t="s">
        <v>73</v>
      </c>
      <c r="D406" s="7" t="s">
        <v>76</v>
      </c>
      <c r="E406" s="7" t="s">
        <v>5443</v>
      </c>
      <c r="F406" s="7" t="s">
        <v>5442</v>
      </c>
      <c r="G406" s="122"/>
      <c r="H406" s="7"/>
      <c r="I406" s="7"/>
      <c r="J406" s="122" t="s">
        <v>1960</v>
      </c>
      <c r="K406" s="7"/>
      <c r="L406" s="127" t="s">
        <v>1960</v>
      </c>
      <c r="M406" s="122" t="s">
        <v>4519</v>
      </c>
      <c r="N406" s="7" t="s">
        <v>5131</v>
      </c>
      <c r="O406" s="7">
        <v>2060</v>
      </c>
      <c r="P406" s="7" cm="1">
        <f t="array" ref="P406">IF(O406="", "", IFERROR(MAX(--_xlfn.TEXTSPLIT(O406,"+")), O406))</f>
        <v>2060</v>
      </c>
      <c r="Q406" s="7">
        <v>2020</v>
      </c>
      <c r="R406" s="126" t="s">
        <v>5441</v>
      </c>
      <c r="S406" s="7"/>
      <c r="T406" s="7"/>
      <c r="U406" s="7"/>
      <c r="V406" s="7" t="str" cm="1">
        <f t="array" ref="V406">IF(U406="", "", IFERROR(MAX(--_xlfn.TEXTSPLIT(U406,"+")), U406))</f>
        <v/>
      </c>
      <c r="W406" s="7"/>
      <c r="X406" s="7"/>
      <c r="Y406" s="122"/>
      <c r="Z406" s="7"/>
      <c r="AA406" s="109"/>
      <c r="AB406" s="7">
        <v>2022</v>
      </c>
      <c r="AC406" s="123">
        <v>21372.959999999999</v>
      </c>
      <c r="AD406" s="7"/>
      <c r="AE406" s="123">
        <v>587625.15</v>
      </c>
      <c r="AF406" s="123">
        <v>608998.11</v>
      </c>
      <c r="AG406" s="7" t="s">
        <v>5032</v>
      </c>
      <c r="AH406" s="124">
        <f>AC406+AE406</f>
        <v>608998.11</v>
      </c>
      <c r="AI406" s="124">
        <f>AF406+AH406</f>
        <v>1217996.22</v>
      </c>
      <c r="AJ406" s="7">
        <v>2021</v>
      </c>
      <c r="AK406" s="123">
        <v>26522.6</v>
      </c>
      <c r="AL406" s="7"/>
      <c r="AM406" s="123">
        <v>613586.31000000006</v>
      </c>
      <c r="AN406" s="123">
        <v>640108.91</v>
      </c>
      <c r="AO406" s="123">
        <f t="shared" si="37"/>
        <v>640108.91</v>
      </c>
      <c r="AP406" s="123">
        <f>AN406+AO406</f>
        <v>1280217.82</v>
      </c>
      <c r="AQ406" s="27" t="s">
        <v>5441</v>
      </c>
      <c r="AR406" s="7" t="str">
        <f>_xlfn.XLOOKUP(C406,Sheet1!A:A,Sheet1!B:B, "Other")</f>
        <v>Asia</v>
      </c>
      <c r="AS406" t="str">
        <f>_xlfn.XLOOKUP(D406,Sheet1!D:D,Sheet1!E:E)</f>
        <v>Financial services</v>
      </c>
    </row>
    <row r="407" spans="1:45" ht="18" customHeight="1">
      <c r="A407" s="7">
        <v>403</v>
      </c>
      <c r="B407" s="7" t="s">
        <v>353</v>
      </c>
      <c r="C407" s="7" t="s">
        <v>63</v>
      </c>
      <c r="D407" s="7" t="s">
        <v>178</v>
      </c>
      <c r="E407" s="7" t="s">
        <v>5440</v>
      </c>
      <c r="F407" s="7" t="s">
        <v>5439</v>
      </c>
      <c r="G407" s="122"/>
      <c r="H407" s="7"/>
      <c r="I407" s="7"/>
      <c r="J407" s="122" t="s">
        <v>4183</v>
      </c>
      <c r="K407" s="7">
        <v>2025</v>
      </c>
      <c r="L407" s="127">
        <v>2019</v>
      </c>
      <c r="M407" s="122" t="s">
        <v>1957</v>
      </c>
      <c r="N407" s="7" t="s">
        <v>1659</v>
      </c>
      <c r="O407" s="7">
        <v>2012</v>
      </c>
      <c r="P407" s="7" cm="1">
        <f t="array" ref="P407">IF(O407="", "", IFERROR(MAX(--_xlfn.TEXTSPLIT(O407,"+")), O407))</f>
        <v>2012</v>
      </c>
      <c r="Q407" s="7">
        <v>2012</v>
      </c>
      <c r="R407" s="109" t="s">
        <v>5438</v>
      </c>
      <c r="S407" s="7" t="s">
        <v>1957</v>
      </c>
      <c r="T407" s="7" t="s">
        <v>5131</v>
      </c>
      <c r="U407" s="7">
        <v>2040</v>
      </c>
      <c r="V407" s="7" cm="1">
        <f t="array" ref="V407">IF(U407="", "", IFERROR(MAX(--_xlfn.TEXTSPLIT(U407,"+")), U407))</f>
        <v>2040</v>
      </c>
      <c r="W407" s="7">
        <v>2019</v>
      </c>
      <c r="X407" s="7" t="s">
        <v>5437</v>
      </c>
      <c r="Y407" s="122"/>
      <c r="Z407" s="7"/>
      <c r="AA407" s="109"/>
      <c r="AB407" s="7">
        <v>2022</v>
      </c>
      <c r="AC407" s="124">
        <v>432360</v>
      </c>
      <c r="AD407" s="7"/>
      <c r="AE407" s="124">
        <v>49908</v>
      </c>
      <c r="AF407" s="124">
        <f>1802331+108390</f>
        <v>1910721</v>
      </c>
      <c r="AG407" s="7" t="s">
        <v>5032</v>
      </c>
      <c r="AH407" s="124">
        <f>AC407+AE407</f>
        <v>482268</v>
      </c>
      <c r="AI407" s="124">
        <f>AF407+AH407</f>
        <v>2392989</v>
      </c>
      <c r="AJ407" s="7">
        <v>2021</v>
      </c>
      <c r="AK407" s="124">
        <v>441506</v>
      </c>
      <c r="AL407" s="7"/>
      <c r="AM407" s="7">
        <v>63415</v>
      </c>
      <c r="AN407" s="123">
        <v>2042022</v>
      </c>
      <c r="AO407" s="123">
        <f t="shared" si="37"/>
        <v>504921</v>
      </c>
      <c r="AP407" s="123">
        <f>AO407+AN407</f>
        <v>2546943</v>
      </c>
      <c r="AQ407" s="27" t="s">
        <v>5436</v>
      </c>
      <c r="AR407" s="7" t="str">
        <f>_xlfn.XLOOKUP(C407,Sheet1!A:A,Sheet1!B:B, "Other")</f>
        <v>Europe</v>
      </c>
      <c r="AS407" t="str">
        <f>_xlfn.XLOOKUP(D407,Sheet1!D:D,Sheet1!E:E)</f>
        <v>Transportation and logistics</v>
      </c>
    </row>
    <row r="408" spans="1:45" ht="18" customHeight="1">
      <c r="A408" s="7">
        <v>404</v>
      </c>
      <c r="B408" s="7" t="s">
        <v>393</v>
      </c>
      <c r="C408" s="7" t="s">
        <v>4457</v>
      </c>
      <c r="D408" s="7" t="s">
        <v>91</v>
      </c>
      <c r="E408" s="7" t="s">
        <v>5435</v>
      </c>
      <c r="F408" s="7" t="s">
        <v>5434</v>
      </c>
      <c r="G408" s="122"/>
      <c r="H408" s="7"/>
      <c r="I408" s="7"/>
      <c r="J408" s="122" t="s">
        <v>1960</v>
      </c>
      <c r="K408" s="7"/>
      <c r="L408" s="127" t="s">
        <v>1960</v>
      </c>
      <c r="M408" s="122"/>
      <c r="N408" s="7"/>
      <c r="O408" s="7"/>
      <c r="P408" s="7" t="str" cm="1">
        <f t="array" ref="P408">IF(O408="", "", IFERROR(MAX(--_xlfn.TEXTSPLIT(O408,"+")), O408))</f>
        <v/>
      </c>
      <c r="Q408" s="7"/>
      <c r="R408" s="109"/>
      <c r="S408" s="7"/>
      <c r="T408" s="7"/>
      <c r="U408" s="7"/>
      <c r="V408" s="7" t="str" cm="1">
        <f t="array" ref="V408">IF(U408="", "", IFERROR(MAX(--_xlfn.TEXTSPLIT(U408,"+")), U408))</f>
        <v/>
      </c>
      <c r="W408" s="7"/>
      <c r="X408" s="7"/>
      <c r="Y408" s="122" t="s">
        <v>4174</v>
      </c>
      <c r="Z408" s="7" t="s">
        <v>5433</v>
      </c>
      <c r="AA408" s="126" t="s">
        <v>5432</v>
      </c>
      <c r="AB408" s="7">
        <v>2022</v>
      </c>
      <c r="AC408" s="7">
        <v>11675</v>
      </c>
      <c r="AD408" s="7">
        <v>28437</v>
      </c>
      <c r="AE408" s="7">
        <v>25061</v>
      </c>
      <c r="AF408" s="7"/>
      <c r="AG408" s="7" t="s">
        <v>5032</v>
      </c>
      <c r="AH408" s="7">
        <f>AC408+AE408</f>
        <v>36736</v>
      </c>
      <c r="AI408" s="7">
        <f>AH408+AF408</f>
        <v>36736</v>
      </c>
      <c r="AJ408" s="7">
        <v>2021</v>
      </c>
      <c r="AK408" s="7">
        <v>11768</v>
      </c>
      <c r="AL408" s="7">
        <v>30513</v>
      </c>
      <c r="AM408" s="7">
        <v>29000</v>
      </c>
      <c r="AN408" s="7"/>
      <c r="AO408" s="7">
        <f t="shared" si="37"/>
        <v>40768</v>
      </c>
      <c r="AP408" s="7">
        <f>AO408+AN408</f>
        <v>40768</v>
      </c>
      <c r="AQ408" s="27" t="s">
        <v>5431</v>
      </c>
      <c r="AR408" s="7" t="str">
        <f>_xlfn.XLOOKUP(C408,Sheet1!A:A,Sheet1!B:B, "Other")</f>
        <v>North America</v>
      </c>
      <c r="AS408" t="str">
        <f>_xlfn.XLOOKUP(D408,Sheet1!D:D,Sheet1!E:E)</f>
        <v>Retail</v>
      </c>
    </row>
    <row r="409" spans="1:45" ht="18" customHeight="1">
      <c r="A409" s="7">
        <v>405</v>
      </c>
      <c r="B409" s="7" t="s">
        <v>5430</v>
      </c>
      <c r="C409" s="7" t="s">
        <v>4457</v>
      </c>
      <c r="D409" s="7" t="s">
        <v>71</v>
      </c>
      <c r="E409" s="7" t="s">
        <v>5429</v>
      </c>
      <c r="F409" s="7" t="s">
        <v>5428</v>
      </c>
      <c r="G409" s="122"/>
      <c r="H409" s="7"/>
      <c r="I409" s="7"/>
      <c r="J409" s="122"/>
      <c r="K409" s="7"/>
      <c r="L409" s="127"/>
      <c r="M409" s="122"/>
      <c r="N409" s="7"/>
      <c r="O409" s="7"/>
      <c r="P409" s="7" t="str" cm="1">
        <f t="array" ref="P409">IF(O409="", "", IFERROR(MAX(--_xlfn.TEXTSPLIT(O409,"+")), O409))</f>
        <v/>
      </c>
      <c r="Q409" s="7"/>
      <c r="R409" s="109"/>
      <c r="S409" s="7" t="s">
        <v>4172</v>
      </c>
      <c r="T409" s="7" t="s">
        <v>5427</v>
      </c>
      <c r="U409" s="7" t="s">
        <v>4670</v>
      </c>
      <c r="V409" s="7" cm="1">
        <f t="array" ref="V409">IF(U409="", "", IFERROR(MAX(--_xlfn.TEXTSPLIT(U409,"+")), U409))</f>
        <v>2050</v>
      </c>
      <c r="W409" s="7">
        <v>2020</v>
      </c>
      <c r="X409" s="125" t="s">
        <v>5426</v>
      </c>
      <c r="Y409" s="122" t="s">
        <v>4174</v>
      </c>
      <c r="Z409" s="7" t="s">
        <v>5425</v>
      </c>
      <c r="AA409" s="126" t="s">
        <v>5424</v>
      </c>
      <c r="AB409" s="7">
        <v>2021</v>
      </c>
      <c r="AC409" s="7">
        <v>18500000</v>
      </c>
      <c r="AD409" s="7"/>
      <c r="AE409" s="7">
        <v>4840000</v>
      </c>
      <c r="AF409" s="7">
        <v>212000000</v>
      </c>
      <c r="AG409" s="7" t="s">
        <v>5032</v>
      </c>
      <c r="AH409" s="124">
        <f>AC409+AE409</f>
        <v>23340000</v>
      </c>
      <c r="AI409" s="124">
        <f>AF409+AH409</f>
        <v>235340000</v>
      </c>
      <c r="AJ409" s="7">
        <v>2020</v>
      </c>
      <c r="AK409" s="7">
        <v>19020000</v>
      </c>
      <c r="AL409" s="7"/>
      <c r="AM409" s="7">
        <v>4840000</v>
      </c>
      <c r="AN409" s="7">
        <v>226000000</v>
      </c>
      <c r="AO409" s="124">
        <f t="shared" si="37"/>
        <v>23860000</v>
      </c>
      <c r="AP409" s="124">
        <f>AN409+AO409</f>
        <v>249860000</v>
      </c>
      <c r="AQ409" s="27" t="s">
        <v>5423</v>
      </c>
      <c r="AR409" s="7" t="str">
        <f>_xlfn.XLOOKUP(C409,Sheet1!A:A,Sheet1!B:B, "Other")</f>
        <v>North America</v>
      </c>
      <c r="AS409" t="str">
        <f>_xlfn.XLOOKUP(D409,Sheet1!D:D,Sheet1!E:E)</f>
        <v>Energy and utilities</v>
      </c>
    </row>
    <row r="410" spans="1:45" ht="18" customHeight="1">
      <c r="A410" s="7">
        <v>406</v>
      </c>
      <c r="B410" s="7" t="s">
        <v>812</v>
      </c>
      <c r="C410" s="7" t="s">
        <v>68</v>
      </c>
      <c r="D410" s="7" t="s">
        <v>76</v>
      </c>
      <c r="E410" s="7" t="s">
        <v>5422</v>
      </c>
      <c r="F410" s="7" t="s">
        <v>5421</v>
      </c>
      <c r="G410" s="122"/>
      <c r="H410" s="7"/>
      <c r="I410" s="7"/>
      <c r="J410" s="122"/>
      <c r="K410" s="7"/>
      <c r="L410" s="127"/>
      <c r="M410" s="122"/>
      <c r="N410" s="7"/>
      <c r="O410" s="7"/>
      <c r="P410" s="7" t="str" cm="1">
        <f t="array" ref="P410">IF(O410="", "", IFERROR(MAX(--_xlfn.TEXTSPLIT(O410,"+")), O410))</f>
        <v/>
      </c>
      <c r="Q410" s="7"/>
      <c r="R410" s="126"/>
      <c r="S410" s="7"/>
      <c r="T410" s="7"/>
      <c r="U410" s="7"/>
      <c r="V410" s="7" t="str" cm="1">
        <f t="array" ref="V410">IF(U410="", "", IFERROR(MAX(--_xlfn.TEXTSPLIT(U410,"+")), U410))</f>
        <v/>
      </c>
      <c r="W410" s="7"/>
      <c r="X410" s="7"/>
      <c r="Y410" s="122"/>
      <c r="Z410" s="7"/>
      <c r="AA410" s="109"/>
      <c r="AB410" s="7" t="s">
        <v>5032</v>
      </c>
      <c r="AC410" s="7"/>
      <c r="AD410" s="7"/>
      <c r="AE410" s="7"/>
      <c r="AF410" s="7"/>
      <c r="AG410" s="7" t="s">
        <v>5032</v>
      </c>
      <c r="AH410" s="124"/>
      <c r="AI410" s="124"/>
      <c r="AJ410" s="7" t="s">
        <v>5032</v>
      </c>
      <c r="AK410" s="7"/>
      <c r="AL410" s="7"/>
      <c r="AM410" s="7"/>
      <c r="AN410" s="7"/>
      <c r="AO410" s="124">
        <f t="shared" si="37"/>
        <v>0</v>
      </c>
      <c r="AP410" s="124">
        <f>AN410+AO410</f>
        <v>0</v>
      </c>
      <c r="AQ410" s="7"/>
      <c r="AR410" s="7" t="str">
        <f>_xlfn.XLOOKUP(C410,Sheet1!A:A,Sheet1!B:B, "Other")</f>
        <v>Other</v>
      </c>
      <c r="AS410" t="str">
        <f>_xlfn.XLOOKUP(D410,Sheet1!D:D,Sheet1!E:E)</f>
        <v>Financial services</v>
      </c>
    </row>
    <row r="411" spans="1:45" ht="18" customHeight="1">
      <c r="A411" s="7">
        <v>407</v>
      </c>
      <c r="B411" s="7" t="s">
        <v>826</v>
      </c>
      <c r="C411" s="7" t="s">
        <v>207</v>
      </c>
      <c r="D411" s="7" t="s">
        <v>283</v>
      </c>
      <c r="E411" s="7" t="s">
        <v>5420</v>
      </c>
      <c r="F411" s="7" t="s">
        <v>5419</v>
      </c>
      <c r="G411" s="122"/>
      <c r="H411" s="7"/>
      <c r="I411" s="7"/>
      <c r="J411" s="122" t="s">
        <v>4183</v>
      </c>
      <c r="K411" s="7">
        <v>2030</v>
      </c>
      <c r="L411" s="127">
        <v>2020</v>
      </c>
      <c r="M411" s="122"/>
      <c r="N411" s="7"/>
      <c r="O411" s="7"/>
      <c r="P411" s="7" t="str" cm="1">
        <f t="array" ref="P411">IF(O411="", "", IFERROR(MAX(--_xlfn.TEXTSPLIT(O411,"+")), O411))</f>
        <v/>
      </c>
      <c r="Q411" s="7"/>
      <c r="R411" s="109"/>
      <c r="S411" s="7" t="s">
        <v>4172</v>
      </c>
      <c r="T411" s="7" t="s">
        <v>2760</v>
      </c>
      <c r="U411" s="7">
        <v>2050</v>
      </c>
      <c r="V411" s="7" cm="1">
        <f t="array" ref="V411">IF(U411="", "", IFERROR(MAX(--_xlfn.TEXTSPLIT(U411,"+")), U411))</f>
        <v>2050</v>
      </c>
      <c r="W411" s="7">
        <v>2021</v>
      </c>
      <c r="X411" s="125" t="s">
        <v>5416</v>
      </c>
      <c r="Y411" s="122" t="s">
        <v>4174</v>
      </c>
      <c r="Z411" s="7" t="s">
        <v>5418</v>
      </c>
      <c r="AA411" s="126" t="s">
        <v>5417</v>
      </c>
      <c r="AB411" s="7">
        <v>2022</v>
      </c>
      <c r="AC411" s="7">
        <v>280000</v>
      </c>
      <c r="AD411" s="7"/>
      <c r="AE411" s="7">
        <v>890000</v>
      </c>
      <c r="AF411" s="7">
        <v>148290000</v>
      </c>
      <c r="AG411" s="7" t="s">
        <v>4174</v>
      </c>
      <c r="AH411" s="7">
        <f>AC411+AE411</f>
        <v>1170000</v>
      </c>
      <c r="AI411" s="7">
        <f>AH411+AF411</f>
        <v>149460000</v>
      </c>
      <c r="AJ411" s="7">
        <v>2021</v>
      </c>
      <c r="AK411" s="7">
        <v>240000</v>
      </c>
      <c r="AL411" s="7"/>
      <c r="AM411" s="7">
        <v>800000</v>
      </c>
      <c r="AN411" s="7">
        <v>142790000</v>
      </c>
      <c r="AO411" s="7">
        <f t="shared" si="37"/>
        <v>1040000</v>
      </c>
      <c r="AP411" s="7">
        <f>AN411+AO411</f>
        <v>143830000</v>
      </c>
      <c r="AQ411" s="27" t="s">
        <v>5416</v>
      </c>
      <c r="AR411" s="7" t="str">
        <f>_xlfn.XLOOKUP(C411,Sheet1!A:A,Sheet1!B:B, "Other")</f>
        <v>Asia</v>
      </c>
      <c r="AS411" t="str">
        <f>_xlfn.XLOOKUP(D411,Sheet1!D:D,Sheet1!E:E)</f>
        <v>Industrial goods</v>
      </c>
    </row>
    <row r="412" spans="1:45" ht="18" customHeight="1">
      <c r="A412" s="7">
        <v>408</v>
      </c>
      <c r="B412" s="7" t="s">
        <v>349</v>
      </c>
      <c r="C412" s="7" t="s">
        <v>4457</v>
      </c>
      <c r="D412" s="7" t="s">
        <v>76</v>
      </c>
      <c r="E412" s="7" t="s">
        <v>5415</v>
      </c>
      <c r="F412" s="7" t="s">
        <v>5414</v>
      </c>
      <c r="G412" s="122"/>
      <c r="H412" s="7"/>
      <c r="I412" s="7"/>
      <c r="J412" s="122" t="s">
        <v>1960</v>
      </c>
      <c r="K412" s="7"/>
      <c r="L412" s="127" t="s">
        <v>1960</v>
      </c>
      <c r="M412" s="122"/>
      <c r="N412" s="7"/>
      <c r="O412" s="7"/>
      <c r="P412" s="7" t="str" cm="1">
        <f t="array" ref="P412">IF(O412="", "", IFERROR(MAX(--_xlfn.TEXTSPLIT(O412,"+")), O412))</f>
        <v/>
      </c>
      <c r="Q412" s="7"/>
      <c r="R412" s="109"/>
      <c r="S412" s="7"/>
      <c r="T412" s="7"/>
      <c r="U412" s="7"/>
      <c r="V412" s="7" t="str" cm="1">
        <f t="array" ref="V412">IF(U412="", "", IFERROR(MAX(--_xlfn.TEXTSPLIT(U412,"+")), U412))</f>
        <v/>
      </c>
      <c r="W412" s="7"/>
      <c r="X412" s="7"/>
      <c r="Y412" s="122" t="s">
        <v>4174</v>
      </c>
      <c r="Z412" s="7" t="s">
        <v>5413</v>
      </c>
      <c r="AA412" s="126" t="s">
        <v>5412</v>
      </c>
      <c r="AB412" s="7" t="s">
        <v>5032</v>
      </c>
      <c r="AC412" s="7"/>
      <c r="AD412" s="7"/>
      <c r="AE412" s="7"/>
      <c r="AF412" s="7"/>
      <c r="AG412" s="7" t="s">
        <v>5032</v>
      </c>
      <c r="AH412" s="7"/>
      <c r="AI412" s="7"/>
      <c r="AJ412" s="7" t="s">
        <v>5032</v>
      </c>
      <c r="AK412" s="7"/>
      <c r="AL412" s="7"/>
      <c r="AM412" s="7"/>
      <c r="AN412" s="7"/>
      <c r="AO412" s="7"/>
      <c r="AP412" s="7"/>
      <c r="AQ412" s="7"/>
      <c r="AR412" s="7" t="str">
        <f>_xlfn.XLOOKUP(C412,Sheet1!A:A,Sheet1!B:B, "Other")</f>
        <v>North America</v>
      </c>
      <c r="AS412" t="str">
        <f>_xlfn.XLOOKUP(D412,Sheet1!D:D,Sheet1!E:E)</f>
        <v>Financial services</v>
      </c>
    </row>
    <row r="413" spans="1:45" ht="18" customHeight="1">
      <c r="A413" s="7">
        <v>409</v>
      </c>
      <c r="B413" s="7" t="s">
        <v>2193</v>
      </c>
      <c r="C413" s="7" t="s">
        <v>4457</v>
      </c>
      <c r="D413" s="7" t="s">
        <v>76</v>
      </c>
      <c r="E413" s="7" t="s">
        <v>5411</v>
      </c>
      <c r="F413" s="7" t="s">
        <v>5410</v>
      </c>
      <c r="G413" s="122"/>
      <c r="H413" s="7"/>
      <c r="I413" s="7"/>
      <c r="J413" s="122" t="s">
        <v>1960</v>
      </c>
      <c r="K413" s="7"/>
      <c r="L413" s="127" t="s">
        <v>1960</v>
      </c>
      <c r="M413" s="122" t="s">
        <v>1957</v>
      </c>
      <c r="N413" s="7" t="s">
        <v>4223</v>
      </c>
      <c r="O413" s="7">
        <v>2030</v>
      </c>
      <c r="P413" s="7" cm="1">
        <f t="array" ref="P413">IF(O413="", "", IFERROR(MAX(--_xlfn.TEXTSPLIT(O413,"+")), O413))</f>
        <v>2030</v>
      </c>
      <c r="Q413" s="7">
        <v>2021</v>
      </c>
      <c r="R413" s="126" t="s">
        <v>5409</v>
      </c>
      <c r="S413" s="7"/>
      <c r="T413" s="7"/>
      <c r="U413" s="7"/>
      <c r="V413" s="7" t="str" cm="1">
        <f t="array" ref="V413">IF(U413="", "", IFERROR(MAX(--_xlfn.TEXTSPLIT(U413,"+")), U413))</f>
        <v/>
      </c>
      <c r="W413" s="7"/>
      <c r="X413" s="7"/>
      <c r="Y413" s="122" t="s">
        <v>4174</v>
      </c>
      <c r="Z413" s="7" t="s">
        <v>5037</v>
      </c>
      <c r="AA413" s="126" t="s">
        <v>5408</v>
      </c>
      <c r="AB413" s="7">
        <v>2022</v>
      </c>
      <c r="AC413" s="124">
        <v>17828</v>
      </c>
      <c r="AD413" s="7"/>
      <c r="AE413" s="124">
        <v>20322</v>
      </c>
      <c r="AF413" s="124">
        <v>10094</v>
      </c>
      <c r="AG413" s="7" t="s">
        <v>5032</v>
      </c>
      <c r="AH413" s="124">
        <f>AC413+AE413</f>
        <v>38150</v>
      </c>
      <c r="AI413" s="124">
        <f>AF413+AH413</f>
        <v>48244</v>
      </c>
      <c r="AJ413" s="7">
        <v>2021</v>
      </c>
      <c r="AK413" s="124">
        <v>12794</v>
      </c>
      <c r="AL413" s="7"/>
      <c r="AM413" s="124">
        <v>20683</v>
      </c>
      <c r="AN413" s="124">
        <v>4479</v>
      </c>
      <c r="AO413" s="124">
        <f>AK413+AM413</f>
        <v>33477</v>
      </c>
      <c r="AP413" s="124">
        <f>AN413+AO413</f>
        <v>37956</v>
      </c>
      <c r="AQ413" s="27" t="s">
        <v>5407</v>
      </c>
      <c r="AR413" s="7" t="str">
        <f>_xlfn.XLOOKUP(C413,Sheet1!A:A,Sheet1!B:B, "Other")</f>
        <v>North America</v>
      </c>
      <c r="AS413" t="str">
        <f>_xlfn.XLOOKUP(D413,Sheet1!D:D,Sheet1!E:E)</f>
        <v>Financial services</v>
      </c>
    </row>
    <row r="414" spans="1:45" ht="18" customHeight="1">
      <c r="A414" s="7">
        <v>410</v>
      </c>
      <c r="B414" s="7" t="s">
        <v>480</v>
      </c>
      <c r="C414" s="7" t="s">
        <v>73</v>
      </c>
      <c r="D414" s="7" t="s">
        <v>85</v>
      </c>
      <c r="E414" s="7" t="s">
        <v>5406</v>
      </c>
      <c r="F414" s="7" t="s">
        <v>5405</v>
      </c>
      <c r="G414" s="122"/>
      <c r="H414" s="7"/>
      <c r="I414" s="7"/>
      <c r="J414" s="122" t="s">
        <v>1960</v>
      </c>
      <c r="K414" s="7"/>
      <c r="L414" s="127" t="s">
        <v>1960</v>
      </c>
      <c r="M414" s="122" t="s">
        <v>4519</v>
      </c>
      <c r="N414" s="7" t="s">
        <v>5131</v>
      </c>
      <c r="O414" s="7">
        <v>2060</v>
      </c>
      <c r="P414" s="7" cm="1">
        <f t="array" ref="P414">IF(O414="", "", IFERROR(MAX(--_xlfn.TEXTSPLIT(O414,"+")), O414))</f>
        <v>2060</v>
      </c>
      <c r="Q414" s="7">
        <v>2021</v>
      </c>
      <c r="R414" s="109" t="s">
        <v>5404</v>
      </c>
      <c r="S414" s="7"/>
      <c r="T414" s="7"/>
      <c r="U414" s="7"/>
      <c r="V414" s="7" t="str" cm="1">
        <f t="array" ref="V414">IF(U414="", "", IFERROR(MAX(--_xlfn.TEXTSPLIT(U414,"+")), U414))</f>
        <v/>
      </c>
      <c r="W414" s="7"/>
      <c r="X414" s="7"/>
      <c r="Y414" s="122"/>
      <c r="Z414" s="7"/>
      <c r="AA414" s="109"/>
      <c r="AB414" s="7" t="s">
        <v>5032</v>
      </c>
      <c r="AC414" s="7"/>
      <c r="AD414" s="7"/>
      <c r="AE414" s="7"/>
      <c r="AF414" s="7"/>
      <c r="AG414" s="7" t="s">
        <v>5032</v>
      </c>
      <c r="AH414" s="7"/>
      <c r="AI414" s="7"/>
      <c r="AJ414" s="7" t="s">
        <v>5032</v>
      </c>
      <c r="AK414" s="7"/>
      <c r="AL414" s="7"/>
      <c r="AM414" s="7"/>
      <c r="AN414" s="7"/>
      <c r="AO414" s="7"/>
      <c r="AP414" s="7"/>
      <c r="AQ414" s="7" t="s">
        <v>5403</v>
      </c>
      <c r="AR414" s="7" t="str">
        <f>_xlfn.XLOOKUP(C414,Sheet1!A:A,Sheet1!B:B, "Other")</f>
        <v>Asia</v>
      </c>
      <c r="AS414" t="str">
        <f>_xlfn.XLOOKUP(D414,Sheet1!D:D,Sheet1!E:E)</f>
        <v>Industrial goods</v>
      </c>
    </row>
    <row r="415" spans="1:45" ht="18" customHeight="1">
      <c r="A415" s="7">
        <v>411</v>
      </c>
      <c r="B415" s="7" t="s">
        <v>4684</v>
      </c>
      <c r="C415" s="7" t="s">
        <v>73</v>
      </c>
      <c r="D415" s="7" t="s">
        <v>85</v>
      </c>
      <c r="E415" s="7" t="s">
        <v>5402</v>
      </c>
      <c r="F415" s="7" t="s">
        <v>5401</v>
      </c>
      <c r="G415" s="122"/>
      <c r="H415" s="7"/>
      <c r="I415" s="7"/>
      <c r="J415" s="122" t="s">
        <v>1960</v>
      </c>
      <c r="K415" s="7"/>
      <c r="L415" s="127" t="s">
        <v>1960</v>
      </c>
      <c r="M415" s="122"/>
      <c r="N415" s="7"/>
      <c r="O415" s="7"/>
      <c r="P415" s="7" t="str" cm="1">
        <f t="array" ref="P415">IF(O415="", "", IFERROR(MAX(--_xlfn.TEXTSPLIT(O415,"+")), O415))</f>
        <v/>
      </c>
      <c r="Q415" s="7"/>
      <c r="R415" s="109"/>
      <c r="S415" s="7"/>
      <c r="T415" s="7"/>
      <c r="U415" s="7"/>
      <c r="V415" s="7" t="str" cm="1">
        <f t="array" ref="V415">IF(U415="", "", IFERROR(MAX(--_xlfn.TEXTSPLIT(U415,"+")), U415))</f>
        <v/>
      </c>
      <c r="W415" s="7"/>
      <c r="X415" s="7"/>
      <c r="Y415" s="122"/>
      <c r="Z415" s="7"/>
      <c r="AA415" s="109"/>
      <c r="AB415" s="7" t="s">
        <v>5032</v>
      </c>
      <c r="AC415" s="7"/>
      <c r="AD415" s="7"/>
      <c r="AE415" s="7"/>
      <c r="AF415" s="7" t="s">
        <v>5032</v>
      </c>
      <c r="AG415" s="7" t="s">
        <v>5032</v>
      </c>
      <c r="AH415" s="7"/>
      <c r="AI415" s="7"/>
      <c r="AJ415" s="7" t="s">
        <v>5032</v>
      </c>
      <c r="AK415" s="7"/>
      <c r="AL415" s="7"/>
      <c r="AM415" s="7"/>
      <c r="AN415" s="7"/>
      <c r="AO415" s="7"/>
      <c r="AP415" s="7"/>
      <c r="AQ415" s="7"/>
      <c r="AR415" s="7" t="str">
        <f>_xlfn.XLOOKUP(C415,Sheet1!A:A,Sheet1!B:B, "Other")</f>
        <v>Asia</v>
      </c>
      <c r="AS415" t="str">
        <f>_xlfn.XLOOKUP(D415,Sheet1!D:D,Sheet1!E:E)</f>
        <v>Industrial goods</v>
      </c>
    </row>
    <row r="416" spans="1:45" ht="18" customHeight="1">
      <c r="A416" s="7">
        <v>412</v>
      </c>
      <c r="B416" s="7" t="s">
        <v>4542</v>
      </c>
      <c r="C416" s="7" t="s">
        <v>73</v>
      </c>
      <c r="D416" s="7" t="s">
        <v>66</v>
      </c>
      <c r="E416" s="7" t="s">
        <v>5400</v>
      </c>
      <c r="F416" s="7" t="s">
        <v>5399</v>
      </c>
      <c r="G416" s="122"/>
      <c r="H416" s="7"/>
      <c r="I416" s="7"/>
      <c r="J416" s="122" t="s">
        <v>1960</v>
      </c>
      <c r="K416" s="7"/>
      <c r="L416" s="127" t="s">
        <v>1960</v>
      </c>
      <c r="M416" s="122"/>
      <c r="N416" s="7"/>
      <c r="O416" s="7"/>
      <c r="P416" s="7" t="str" cm="1">
        <f t="array" ref="P416">IF(O416="", "", IFERROR(MAX(--_xlfn.TEXTSPLIT(O416,"+")), O416))</f>
        <v/>
      </c>
      <c r="Q416" s="7"/>
      <c r="R416" s="109"/>
      <c r="S416" s="7"/>
      <c r="T416" s="7"/>
      <c r="U416" s="7"/>
      <c r="V416" s="7" t="str" cm="1">
        <f t="array" ref="V416">IF(U416="", "", IFERROR(MAX(--_xlfn.TEXTSPLIT(U416,"+")), U416))</f>
        <v/>
      </c>
      <c r="W416" s="7"/>
      <c r="X416" s="7"/>
      <c r="Y416" s="122"/>
      <c r="Z416" s="7"/>
      <c r="AA416" s="109"/>
      <c r="AB416" s="7" t="s">
        <v>5032</v>
      </c>
      <c r="AC416" s="7"/>
      <c r="AD416" s="7"/>
      <c r="AE416" s="7"/>
      <c r="AF416" s="7"/>
      <c r="AG416" s="7" t="s">
        <v>5032</v>
      </c>
      <c r="AH416" s="7"/>
      <c r="AI416" s="7"/>
      <c r="AJ416" s="7" t="s">
        <v>5032</v>
      </c>
      <c r="AK416" s="7"/>
      <c r="AL416" s="7"/>
      <c r="AM416" s="7"/>
      <c r="AN416" s="7"/>
      <c r="AO416" s="7"/>
      <c r="AP416" s="7"/>
      <c r="AQ416" s="7"/>
      <c r="AR416" s="7" t="str">
        <f>_xlfn.XLOOKUP(C416,Sheet1!A:A,Sheet1!B:B, "Other")</f>
        <v>Asia</v>
      </c>
      <c r="AS416" t="str">
        <f>_xlfn.XLOOKUP(D416,Sheet1!D:D,Sheet1!E:E)</f>
        <v>Chemicals</v>
      </c>
    </row>
    <row r="417" spans="1:45" ht="18" customHeight="1">
      <c r="A417" s="7">
        <v>413</v>
      </c>
      <c r="B417" s="7" t="s">
        <v>411</v>
      </c>
      <c r="C417" s="7" t="s">
        <v>4457</v>
      </c>
      <c r="D417" s="7" t="s">
        <v>5398</v>
      </c>
      <c r="E417" s="7" t="s">
        <v>5397</v>
      </c>
      <c r="F417" s="7" t="s">
        <v>5396</v>
      </c>
      <c r="G417" s="122"/>
      <c r="H417" s="7"/>
      <c r="I417" s="7"/>
      <c r="J417" s="122" t="s">
        <v>1960</v>
      </c>
      <c r="K417" s="7"/>
      <c r="L417" s="127" t="s">
        <v>1960</v>
      </c>
      <c r="M417" s="122"/>
      <c r="N417" s="7"/>
      <c r="O417" s="7"/>
      <c r="P417" s="7" t="str" cm="1">
        <f t="array" ref="P417">IF(O417="", "", IFERROR(MAX(--_xlfn.TEXTSPLIT(O417,"+")), O417))</f>
        <v/>
      </c>
      <c r="Q417" s="7"/>
      <c r="R417" s="109"/>
      <c r="S417" s="7" t="s">
        <v>1957</v>
      </c>
      <c r="T417" s="7" t="s">
        <v>5042</v>
      </c>
      <c r="U417" s="7">
        <v>2035</v>
      </c>
      <c r="V417" s="7" cm="1">
        <f t="array" ref="V417">IF(U417="", "", IFERROR(MAX(--_xlfn.TEXTSPLIT(U417,"+")), U417))</f>
        <v>2035</v>
      </c>
      <c r="W417" s="7">
        <v>2022</v>
      </c>
      <c r="X417" s="125" t="s">
        <v>5395</v>
      </c>
      <c r="Y417" s="122" t="s">
        <v>4174</v>
      </c>
      <c r="Z417" s="7" t="s">
        <v>5037</v>
      </c>
      <c r="AA417" s="126" t="s">
        <v>5394</v>
      </c>
      <c r="AB417" s="7">
        <v>2022</v>
      </c>
      <c r="AC417" s="124">
        <v>282240</v>
      </c>
      <c r="AD417" s="7"/>
      <c r="AE417" s="124">
        <v>423000</v>
      </c>
      <c r="AF417" s="7"/>
      <c r="AG417" s="7" t="s">
        <v>5032</v>
      </c>
      <c r="AH417" s="124">
        <f>AC417+AE417</f>
        <v>705240</v>
      </c>
      <c r="AI417" s="124">
        <f>AH417</f>
        <v>705240</v>
      </c>
      <c r="AJ417" s="7">
        <v>2021</v>
      </c>
      <c r="AK417" s="124">
        <v>265650</v>
      </c>
      <c r="AL417" s="7"/>
      <c r="AM417" s="124">
        <v>479100</v>
      </c>
      <c r="AN417" s="7"/>
      <c r="AO417" s="124">
        <f>AK417+AM417</f>
        <v>744750</v>
      </c>
      <c r="AP417" s="124">
        <f>AO417</f>
        <v>744750</v>
      </c>
      <c r="AQ417" s="27" t="s">
        <v>5393</v>
      </c>
      <c r="AR417" s="7" t="str">
        <f>_xlfn.XLOOKUP(C417,Sheet1!A:A,Sheet1!B:B, "Other")</f>
        <v>North America</v>
      </c>
      <c r="AS417" t="str">
        <f>_xlfn.XLOOKUP(D417,Sheet1!D:D,Sheet1!E:E)</f>
        <v>Aerospace and defense</v>
      </c>
    </row>
    <row r="418" spans="1:45" ht="18" customHeight="1">
      <c r="A418" s="7">
        <v>414</v>
      </c>
      <c r="B418" s="7" t="s">
        <v>5392</v>
      </c>
      <c r="C418" s="7" t="s">
        <v>73</v>
      </c>
      <c r="D418" s="7" t="s">
        <v>283</v>
      </c>
      <c r="E418" s="7" t="s">
        <v>5391</v>
      </c>
      <c r="F418" s="7" t="s">
        <v>5390</v>
      </c>
      <c r="G418" s="122"/>
      <c r="H418" s="7"/>
      <c r="I418" s="7"/>
      <c r="J418" s="122"/>
      <c r="K418" s="7"/>
      <c r="L418" s="127"/>
      <c r="M418" s="122"/>
      <c r="N418" s="7"/>
      <c r="O418" s="7"/>
      <c r="P418" s="7" t="str" cm="1">
        <f t="array" ref="P418">IF(O418="", "", IFERROR(MAX(--_xlfn.TEXTSPLIT(O418,"+")), O418))</f>
        <v/>
      </c>
      <c r="Q418" s="7"/>
      <c r="R418" s="109"/>
      <c r="S418" s="7"/>
      <c r="T418" s="7"/>
      <c r="U418" s="7"/>
      <c r="V418" s="7" t="str" cm="1">
        <f t="array" ref="V418">IF(U418="", "", IFERROR(MAX(--_xlfn.TEXTSPLIT(U418,"+")), U418))</f>
        <v/>
      </c>
      <c r="W418" s="7"/>
      <c r="X418" s="7"/>
      <c r="Y418" s="122"/>
      <c r="Z418" s="7"/>
      <c r="AA418" s="109"/>
      <c r="AB418" s="7" t="s">
        <v>5032</v>
      </c>
      <c r="AC418" s="7"/>
      <c r="AD418" s="7"/>
      <c r="AE418" s="7"/>
      <c r="AF418" s="7"/>
      <c r="AG418" s="7" t="s">
        <v>5032</v>
      </c>
      <c r="AH418" s="124"/>
      <c r="AI418" s="124"/>
      <c r="AJ418" s="7" t="s">
        <v>5032</v>
      </c>
      <c r="AK418" s="7"/>
      <c r="AL418" s="7"/>
      <c r="AM418" s="7"/>
      <c r="AN418" s="7"/>
      <c r="AO418" s="124">
        <f>AK418+AM418</f>
        <v>0</v>
      </c>
      <c r="AP418" s="124">
        <f>AN418+AO418</f>
        <v>0</v>
      </c>
      <c r="AQ418" s="7"/>
      <c r="AR418" s="7" t="str">
        <f>_xlfn.XLOOKUP(C418,Sheet1!A:A,Sheet1!B:B, "Other")</f>
        <v>Asia</v>
      </c>
      <c r="AS418" t="str">
        <f>_xlfn.XLOOKUP(D418,Sheet1!D:D,Sheet1!E:E)</f>
        <v>Industrial goods</v>
      </c>
    </row>
    <row r="419" spans="1:45" ht="18" customHeight="1">
      <c r="A419" s="7">
        <v>415</v>
      </c>
      <c r="B419" s="7" t="s">
        <v>496</v>
      </c>
      <c r="C419" s="7" t="s">
        <v>78</v>
      </c>
      <c r="D419" s="7" t="s">
        <v>76</v>
      </c>
      <c r="E419" s="7" t="s">
        <v>5389</v>
      </c>
      <c r="F419" s="7" t="s">
        <v>5388</v>
      </c>
      <c r="G419" s="122"/>
      <c r="H419" s="7"/>
      <c r="I419" s="7"/>
      <c r="J419" s="122" t="s">
        <v>1960</v>
      </c>
      <c r="K419" s="7"/>
      <c r="L419" s="127" t="s">
        <v>1960</v>
      </c>
      <c r="M419" s="122"/>
      <c r="N419" s="7"/>
      <c r="O419" s="7"/>
      <c r="P419" s="7" t="str" cm="1">
        <f t="array" ref="P419">IF(O419="", "", IFERROR(MAX(--_xlfn.TEXTSPLIT(O419,"+")), O419))</f>
        <v/>
      </c>
      <c r="Q419" s="7"/>
      <c r="R419" s="109"/>
      <c r="S419" s="7" t="s">
        <v>5387</v>
      </c>
      <c r="T419" s="7" t="s">
        <v>4513</v>
      </c>
      <c r="U419" s="7" t="s">
        <v>4502</v>
      </c>
      <c r="V419" s="7" cm="1">
        <f t="array" ref="V419">IF(U419="", "", IFERROR(MAX(--_xlfn.TEXTSPLIT(U419,"+")), U419))</f>
        <v>2050</v>
      </c>
      <c r="W419" s="7">
        <v>2021</v>
      </c>
      <c r="X419" s="125" t="s">
        <v>5386</v>
      </c>
      <c r="Y419" s="122" t="s">
        <v>4174</v>
      </c>
      <c r="Z419" s="7" t="s">
        <v>5037</v>
      </c>
      <c r="AA419" s="126" t="s">
        <v>5386</v>
      </c>
      <c r="AB419" s="7">
        <v>2022</v>
      </c>
      <c r="AC419" s="7">
        <v>28797</v>
      </c>
      <c r="AD419" s="7">
        <v>69982</v>
      </c>
      <c r="AE419" s="7"/>
      <c r="AF419" s="7">
        <v>5538</v>
      </c>
      <c r="AG419" s="7" t="s">
        <v>5032</v>
      </c>
      <c r="AH419" s="7">
        <f>AD419+AC419</f>
        <v>98779</v>
      </c>
      <c r="AI419" s="7">
        <f>AH419+AF419</f>
        <v>104317</v>
      </c>
      <c r="AJ419" s="7">
        <v>2021</v>
      </c>
      <c r="AK419" s="7">
        <v>22493</v>
      </c>
      <c r="AL419" s="7">
        <v>82093</v>
      </c>
      <c r="AM419" s="7"/>
      <c r="AN419" s="7">
        <v>495</v>
      </c>
      <c r="AO419" s="7">
        <f>AK419+AL419</f>
        <v>104586</v>
      </c>
      <c r="AP419" s="7">
        <f>AO419+AN419</f>
        <v>105081</v>
      </c>
      <c r="AQ419" s="7" t="s">
        <v>5385</v>
      </c>
      <c r="AR419" s="7" t="str">
        <f>_xlfn.XLOOKUP(C419,Sheet1!A:A,Sheet1!B:B, "Other")</f>
        <v>North America</v>
      </c>
      <c r="AS419" t="str">
        <f>_xlfn.XLOOKUP(D419,Sheet1!D:D,Sheet1!E:E)</f>
        <v>Financial services</v>
      </c>
    </row>
    <row r="420" spans="1:45" ht="18" customHeight="1">
      <c r="A420" s="7">
        <v>416</v>
      </c>
      <c r="B420" s="7" t="s">
        <v>5384</v>
      </c>
      <c r="C420" s="7" t="s">
        <v>146</v>
      </c>
      <c r="D420" s="7" t="s">
        <v>178</v>
      </c>
      <c r="E420" s="7" t="s">
        <v>5383</v>
      </c>
      <c r="F420" s="7" t="s">
        <v>5382</v>
      </c>
      <c r="G420" s="122"/>
      <c r="H420" s="7"/>
      <c r="I420" s="7"/>
      <c r="J420" s="122"/>
      <c r="K420" s="7"/>
      <c r="L420" s="127"/>
      <c r="M420" s="122" t="s">
        <v>1957</v>
      </c>
      <c r="N420" s="7" t="s">
        <v>1659</v>
      </c>
      <c r="O420" s="7">
        <v>2045</v>
      </c>
      <c r="P420" s="7" cm="1">
        <f t="array" ref="P420">IF(O420="", "", IFERROR(MAX(--_xlfn.TEXTSPLIT(O420,"+")), O420))</f>
        <v>2045</v>
      </c>
      <c r="Q420" s="7">
        <v>2022</v>
      </c>
      <c r="R420" s="126" t="s">
        <v>5381</v>
      </c>
      <c r="S420" s="7"/>
      <c r="T420" s="7"/>
      <c r="U420" s="7"/>
      <c r="V420" s="7" t="str" cm="1">
        <f t="array" ref="V420">IF(U420="", "", IFERROR(MAX(--_xlfn.TEXTSPLIT(U420,"+")), U420))</f>
        <v/>
      </c>
      <c r="W420" s="7"/>
      <c r="X420" s="7"/>
      <c r="Y420" s="122" t="s">
        <v>4174</v>
      </c>
      <c r="Z420" s="7" t="s">
        <v>5380</v>
      </c>
      <c r="AA420" s="126" t="s">
        <v>5379</v>
      </c>
      <c r="AB420" s="7">
        <v>2021</v>
      </c>
      <c r="AC420" s="124">
        <f>13388000+2288000+2000</f>
        <v>15678000</v>
      </c>
      <c r="AD420" s="7"/>
      <c r="AE420" s="124">
        <v>9000</v>
      </c>
      <c r="AF420" s="7">
        <f>3000+11000+2288000</f>
        <v>2302000</v>
      </c>
      <c r="AG420" s="7" t="s">
        <v>5032</v>
      </c>
      <c r="AH420" s="124">
        <f>AC420+AE420</f>
        <v>15687000</v>
      </c>
      <c r="AI420" s="124">
        <f>AF420+AH420</f>
        <v>17989000</v>
      </c>
      <c r="AJ420" s="7">
        <v>2020</v>
      </c>
      <c r="AK420" s="124">
        <v>13405000</v>
      </c>
      <c r="AL420" s="7"/>
      <c r="AM420" s="7"/>
      <c r="AN420" s="124">
        <v>2273000</v>
      </c>
      <c r="AO420" s="124">
        <f>AK420+AM420</f>
        <v>13405000</v>
      </c>
      <c r="AP420" s="124">
        <f>AN420+AO420</f>
        <v>15678000</v>
      </c>
      <c r="AQ420" s="27" t="s">
        <v>5378</v>
      </c>
      <c r="AR420" s="7" t="str">
        <f>_xlfn.XLOOKUP(C420,Sheet1!A:A,Sheet1!B:B, "Other")</f>
        <v>Europe</v>
      </c>
      <c r="AS420" t="str">
        <f>_xlfn.XLOOKUP(D420,Sheet1!D:D,Sheet1!E:E)</f>
        <v>Transportation and logistics</v>
      </c>
    </row>
    <row r="421" spans="1:45" ht="18" customHeight="1">
      <c r="A421" s="7">
        <v>417</v>
      </c>
      <c r="B421" s="7" t="s">
        <v>489</v>
      </c>
      <c r="C421" s="7" t="s">
        <v>4457</v>
      </c>
      <c r="D421" s="7" t="s">
        <v>76</v>
      </c>
      <c r="E421" s="7" t="s">
        <v>5377</v>
      </c>
      <c r="F421" s="7" t="s">
        <v>5376</v>
      </c>
      <c r="G421" s="122"/>
      <c r="H421" s="7"/>
      <c r="I421" s="7"/>
      <c r="J421" s="122" t="s">
        <v>1960</v>
      </c>
      <c r="K421" s="7"/>
      <c r="L421" s="127" t="s">
        <v>1960</v>
      </c>
      <c r="M421" s="122"/>
      <c r="N421" s="7"/>
      <c r="O421" s="7"/>
      <c r="P421" s="7" t="str" cm="1">
        <f t="array" ref="P421">IF(O421="", "", IFERROR(MAX(--_xlfn.TEXTSPLIT(O421,"+")), O421))</f>
        <v/>
      </c>
      <c r="Q421" s="7"/>
      <c r="R421" s="109"/>
      <c r="S421" s="7"/>
      <c r="T421" s="7"/>
      <c r="U421" s="7"/>
      <c r="V421" s="7" t="str" cm="1">
        <f t="array" ref="V421">IF(U421="", "", IFERROR(MAX(--_xlfn.TEXTSPLIT(U421,"+")), U421))</f>
        <v/>
      </c>
      <c r="W421" s="7"/>
      <c r="X421" s="7"/>
      <c r="Y421" s="122" t="s">
        <v>4174</v>
      </c>
      <c r="Z421" s="7" t="s">
        <v>5375</v>
      </c>
      <c r="AA421" s="126" t="s">
        <v>5374</v>
      </c>
      <c r="AB421" s="7" t="s">
        <v>5032</v>
      </c>
      <c r="AC421" s="7"/>
      <c r="AD421" s="7"/>
      <c r="AE421" s="7"/>
      <c r="AF421" s="7"/>
      <c r="AG421" s="7" t="s">
        <v>5032</v>
      </c>
      <c r="AH421" s="7"/>
      <c r="AI421" s="7"/>
      <c r="AJ421" s="7" t="s">
        <v>5032</v>
      </c>
      <c r="AK421" s="7"/>
      <c r="AL421" s="7"/>
      <c r="AM421" s="7"/>
      <c r="AN421" s="7"/>
      <c r="AO421" s="7"/>
      <c r="AP421" s="7"/>
      <c r="AQ421" s="7"/>
      <c r="AR421" s="7" t="str">
        <f>_xlfn.XLOOKUP(C421,Sheet1!A:A,Sheet1!B:B, "Other")</f>
        <v>North America</v>
      </c>
      <c r="AS421" t="str">
        <f>_xlfn.XLOOKUP(D421,Sheet1!D:D,Sheet1!E:E)</f>
        <v>Financial services</v>
      </c>
    </row>
    <row r="422" spans="1:45" ht="18" customHeight="1">
      <c r="A422" s="7">
        <v>418</v>
      </c>
      <c r="B422" s="7" t="s">
        <v>736</v>
      </c>
      <c r="C422" s="7" t="s">
        <v>207</v>
      </c>
      <c r="D422" s="7" t="s">
        <v>135</v>
      </c>
      <c r="E422" s="7" t="s">
        <v>5373</v>
      </c>
      <c r="F422" s="7" t="s">
        <v>5372</v>
      </c>
      <c r="G422" s="122" t="s">
        <v>4174</v>
      </c>
      <c r="H422" s="7">
        <v>2024</v>
      </c>
      <c r="I422" s="7">
        <v>2018</v>
      </c>
      <c r="J422" s="122" t="s">
        <v>4183</v>
      </c>
      <c r="K422" s="7">
        <v>2031</v>
      </c>
      <c r="L422" s="127">
        <v>2023</v>
      </c>
      <c r="M422" s="122" t="s">
        <v>4172</v>
      </c>
      <c r="N422" s="7" t="s">
        <v>5371</v>
      </c>
      <c r="O422" s="7">
        <v>2050</v>
      </c>
      <c r="P422" s="7" cm="1">
        <f t="array" ref="P422">IF(O422="", "", IFERROR(MAX(--_xlfn.TEXTSPLIT(O422,"+")), O422))</f>
        <v>2050</v>
      </c>
      <c r="Q422" s="7">
        <v>2021</v>
      </c>
      <c r="R422" s="126" t="s">
        <v>5370</v>
      </c>
      <c r="S422" s="7" t="s">
        <v>4172</v>
      </c>
      <c r="T422" s="7" t="s">
        <v>5369</v>
      </c>
      <c r="U422" s="7">
        <v>2050</v>
      </c>
      <c r="V422" s="7" cm="1">
        <f t="array" ref="V422">IF(U422="", "", IFERROR(MAX(--_xlfn.TEXTSPLIT(U422,"+")), U422))</f>
        <v>2050</v>
      </c>
      <c r="W422" s="7">
        <v>2023</v>
      </c>
      <c r="X422" s="7" t="s">
        <v>5120</v>
      </c>
      <c r="Y422" s="122"/>
      <c r="Z422" s="7"/>
      <c r="AA422" s="109"/>
      <c r="AB422" s="7">
        <v>2021</v>
      </c>
      <c r="AC422" s="7">
        <v>221000</v>
      </c>
      <c r="AD422" s="7"/>
      <c r="AE422" s="7">
        <v>218000</v>
      </c>
      <c r="AF422" s="7">
        <v>13046000</v>
      </c>
      <c r="AG422" s="7" t="s">
        <v>4174</v>
      </c>
      <c r="AH422" s="7">
        <f t="shared" ref="AH422:AH429" si="38">AC422+AE422</f>
        <v>439000</v>
      </c>
      <c r="AI422" s="7">
        <f>AF422+AH422</f>
        <v>13485000</v>
      </c>
      <c r="AJ422" s="7">
        <v>2020</v>
      </c>
      <c r="AK422" s="7">
        <v>216000</v>
      </c>
      <c r="AL422" s="7"/>
      <c r="AM422" s="7">
        <v>207000</v>
      </c>
      <c r="AN422" s="7">
        <v>13813000</v>
      </c>
      <c r="AO422" s="7">
        <f>AK422+AM422</f>
        <v>423000</v>
      </c>
      <c r="AP422" s="7">
        <f>AN422+AO422</f>
        <v>14236000</v>
      </c>
      <c r="AQ422" s="27" t="s">
        <v>5368</v>
      </c>
      <c r="AR422" s="7" t="str">
        <f>_xlfn.XLOOKUP(C422,Sheet1!A:A,Sheet1!B:B, "Other")</f>
        <v>Asia</v>
      </c>
      <c r="AS422" t="str">
        <f>_xlfn.XLOOKUP(D422,Sheet1!D:D,Sheet1!E:E)</f>
        <v>Engineering and construction</v>
      </c>
    </row>
    <row r="423" spans="1:45" ht="18" customHeight="1">
      <c r="A423" s="7">
        <v>419</v>
      </c>
      <c r="B423" s="7" t="s">
        <v>284</v>
      </c>
      <c r="C423" s="7" t="s">
        <v>4338</v>
      </c>
      <c r="D423" s="7" t="s">
        <v>283</v>
      </c>
      <c r="E423" s="7" t="s">
        <v>5367</v>
      </c>
      <c r="F423" s="7" t="s">
        <v>5366</v>
      </c>
      <c r="G423" s="122"/>
      <c r="H423" s="7"/>
      <c r="I423" s="7"/>
      <c r="J423" s="122" t="s">
        <v>1960</v>
      </c>
      <c r="K423" s="7"/>
      <c r="L423" s="127" t="s">
        <v>1960</v>
      </c>
      <c r="M423" s="122" t="s">
        <v>4519</v>
      </c>
      <c r="N423" s="7" t="s">
        <v>5131</v>
      </c>
      <c r="O423" s="7">
        <v>2060</v>
      </c>
      <c r="P423" s="7" cm="1">
        <f t="array" ref="P423">IF(O423="", "", IFERROR(MAX(--_xlfn.TEXTSPLIT(O423,"+")), O423))</f>
        <v>2060</v>
      </c>
      <c r="Q423" s="7">
        <v>2021</v>
      </c>
      <c r="R423" s="126" t="s">
        <v>5364</v>
      </c>
      <c r="S423" s="7" t="s">
        <v>1957</v>
      </c>
      <c r="T423" s="7"/>
      <c r="U423" s="7">
        <v>2050</v>
      </c>
      <c r="V423" s="7" cm="1">
        <f t="array" ref="V423">IF(U423="", "", IFERROR(MAX(--_xlfn.TEXTSPLIT(U423,"+")), U423))</f>
        <v>2050</v>
      </c>
      <c r="W423" s="7">
        <v>2022</v>
      </c>
      <c r="X423" s="125" t="s">
        <v>5365</v>
      </c>
      <c r="Y423" s="122"/>
      <c r="Z423" s="7"/>
      <c r="AA423" s="109"/>
      <c r="AB423" s="7">
        <v>2022</v>
      </c>
      <c r="AC423" s="123">
        <v>123867.77</v>
      </c>
      <c r="AD423" s="7"/>
      <c r="AE423" s="123">
        <v>730695.11</v>
      </c>
      <c r="AF423" s="7"/>
      <c r="AG423" s="7" t="s">
        <v>5032</v>
      </c>
      <c r="AH423" s="7">
        <f t="shared" si="38"/>
        <v>854562.88</v>
      </c>
      <c r="AI423" s="123">
        <v>854562.89</v>
      </c>
      <c r="AJ423" s="7" t="s">
        <v>5032</v>
      </c>
      <c r="AK423" s="7"/>
      <c r="AL423" s="7"/>
      <c r="AM423" s="7"/>
      <c r="AN423" s="7"/>
      <c r="AO423" s="7"/>
      <c r="AP423" s="7"/>
      <c r="AQ423" s="27" t="s">
        <v>5364</v>
      </c>
      <c r="AR423" s="7" t="str">
        <f>_xlfn.XLOOKUP(C423,Sheet1!A:A,Sheet1!B:B, "Other")</f>
        <v>Asia</v>
      </c>
      <c r="AS423" t="str">
        <f>_xlfn.XLOOKUP(D423,Sheet1!D:D,Sheet1!E:E)</f>
        <v>Industrial goods</v>
      </c>
    </row>
    <row r="424" spans="1:45" ht="18" customHeight="1">
      <c r="A424" s="7">
        <v>420</v>
      </c>
      <c r="B424" s="7" t="s">
        <v>529</v>
      </c>
      <c r="C424" s="7" t="s">
        <v>3277</v>
      </c>
      <c r="D424" s="7" t="s">
        <v>186</v>
      </c>
      <c r="E424" s="7" t="s">
        <v>5363</v>
      </c>
      <c r="F424" s="7" t="s">
        <v>5362</v>
      </c>
      <c r="G424" s="122"/>
      <c r="H424" s="7"/>
      <c r="I424" s="7"/>
      <c r="J424" s="122" t="s">
        <v>1957</v>
      </c>
      <c r="K424" s="7"/>
      <c r="L424" s="127">
        <v>2022</v>
      </c>
      <c r="M424" s="122"/>
      <c r="N424" s="7"/>
      <c r="O424" s="7"/>
      <c r="P424" s="7" t="str" cm="1">
        <f t="array" ref="P424">IF(O424="", "", IFERROR(MAX(--_xlfn.TEXTSPLIT(O424,"+")), O424))</f>
        <v/>
      </c>
      <c r="Q424" s="7"/>
      <c r="R424" s="109"/>
      <c r="S424" s="7" t="s">
        <v>1957</v>
      </c>
      <c r="T424" s="7" t="s">
        <v>1659</v>
      </c>
      <c r="U424" s="7">
        <v>2050</v>
      </c>
      <c r="V424" s="7" cm="1">
        <f t="array" ref="V424">IF(U424="", "", IFERROR(MAX(--_xlfn.TEXTSPLIT(U424,"+")), U424))</f>
        <v>2050</v>
      </c>
      <c r="W424" s="7">
        <v>2022</v>
      </c>
      <c r="X424" s="125" t="s">
        <v>530</v>
      </c>
      <c r="Y424" s="122"/>
      <c r="Z424" s="7"/>
      <c r="AA424" s="109"/>
      <c r="AB424" s="7">
        <v>2021</v>
      </c>
      <c r="AC424" s="7">
        <f>490.218+21431.961+522.971</f>
        <v>22445.15</v>
      </c>
      <c r="AD424" s="7"/>
      <c r="AE424" s="7">
        <f>14750.199+174189.732+31677.806</f>
        <v>220617.73699999999</v>
      </c>
      <c r="AF424" s="7"/>
      <c r="AG424" s="7" t="s">
        <v>5032</v>
      </c>
      <c r="AH424" s="7">
        <f t="shared" si="38"/>
        <v>243062.88699999999</v>
      </c>
      <c r="AI424" s="7">
        <f>AH424</f>
        <v>243062.88699999999</v>
      </c>
      <c r="AJ424" s="7">
        <v>2020</v>
      </c>
      <c r="AK424" s="7">
        <f>482.252+22849.559</f>
        <v>23331.811000000002</v>
      </c>
      <c r="AL424" s="7"/>
      <c r="AM424" s="7">
        <f>14435.606+176850.572</f>
        <v>191286.17799999999</v>
      </c>
      <c r="AN424" s="7"/>
      <c r="AO424" s="7">
        <f t="shared" ref="AO424:AO429" si="39">AK424+AM424</f>
        <v>214617.989</v>
      </c>
      <c r="AP424" s="7">
        <f>AO424</f>
        <v>214617.989</v>
      </c>
      <c r="AQ424" s="52" t="s">
        <v>5361</v>
      </c>
      <c r="AR424" s="7" t="str">
        <f>_xlfn.XLOOKUP(C424,Sheet1!A:A,Sheet1!B:B, "Other")</f>
        <v>Asia</v>
      </c>
      <c r="AS424" t="str">
        <f>_xlfn.XLOOKUP(D424,Sheet1!D:D,Sheet1!E:E)</f>
        <v>Technology</v>
      </c>
    </row>
    <row r="425" spans="1:45" ht="18" customHeight="1">
      <c r="A425" s="7">
        <v>421</v>
      </c>
      <c r="B425" s="7" t="s">
        <v>429</v>
      </c>
      <c r="C425" s="7" t="s">
        <v>63</v>
      </c>
      <c r="D425" s="7" t="s">
        <v>283</v>
      </c>
      <c r="E425" s="7" t="s">
        <v>5360</v>
      </c>
      <c r="F425" s="7" t="s">
        <v>5359</v>
      </c>
      <c r="G425" s="122" t="s">
        <v>4174</v>
      </c>
      <c r="H425" s="7">
        <v>2030</v>
      </c>
      <c r="I425" s="7">
        <v>2017</v>
      </c>
      <c r="J425" s="122" t="s">
        <v>4183</v>
      </c>
      <c r="K425" s="7">
        <v>2030</v>
      </c>
      <c r="L425" s="127">
        <v>2019</v>
      </c>
      <c r="M425" s="122" t="s">
        <v>4504</v>
      </c>
      <c r="N425" s="7" t="s">
        <v>4569</v>
      </c>
      <c r="O425" s="7" t="s">
        <v>4571</v>
      </c>
      <c r="P425" s="7" cm="1">
        <f t="array" ref="P425">IF(O425="", "", IFERROR(MAX(--_xlfn.TEXTSPLIT(O425,"+")), O425))</f>
        <v>2040</v>
      </c>
      <c r="Q425" s="7">
        <v>2019</v>
      </c>
      <c r="R425" s="126" t="s">
        <v>5358</v>
      </c>
      <c r="S425" s="7" t="s">
        <v>4172</v>
      </c>
      <c r="T425" s="7" t="s">
        <v>2760</v>
      </c>
      <c r="U425" s="7">
        <v>2050</v>
      </c>
      <c r="V425" s="7" cm="1">
        <f t="array" ref="V425">IF(U425="", "", IFERROR(MAX(--_xlfn.TEXTSPLIT(U425,"+")), U425))</f>
        <v>2050</v>
      </c>
      <c r="W425" s="7">
        <v>2019</v>
      </c>
      <c r="X425" s="125" t="s">
        <v>5357</v>
      </c>
      <c r="Y425" s="122" t="s">
        <v>4174</v>
      </c>
      <c r="Z425" s="7" t="s">
        <v>5356</v>
      </c>
      <c r="AA425" s="126" t="s">
        <v>5355</v>
      </c>
      <c r="AB425" s="7">
        <v>2022</v>
      </c>
      <c r="AC425" s="124">
        <v>119617</v>
      </c>
      <c r="AD425" s="7"/>
      <c r="AE425" s="124">
        <v>109730</v>
      </c>
      <c r="AF425" s="124">
        <v>60952497</v>
      </c>
      <c r="AG425" s="7" t="s">
        <v>4174</v>
      </c>
      <c r="AH425" s="124">
        <f t="shared" si="38"/>
        <v>229347</v>
      </c>
      <c r="AI425" s="124">
        <f>AF425+AH425</f>
        <v>61181844</v>
      </c>
      <c r="AJ425" s="7">
        <v>2021</v>
      </c>
      <c r="AK425" s="124">
        <v>140936</v>
      </c>
      <c r="AL425" s="7"/>
      <c r="AM425" s="124">
        <v>153115</v>
      </c>
      <c r="AN425" s="124">
        <v>68901866</v>
      </c>
      <c r="AO425" s="123">
        <f t="shared" si="39"/>
        <v>294051</v>
      </c>
      <c r="AP425" s="123">
        <f>AN425+AO425</f>
        <v>69195917</v>
      </c>
      <c r="AQ425" s="27" t="s">
        <v>5354</v>
      </c>
      <c r="AR425" s="7" t="str">
        <f>_xlfn.XLOOKUP(C425,Sheet1!A:A,Sheet1!B:B, "Other")</f>
        <v>Europe</v>
      </c>
      <c r="AS425" t="str">
        <f>_xlfn.XLOOKUP(D425,Sheet1!D:D,Sheet1!E:E)</f>
        <v>Industrial goods</v>
      </c>
    </row>
    <row r="426" spans="1:45" ht="18" customHeight="1">
      <c r="A426" s="7">
        <v>422</v>
      </c>
      <c r="B426" s="7" t="s">
        <v>1139</v>
      </c>
      <c r="C426" s="7" t="s">
        <v>63</v>
      </c>
      <c r="D426" s="7" t="s">
        <v>342</v>
      </c>
      <c r="E426" s="7" t="s">
        <v>5353</v>
      </c>
      <c r="F426" s="7" t="s">
        <v>5352</v>
      </c>
      <c r="G426" s="122"/>
      <c r="H426" s="7"/>
      <c r="I426" s="7"/>
      <c r="J426" s="122" t="s">
        <v>1960</v>
      </c>
      <c r="K426" s="7"/>
      <c r="L426" s="127" t="s">
        <v>1960</v>
      </c>
      <c r="M426" s="122"/>
      <c r="N426" s="7"/>
      <c r="O426" s="7"/>
      <c r="P426" s="7" t="str" cm="1">
        <f t="array" ref="P426">IF(O426="", "", IFERROR(MAX(--_xlfn.TEXTSPLIT(O426,"+")), O426))</f>
        <v/>
      </c>
      <c r="Q426" s="7"/>
      <c r="R426" s="109"/>
      <c r="S426" s="7"/>
      <c r="T426" s="7"/>
      <c r="U426" s="7"/>
      <c r="V426" s="7" t="str" cm="1">
        <f t="array" ref="V426">IF(U426="", "", IFERROR(MAX(--_xlfn.TEXTSPLIT(U426,"+")), U426))</f>
        <v/>
      </c>
      <c r="W426" s="7"/>
      <c r="X426" s="7"/>
      <c r="Y426" s="122"/>
      <c r="Z426" s="7"/>
      <c r="AA426" s="109"/>
      <c r="AB426" s="7">
        <v>2022</v>
      </c>
      <c r="AC426" s="7">
        <v>834000</v>
      </c>
      <c r="AD426" s="7"/>
      <c r="AE426" s="7">
        <v>191000</v>
      </c>
      <c r="AF426" s="7"/>
      <c r="AG426" s="7" t="s">
        <v>5032</v>
      </c>
      <c r="AH426" s="7">
        <f t="shared" si="38"/>
        <v>1025000</v>
      </c>
      <c r="AI426" s="7">
        <f>AF426+AH426</f>
        <v>1025000</v>
      </c>
      <c r="AJ426" s="7">
        <v>2021</v>
      </c>
      <c r="AK426" s="7">
        <v>1028000</v>
      </c>
      <c r="AL426" s="7"/>
      <c r="AM426" s="7">
        <v>281000</v>
      </c>
      <c r="AN426" s="7"/>
      <c r="AO426" s="7">
        <f t="shared" si="39"/>
        <v>1309000</v>
      </c>
      <c r="AP426" s="7">
        <f>AO426</f>
        <v>1309000</v>
      </c>
      <c r="AQ426" s="27" t="s">
        <v>5351</v>
      </c>
      <c r="AR426" s="7" t="str">
        <f>_xlfn.XLOOKUP(C426,Sheet1!A:A,Sheet1!B:B, "Other")</f>
        <v>Europe</v>
      </c>
      <c r="AS426" t="str">
        <f>_xlfn.XLOOKUP(D426,Sheet1!D:D,Sheet1!E:E)</f>
        <v>Food, beverages and agriculture</v>
      </c>
    </row>
    <row r="427" spans="1:45" ht="18" customHeight="1">
      <c r="A427" s="7">
        <v>423</v>
      </c>
      <c r="B427" s="7" t="s">
        <v>4364</v>
      </c>
      <c r="C427" s="7" t="s">
        <v>63</v>
      </c>
      <c r="D427" s="7" t="s">
        <v>342</v>
      </c>
      <c r="E427" s="7" t="s">
        <v>5350</v>
      </c>
      <c r="F427" s="7" t="s">
        <v>5349</v>
      </c>
      <c r="G427" s="122"/>
      <c r="H427" s="7"/>
      <c r="I427" s="7"/>
      <c r="J427" s="122" t="s">
        <v>4183</v>
      </c>
      <c r="K427" s="7">
        <v>2030</v>
      </c>
      <c r="L427" s="127">
        <v>2023</v>
      </c>
      <c r="M427" s="122"/>
      <c r="N427" s="7"/>
      <c r="O427" s="7"/>
      <c r="P427" s="7" t="str" cm="1">
        <f t="array" ref="P427">IF(O427="", "", IFERROR(MAX(--_xlfn.TEXTSPLIT(O427,"+")), O427))</f>
        <v/>
      </c>
      <c r="Q427" s="7"/>
      <c r="R427" s="109"/>
      <c r="S427" s="7"/>
      <c r="T427" s="7"/>
      <c r="U427" s="7"/>
      <c r="V427" s="7" t="str" cm="1">
        <f t="array" ref="V427">IF(U427="", "", IFERROR(MAX(--_xlfn.TEXTSPLIT(U427,"+")), U427))</f>
        <v/>
      </c>
      <c r="W427" s="7"/>
      <c r="X427" s="7"/>
      <c r="Y427" s="122"/>
      <c r="Z427" s="7"/>
      <c r="AA427" s="109"/>
      <c r="AB427" s="7">
        <v>2022</v>
      </c>
      <c r="AC427" s="7">
        <f>355628.47+27404.84</f>
        <v>383033.31</v>
      </c>
      <c r="AD427" s="7">
        <f>730858.34+69585.83</f>
        <v>800444.16999999993</v>
      </c>
      <c r="AE427" s="7">
        <v>588220.31000000006</v>
      </c>
      <c r="AF427" s="7">
        <v>464150.04</v>
      </c>
      <c r="AG427" s="7" t="s">
        <v>5032</v>
      </c>
      <c r="AH427" s="7">
        <f t="shared" si="38"/>
        <v>971253.62000000011</v>
      </c>
      <c r="AI427" s="7">
        <f>AH427+AF427</f>
        <v>1435403.6600000001</v>
      </c>
      <c r="AJ427" s="7">
        <v>2021</v>
      </c>
      <c r="AK427" s="7">
        <f>397031.33+21968.06</f>
        <v>418999.39</v>
      </c>
      <c r="AL427" s="7">
        <f>653238.53+63761.29</f>
        <v>716999.82000000007</v>
      </c>
      <c r="AM427" s="7">
        <v>523971.5</v>
      </c>
      <c r="AN427" s="7">
        <v>452205.81</v>
      </c>
      <c r="AO427" s="7">
        <f t="shared" si="39"/>
        <v>942970.89</v>
      </c>
      <c r="AP427" s="7">
        <f>AO427+AN427</f>
        <v>1395176.7</v>
      </c>
      <c r="AQ427" s="27" t="s">
        <v>5348</v>
      </c>
      <c r="AR427" s="7" t="str">
        <f>_xlfn.XLOOKUP(C427,Sheet1!A:A,Sheet1!B:B, "Other")</f>
        <v>Europe</v>
      </c>
      <c r="AS427" t="str">
        <f>_xlfn.XLOOKUP(D427,Sheet1!D:D,Sheet1!E:E)</f>
        <v>Food, beverages and agriculture</v>
      </c>
    </row>
    <row r="428" spans="1:45" ht="18" customHeight="1">
      <c r="A428" s="7">
        <v>424</v>
      </c>
      <c r="B428" s="7" t="s">
        <v>348</v>
      </c>
      <c r="C428" s="7" t="s">
        <v>267</v>
      </c>
      <c r="D428" s="7" t="s">
        <v>71</v>
      </c>
      <c r="E428" s="7" t="s">
        <v>5347</v>
      </c>
      <c r="F428" s="7" t="s">
        <v>5346</v>
      </c>
      <c r="G428" s="122"/>
      <c r="H428" s="7"/>
      <c r="I428" s="7"/>
      <c r="J428" s="122"/>
      <c r="K428" s="7"/>
      <c r="L428" s="127"/>
      <c r="M428" s="122" t="s">
        <v>4172</v>
      </c>
      <c r="N428" s="7" t="s">
        <v>1968</v>
      </c>
      <c r="O428" s="7">
        <v>2050</v>
      </c>
      <c r="P428" s="7" cm="1">
        <f t="array" ref="P428">IF(O428="", "", IFERROR(MAX(--_xlfn.TEXTSPLIT(O428,"+")), O428))</f>
        <v>2050</v>
      </c>
      <c r="Q428" s="7">
        <v>2021</v>
      </c>
      <c r="R428" s="126" t="s">
        <v>5345</v>
      </c>
      <c r="S428" s="7"/>
      <c r="T428" s="7"/>
      <c r="U428" s="7"/>
      <c r="V428" s="7" t="str" cm="1">
        <f t="array" ref="V428">IF(U428="", "", IFERROR(MAX(--_xlfn.TEXTSPLIT(U428,"+")), U428))</f>
        <v/>
      </c>
      <c r="W428" s="7"/>
      <c r="X428" s="7"/>
      <c r="Y428" s="122"/>
      <c r="Z428" s="7"/>
      <c r="AA428" s="126"/>
      <c r="AB428" s="7">
        <v>2022</v>
      </c>
      <c r="AC428" s="7">
        <v>14700000</v>
      </c>
      <c r="AD428" s="7"/>
      <c r="AE428" s="7">
        <v>400000</v>
      </c>
      <c r="AF428" s="7">
        <v>110100000</v>
      </c>
      <c r="AG428" s="7" t="s">
        <v>4174</v>
      </c>
      <c r="AH428" s="124">
        <f t="shared" si="38"/>
        <v>15100000</v>
      </c>
      <c r="AI428" s="124">
        <f>AF428+AH428</f>
        <v>125200000</v>
      </c>
      <c r="AJ428" s="7">
        <v>2021</v>
      </c>
      <c r="AK428" s="7">
        <v>13000000</v>
      </c>
      <c r="AL428" s="7"/>
      <c r="AM428" s="7">
        <v>500000</v>
      </c>
      <c r="AN428" s="7">
        <v>136500000</v>
      </c>
      <c r="AO428" s="124">
        <f t="shared" si="39"/>
        <v>13500000</v>
      </c>
      <c r="AP428" s="124">
        <f>AN428+AO428</f>
        <v>150000000</v>
      </c>
      <c r="AQ428" s="27" t="s">
        <v>5345</v>
      </c>
      <c r="AR428" s="7" t="str">
        <f>_xlfn.XLOOKUP(C428,Sheet1!A:A,Sheet1!B:B, "Other")</f>
        <v>Europe</v>
      </c>
      <c r="AS428" t="str">
        <f>_xlfn.XLOOKUP(D428,Sheet1!D:D,Sheet1!E:E)</f>
        <v>Energy and utilities</v>
      </c>
    </row>
    <row r="429" spans="1:45" ht="18" customHeight="1">
      <c r="A429" s="7">
        <v>425</v>
      </c>
      <c r="B429" s="7" t="s">
        <v>875</v>
      </c>
      <c r="C429" s="7" t="s">
        <v>4457</v>
      </c>
      <c r="D429" s="7" t="s">
        <v>283</v>
      </c>
      <c r="E429" s="7" t="s">
        <v>5344</v>
      </c>
      <c r="F429" s="7" t="s">
        <v>5343</v>
      </c>
      <c r="G429" s="122"/>
      <c r="H429" s="7"/>
      <c r="I429" s="7"/>
      <c r="J429" s="122" t="s">
        <v>4183</v>
      </c>
      <c r="K429" s="7">
        <v>2037</v>
      </c>
      <c r="L429" s="127">
        <v>2023</v>
      </c>
      <c r="M429" s="122" t="s">
        <v>1957</v>
      </c>
      <c r="N429" s="7" t="s">
        <v>5342</v>
      </c>
      <c r="O429" s="7">
        <v>2035</v>
      </c>
      <c r="P429" s="7" cm="1">
        <f t="array" ref="P429">IF(O429="", "", IFERROR(MAX(--_xlfn.TEXTSPLIT(O429,"+")), O429))</f>
        <v>2035</v>
      </c>
      <c r="Q429" s="7">
        <v>2021</v>
      </c>
      <c r="R429" s="126" t="s">
        <v>5341</v>
      </c>
      <c r="S429" s="7"/>
      <c r="T429" s="7"/>
      <c r="U429" s="7"/>
      <c r="V429" s="7" t="str" cm="1">
        <f t="array" ref="V429">IF(U429="", "", IFERROR(MAX(--_xlfn.TEXTSPLIT(U429,"+")), U429))</f>
        <v/>
      </c>
      <c r="W429" s="7"/>
      <c r="X429" s="7"/>
      <c r="Y429" s="122" t="s">
        <v>4174</v>
      </c>
      <c r="Z429" s="7" t="s">
        <v>5037</v>
      </c>
      <c r="AA429" s="126" t="s">
        <v>5341</v>
      </c>
      <c r="AB429" s="7">
        <v>2021</v>
      </c>
      <c r="AC429" s="7">
        <v>1324742</v>
      </c>
      <c r="AD429" s="7">
        <v>693288</v>
      </c>
      <c r="AE429" s="7">
        <v>808985</v>
      </c>
      <c r="AF429" s="7">
        <f>15324871+571932+367463+258438+107601+61194+102838+52597</f>
        <v>16846934</v>
      </c>
      <c r="AG429" s="7" t="s">
        <v>5032</v>
      </c>
      <c r="AH429" s="7">
        <f t="shared" si="38"/>
        <v>2133727</v>
      </c>
      <c r="AI429" s="7">
        <f>AH429+AF429</f>
        <v>18980661</v>
      </c>
      <c r="AJ429" s="7">
        <v>2020</v>
      </c>
      <c r="AK429" s="7">
        <v>1387727</v>
      </c>
      <c r="AL429" s="7"/>
      <c r="AM429" s="7">
        <v>860579</v>
      </c>
      <c r="AN429" s="7">
        <v>16135763</v>
      </c>
      <c r="AO429" s="7">
        <f t="shared" si="39"/>
        <v>2248306</v>
      </c>
      <c r="AP429" s="7">
        <f>AO429+AN429</f>
        <v>18384069</v>
      </c>
      <c r="AQ429" s="27" t="s">
        <v>5340</v>
      </c>
      <c r="AR429" s="7" t="str">
        <f>_xlfn.XLOOKUP(C429,Sheet1!A:A,Sheet1!B:B, "Other")</f>
        <v>North America</v>
      </c>
      <c r="AS429" t="str">
        <f>_xlfn.XLOOKUP(D429,Sheet1!D:D,Sheet1!E:E)</f>
        <v>Industrial goods</v>
      </c>
    </row>
    <row r="430" spans="1:45" ht="18" customHeight="1">
      <c r="A430" s="7">
        <v>426</v>
      </c>
      <c r="B430" s="7" t="s">
        <v>4339</v>
      </c>
      <c r="C430" s="7" t="s">
        <v>73</v>
      </c>
      <c r="D430" s="7" t="s">
        <v>319</v>
      </c>
      <c r="E430" s="7" t="s">
        <v>5339</v>
      </c>
      <c r="F430" s="7" t="s">
        <v>5338</v>
      </c>
      <c r="G430" s="122"/>
      <c r="H430" s="7"/>
      <c r="I430" s="7"/>
      <c r="J430" s="122" t="s">
        <v>1960</v>
      </c>
      <c r="K430" s="7"/>
      <c r="L430" s="127" t="s">
        <v>1960</v>
      </c>
      <c r="M430" s="122"/>
      <c r="N430" s="7"/>
      <c r="O430" s="7"/>
      <c r="P430" s="7" t="str" cm="1">
        <f t="array" ref="P430">IF(O430="", "", IFERROR(MAX(--_xlfn.TEXTSPLIT(O430,"+")), O430))</f>
        <v/>
      </c>
      <c r="Q430" s="7"/>
      <c r="R430" s="109"/>
      <c r="S430" s="7"/>
      <c r="T430" s="7"/>
      <c r="U430" s="7"/>
      <c r="V430" s="7" t="str" cm="1">
        <f t="array" ref="V430">IF(U430="", "", IFERROR(MAX(--_xlfn.TEXTSPLIT(U430,"+")), U430))</f>
        <v/>
      </c>
      <c r="W430" s="7"/>
      <c r="X430" s="7"/>
      <c r="Y430" s="122"/>
      <c r="Z430" s="7"/>
      <c r="AA430" s="109"/>
      <c r="AB430" s="7" t="s">
        <v>5032</v>
      </c>
      <c r="AC430" s="7"/>
      <c r="AD430" s="7"/>
      <c r="AE430" s="7"/>
      <c r="AF430" s="7"/>
      <c r="AG430" s="7" t="s">
        <v>5032</v>
      </c>
      <c r="AH430" s="7"/>
      <c r="AI430" s="7"/>
      <c r="AJ430" s="7" t="s">
        <v>5032</v>
      </c>
      <c r="AK430" s="7"/>
      <c r="AL430" s="7"/>
      <c r="AM430" s="7"/>
      <c r="AN430" s="7"/>
      <c r="AO430" s="7"/>
      <c r="AP430" s="7"/>
      <c r="AQ430" s="7"/>
      <c r="AR430" s="7" t="str">
        <f>_xlfn.XLOOKUP(C430,Sheet1!A:A,Sheet1!B:B, "Other")</f>
        <v>Asia</v>
      </c>
      <c r="AS430" t="str">
        <f>_xlfn.XLOOKUP(D430,Sheet1!D:D,Sheet1!E:E)</f>
        <v>Health care and pharmaceuticals</v>
      </c>
    </row>
    <row r="431" spans="1:45" ht="18" customHeight="1">
      <c r="A431" s="7">
        <v>427</v>
      </c>
      <c r="B431" s="7" t="s">
        <v>5337</v>
      </c>
      <c r="C431" s="7" t="s">
        <v>73</v>
      </c>
      <c r="D431" s="7" t="s">
        <v>76</v>
      </c>
      <c r="E431" s="7" t="s">
        <v>5336</v>
      </c>
      <c r="F431" s="7" t="s">
        <v>5335</v>
      </c>
      <c r="G431" s="122"/>
      <c r="H431" s="7"/>
      <c r="I431" s="7"/>
      <c r="J431" s="122"/>
      <c r="K431" s="7"/>
      <c r="L431" s="127"/>
      <c r="M431" s="122"/>
      <c r="N431" s="7"/>
      <c r="O431" s="7"/>
      <c r="P431" s="7" t="str" cm="1">
        <f t="array" ref="P431">IF(O431="", "", IFERROR(MAX(--_xlfn.TEXTSPLIT(O431,"+")), O431))</f>
        <v/>
      </c>
      <c r="Q431" s="7"/>
      <c r="R431" s="109"/>
      <c r="S431" s="7"/>
      <c r="T431" s="7"/>
      <c r="U431" s="7"/>
      <c r="V431" s="7" t="str" cm="1">
        <f t="array" ref="V431">IF(U431="", "", IFERROR(MAX(--_xlfn.TEXTSPLIT(U431,"+")), U431))</f>
        <v/>
      </c>
      <c r="W431" s="7"/>
      <c r="X431" s="7"/>
      <c r="Y431" s="122"/>
      <c r="Z431" s="7"/>
      <c r="AA431" s="109"/>
      <c r="AB431" s="7" t="s">
        <v>5032</v>
      </c>
      <c r="AC431" s="7"/>
      <c r="AD431" s="7"/>
      <c r="AE431" s="7"/>
      <c r="AF431" s="7"/>
      <c r="AG431" s="7" t="s">
        <v>5032</v>
      </c>
      <c r="AH431" s="124"/>
      <c r="AI431" s="124"/>
      <c r="AJ431" s="7" t="s">
        <v>5032</v>
      </c>
      <c r="AK431" s="7"/>
      <c r="AL431" s="7"/>
      <c r="AM431" s="7"/>
      <c r="AN431" s="7"/>
      <c r="AO431" s="124">
        <f>AK431+AM431</f>
        <v>0</v>
      </c>
      <c r="AP431" s="124">
        <f>AN431+AO431</f>
        <v>0</v>
      </c>
      <c r="AQ431" s="7"/>
      <c r="AR431" s="7" t="str">
        <f>_xlfn.XLOOKUP(C431,Sheet1!A:A,Sheet1!B:B, "Other")</f>
        <v>Asia</v>
      </c>
      <c r="AS431" t="str">
        <f>_xlfn.XLOOKUP(D431,Sheet1!D:D,Sheet1!E:E)</f>
        <v>Financial services</v>
      </c>
    </row>
    <row r="432" spans="1:45" ht="18" customHeight="1">
      <c r="A432" s="7">
        <v>428</v>
      </c>
      <c r="B432" s="7" t="s">
        <v>927</v>
      </c>
      <c r="C432" s="7" t="s">
        <v>267</v>
      </c>
      <c r="D432" s="7" t="s">
        <v>135</v>
      </c>
      <c r="E432" s="7" t="s">
        <v>5334</v>
      </c>
      <c r="F432" s="7" t="s">
        <v>5333</v>
      </c>
      <c r="G432" s="122"/>
      <c r="H432" s="7"/>
      <c r="I432" s="7"/>
      <c r="J432" s="122" t="s">
        <v>1960</v>
      </c>
      <c r="K432" s="7"/>
      <c r="L432" s="127" t="s">
        <v>1960</v>
      </c>
      <c r="M432" s="122" t="s">
        <v>1957</v>
      </c>
      <c r="N432" s="7" t="s">
        <v>3793</v>
      </c>
      <c r="O432" s="7">
        <v>2045</v>
      </c>
      <c r="P432" s="7" cm="1">
        <f t="array" ref="P432">IF(O432="", "", IFERROR(MAX(--_xlfn.TEXTSPLIT(O432,"+")), O432))</f>
        <v>2045</v>
      </c>
      <c r="Q432" s="7">
        <v>2021</v>
      </c>
      <c r="R432" s="126" t="s">
        <v>5332</v>
      </c>
      <c r="S432" s="7"/>
      <c r="T432" s="7"/>
      <c r="U432" s="7"/>
      <c r="V432" s="7" t="str" cm="1">
        <f t="array" ref="V432">IF(U432="", "", IFERROR(MAX(--_xlfn.TEXTSPLIT(U432,"+")), U432))</f>
        <v/>
      </c>
      <c r="W432" s="7"/>
      <c r="X432" s="7"/>
      <c r="Y432" s="122"/>
      <c r="Z432" s="7"/>
      <c r="AA432" s="126"/>
      <c r="AB432" s="7">
        <v>2022</v>
      </c>
      <c r="AC432" s="7">
        <v>389195</v>
      </c>
      <c r="AD432" s="7"/>
      <c r="AE432" s="7">
        <v>121602</v>
      </c>
      <c r="AF432" s="7">
        <v>4192735</v>
      </c>
      <c r="AG432" s="7" t="s">
        <v>5032</v>
      </c>
      <c r="AH432" s="7">
        <f>AC432+AE432</f>
        <v>510797</v>
      </c>
      <c r="AI432" s="7">
        <f>AF432+AH432</f>
        <v>4703532</v>
      </c>
      <c r="AJ432" s="7">
        <v>2021</v>
      </c>
      <c r="AK432" s="7">
        <v>381261</v>
      </c>
      <c r="AL432" s="7"/>
      <c r="AM432" s="7">
        <v>120294</v>
      </c>
      <c r="AN432" s="7">
        <v>3495018</v>
      </c>
      <c r="AO432" s="7">
        <f>AK432+AM432</f>
        <v>501555</v>
      </c>
      <c r="AP432" s="7">
        <f>AO432+AN432</f>
        <v>3996573</v>
      </c>
      <c r="AQ432" s="27" t="s">
        <v>5332</v>
      </c>
      <c r="AR432" s="7" t="str">
        <f>_xlfn.XLOOKUP(C432,Sheet1!A:A,Sheet1!B:B, "Other")</f>
        <v>Europe</v>
      </c>
      <c r="AS432" t="str">
        <f>_xlfn.XLOOKUP(D432,Sheet1!D:D,Sheet1!E:E)</f>
        <v>Engineering and construction</v>
      </c>
    </row>
    <row r="433" spans="1:45" ht="18" customHeight="1">
      <c r="A433" s="7">
        <v>429</v>
      </c>
      <c r="B433" s="7" t="s">
        <v>5331</v>
      </c>
      <c r="C433" s="7" t="s">
        <v>68</v>
      </c>
      <c r="D433" s="7" t="s">
        <v>71</v>
      </c>
      <c r="E433" s="7" t="s">
        <v>5330</v>
      </c>
      <c r="F433" s="7" t="s">
        <v>3042</v>
      </c>
      <c r="G433" s="122"/>
      <c r="H433" s="7"/>
      <c r="I433" s="7"/>
      <c r="J433" s="122"/>
      <c r="K433" s="7"/>
      <c r="L433" s="127"/>
      <c r="M433" s="122" t="s">
        <v>4172</v>
      </c>
      <c r="N433" s="7" t="s">
        <v>5329</v>
      </c>
      <c r="O433" s="7" t="s">
        <v>4555</v>
      </c>
      <c r="P433" s="7" cm="1">
        <f t="array" ref="P433">IF(O433="", "", IFERROR(MAX(--_xlfn.TEXTSPLIT(O433,"+")), O433))</f>
        <v>2050</v>
      </c>
      <c r="Q433" s="21">
        <v>2021</v>
      </c>
      <c r="R433" s="126" t="s">
        <v>5326</v>
      </c>
      <c r="S433" s="7"/>
      <c r="T433" s="7"/>
      <c r="U433" s="7"/>
      <c r="V433" s="7" t="str" cm="1">
        <f t="array" ref="V433">IF(U433="", "", IFERROR(MAX(--_xlfn.TEXTSPLIT(U433,"+")), U433))</f>
        <v/>
      </c>
      <c r="W433" s="7"/>
      <c r="X433" s="7"/>
      <c r="Y433" s="122" t="s">
        <v>4174</v>
      </c>
      <c r="Z433" s="7" t="s">
        <v>5328</v>
      </c>
      <c r="AA433" s="126" t="s">
        <v>5327</v>
      </c>
      <c r="AB433" s="7">
        <v>2022</v>
      </c>
      <c r="AC433" s="124">
        <v>44240</v>
      </c>
      <c r="AD433" s="124">
        <v>13639</v>
      </c>
      <c r="AE433" s="124">
        <v>12871</v>
      </c>
      <c r="AF433" s="124">
        <v>95998153</v>
      </c>
      <c r="AG433" s="7" t="s">
        <v>5032</v>
      </c>
      <c r="AH433" s="124">
        <f>AC433+AE433</f>
        <v>57111</v>
      </c>
      <c r="AI433" s="124">
        <f>AF433+AH433</f>
        <v>96055264</v>
      </c>
      <c r="AJ433" s="7">
        <v>2021</v>
      </c>
      <c r="AK433" s="124">
        <v>43570</v>
      </c>
      <c r="AL433" s="124">
        <v>19587</v>
      </c>
      <c r="AM433" s="124">
        <v>18260</v>
      </c>
      <c r="AN433" s="124">
        <v>81003955</v>
      </c>
      <c r="AO433" s="124">
        <f>AK433+AM433</f>
        <v>61830</v>
      </c>
      <c r="AP433" s="124">
        <f>AN433+AO433</f>
        <v>81065785</v>
      </c>
      <c r="AQ433" s="27" t="s">
        <v>5326</v>
      </c>
      <c r="AR433" s="7" t="str">
        <f>_xlfn.XLOOKUP(C433,Sheet1!A:A,Sheet1!B:B, "Other")</f>
        <v>Other</v>
      </c>
      <c r="AS433" t="str">
        <f>_xlfn.XLOOKUP(D433,Sheet1!D:D,Sheet1!E:E)</f>
        <v>Energy and utilities</v>
      </c>
    </row>
    <row r="434" spans="1:45" ht="18" customHeight="1">
      <c r="A434" s="7">
        <v>430</v>
      </c>
      <c r="B434" s="7" t="s">
        <v>272</v>
      </c>
      <c r="C434" s="7" t="s">
        <v>3965</v>
      </c>
      <c r="D434" s="7" t="s">
        <v>71</v>
      </c>
      <c r="E434" s="7" t="s">
        <v>5325</v>
      </c>
      <c r="F434" s="7" t="s">
        <v>5324</v>
      </c>
      <c r="G434" s="122"/>
      <c r="H434" s="7"/>
      <c r="I434" s="7"/>
      <c r="J434" s="122" t="s">
        <v>1960</v>
      </c>
      <c r="K434" s="7"/>
      <c r="L434" s="127" t="s">
        <v>1960</v>
      </c>
      <c r="M434" s="122" t="s">
        <v>1957</v>
      </c>
      <c r="N434" s="7" t="s">
        <v>1659</v>
      </c>
      <c r="O434" s="7">
        <v>2040</v>
      </c>
      <c r="P434" s="7" cm="1">
        <f t="array" ref="P434">IF(O434="", "", IFERROR(MAX(--_xlfn.TEXTSPLIT(O434,"+")), O434))</f>
        <v>2040</v>
      </c>
      <c r="Q434" s="7">
        <v>2018</v>
      </c>
      <c r="R434" s="128" t="s">
        <v>5323</v>
      </c>
      <c r="S434" s="7"/>
      <c r="T434" s="7"/>
      <c r="U434" s="7"/>
      <c r="V434" s="7" t="str" cm="1">
        <f t="array" ref="V434">IF(U434="", "", IFERROR(MAX(--_xlfn.TEXTSPLIT(U434,"+")), U434))</f>
        <v/>
      </c>
      <c r="W434" s="7"/>
      <c r="X434" s="7"/>
      <c r="Y434" s="122"/>
      <c r="Z434" s="7"/>
      <c r="AA434" s="126"/>
      <c r="AB434" s="7">
        <v>2022</v>
      </c>
      <c r="AC434" s="7">
        <v>8300000</v>
      </c>
      <c r="AD434" s="7"/>
      <c r="AE434" s="7">
        <v>5000000</v>
      </c>
      <c r="AF434" s="7"/>
      <c r="AG434" s="7" t="s">
        <v>5032</v>
      </c>
      <c r="AH434" s="7">
        <f>AC434+AE434</f>
        <v>13300000</v>
      </c>
      <c r="AI434" s="7">
        <f>AH434</f>
        <v>13300000</v>
      </c>
      <c r="AJ434" s="7">
        <v>2021</v>
      </c>
      <c r="AK434" s="7">
        <v>9000000</v>
      </c>
      <c r="AL434" s="7"/>
      <c r="AM434" s="7">
        <v>5700000</v>
      </c>
      <c r="AN434" s="7">
        <v>98500000</v>
      </c>
      <c r="AO434" s="7">
        <f>AK434+AM434</f>
        <v>14700000</v>
      </c>
      <c r="AP434" s="7">
        <f>AO434+AN434</f>
        <v>113200000</v>
      </c>
      <c r="AQ434" s="7" t="s">
        <v>5322</v>
      </c>
      <c r="AR434" s="7" t="str">
        <f>_xlfn.XLOOKUP(C434,Sheet1!A:A,Sheet1!B:B, "Other")</f>
        <v>Other</v>
      </c>
      <c r="AS434" t="str">
        <f>_xlfn.XLOOKUP(D434,Sheet1!D:D,Sheet1!E:E)</f>
        <v>Energy and utilities</v>
      </c>
    </row>
    <row r="435" spans="1:45" ht="18" customHeight="1">
      <c r="A435" s="7">
        <v>431</v>
      </c>
      <c r="B435" s="7" t="s">
        <v>72</v>
      </c>
      <c r="C435" s="7" t="s">
        <v>73</v>
      </c>
      <c r="D435" s="7" t="s">
        <v>76</v>
      </c>
      <c r="E435" s="7" t="s">
        <v>5321</v>
      </c>
      <c r="F435" s="7" t="s">
        <v>5320</v>
      </c>
      <c r="G435" s="122"/>
      <c r="H435" s="7"/>
      <c r="I435" s="7"/>
      <c r="J435" s="122" t="s">
        <v>1960</v>
      </c>
      <c r="K435" s="7"/>
      <c r="L435" s="127" t="s">
        <v>1960</v>
      </c>
      <c r="M435" s="122"/>
      <c r="N435" s="7"/>
      <c r="O435" s="7"/>
      <c r="P435" s="7" t="str" cm="1">
        <f t="array" ref="P435">IF(O435="", "", IFERROR(MAX(--_xlfn.TEXTSPLIT(O435,"+")), O435))</f>
        <v/>
      </c>
      <c r="Q435" s="7"/>
      <c r="R435" s="109"/>
      <c r="S435" s="7"/>
      <c r="T435" s="7"/>
      <c r="U435" s="7"/>
      <c r="V435" s="7" t="str" cm="1">
        <f t="array" ref="V435">IF(U435="", "", IFERROR(MAX(--_xlfn.TEXTSPLIT(U435,"+")), U435))</f>
        <v/>
      </c>
      <c r="W435" s="7"/>
      <c r="X435" s="7"/>
      <c r="Y435" s="122"/>
      <c r="Z435" s="7"/>
      <c r="AA435" s="109"/>
      <c r="AB435" s="7" t="s">
        <v>5032</v>
      </c>
      <c r="AC435" s="7"/>
      <c r="AD435" s="7"/>
      <c r="AE435" s="7"/>
      <c r="AF435" s="7"/>
      <c r="AG435" s="7" t="s">
        <v>5032</v>
      </c>
      <c r="AH435" s="7"/>
      <c r="AI435" s="7"/>
      <c r="AJ435" s="7" t="s">
        <v>5032</v>
      </c>
      <c r="AK435" s="7"/>
      <c r="AL435" s="7"/>
      <c r="AM435" s="7"/>
      <c r="AN435" s="7"/>
      <c r="AO435" s="7"/>
      <c r="AP435" s="7"/>
      <c r="AQ435" s="7"/>
      <c r="AR435" s="7" t="str">
        <f>_xlfn.XLOOKUP(C435,Sheet1!A:A,Sheet1!B:B, "Other")</f>
        <v>Asia</v>
      </c>
      <c r="AS435" t="str">
        <f>_xlfn.XLOOKUP(D435,Sheet1!D:D,Sheet1!E:E)</f>
        <v>Financial services</v>
      </c>
    </row>
    <row r="436" spans="1:45" ht="18" customHeight="1">
      <c r="A436" s="7">
        <v>432</v>
      </c>
      <c r="B436" s="7" t="s">
        <v>5319</v>
      </c>
      <c r="C436" s="7" t="s">
        <v>73</v>
      </c>
      <c r="D436" s="7" t="s">
        <v>135</v>
      </c>
      <c r="E436" s="7" t="s">
        <v>5318</v>
      </c>
      <c r="F436" s="7" t="s">
        <v>5317</v>
      </c>
      <c r="G436" s="122"/>
      <c r="H436" s="7"/>
      <c r="I436" s="7"/>
      <c r="J436" s="122"/>
      <c r="K436" s="7"/>
      <c r="L436" s="127"/>
      <c r="M436" s="122"/>
      <c r="N436" s="7"/>
      <c r="O436" s="7"/>
      <c r="P436" s="7" t="str" cm="1">
        <f t="array" ref="P436">IF(O436="", "", IFERROR(MAX(--_xlfn.TEXTSPLIT(O436,"+")), O436))</f>
        <v/>
      </c>
      <c r="Q436" s="7"/>
      <c r="R436" s="109"/>
      <c r="S436" s="7"/>
      <c r="T436" s="7"/>
      <c r="U436" s="7"/>
      <c r="V436" s="7" t="str" cm="1">
        <f t="array" ref="V436">IF(U436="", "", IFERROR(MAX(--_xlfn.TEXTSPLIT(U436,"+")), U436))</f>
        <v/>
      </c>
      <c r="W436" s="7"/>
      <c r="X436" s="7"/>
      <c r="Y436" s="122"/>
      <c r="Z436" s="7"/>
      <c r="AA436" s="109"/>
      <c r="AB436" s="7" t="s">
        <v>5032</v>
      </c>
      <c r="AC436" s="7"/>
      <c r="AD436" s="7"/>
      <c r="AE436" s="7"/>
      <c r="AF436" s="7"/>
      <c r="AG436" s="7" t="s">
        <v>5032</v>
      </c>
      <c r="AH436" s="124"/>
      <c r="AI436" s="124"/>
      <c r="AJ436" s="7" t="s">
        <v>5032</v>
      </c>
      <c r="AK436" s="7"/>
      <c r="AL436" s="7"/>
      <c r="AM436" s="7"/>
      <c r="AN436" s="7"/>
      <c r="AO436" s="124">
        <f>AK436+AM436</f>
        <v>0</v>
      </c>
      <c r="AP436" s="124">
        <f>AN436+AO436</f>
        <v>0</v>
      </c>
      <c r="AQ436" s="7"/>
      <c r="AR436" s="7" t="str">
        <f>_xlfn.XLOOKUP(C436,Sheet1!A:A,Sheet1!B:B, "Other")</f>
        <v>Asia</v>
      </c>
      <c r="AS436" t="str">
        <f>_xlfn.XLOOKUP(D436,Sheet1!D:D,Sheet1!E:E)</f>
        <v>Engineering and construction</v>
      </c>
    </row>
    <row r="437" spans="1:45" ht="18" customHeight="1">
      <c r="A437" s="7">
        <v>433</v>
      </c>
      <c r="B437" s="7" t="s">
        <v>77</v>
      </c>
      <c r="C437" s="7" t="s">
        <v>78</v>
      </c>
      <c r="D437" s="7" t="s">
        <v>76</v>
      </c>
      <c r="E437" s="7" t="s">
        <v>5316</v>
      </c>
      <c r="F437" s="7" t="s">
        <v>5315</v>
      </c>
      <c r="G437" s="122"/>
      <c r="H437" s="7"/>
      <c r="I437" s="7"/>
      <c r="J437" s="122"/>
      <c r="K437" s="7"/>
      <c r="L437" s="127"/>
      <c r="M437" s="122" t="s">
        <v>1957</v>
      </c>
      <c r="N437" s="7" t="s">
        <v>1659</v>
      </c>
      <c r="O437" s="7">
        <v>2010</v>
      </c>
      <c r="P437" s="7" cm="1">
        <f t="array" ref="P437">IF(O437="", "", IFERROR(MAX(--_xlfn.TEXTSPLIT(O437,"+")), O437))</f>
        <v>2010</v>
      </c>
      <c r="Q437" s="7">
        <v>2010</v>
      </c>
      <c r="R437" s="126" t="s">
        <v>5313</v>
      </c>
      <c r="S437" s="7" t="s">
        <v>5050</v>
      </c>
      <c r="T437" s="7" t="s">
        <v>5314</v>
      </c>
      <c r="U437" s="7">
        <v>2050</v>
      </c>
      <c r="V437" s="7" cm="1">
        <f t="array" ref="V437">IF(U437="", "", IFERROR(MAX(--_xlfn.TEXTSPLIT(U437,"+")), U437))</f>
        <v>2050</v>
      </c>
      <c r="W437" s="7">
        <v>2021</v>
      </c>
      <c r="X437" s="125" t="s">
        <v>5313</v>
      </c>
      <c r="Y437" s="122" t="s">
        <v>4174</v>
      </c>
      <c r="Z437" s="7" t="s">
        <v>5037</v>
      </c>
      <c r="AA437" s="126" t="s">
        <v>5312</v>
      </c>
      <c r="AB437" s="7">
        <v>2022</v>
      </c>
      <c r="AC437" s="124">
        <v>34083</v>
      </c>
      <c r="AD437" s="124">
        <v>54788</v>
      </c>
      <c r="AE437" s="7">
        <v>295</v>
      </c>
      <c r="AF437" s="7">
        <f>667+6297</f>
        <v>6964</v>
      </c>
      <c r="AG437" s="7" t="s">
        <v>5032</v>
      </c>
      <c r="AH437" s="124">
        <f>AC437+AE437</f>
        <v>34378</v>
      </c>
      <c r="AI437" s="124">
        <f>AF437+AH437</f>
        <v>41342</v>
      </c>
      <c r="AJ437" s="7">
        <v>2021</v>
      </c>
      <c r="AK437" s="124">
        <v>33661</v>
      </c>
      <c r="AL437" s="124">
        <v>63634</v>
      </c>
      <c r="AM437" s="7">
        <v>88</v>
      </c>
      <c r="AN437" s="7">
        <f>1919+1047</f>
        <v>2966</v>
      </c>
      <c r="AO437" s="124">
        <f>AK437+AM437</f>
        <v>33749</v>
      </c>
      <c r="AP437" s="124">
        <f>AN437+AO437</f>
        <v>36715</v>
      </c>
      <c r="AQ437" s="27" t="s">
        <v>5311</v>
      </c>
      <c r="AR437" s="7" t="str">
        <f>_xlfn.XLOOKUP(C437,Sheet1!A:A,Sheet1!B:B, "Other")</f>
        <v>North America</v>
      </c>
      <c r="AS437" t="str">
        <f>_xlfn.XLOOKUP(D437,Sheet1!D:D,Sheet1!E:E)</f>
        <v>Financial services</v>
      </c>
    </row>
    <row r="438" spans="1:45" ht="18" customHeight="1">
      <c r="A438" s="7">
        <v>434</v>
      </c>
      <c r="B438" s="7" t="s">
        <v>638</v>
      </c>
      <c r="C438" s="7" t="s">
        <v>73</v>
      </c>
      <c r="D438" s="7" t="s">
        <v>283</v>
      </c>
      <c r="E438" s="7" t="s">
        <v>5310</v>
      </c>
      <c r="F438" s="7" t="s">
        <v>5309</v>
      </c>
      <c r="G438" s="122"/>
      <c r="H438" s="7"/>
      <c r="I438" s="7"/>
      <c r="J438" s="122" t="s">
        <v>1960</v>
      </c>
      <c r="K438" s="7"/>
      <c r="L438" s="127" t="s">
        <v>1960</v>
      </c>
      <c r="M438" s="122" t="s">
        <v>1957</v>
      </c>
      <c r="N438" s="7" t="s">
        <v>1659</v>
      </c>
      <c r="O438" s="7">
        <v>2035</v>
      </c>
      <c r="P438" s="7" cm="1">
        <f t="array" ref="P438">IF(O438="", "", IFERROR(MAX(--_xlfn.TEXTSPLIT(O438,"+")), O438))</f>
        <v>2035</v>
      </c>
      <c r="Q438" s="7">
        <v>2022</v>
      </c>
      <c r="R438" s="126" t="s">
        <v>5308</v>
      </c>
      <c r="S438" s="7"/>
      <c r="T438" s="7"/>
      <c r="U438" s="7"/>
      <c r="V438" s="7" t="str" cm="1">
        <f t="array" ref="V438">IF(U438="", "", IFERROR(MAX(--_xlfn.TEXTSPLIT(U438,"+")), U438))</f>
        <v/>
      </c>
      <c r="W438" s="7"/>
      <c r="X438" s="7"/>
      <c r="Y438" s="122"/>
      <c r="Z438" s="7"/>
      <c r="AA438" s="109"/>
      <c r="AB438" s="7" t="s">
        <v>5032</v>
      </c>
      <c r="AC438" s="7"/>
      <c r="AD438" s="7"/>
      <c r="AE438" s="7"/>
      <c r="AF438" s="7"/>
      <c r="AG438" s="7" t="s">
        <v>5032</v>
      </c>
      <c r="AH438" s="7"/>
      <c r="AI438" s="7"/>
      <c r="AJ438" s="7" t="s">
        <v>5032</v>
      </c>
      <c r="AK438" s="7"/>
      <c r="AL438" s="7"/>
      <c r="AM438" s="7"/>
      <c r="AN438" s="7"/>
      <c r="AO438" s="7"/>
      <c r="AP438" s="7"/>
      <c r="AQ438" s="7"/>
      <c r="AR438" s="7" t="str">
        <f>_xlfn.XLOOKUP(C438,Sheet1!A:A,Sheet1!B:B, "Other")</f>
        <v>Asia</v>
      </c>
      <c r="AS438" t="str">
        <f>_xlfn.XLOOKUP(D438,Sheet1!D:D,Sheet1!E:E)</f>
        <v>Industrial goods</v>
      </c>
    </row>
    <row r="439" spans="1:45" ht="18" customHeight="1">
      <c r="A439" s="7">
        <v>435</v>
      </c>
      <c r="B439" s="7" t="s">
        <v>415</v>
      </c>
      <c r="C439" s="7" t="s">
        <v>287</v>
      </c>
      <c r="D439" s="7" t="s">
        <v>342</v>
      </c>
      <c r="E439" s="7" t="s">
        <v>5307</v>
      </c>
      <c r="F439" s="7" t="s">
        <v>5306</v>
      </c>
      <c r="G439" s="122"/>
      <c r="H439" s="7"/>
      <c r="I439" s="7"/>
      <c r="J439" s="122" t="s">
        <v>1957</v>
      </c>
      <c r="K439" s="7"/>
      <c r="L439" s="127">
        <v>2022</v>
      </c>
      <c r="M439" s="122"/>
      <c r="N439" s="7"/>
      <c r="O439" s="7"/>
      <c r="P439" s="7" t="str" cm="1">
        <f t="array" ref="P439">IF(O439="", "", IFERROR(MAX(--_xlfn.TEXTSPLIT(O439,"+")), O439))</f>
        <v/>
      </c>
      <c r="Q439" s="7"/>
      <c r="R439" s="126"/>
      <c r="S439" s="7" t="s">
        <v>4504</v>
      </c>
      <c r="T439" s="7" t="s">
        <v>5305</v>
      </c>
      <c r="U439" s="7" t="s">
        <v>4526</v>
      </c>
      <c r="V439" s="7" cm="1">
        <f t="array" ref="V439">IF(U439="", "", IFERROR(MAX(--_xlfn.TEXTSPLIT(U439,"+")), U439))</f>
        <v>2040</v>
      </c>
      <c r="W439" s="7">
        <v>2023</v>
      </c>
      <c r="X439" s="125" t="s">
        <v>5304</v>
      </c>
      <c r="Y439" s="122" t="s">
        <v>4174</v>
      </c>
      <c r="Z439" s="7" t="s">
        <v>5303</v>
      </c>
      <c r="AA439" s="126" t="s">
        <v>5302</v>
      </c>
      <c r="AB439" s="7">
        <v>2022</v>
      </c>
      <c r="AC439" s="7">
        <v>180000</v>
      </c>
      <c r="AD439" s="7">
        <v>107000</v>
      </c>
      <c r="AE439" s="7">
        <v>1000</v>
      </c>
      <c r="AF439" s="7"/>
      <c r="AG439" s="7" t="s">
        <v>5032</v>
      </c>
      <c r="AH439" s="124">
        <f>AC439+AE439</f>
        <v>181000</v>
      </c>
      <c r="AI439" s="124">
        <f>AH439</f>
        <v>181000</v>
      </c>
      <c r="AJ439" s="7">
        <v>2021</v>
      </c>
      <c r="AK439" s="7"/>
      <c r="AL439" s="7"/>
      <c r="AM439" s="7"/>
      <c r="AN439" s="7"/>
      <c r="AO439" s="123">
        <v>198000</v>
      </c>
      <c r="AP439" s="123">
        <f>AN439+AO439</f>
        <v>198000</v>
      </c>
      <c r="AQ439" s="125" t="s">
        <v>5301</v>
      </c>
      <c r="AR439" s="7" t="str">
        <f>_xlfn.XLOOKUP(C439,Sheet1!A:A,Sheet1!B:B, "Other")</f>
        <v>Europe</v>
      </c>
      <c r="AS439" t="str">
        <f>_xlfn.XLOOKUP(D439,Sheet1!D:D,Sheet1!E:E)</f>
        <v>Food, beverages and agriculture</v>
      </c>
    </row>
    <row r="440" spans="1:45" ht="18" customHeight="1">
      <c r="A440" s="7">
        <v>436</v>
      </c>
      <c r="B440" s="7" t="s">
        <v>239</v>
      </c>
      <c r="C440" s="7" t="s">
        <v>73</v>
      </c>
      <c r="D440" s="7" t="s">
        <v>85</v>
      </c>
      <c r="E440" s="7" t="s">
        <v>5300</v>
      </c>
      <c r="F440" s="7" t="s">
        <v>5299</v>
      </c>
      <c r="G440" s="122"/>
      <c r="H440" s="7"/>
      <c r="I440" s="7"/>
      <c r="J440" s="122" t="s">
        <v>1960</v>
      </c>
      <c r="K440" s="7"/>
      <c r="L440" s="127" t="s">
        <v>1960</v>
      </c>
      <c r="M440" s="122" t="s">
        <v>4519</v>
      </c>
      <c r="N440" s="7" t="s">
        <v>5131</v>
      </c>
      <c r="O440" s="7">
        <v>2060</v>
      </c>
      <c r="P440" s="7" cm="1">
        <f t="array" ref="P440">IF(O440="", "", IFERROR(MAX(--_xlfn.TEXTSPLIT(O440,"+")), O440))</f>
        <v>2060</v>
      </c>
      <c r="Q440" s="7">
        <v>2021</v>
      </c>
      <c r="R440" s="126" t="s">
        <v>4594</v>
      </c>
      <c r="S440" s="7"/>
      <c r="T440" s="7"/>
      <c r="U440" s="7"/>
      <c r="V440" s="7" t="str" cm="1">
        <f t="array" ref="V440">IF(U440="", "", IFERROR(MAX(--_xlfn.TEXTSPLIT(U440,"+")), U440))</f>
        <v/>
      </c>
      <c r="W440" s="7"/>
      <c r="X440" s="7"/>
      <c r="Y440" s="122"/>
      <c r="Z440" s="7"/>
      <c r="AA440" s="109"/>
      <c r="AB440" s="7" t="s">
        <v>5032</v>
      </c>
      <c r="AC440" s="7"/>
      <c r="AD440" s="7"/>
      <c r="AE440" s="7"/>
      <c r="AF440" s="7"/>
      <c r="AG440" s="7" t="s">
        <v>5032</v>
      </c>
      <c r="AH440" s="7"/>
      <c r="AI440" s="7"/>
      <c r="AJ440" s="7" t="s">
        <v>5032</v>
      </c>
      <c r="AK440" s="7"/>
      <c r="AL440" s="7"/>
      <c r="AM440" s="7"/>
      <c r="AN440" s="7"/>
      <c r="AO440" s="7"/>
      <c r="AP440" s="7"/>
      <c r="AQ440" s="7"/>
      <c r="AR440" s="7" t="str">
        <f>_xlfn.XLOOKUP(C440,Sheet1!A:A,Sheet1!B:B, "Other")</f>
        <v>Asia</v>
      </c>
      <c r="AS440" t="str">
        <f>_xlfn.XLOOKUP(D440,Sheet1!D:D,Sheet1!E:E)</f>
        <v>Industrial goods</v>
      </c>
    </row>
    <row r="441" spans="1:45" ht="18" customHeight="1">
      <c r="A441" s="7">
        <v>437</v>
      </c>
      <c r="B441" s="7" t="s">
        <v>709</v>
      </c>
      <c r="C441" s="7" t="s">
        <v>114</v>
      </c>
      <c r="D441" s="7" t="s">
        <v>186</v>
      </c>
      <c r="E441" s="7" t="s">
        <v>5298</v>
      </c>
      <c r="F441" s="7" t="s">
        <v>5297</v>
      </c>
      <c r="G441" s="122" t="s">
        <v>4174</v>
      </c>
      <c r="H441" s="7">
        <v>2050</v>
      </c>
      <c r="I441" s="7">
        <v>2020</v>
      </c>
      <c r="J441" s="122" t="s">
        <v>1960</v>
      </c>
      <c r="K441" s="7"/>
      <c r="L441" s="127" t="s">
        <v>1960</v>
      </c>
      <c r="M441" s="122"/>
      <c r="N441" s="7"/>
      <c r="O441" s="7"/>
      <c r="P441" s="7" t="str" cm="1">
        <f t="array" ref="P441">IF(O441="", "", IFERROR(MAX(--_xlfn.TEXTSPLIT(O441,"+")), O441))</f>
        <v/>
      </c>
      <c r="Q441" s="7"/>
      <c r="R441" s="109"/>
      <c r="S441" s="7" t="s">
        <v>1957</v>
      </c>
      <c r="T441" s="7" t="s">
        <v>5131</v>
      </c>
      <c r="U441" s="7">
        <v>2050</v>
      </c>
      <c r="V441" s="7" cm="1">
        <f t="array" ref="V441">IF(U441="", "", IFERROR(MAX(--_xlfn.TEXTSPLIT(U441,"+")), U441))</f>
        <v>2050</v>
      </c>
      <c r="W441" s="7">
        <v>2021</v>
      </c>
      <c r="X441" s="125" t="s">
        <v>5296</v>
      </c>
      <c r="Y441" s="122"/>
      <c r="Z441" s="7"/>
      <c r="AA441" s="109"/>
      <c r="AB441" s="7">
        <v>2021</v>
      </c>
      <c r="AC441" s="124">
        <v>2628921</v>
      </c>
      <c r="AD441" s="7"/>
      <c r="AE441" s="124">
        <v>5009544</v>
      </c>
      <c r="AF441" s="124">
        <v>3432777</v>
      </c>
      <c r="AG441" s="7" t="s">
        <v>5032</v>
      </c>
      <c r="AH441" s="124">
        <f>AC441+AE441</f>
        <v>7638465</v>
      </c>
      <c r="AI441" s="124">
        <f>AF441+AH441</f>
        <v>11071242</v>
      </c>
      <c r="AJ441" s="7">
        <v>2020</v>
      </c>
      <c r="AK441" s="124">
        <v>2711409</v>
      </c>
      <c r="AL441" s="7"/>
      <c r="AM441" s="124">
        <v>4836919</v>
      </c>
      <c r="AN441" s="124">
        <v>2901128</v>
      </c>
      <c r="AO441" s="124">
        <f>AK441+AM441</f>
        <v>7548328</v>
      </c>
      <c r="AP441" s="124">
        <f>AN441+AO441</f>
        <v>10449456</v>
      </c>
      <c r="AQ441" s="27" t="s">
        <v>5295</v>
      </c>
      <c r="AR441" s="7" t="str">
        <f>_xlfn.XLOOKUP(C441,Sheet1!A:A,Sheet1!B:B, "Other")</f>
        <v>Asia</v>
      </c>
      <c r="AS441" t="str">
        <f>_xlfn.XLOOKUP(D441,Sheet1!D:D,Sheet1!E:E)</f>
        <v>Technology</v>
      </c>
    </row>
    <row r="442" spans="1:45" ht="18" customHeight="1">
      <c r="A442" s="7">
        <v>438</v>
      </c>
      <c r="B442" s="7" t="s">
        <v>2446</v>
      </c>
      <c r="C442" s="7" t="s">
        <v>73</v>
      </c>
      <c r="D442" s="7" t="s">
        <v>319</v>
      </c>
      <c r="E442" s="7" t="s">
        <v>5294</v>
      </c>
      <c r="F442" s="7" t="s">
        <v>5293</v>
      </c>
      <c r="G442" s="122"/>
      <c r="H442" s="7"/>
      <c r="I442" s="7"/>
      <c r="J442" s="122" t="s">
        <v>1960</v>
      </c>
      <c r="K442" s="7"/>
      <c r="L442" s="127" t="s">
        <v>1960</v>
      </c>
      <c r="M442" s="122" t="s">
        <v>4519</v>
      </c>
      <c r="N442" s="7" t="s">
        <v>5131</v>
      </c>
      <c r="O442" s="7">
        <v>2060</v>
      </c>
      <c r="P442" s="7" cm="1">
        <f t="array" ref="P442">IF(O442="", "", IFERROR(MAX(--_xlfn.TEXTSPLIT(O442,"+")), O442))</f>
        <v>2060</v>
      </c>
      <c r="Q442" s="7">
        <v>2021</v>
      </c>
      <c r="R442" s="126" t="s">
        <v>5292</v>
      </c>
      <c r="S442" s="7"/>
      <c r="T442" s="7"/>
      <c r="U442" s="7"/>
      <c r="V442" s="7" t="str" cm="1">
        <f t="array" ref="V442">IF(U442="", "", IFERROR(MAX(--_xlfn.TEXTSPLIT(U442,"+")), U442))</f>
        <v/>
      </c>
      <c r="W442" s="7"/>
      <c r="X442" s="7"/>
      <c r="Y442" s="122"/>
      <c r="Z442" s="7"/>
      <c r="AA442" s="109"/>
      <c r="AB442" s="7" t="s">
        <v>5032</v>
      </c>
      <c r="AC442" s="7"/>
      <c r="AD442" s="7"/>
      <c r="AE442" s="7"/>
      <c r="AF442" s="7"/>
      <c r="AG442" s="7" t="s">
        <v>5032</v>
      </c>
      <c r="AH442" s="124"/>
      <c r="AI442" s="124"/>
      <c r="AJ442" s="7" t="s">
        <v>5032</v>
      </c>
      <c r="AK442" s="7"/>
      <c r="AL442" s="7"/>
      <c r="AM442" s="7"/>
      <c r="AN442" s="7"/>
      <c r="AO442" s="123"/>
      <c r="AP442" s="123"/>
      <c r="AQ442" s="27" t="s">
        <v>5292</v>
      </c>
      <c r="AR442" s="7" t="str">
        <f>_xlfn.XLOOKUP(C442,Sheet1!A:A,Sheet1!B:B, "Other")</f>
        <v>Asia</v>
      </c>
      <c r="AS442" t="str">
        <f>_xlfn.XLOOKUP(D442,Sheet1!D:D,Sheet1!E:E)</f>
        <v>Health care and pharmaceuticals</v>
      </c>
    </row>
    <row r="443" spans="1:45" ht="18" customHeight="1">
      <c r="A443" s="7">
        <v>439</v>
      </c>
      <c r="B443" s="7" t="s">
        <v>892</v>
      </c>
      <c r="C443" s="7" t="s">
        <v>146</v>
      </c>
      <c r="D443" s="7" t="s">
        <v>178</v>
      </c>
      <c r="E443" s="7" t="s">
        <v>5291</v>
      </c>
      <c r="F443" s="7" t="s">
        <v>5290</v>
      </c>
      <c r="G443" s="122"/>
      <c r="H443" s="7"/>
      <c r="I443" s="7"/>
      <c r="J443" s="122" t="s">
        <v>4183</v>
      </c>
      <c r="K443" s="7">
        <v>2030</v>
      </c>
      <c r="L443" s="127">
        <v>2022</v>
      </c>
      <c r="M443" s="122" t="s">
        <v>1957</v>
      </c>
      <c r="N443" s="7" t="s">
        <v>4223</v>
      </c>
      <c r="O443" s="7">
        <v>2050</v>
      </c>
      <c r="P443" s="7" cm="1">
        <f t="array" ref="P443">IF(O443="", "", IFERROR(MAX(--_xlfn.TEXTSPLIT(O443,"+")), O443))</f>
        <v>2050</v>
      </c>
      <c r="Q443" s="7">
        <v>2023</v>
      </c>
      <c r="R443" s="126" t="s">
        <v>5289</v>
      </c>
      <c r="S443" s="7"/>
      <c r="T443" s="7"/>
      <c r="U443" s="7"/>
      <c r="V443" s="7" t="str" cm="1">
        <f t="array" ref="V443">IF(U443="", "", IFERROR(MAX(--_xlfn.TEXTSPLIT(U443,"+")), U443))</f>
        <v/>
      </c>
      <c r="W443" s="7"/>
      <c r="X443" s="7"/>
      <c r="Y443" s="122" t="s">
        <v>4174</v>
      </c>
      <c r="Z443" s="7" t="s">
        <v>5288</v>
      </c>
      <c r="AA443" s="126" t="s">
        <v>5287</v>
      </c>
      <c r="AB443" s="7">
        <v>2022</v>
      </c>
      <c r="AC443" s="7">
        <v>23100000</v>
      </c>
      <c r="AD443" s="7"/>
      <c r="AE443" s="7"/>
      <c r="AF443" s="7"/>
      <c r="AG443" s="7" t="s">
        <v>5032</v>
      </c>
      <c r="AH443" s="124">
        <f>AC443+AE443</f>
        <v>23100000</v>
      </c>
      <c r="AI443" s="124">
        <f>AF443+AH443</f>
        <v>23100000</v>
      </c>
      <c r="AJ443" s="7">
        <v>2021</v>
      </c>
      <c r="AK443" s="7">
        <v>13700000</v>
      </c>
      <c r="AL443" s="7"/>
      <c r="AM443" s="7"/>
      <c r="AN443" s="7"/>
      <c r="AO443" s="124">
        <f>AK443+AM443</f>
        <v>13700000</v>
      </c>
      <c r="AP443" s="124">
        <f>AN443+AO443</f>
        <v>13700000</v>
      </c>
      <c r="AQ443" s="27" t="s">
        <v>5286</v>
      </c>
      <c r="AR443" s="7" t="str">
        <f>_xlfn.XLOOKUP(C443,Sheet1!A:A,Sheet1!B:B, "Other")</f>
        <v>Europe</v>
      </c>
      <c r="AS443" t="str">
        <f>_xlfn.XLOOKUP(D443,Sheet1!D:D,Sheet1!E:E)</f>
        <v>Transportation and logistics</v>
      </c>
    </row>
    <row r="444" spans="1:45" ht="18" customHeight="1">
      <c r="A444" s="7">
        <v>440</v>
      </c>
      <c r="B444" s="7" t="s">
        <v>4509</v>
      </c>
      <c r="C444" s="7" t="s">
        <v>73</v>
      </c>
      <c r="D444" s="7" t="s">
        <v>178</v>
      </c>
      <c r="E444" s="7" t="s">
        <v>5285</v>
      </c>
      <c r="F444" s="7" t="s">
        <v>5284</v>
      </c>
      <c r="G444" s="122"/>
      <c r="H444" s="7"/>
      <c r="I444" s="7"/>
      <c r="J444" s="122" t="s">
        <v>1960</v>
      </c>
      <c r="K444" s="7"/>
      <c r="L444" s="127" t="s">
        <v>1960</v>
      </c>
      <c r="M444" s="122"/>
      <c r="N444" s="7"/>
      <c r="O444" s="7"/>
      <c r="P444" s="7" t="str" cm="1">
        <f t="array" ref="P444">IF(O444="", "", IFERROR(MAX(--_xlfn.TEXTSPLIT(O444,"+")), O444))</f>
        <v/>
      </c>
      <c r="Q444" s="7"/>
      <c r="R444" s="109"/>
      <c r="S444" s="7"/>
      <c r="T444" s="7"/>
      <c r="U444" s="7"/>
      <c r="V444" s="7" t="str" cm="1">
        <f t="array" ref="V444">IF(U444="", "", IFERROR(MAX(--_xlfn.TEXTSPLIT(U444,"+")), U444))</f>
        <v/>
      </c>
      <c r="W444" s="7"/>
      <c r="X444" s="7"/>
      <c r="Y444" s="122"/>
      <c r="Z444" s="7"/>
      <c r="AA444" s="109"/>
      <c r="AB444" s="7" t="s">
        <v>5032</v>
      </c>
      <c r="AC444" s="7"/>
      <c r="AD444" s="7"/>
      <c r="AE444" s="7"/>
      <c r="AF444" s="7"/>
      <c r="AG444" s="7" t="s">
        <v>5032</v>
      </c>
      <c r="AH444" s="7"/>
      <c r="AI444" s="7"/>
      <c r="AJ444" s="7" t="s">
        <v>5032</v>
      </c>
      <c r="AK444" s="7"/>
      <c r="AL444" s="7"/>
      <c r="AM444" s="7"/>
      <c r="AN444" s="7"/>
      <c r="AO444" s="7"/>
      <c r="AP444" s="7"/>
      <c r="AQ444" s="7"/>
      <c r="AR444" s="7" t="str">
        <f>_xlfn.XLOOKUP(C444,Sheet1!A:A,Sheet1!B:B, "Other")</f>
        <v>Asia</v>
      </c>
      <c r="AS444" t="str">
        <f>_xlfn.XLOOKUP(D444,Sheet1!D:D,Sheet1!E:E)</f>
        <v>Transportation and logistics</v>
      </c>
    </row>
    <row r="445" spans="1:45" ht="18" customHeight="1">
      <c r="A445" s="7">
        <v>441</v>
      </c>
      <c r="B445" s="7" t="s">
        <v>642</v>
      </c>
      <c r="C445" s="7" t="s">
        <v>207</v>
      </c>
      <c r="D445" s="7" t="s">
        <v>171</v>
      </c>
      <c r="E445" s="7" t="s">
        <v>5283</v>
      </c>
      <c r="F445" s="7" t="s">
        <v>5282</v>
      </c>
      <c r="G445" s="122"/>
      <c r="H445" s="7"/>
      <c r="I445" s="7"/>
      <c r="J445" s="122" t="s">
        <v>1960</v>
      </c>
      <c r="K445" s="7"/>
      <c r="L445" s="127" t="s">
        <v>1960</v>
      </c>
      <c r="M445" s="122" t="s">
        <v>1957</v>
      </c>
      <c r="N445" s="7" t="s">
        <v>1659</v>
      </c>
      <c r="O445" s="7">
        <v>2050</v>
      </c>
      <c r="P445" s="7" cm="1">
        <f t="array" ref="P445">IF(O445="", "", IFERROR(MAX(--_xlfn.TEXTSPLIT(O445,"+")), O445))</f>
        <v>2050</v>
      </c>
      <c r="Q445" s="7">
        <v>2023</v>
      </c>
      <c r="R445" s="126" t="s">
        <v>5281</v>
      </c>
      <c r="S445" s="7"/>
      <c r="T445" s="7"/>
      <c r="U445" s="7"/>
      <c r="V445" s="7" t="str" cm="1">
        <f t="array" ref="V445">IF(U445="", "", IFERROR(MAX(--_xlfn.TEXTSPLIT(U445,"+")), U445))</f>
        <v/>
      </c>
      <c r="W445" s="7"/>
      <c r="X445" s="7"/>
      <c r="Y445" s="122"/>
      <c r="Z445" s="7"/>
      <c r="AA445" s="109"/>
      <c r="AB445" s="7">
        <v>2021</v>
      </c>
      <c r="AC445" s="7">
        <v>40000</v>
      </c>
      <c r="AD445" s="7"/>
      <c r="AE445" s="7">
        <v>710000</v>
      </c>
      <c r="AF445" s="7">
        <f>(62.49+11.98)*1000000</f>
        <v>74470000</v>
      </c>
      <c r="AG445" s="7" t="s">
        <v>4174</v>
      </c>
      <c r="AH445" s="7">
        <f>AC445+AE445</f>
        <v>750000</v>
      </c>
      <c r="AI445" s="7">
        <f>AH445+AF445</f>
        <v>75220000</v>
      </c>
      <c r="AJ445" s="7">
        <v>2020</v>
      </c>
      <c r="AK445" s="7">
        <v>380000</v>
      </c>
      <c r="AL445" s="7"/>
      <c r="AM445" s="7">
        <v>660000</v>
      </c>
      <c r="AN445" s="7">
        <f>(45.93+9.63)*1000000</f>
        <v>55560000</v>
      </c>
      <c r="AO445" s="7">
        <f>AK445+AM445</f>
        <v>1040000</v>
      </c>
      <c r="AP445" s="7">
        <f>AO445+AN445</f>
        <v>56600000</v>
      </c>
      <c r="AQ445" s="7" t="s">
        <v>5280</v>
      </c>
      <c r="AR445" s="7" t="str">
        <f>_xlfn.XLOOKUP(C445,Sheet1!A:A,Sheet1!B:B, "Other")</f>
        <v>Asia</v>
      </c>
      <c r="AS445" t="str">
        <f>_xlfn.XLOOKUP(D445,Sheet1!D:D,Sheet1!E:E)</f>
        <v>Automotive</v>
      </c>
    </row>
    <row r="446" spans="1:45" ht="18" customHeight="1">
      <c r="A446" s="7">
        <v>442</v>
      </c>
      <c r="B446" s="7" t="s">
        <v>658</v>
      </c>
      <c r="C446" s="7" t="s">
        <v>207</v>
      </c>
      <c r="D446" s="7" t="s">
        <v>66</v>
      </c>
      <c r="E446" s="7" t="s">
        <v>5279</v>
      </c>
      <c r="F446" s="7" t="s">
        <v>5278</v>
      </c>
      <c r="G446" s="122"/>
      <c r="H446" s="7"/>
      <c r="I446" s="7"/>
      <c r="J446" s="122" t="s">
        <v>1960</v>
      </c>
      <c r="K446" s="7"/>
      <c r="L446" s="127" t="s">
        <v>1960</v>
      </c>
      <c r="M446" s="122" t="s">
        <v>1957</v>
      </c>
      <c r="N446" s="7" t="s">
        <v>5277</v>
      </c>
      <c r="O446" s="7">
        <v>2050</v>
      </c>
      <c r="P446" s="7" cm="1">
        <f t="array" ref="P446">IF(O446="", "", IFERROR(MAX(--_xlfn.TEXTSPLIT(O446,"+")), O446))</f>
        <v>2050</v>
      </c>
      <c r="Q446" s="7">
        <v>2021</v>
      </c>
      <c r="R446" s="109" t="s">
        <v>4978</v>
      </c>
      <c r="S446" s="7"/>
      <c r="T446" s="7"/>
      <c r="U446" s="7"/>
      <c r="V446" s="7" t="str" cm="1">
        <f t="array" ref="V446">IF(U446="", "", IFERROR(MAX(--_xlfn.TEXTSPLIT(U446,"+")), U446))</f>
        <v/>
      </c>
      <c r="W446" s="7"/>
      <c r="X446" s="7"/>
      <c r="Y446" s="122"/>
      <c r="Z446" s="7"/>
      <c r="AA446" s="109"/>
      <c r="AB446" s="7" t="s">
        <v>5032</v>
      </c>
      <c r="AC446" s="7"/>
      <c r="AD446" s="7"/>
      <c r="AE446" s="7"/>
      <c r="AF446" s="7"/>
      <c r="AG446" s="7" t="s">
        <v>5032</v>
      </c>
      <c r="AH446" s="7"/>
      <c r="AI446" s="7"/>
      <c r="AJ446" s="7"/>
      <c r="AK446" s="7"/>
      <c r="AL446" s="7"/>
      <c r="AM446" s="7"/>
      <c r="AN446" s="7"/>
      <c r="AO446" s="7"/>
      <c r="AP446" s="7"/>
      <c r="AQ446" s="7"/>
      <c r="AR446" s="7" t="str">
        <f>_xlfn.XLOOKUP(C446,Sheet1!A:A,Sheet1!B:B, "Other")</f>
        <v>Asia</v>
      </c>
      <c r="AS446" t="str">
        <f>_xlfn.XLOOKUP(D446,Sheet1!D:D,Sheet1!E:E)</f>
        <v>Chemicals</v>
      </c>
    </row>
    <row r="447" spans="1:45" ht="18" customHeight="1">
      <c r="A447" s="7">
        <v>443</v>
      </c>
      <c r="B447" s="7" t="s">
        <v>574</v>
      </c>
      <c r="C447" s="7" t="s">
        <v>4457</v>
      </c>
      <c r="D447" s="7" t="s">
        <v>66</v>
      </c>
      <c r="E447" s="7" t="s">
        <v>5276</v>
      </c>
      <c r="F447" s="7" t="s">
        <v>5275</v>
      </c>
      <c r="G447" s="122" t="s">
        <v>4174</v>
      </c>
      <c r="H447" s="7">
        <v>2050</v>
      </c>
      <c r="I447" s="7">
        <v>2019</v>
      </c>
      <c r="J447" s="122" t="s">
        <v>1960</v>
      </c>
      <c r="K447" s="7"/>
      <c r="L447" s="127" t="s">
        <v>1960</v>
      </c>
      <c r="M447" s="122" t="s">
        <v>1957</v>
      </c>
      <c r="N447" s="7" t="s">
        <v>5131</v>
      </c>
      <c r="O447" s="7">
        <v>2050</v>
      </c>
      <c r="P447" s="7" cm="1">
        <f t="array" ref="P447">IF(O447="", "", IFERROR(MAX(--_xlfn.TEXTSPLIT(O447,"+")), O447))</f>
        <v>2050</v>
      </c>
      <c r="Q447" s="7">
        <v>2021</v>
      </c>
      <c r="R447" s="109" t="s">
        <v>4591</v>
      </c>
      <c r="S447" s="7"/>
      <c r="T447" s="7"/>
      <c r="U447" s="7"/>
      <c r="V447" s="7" t="str" cm="1">
        <f t="array" ref="V447">IF(U447="", "", IFERROR(MAX(--_xlfn.TEXTSPLIT(U447,"+")), U447))</f>
        <v/>
      </c>
      <c r="W447" s="7"/>
      <c r="X447" s="7"/>
      <c r="Y447" s="122" t="s">
        <v>4174</v>
      </c>
      <c r="Z447" s="7" t="s">
        <v>5037</v>
      </c>
      <c r="AA447" s="109" t="s">
        <v>5274</v>
      </c>
      <c r="AB447" s="7">
        <v>2022</v>
      </c>
      <c r="AC447" s="124">
        <v>2420000</v>
      </c>
      <c r="AD447" s="124">
        <v>1460000</v>
      </c>
      <c r="AE447" s="124">
        <v>925000</v>
      </c>
      <c r="AF447" s="7">
        <f>10700000+93600</f>
        <v>10793600</v>
      </c>
      <c r="AG447" s="7" t="s">
        <v>4174</v>
      </c>
      <c r="AH447" s="124">
        <v>3340000</v>
      </c>
      <c r="AI447" s="124">
        <f>AH447+AF447</f>
        <v>14133600</v>
      </c>
      <c r="AJ447" s="7">
        <v>2021</v>
      </c>
      <c r="AK447" s="124">
        <v>2980000</v>
      </c>
      <c r="AL447" s="124">
        <v>1590000</v>
      </c>
      <c r="AM447" s="124">
        <v>992000</v>
      </c>
      <c r="AN447" s="7">
        <f>10100000+1470000</f>
        <v>11570000</v>
      </c>
      <c r="AO447" s="124">
        <f t="shared" ref="AO447:AO452" si="40">AK447+AM447</f>
        <v>3972000</v>
      </c>
      <c r="AP447" s="124">
        <f>AO447+AN447</f>
        <v>15542000</v>
      </c>
      <c r="AQ447" s="7" t="s">
        <v>5273</v>
      </c>
      <c r="AR447" s="7" t="str">
        <f>_xlfn.XLOOKUP(C447,Sheet1!A:A,Sheet1!B:B, "Other")</f>
        <v>North America</v>
      </c>
      <c r="AS447" t="str">
        <f>_xlfn.XLOOKUP(D447,Sheet1!D:D,Sheet1!E:E)</f>
        <v>Chemicals</v>
      </c>
    </row>
    <row r="448" spans="1:45" ht="18" customHeight="1">
      <c r="A448" s="7">
        <v>444</v>
      </c>
      <c r="B448" s="7" t="s">
        <v>452</v>
      </c>
      <c r="C448" s="7" t="s">
        <v>267</v>
      </c>
      <c r="D448" s="7" t="s">
        <v>454</v>
      </c>
      <c r="E448" s="7" t="s">
        <v>5272</v>
      </c>
      <c r="F448" s="7" t="s">
        <v>5271</v>
      </c>
      <c r="G448" s="122"/>
      <c r="H448" s="7"/>
      <c r="I448" s="7"/>
      <c r="J448" s="122" t="s">
        <v>4183</v>
      </c>
      <c r="K448" s="7">
        <v>2030</v>
      </c>
      <c r="L448" s="127">
        <v>2020</v>
      </c>
      <c r="M448" s="122"/>
      <c r="N448" s="7"/>
      <c r="O448" s="7"/>
      <c r="P448" s="7" t="str" cm="1">
        <f t="array" ref="P448">IF(O448="", "", IFERROR(MAX(--_xlfn.TEXTSPLIT(O448,"+")), O448))</f>
        <v/>
      </c>
      <c r="Q448" s="7"/>
      <c r="R448" s="109"/>
      <c r="S448" s="7" t="s">
        <v>1957</v>
      </c>
      <c r="T448" s="7" t="s">
        <v>1659</v>
      </c>
      <c r="U448" s="7">
        <v>2040</v>
      </c>
      <c r="V448" s="7" cm="1">
        <f t="array" ref="V448">IF(U448="", "", IFERROR(MAX(--_xlfn.TEXTSPLIT(U448,"+")), U448))</f>
        <v>2040</v>
      </c>
      <c r="W448" s="7">
        <v>2021</v>
      </c>
      <c r="X448" s="125" t="s">
        <v>5270</v>
      </c>
      <c r="Y448" s="122" t="s">
        <v>4174</v>
      </c>
      <c r="Z448" s="7" t="s">
        <v>5037</v>
      </c>
      <c r="AA448" s="126" t="s">
        <v>5269</v>
      </c>
      <c r="AB448" s="7">
        <v>2022</v>
      </c>
      <c r="AC448" s="124">
        <v>11232</v>
      </c>
      <c r="AD448" s="124">
        <v>451430</v>
      </c>
      <c r="AE448" s="7">
        <v>0</v>
      </c>
      <c r="AF448" s="7">
        <v>17223485</v>
      </c>
      <c r="AG448" s="7" t="s">
        <v>4174</v>
      </c>
      <c r="AH448" s="7">
        <v>11232</v>
      </c>
      <c r="AI448" s="7">
        <f>AH448+AF448</f>
        <v>17234717</v>
      </c>
      <c r="AJ448" s="7">
        <v>2021</v>
      </c>
      <c r="AK448" s="124">
        <v>14575</v>
      </c>
      <c r="AL448" s="124">
        <v>541492</v>
      </c>
      <c r="AM448" s="124">
        <v>47770</v>
      </c>
      <c r="AN448" s="124">
        <v>17097801</v>
      </c>
      <c r="AO448" s="124">
        <f t="shared" si="40"/>
        <v>62345</v>
      </c>
      <c r="AP448" s="124">
        <f>AO448+AN448</f>
        <v>17160146</v>
      </c>
      <c r="AQ448" s="27" t="s">
        <v>5268</v>
      </c>
      <c r="AR448" s="7" t="str">
        <f>_xlfn.XLOOKUP(C448,Sheet1!A:A,Sheet1!B:B, "Other")</f>
        <v>Europe</v>
      </c>
      <c r="AS448" t="str">
        <f>_xlfn.XLOOKUP(D448,Sheet1!D:D,Sheet1!E:E)</f>
        <v>Retail</v>
      </c>
    </row>
    <row r="449" spans="1:45" ht="18" customHeight="1">
      <c r="A449" s="7">
        <v>445</v>
      </c>
      <c r="B449" s="7" t="s">
        <v>551</v>
      </c>
      <c r="C449" s="7" t="s">
        <v>4195</v>
      </c>
      <c r="D449" s="7" t="s">
        <v>5091</v>
      </c>
      <c r="E449" s="7" t="s">
        <v>5267</v>
      </c>
      <c r="F449" s="7" t="s">
        <v>5266</v>
      </c>
      <c r="G449" s="122"/>
      <c r="H449" s="7"/>
      <c r="I449" s="7"/>
      <c r="J449" s="122" t="s">
        <v>4183</v>
      </c>
      <c r="K449" s="7">
        <v>2030</v>
      </c>
      <c r="L449" s="127">
        <v>2022</v>
      </c>
      <c r="M449" s="122" t="s">
        <v>1957</v>
      </c>
      <c r="N449" s="7" t="s">
        <v>1659</v>
      </c>
      <c r="O449" s="7">
        <v>2030</v>
      </c>
      <c r="P449" s="7" cm="1">
        <f t="array" ref="P449">IF(O449="", "", IFERROR(MAX(--_xlfn.TEXTSPLIT(O449,"+")), O449))</f>
        <v>2030</v>
      </c>
      <c r="Q449" s="7">
        <v>2019</v>
      </c>
      <c r="R449" s="126" t="s">
        <v>5265</v>
      </c>
      <c r="S449" s="7" t="s">
        <v>4172</v>
      </c>
      <c r="T449" s="7" t="s">
        <v>2760</v>
      </c>
      <c r="U449" s="7">
        <v>2050</v>
      </c>
      <c r="V449" s="7" cm="1">
        <f t="array" ref="V449">IF(U449="", "", IFERROR(MAX(--_xlfn.TEXTSPLIT(U449,"+")), U449))</f>
        <v>2050</v>
      </c>
      <c r="W449" s="7">
        <v>2021</v>
      </c>
      <c r="X449" s="125" t="s">
        <v>5264</v>
      </c>
      <c r="Y449" s="122" t="s">
        <v>4174</v>
      </c>
      <c r="Z449" s="7" t="s">
        <v>5037</v>
      </c>
      <c r="AA449" s="126" t="s">
        <v>5263</v>
      </c>
      <c r="AB449" s="7">
        <v>2022</v>
      </c>
      <c r="AC449" s="7">
        <v>308000</v>
      </c>
      <c r="AD449" s="7">
        <v>356000</v>
      </c>
      <c r="AE449" s="7">
        <v>113000</v>
      </c>
      <c r="AF449" s="7"/>
      <c r="AG449" s="7" t="s">
        <v>5032</v>
      </c>
      <c r="AH449" s="7">
        <f>AC449+AE449</f>
        <v>421000</v>
      </c>
      <c r="AI449" s="7">
        <f>AH449</f>
        <v>421000</v>
      </c>
      <c r="AJ449" s="7">
        <v>2021</v>
      </c>
      <c r="AK449" s="7">
        <v>325000</v>
      </c>
      <c r="AL449" s="7">
        <v>393000</v>
      </c>
      <c r="AM449" s="7">
        <v>170000</v>
      </c>
      <c r="AN449" s="7">
        <v>5243000</v>
      </c>
      <c r="AO449" s="7">
        <f t="shared" si="40"/>
        <v>495000</v>
      </c>
      <c r="AP449" s="7">
        <f>AN449+AO449</f>
        <v>5738000</v>
      </c>
      <c r="AQ449" s="27" t="s">
        <v>5262</v>
      </c>
      <c r="AR449" s="7" t="str">
        <f>_xlfn.XLOOKUP(C449,Sheet1!A:A,Sheet1!B:B, "Other")</f>
        <v>Europe</v>
      </c>
      <c r="AS449" t="str">
        <f>_xlfn.XLOOKUP(D449,Sheet1!D:D,Sheet1!E:E)</f>
        <v>Food, beverages and agriculture</v>
      </c>
    </row>
    <row r="450" spans="1:45" ht="18" customHeight="1">
      <c r="A450" s="7">
        <v>446</v>
      </c>
      <c r="B450" s="7" t="s">
        <v>2132</v>
      </c>
      <c r="C450" s="7" t="s">
        <v>4457</v>
      </c>
      <c r="D450" s="7" t="s">
        <v>91</v>
      </c>
      <c r="E450" s="7" t="s">
        <v>5261</v>
      </c>
      <c r="F450" s="7" t="s">
        <v>5260</v>
      </c>
      <c r="G450" s="122"/>
      <c r="H450" s="7"/>
      <c r="I450" s="7"/>
      <c r="J450" s="122" t="s">
        <v>4183</v>
      </c>
      <c r="K450" s="7">
        <v>2032</v>
      </c>
      <c r="L450" s="127">
        <v>2023</v>
      </c>
      <c r="M450" s="122"/>
      <c r="N450" s="7"/>
      <c r="O450" s="7"/>
      <c r="P450" s="7" t="str" cm="1">
        <f t="array" ref="P450">IF(O450="", "", IFERROR(MAX(--_xlfn.TEXTSPLIT(O450,"+")), O450))</f>
        <v/>
      </c>
      <c r="Q450" s="7"/>
      <c r="R450" s="109"/>
      <c r="S450" s="7"/>
      <c r="T450" s="7"/>
      <c r="U450" s="7"/>
      <c r="V450" s="7" t="str" cm="1">
        <f t="array" ref="V450">IF(U450="", "", IFERROR(MAX(--_xlfn.TEXTSPLIT(U450,"+")), U450))</f>
        <v/>
      </c>
      <c r="W450" s="7"/>
      <c r="X450" s="7"/>
      <c r="Y450" s="122"/>
      <c r="Z450" s="7"/>
      <c r="AA450" s="126"/>
      <c r="AB450" s="7">
        <v>2022</v>
      </c>
      <c r="AC450" s="124">
        <v>567899</v>
      </c>
      <c r="AD450" s="7"/>
      <c r="AE450" s="124">
        <v>154471</v>
      </c>
      <c r="AF450" s="124">
        <v>22356202</v>
      </c>
      <c r="AG450" s="7" t="s">
        <v>4174</v>
      </c>
      <c r="AH450" s="124">
        <f>AC450+AE450</f>
        <v>722370</v>
      </c>
      <c r="AI450" s="124">
        <f>AH450+AF450</f>
        <v>23078572</v>
      </c>
      <c r="AJ450" s="7">
        <v>2021</v>
      </c>
      <c r="AK450" s="124">
        <v>531538</v>
      </c>
      <c r="AL450" s="7"/>
      <c r="AM450" s="124">
        <v>177152</v>
      </c>
      <c r="AN450" s="7"/>
      <c r="AO450" s="124">
        <f t="shared" si="40"/>
        <v>708690</v>
      </c>
      <c r="AP450" s="124">
        <f>AO450</f>
        <v>708690</v>
      </c>
      <c r="AQ450" s="7" t="s">
        <v>5259</v>
      </c>
      <c r="AR450" s="7" t="str">
        <f>_xlfn.XLOOKUP(C450,Sheet1!A:A,Sheet1!B:B, "Other")</f>
        <v>North America</v>
      </c>
      <c r="AS450" t="str">
        <f>_xlfn.XLOOKUP(D450,Sheet1!D:D,Sheet1!E:E)</f>
        <v>Retail</v>
      </c>
    </row>
    <row r="451" spans="1:45" ht="18" customHeight="1">
      <c r="A451" s="7">
        <v>447</v>
      </c>
      <c r="B451" s="7" t="s">
        <v>584</v>
      </c>
      <c r="C451" s="7" t="s">
        <v>207</v>
      </c>
      <c r="D451" s="7" t="s">
        <v>76</v>
      </c>
      <c r="E451" s="7" t="s">
        <v>5258</v>
      </c>
      <c r="F451" s="7" t="s">
        <v>5257</v>
      </c>
      <c r="G451" s="122"/>
      <c r="H451" s="7"/>
      <c r="I451" s="7"/>
      <c r="J451" s="122" t="s">
        <v>1957</v>
      </c>
      <c r="K451" s="7"/>
      <c r="L451" s="127">
        <v>2018</v>
      </c>
      <c r="M451" s="122"/>
      <c r="N451" s="7"/>
      <c r="O451" s="7"/>
      <c r="P451" s="7" t="str" cm="1">
        <f t="array" ref="P451">IF(O451="", "", IFERROR(MAX(--_xlfn.TEXTSPLIT(O451,"+")), O451))</f>
        <v/>
      </c>
      <c r="Q451" s="7"/>
      <c r="R451" s="109"/>
      <c r="S451" s="7" t="s">
        <v>4172</v>
      </c>
      <c r="T451" s="7" t="s">
        <v>1968</v>
      </c>
      <c r="U451" s="7">
        <v>2050</v>
      </c>
      <c r="V451" s="7" cm="1">
        <f t="array" ref="V451">IF(U451="", "", IFERROR(MAX(--_xlfn.TEXTSPLIT(U451,"+")), U451))</f>
        <v>2050</v>
      </c>
      <c r="W451" s="7">
        <v>2021</v>
      </c>
      <c r="X451" s="125" t="s">
        <v>5254</v>
      </c>
      <c r="Y451" s="122" t="s">
        <v>4174</v>
      </c>
      <c r="Z451" s="7" t="s">
        <v>5256</v>
      </c>
      <c r="AA451" s="126" t="s">
        <v>5255</v>
      </c>
      <c r="AB451" s="7">
        <v>2021</v>
      </c>
      <c r="AC451" s="124">
        <v>26663</v>
      </c>
      <c r="AD451" s="7"/>
      <c r="AE451" s="124">
        <v>121882</v>
      </c>
      <c r="AF451" s="124">
        <v>79506</v>
      </c>
      <c r="AG451" s="7" t="s">
        <v>4174</v>
      </c>
      <c r="AH451" s="124">
        <f>AC451+AE451</f>
        <v>148545</v>
      </c>
      <c r="AI451" s="124">
        <f>AF451+AH451</f>
        <v>228051</v>
      </c>
      <c r="AJ451" s="7">
        <v>2020</v>
      </c>
      <c r="AK451" s="124">
        <v>30357</v>
      </c>
      <c r="AL451" s="7"/>
      <c r="AM451" s="124">
        <v>140694</v>
      </c>
      <c r="AN451" s="124">
        <v>85630</v>
      </c>
      <c r="AO451" s="124">
        <f t="shared" si="40"/>
        <v>171051</v>
      </c>
      <c r="AP451" s="124">
        <f>AN451+AO451</f>
        <v>256681</v>
      </c>
      <c r="AQ451" s="27" t="s">
        <v>5254</v>
      </c>
      <c r="AR451" s="7" t="str">
        <f>_xlfn.XLOOKUP(C451,Sheet1!A:A,Sheet1!B:B, "Other")</f>
        <v>Asia</v>
      </c>
      <c r="AS451" t="str">
        <f>_xlfn.XLOOKUP(D451,Sheet1!D:D,Sheet1!E:E)</f>
        <v>Financial services</v>
      </c>
    </row>
    <row r="452" spans="1:45" ht="18" customHeight="1">
      <c r="A452" s="7">
        <v>448</v>
      </c>
      <c r="B452" s="7" t="s">
        <v>5253</v>
      </c>
      <c r="C452" s="7" t="s">
        <v>972</v>
      </c>
      <c r="D452" s="7" t="s">
        <v>342</v>
      </c>
      <c r="E452" s="7" t="s">
        <v>5252</v>
      </c>
      <c r="F452" s="7" t="s">
        <v>5251</v>
      </c>
      <c r="G452" s="122"/>
      <c r="H452" s="7"/>
      <c r="I452" s="7"/>
      <c r="J452" s="122" t="s">
        <v>1957</v>
      </c>
      <c r="K452" s="7"/>
      <c r="L452" s="127">
        <v>2022</v>
      </c>
      <c r="M452" s="122"/>
      <c r="N452" s="7"/>
      <c r="O452" s="7"/>
      <c r="P452" s="7" t="str" cm="1">
        <f t="array" ref="P452">IF(O452="", "", IFERROR(MAX(--_xlfn.TEXTSPLIT(O452,"+")), O452))</f>
        <v/>
      </c>
      <c r="Q452" s="7"/>
      <c r="R452" s="109"/>
      <c r="S452" s="7"/>
      <c r="T452" s="7"/>
      <c r="U452" s="7"/>
      <c r="V452" s="7" t="str" cm="1">
        <f t="array" ref="V452">IF(U452="", "", IFERROR(MAX(--_xlfn.TEXTSPLIT(U452,"+")), U452))</f>
        <v/>
      </c>
      <c r="W452" s="7"/>
      <c r="X452" s="7"/>
      <c r="Y452" s="122"/>
      <c r="Z452" s="7"/>
      <c r="AA452" s="126"/>
      <c r="AB452" s="7" t="s">
        <v>5032</v>
      </c>
      <c r="AC452" s="7"/>
      <c r="AD452" s="7"/>
      <c r="AE452" s="7"/>
      <c r="AF452" s="7"/>
      <c r="AG452" s="7" t="s">
        <v>5032</v>
      </c>
      <c r="AH452" s="124"/>
      <c r="AI452" s="124"/>
      <c r="AJ452" s="7" t="s">
        <v>5032</v>
      </c>
      <c r="AK452" s="7"/>
      <c r="AL452" s="7"/>
      <c r="AM452" s="7"/>
      <c r="AN452" s="7"/>
      <c r="AO452" s="124">
        <f t="shared" si="40"/>
        <v>0</v>
      </c>
      <c r="AP452" s="124">
        <f>AN452+AO452</f>
        <v>0</v>
      </c>
      <c r="AQ452" s="7"/>
      <c r="AR452" s="7" t="str">
        <f>_xlfn.XLOOKUP(C452,Sheet1!A:A,Sheet1!B:B, "Other")</f>
        <v>Europe</v>
      </c>
      <c r="AS452" t="str">
        <f>_xlfn.XLOOKUP(D452,Sheet1!D:D,Sheet1!E:E)</f>
        <v>Food, beverages and agriculture</v>
      </c>
    </row>
    <row r="453" spans="1:45" ht="18" customHeight="1">
      <c r="A453" s="7">
        <v>449</v>
      </c>
      <c r="B453" s="7" t="s">
        <v>5250</v>
      </c>
      <c r="C453" s="7" t="s">
        <v>4457</v>
      </c>
      <c r="D453" s="7" t="s">
        <v>258</v>
      </c>
      <c r="E453" s="7" t="s">
        <v>5249</v>
      </c>
      <c r="F453" s="7" t="s">
        <v>5248</v>
      </c>
      <c r="G453" s="122"/>
      <c r="H453" s="7"/>
      <c r="I453" s="7"/>
      <c r="J453" s="122"/>
      <c r="K453" s="7"/>
      <c r="L453" s="127"/>
      <c r="M453" s="122"/>
      <c r="N453" s="7"/>
      <c r="O453" s="7"/>
      <c r="P453" s="7" t="str" cm="1">
        <f t="array" ref="P453">IF(O453="", "", IFERROR(MAX(--_xlfn.TEXTSPLIT(O453,"+")), O453))</f>
        <v/>
      </c>
      <c r="Q453" s="7"/>
      <c r="R453" s="109"/>
      <c r="S453" s="7"/>
      <c r="T453" s="7"/>
      <c r="U453" s="7"/>
      <c r="V453" s="7" t="str" cm="1">
        <f t="array" ref="V453">IF(U453="", "", IFERROR(MAX(--_xlfn.TEXTSPLIT(U453,"+")), U453))</f>
        <v/>
      </c>
      <c r="W453" s="7"/>
      <c r="X453" s="7"/>
      <c r="Y453" s="122" t="s">
        <v>4174</v>
      </c>
      <c r="Z453" s="7" t="s">
        <v>5247</v>
      </c>
      <c r="AA453" s="126" t="s">
        <v>5246</v>
      </c>
      <c r="AB453" s="7" t="s">
        <v>5032</v>
      </c>
      <c r="AC453" s="7"/>
      <c r="AD453" s="7"/>
      <c r="AE453" s="7"/>
      <c r="AF453" s="7"/>
      <c r="AG453" s="7" t="s">
        <v>5032</v>
      </c>
      <c r="AH453" s="124"/>
      <c r="AI453" s="124"/>
      <c r="AJ453" s="7"/>
      <c r="AK453" s="7"/>
      <c r="AL453" s="7"/>
      <c r="AM453" s="7"/>
      <c r="AN453" s="7"/>
      <c r="AO453" s="124"/>
      <c r="AP453" s="124"/>
      <c r="AQ453" s="7"/>
      <c r="AR453" s="7" t="str">
        <f>_xlfn.XLOOKUP(C453,Sheet1!A:A,Sheet1!B:B, "Other")</f>
        <v>North America</v>
      </c>
      <c r="AS453" t="str">
        <f>_xlfn.XLOOKUP(D453,Sheet1!D:D,Sheet1!E:E)</f>
        <v>Telecommunications and media</v>
      </c>
    </row>
    <row r="454" spans="1:45" ht="18" customHeight="1">
      <c r="A454" s="7">
        <v>450</v>
      </c>
      <c r="B454" s="7" t="s">
        <v>5245</v>
      </c>
      <c r="C454" s="7" t="s">
        <v>4457</v>
      </c>
      <c r="D454" s="7" t="s">
        <v>135</v>
      </c>
      <c r="E454" s="7" t="s">
        <v>5244</v>
      </c>
      <c r="F454" s="7" t="s">
        <v>5243</v>
      </c>
      <c r="G454" s="122"/>
      <c r="H454" s="7"/>
      <c r="I454" s="7"/>
      <c r="J454" s="122"/>
      <c r="K454" s="7"/>
      <c r="L454" s="127"/>
      <c r="M454" s="122"/>
      <c r="N454" s="7"/>
      <c r="O454" s="7"/>
      <c r="P454" s="7" t="str" cm="1">
        <f t="array" ref="P454">IF(O454="", "", IFERROR(MAX(--_xlfn.TEXTSPLIT(O454,"+")), O454))</f>
        <v/>
      </c>
      <c r="Q454" s="7"/>
      <c r="R454" s="109"/>
      <c r="S454" s="7"/>
      <c r="T454" s="7"/>
      <c r="U454" s="7"/>
      <c r="V454" s="7" t="str" cm="1">
        <f t="array" ref="V454">IF(U454="", "", IFERROR(MAX(--_xlfn.TEXTSPLIT(U454,"+")), U454))</f>
        <v/>
      </c>
      <c r="W454" s="7"/>
      <c r="X454" s="7"/>
      <c r="Y454" s="122"/>
      <c r="Z454" s="7"/>
      <c r="AA454" s="109"/>
      <c r="AB454" s="7" t="s">
        <v>5032</v>
      </c>
      <c r="AC454" s="7"/>
      <c r="AD454" s="7"/>
      <c r="AE454" s="7"/>
      <c r="AF454" s="7"/>
      <c r="AG454" s="7" t="s">
        <v>5032</v>
      </c>
      <c r="AH454" s="124"/>
      <c r="AI454" s="124"/>
      <c r="AJ454" s="7" t="s">
        <v>5032</v>
      </c>
      <c r="AK454" s="7"/>
      <c r="AL454" s="7"/>
      <c r="AM454" s="7"/>
      <c r="AN454" s="7"/>
      <c r="AO454" s="124">
        <f>AK454+AM454</f>
        <v>0</v>
      </c>
      <c r="AP454" s="124">
        <f>AN454+AO454</f>
        <v>0</v>
      </c>
      <c r="AQ454" s="27" t="s">
        <v>5242</v>
      </c>
      <c r="AR454" s="7" t="str">
        <f>_xlfn.XLOOKUP(C454,Sheet1!A:A,Sheet1!B:B, "Other")</f>
        <v>North America</v>
      </c>
      <c r="AS454" t="str">
        <f>_xlfn.XLOOKUP(D454,Sheet1!D:D,Sheet1!E:E)</f>
        <v>Engineering and construction</v>
      </c>
    </row>
    <row r="455" spans="1:45" ht="18" customHeight="1">
      <c r="A455" s="7">
        <v>451</v>
      </c>
      <c r="B455" s="7" t="s">
        <v>4495</v>
      </c>
      <c r="C455" s="7" t="s">
        <v>73</v>
      </c>
      <c r="D455" s="7" t="s">
        <v>85</v>
      </c>
      <c r="E455" s="7" t="s">
        <v>5241</v>
      </c>
      <c r="F455" s="7" t="s">
        <v>5240</v>
      </c>
      <c r="G455" s="122"/>
      <c r="H455" s="7"/>
      <c r="I455" s="7"/>
      <c r="J455" s="122" t="s">
        <v>1960</v>
      </c>
      <c r="K455" s="7"/>
      <c r="L455" s="127" t="s">
        <v>1960</v>
      </c>
      <c r="M455" s="122"/>
      <c r="N455" s="7"/>
      <c r="O455" s="7"/>
      <c r="P455" s="7" t="str" cm="1">
        <f t="array" ref="P455">IF(O455="", "", IFERROR(MAX(--_xlfn.TEXTSPLIT(O455,"+")), O455))</f>
        <v/>
      </c>
      <c r="Q455" s="7"/>
      <c r="R455" s="109"/>
      <c r="S455" s="7"/>
      <c r="T455" s="7"/>
      <c r="U455" s="7"/>
      <c r="V455" s="7" t="str" cm="1">
        <f t="array" ref="V455">IF(U455="", "", IFERROR(MAX(--_xlfn.TEXTSPLIT(U455,"+")), U455))</f>
        <v/>
      </c>
      <c r="W455" s="7"/>
      <c r="X455" s="7"/>
      <c r="Y455" s="122"/>
      <c r="Z455" s="7"/>
      <c r="AA455" s="109"/>
      <c r="AB455" s="7" t="s">
        <v>5032</v>
      </c>
      <c r="AC455" s="7"/>
      <c r="AD455" s="7"/>
      <c r="AE455" s="7"/>
      <c r="AF455" s="7"/>
      <c r="AG455" s="7" t="s">
        <v>5032</v>
      </c>
      <c r="AH455" s="7"/>
      <c r="AI455" s="7"/>
      <c r="AJ455" s="7" t="s">
        <v>5032</v>
      </c>
      <c r="AK455" s="7"/>
      <c r="AL455" s="7"/>
      <c r="AM455" s="7"/>
      <c r="AN455" s="7"/>
      <c r="AO455" s="7"/>
      <c r="AP455" s="7"/>
      <c r="AQ455" s="7"/>
      <c r="AR455" s="7" t="str">
        <f>_xlfn.XLOOKUP(C455,Sheet1!A:A,Sheet1!B:B, "Other")</f>
        <v>Asia</v>
      </c>
      <c r="AS455" t="str">
        <f>_xlfn.XLOOKUP(D455,Sheet1!D:D,Sheet1!E:E)</f>
        <v>Industrial goods</v>
      </c>
    </row>
    <row r="456" spans="1:45" ht="18" customHeight="1">
      <c r="A456" s="7">
        <v>452</v>
      </c>
      <c r="B456" s="7" t="s">
        <v>647</v>
      </c>
      <c r="C456" s="7" t="s">
        <v>376</v>
      </c>
      <c r="D456" s="7" t="s">
        <v>76</v>
      </c>
      <c r="E456" s="7" t="s">
        <v>5239</v>
      </c>
      <c r="F456" s="7" t="s">
        <v>5217</v>
      </c>
      <c r="G456" s="122"/>
      <c r="H456" s="7"/>
      <c r="I456" s="7"/>
      <c r="J456" s="122" t="s">
        <v>1960</v>
      </c>
      <c r="K456" s="7"/>
      <c r="L456" s="127" t="s">
        <v>1960</v>
      </c>
      <c r="M456" s="122" t="s">
        <v>1957</v>
      </c>
      <c r="N456" s="7" t="s">
        <v>4626</v>
      </c>
      <c r="O456" s="7">
        <v>2030</v>
      </c>
      <c r="P456" s="7" cm="1">
        <f t="array" ref="P456">IF(O456="", "", IFERROR(MAX(--_xlfn.TEXTSPLIT(O456,"+")), O456))</f>
        <v>2030</v>
      </c>
      <c r="Q456" s="7">
        <v>2021</v>
      </c>
      <c r="R456" s="126" t="s">
        <v>5238</v>
      </c>
      <c r="S456" s="7"/>
      <c r="T456" s="7"/>
      <c r="U456" s="7"/>
      <c r="V456" s="7" t="str" cm="1">
        <f t="array" ref="V456">IF(U456="", "", IFERROR(MAX(--_xlfn.TEXTSPLIT(U456,"+")), U456))</f>
        <v/>
      </c>
      <c r="W456" s="7"/>
      <c r="X456" s="7"/>
      <c r="Y456" s="122" t="s">
        <v>4174</v>
      </c>
      <c r="Z456" s="7" t="s">
        <v>5237</v>
      </c>
      <c r="AA456" s="126" t="s">
        <v>5236</v>
      </c>
      <c r="AB456" s="7">
        <v>2022</v>
      </c>
      <c r="AC456" s="124">
        <v>152703</v>
      </c>
      <c r="AD456" s="7"/>
      <c r="AE456" s="124">
        <v>2860</v>
      </c>
      <c r="AF456" s="124">
        <f>257796+8541519.64</f>
        <v>8799315.6400000006</v>
      </c>
      <c r="AG456" s="7" t="s">
        <v>5032</v>
      </c>
      <c r="AH456" s="124">
        <f>AC456+AE456</f>
        <v>155563</v>
      </c>
      <c r="AI456" s="124">
        <f>AF456+AH456</f>
        <v>8954878.6400000006</v>
      </c>
      <c r="AJ456" s="7">
        <v>2021</v>
      </c>
      <c r="AK456" s="124">
        <v>165508</v>
      </c>
      <c r="AL456" s="7"/>
      <c r="AM456" s="124">
        <v>5709</v>
      </c>
      <c r="AN456" s="124">
        <f>178737+6641823.42</f>
        <v>6820560.4199999999</v>
      </c>
      <c r="AO456" s="124">
        <f t="shared" ref="AO456:AO463" si="41">AK456+AM456</f>
        <v>171217</v>
      </c>
      <c r="AP456" s="124">
        <f>AN456+AO456</f>
        <v>6991777.4199999999</v>
      </c>
      <c r="AQ456" s="27" t="s">
        <v>5235</v>
      </c>
      <c r="AR456" s="7" t="str">
        <f>_xlfn.XLOOKUP(C456,Sheet1!A:A,Sheet1!B:B, "Other")</f>
        <v>Europe</v>
      </c>
      <c r="AS456" t="str">
        <f>_xlfn.XLOOKUP(D456,Sheet1!D:D,Sheet1!E:E)</f>
        <v>Financial services</v>
      </c>
    </row>
    <row r="457" spans="1:45" ht="18" customHeight="1">
      <c r="A457" s="7">
        <v>453</v>
      </c>
      <c r="B457" s="7" t="s">
        <v>656</v>
      </c>
      <c r="C457" s="7" t="s">
        <v>4338</v>
      </c>
      <c r="D457" s="7" t="s">
        <v>454</v>
      </c>
      <c r="E457" s="7" t="s">
        <v>5234</v>
      </c>
      <c r="F457" s="7" t="s">
        <v>5233</v>
      </c>
      <c r="G457" s="122"/>
      <c r="H457" s="7"/>
      <c r="I457" s="7"/>
      <c r="J457" s="122" t="s">
        <v>4183</v>
      </c>
      <c r="K457" s="7">
        <v>2030</v>
      </c>
      <c r="L457" s="127">
        <v>2022</v>
      </c>
      <c r="M457" s="122" t="s">
        <v>4519</v>
      </c>
      <c r="N457" s="7" t="s">
        <v>5131</v>
      </c>
      <c r="O457" s="7">
        <v>2050</v>
      </c>
      <c r="P457" s="7" cm="1">
        <f t="array" ref="P457">IF(O457="", "", IFERROR(MAX(--_xlfn.TEXTSPLIT(O457,"+")), O457))</f>
        <v>2050</v>
      </c>
      <c r="Q457" s="7">
        <v>2021</v>
      </c>
      <c r="R457" s="126" t="s">
        <v>5231</v>
      </c>
      <c r="S457" s="7" t="s">
        <v>4172</v>
      </c>
      <c r="T457" s="7" t="s">
        <v>2760</v>
      </c>
      <c r="U457" s="7">
        <v>2050</v>
      </c>
      <c r="V457" s="7" cm="1">
        <f t="array" ref="V457">IF(U457="", "", IFERROR(MAX(--_xlfn.TEXTSPLIT(U457,"+")), U457))</f>
        <v>2050</v>
      </c>
      <c r="W457" s="7">
        <v>2023</v>
      </c>
      <c r="X457" s="125" t="s">
        <v>5232</v>
      </c>
      <c r="Y457" s="122"/>
      <c r="Z457" s="7"/>
      <c r="AA457" s="109"/>
      <c r="AB457" s="7">
        <v>2022</v>
      </c>
      <c r="AC457" s="124">
        <v>8489130</v>
      </c>
      <c r="AD457" s="124">
        <v>2532322</v>
      </c>
      <c r="AE457" s="124">
        <v>2385224</v>
      </c>
      <c r="AF457" s="124">
        <v>4744749</v>
      </c>
      <c r="AG457" s="7" t="s">
        <v>4174</v>
      </c>
      <c r="AH457" s="124">
        <f>AC457+AE457</f>
        <v>10874354</v>
      </c>
      <c r="AI457" s="124">
        <f>AF457+AH457</f>
        <v>15619103</v>
      </c>
      <c r="AJ457" s="7">
        <v>2021</v>
      </c>
      <c r="AK457" s="124">
        <v>8833654</v>
      </c>
      <c r="AL457" s="124">
        <v>2817727</v>
      </c>
      <c r="AM457" s="124">
        <v>2797116</v>
      </c>
      <c r="AN457" s="7"/>
      <c r="AO457" s="124">
        <f t="shared" si="41"/>
        <v>11630770</v>
      </c>
      <c r="AP457" s="124">
        <f>AO457</f>
        <v>11630770</v>
      </c>
      <c r="AQ457" s="27" t="s">
        <v>5231</v>
      </c>
      <c r="AR457" s="7" t="str">
        <f>_xlfn.XLOOKUP(C457,Sheet1!A:A,Sheet1!B:B, "Other")</f>
        <v>Asia</v>
      </c>
      <c r="AS457" t="str">
        <f>_xlfn.XLOOKUP(D457,Sheet1!D:D,Sheet1!E:E)</f>
        <v>Retail</v>
      </c>
    </row>
    <row r="458" spans="1:45" ht="18" customHeight="1">
      <c r="A458" s="7">
        <v>454</v>
      </c>
      <c r="B458" s="7" t="s">
        <v>125</v>
      </c>
      <c r="C458" s="7" t="s">
        <v>121</v>
      </c>
      <c r="D458" s="7" t="s">
        <v>5091</v>
      </c>
      <c r="E458" s="7" t="s">
        <v>5230</v>
      </c>
      <c r="F458" s="7" t="s">
        <v>5229</v>
      </c>
      <c r="G458" s="122"/>
      <c r="H458" s="7"/>
      <c r="I458" s="7"/>
      <c r="J458" s="122"/>
      <c r="K458" s="7"/>
      <c r="L458" s="127"/>
      <c r="M458" s="122"/>
      <c r="N458" s="7"/>
      <c r="O458" s="7"/>
      <c r="P458" s="7" t="str" cm="1">
        <f t="array" ref="P458">IF(O458="", "", IFERROR(MAX(--_xlfn.TEXTSPLIT(O458,"+")), O458))</f>
        <v/>
      </c>
      <c r="Q458" s="7"/>
      <c r="R458" s="109"/>
      <c r="S458" s="7"/>
      <c r="T458" s="7"/>
      <c r="U458" s="7"/>
      <c r="V458" s="7" t="str" cm="1">
        <f t="array" ref="V458">IF(U458="", "", IFERROR(MAX(--_xlfn.TEXTSPLIT(U458,"+")), U458))</f>
        <v/>
      </c>
      <c r="W458" s="7"/>
      <c r="X458" s="125"/>
      <c r="Y458" s="122"/>
      <c r="Z458" s="7"/>
      <c r="AA458" s="126"/>
      <c r="AB458" s="7">
        <v>2022</v>
      </c>
      <c r="AC458" s="124">
        <f>475572+782606</f>
        <v>1258178</v>
      </c>
      <c r="AD458" s="7"/>
      <c r="AE458" s="124">
        <v>474530</v>
      </c>
      <c r="AF458" s="124">
        <v>9369</v>
      </c>
      <c r="AG458" s="7" t="s">
        <v>5032</v>
      </c>
      <c r="AH458" s="124">
        <f>AC458+AE458</f>
        <v>1732708</v>
      </c>
      <c r="AI458" s="124">
        <f>AF458+AH458</f>
        <v>1742077</v>
      </c>
      <c r="AJ458" s="7">
        <v>2021</v>
      </c>
      <c r="AK458" s="124">
        <v>1133191</v>
      </c>
      <c r="AL458" s="7"/>
      <c r="AM458" s="124">
        <v>406258</v>
      </c>
      <c r="AN458" s="124">
        <v>3503</v>
      </c>
      <c r="AO458" s="124">
        <f t="shared" si="41"/>
        <v>1539449</v>
      </c>
      <c r="AP458" s="124">
        <f>AN458+AO458</f>
        <v>1542952</v>
      </c>
      <c r="AQ458" s="27" t="s">
        <v>5228</v>
      </c>
      <c r="AR458" s="7" t="str">
        <f>_xlfn.XLOOKUP(C458,Sheet1!A:A,Sheet1!B:B, "Other")</f>
        <v>North America</v>
      </c>
      <c r="AS458" t="str">
        <f>_xlfn.XLOOKUP(D458,Sheet1!D:D,Sheet1!E:E)</f>
        <v>Food, beverages and agriculture</v>
      </c>
    </row>
    <row r="459" spans="1:45" ht="18" customHeight="1">
      <c r="A459" s="7">
        <v>455</v>
      </c>
      <c r="B459" s="7" t="s">
        <v>5227</v>
      </c>
      <c r="C459" s="7" t="s">
        <v>4457</v>
      </c>
      <c r="D459" s="7" t="s">
        <v>135</v>
      </c>
      <c r="E459" s="7" t="s">
        <v>5226</v>
      </c>
      <c r="F459" s="7" t="s">
        <v>5225</v>
      </c>
      <c r="G459" s="122"/>
      <c r="H459" s="7"/>
      <c r="I459" s="7"/>
      <c r="J459" s="122"/>
      <c r="K459" s="7"/>
      <c r="L459" s="127"/>
      <c r="M459" s="122"/>
      <c r="N459" s="7"/>
      <c r="O459" s="7"/>
      <c r="P459" s="7" t="str" cm="1">
        <f t="array" ref="P459">IF(O459="", "", IFERROR(MAX(--_xlfn.TEXTSPLIT(O459,"+")), O459))</f>
        <v/>
      </c>
      <c r="Q459" s="7"/>
      <c r="R459" s="109"/>
      <c r="S459" s="7"/>
      <c r="T459" s="7"/>
      <c r="U459" s="7"/>
      <c r="V459" s="7" t="str" cm="1">
        <f t="array" ref="V459">IF(U459="", "", IFERROR(MAX(--_xlfn.TEXTSPLIT(U459,"+")), U459))</f>
        <v/>
      </c>
      <c r="W459" s="7"/>
      <c r="X459" s="7"/>
      <c r="Y459" s="122"/>
      <c r="Z459" s="7"/>
      <c r="AA459" s="126"/>
      <c r="AB459" s="7">
        <v>2021</v>
      </c>
      <c r="AC459" s="124">
        <v>68128</v>
      </c>
      <c r="AD459" s="7"/>
      <c r="AE459" s="124">
        <v>57787</v>
      </c>
      <c r="AF459" s="7"/>
      <c r="AG459" s="7" t="s">
        <v>5032</v>
      </c>
      <c r="AH459" s="124">
        <f>AC459+AE459</f>
        <v>125915</v>
      </c>
      <c r="AI459" s="124">
        <f>AF459+AH459</f>
        <v>125915</v>
      </c>
      <c r="AJ459" s="7">
        <v>2020</v>
      </c>
      <c r="AK459" s="124">
        <v>51229</v>
      </c>
      <c r="AL459" s="7"/>
      <c r="AM459" s="124">
        <v>51958</v>
      </c>
      <c r="AN459" s="7"/>
      <c r="AO459" s="124">
        <f t="shared" si="41"/>
        <v>103187</v>
      </c>
      <c r="AP459" s="124">
        <f>AN459+AO459</f>
        <v>103187</v>
      </c>
      <c r="AQ459" s="27" t="s">
        <v>5224</v>
      </c>
      <c r="AR459" s="7" t="str">
        <f>_xlfn.XLOOKUP(C459,Sheet1!A:A,Sheet1!B:B, "Other")</f>
        <v>North America</v>
      </c>
      <c r="AS459" t="str">
        <f>_xlfn.XLOOKUP(D459,Sheet1!D:D,Sheet1!E:E)</f>
        <v>Engineering and construction</v>
      </c>
    </row>
    <row r="460" spans="1:45" ht="18" customHeight="1">
      <c r="A460" s="7">
        <v>456</v>
      </c>
      <c r="B460" s="7" t="s">
        <v>4317</v>
      </c>
      <c r="C460" s="7" t="s">
        <v>4457</v>
      </c>
      <c r="D460" s="7" t="s">
        <v>186</v>
      </c>
      <c r="E460" s="7" t="s">
        <v>5223</v>
      </c>
      <c r="F460" s="7" t="s">
        <v>5222</v>
      </c>
      <c r="G460" s="122"/>
      <c r="H460" s="7"/>
      <c r="I460" s="7"/>
      <c r="J460" s="122" t="s">
        <v>1957</v>
      </c>
      <c r="K460" s="7"/>
      <c r="L460" s="127">
        <v>2022</v>
      </c>
      <c r="M460" s="122" t="s">
        <v>1957</v>
      </c>
      <c r="N460" s="7" t="s">
        <v>3793</v>
      </c>
      <c r="O460" s="7">
        <v>2045</v>
      </c>
      <c r="P460" s="7" cm="1">
        <f t="array" ref="P460">IF(O460="", "", IFERROR(MAX(--_xlfn.TEXTSPLIT(O460,"+")), O460))</f>
        <v>2045</v>
      </c>
      <c r="Q460" s="7">
        <v>2021</v>
      </c>
      <c r="R460" s="126" t="s">
        <v>5221</v>
      </c>
      <c r="S460" s="7"/>
      <c r="T460" s="7"/>
      <c r="U460" s="7"/>
      <c r="V460" s="7" t="str" cm="1">
        <f t="array" ref="V460">IF(U460="", "", IFERROR(MAX(--_xlfn.TEXTSPLIT(U460,"+")), U460))</f>
        <v/>
      </c>
      <c r="W460" s="7"/>
      <c r="X460" s="7"/>
      <c r="Y460" s="122" t="s">
        <v>4174</v>
      </c>
      <c r="Z460" s="7" t="s">
        <v>5220</v>
      </c>
      <c r="AA460" s="126" t="s">
        <v>5219</v>
      </c>
      <c r="AB460" s="7">
        <v>2022</v>
      </c>
      <c r="AC460" s="7">
        <v>53174</v>
      </c>
      <c r="AD460" s="7">
        <v>1735145</v>
      </c>
      <c r="AE460" s="7">
        <v>558405</v>
      </c>
      <c r="AF460" s="7">
        <v>52489</v>
      </c>
      <c r="AG460" s="7" t="s">
        <v>5032</v>
      </c>
      <c r="AH460" s="7">
        <f>AE460+AC460</f>
        <v>611579</v>
      </c>
      <c r="AI460" s="7">
        <f>AH460+AF460</f>
        <v>664068</v>
      </c>
      <c r="AJ460" s="7">
        <v>2021</v>
      </c>
      <c r="AK460" s="7">
        <v>53865</v>
      </c>
      <c r="AL460" s="7">
        <v>1992711</v>
      </c>
      <c r="AM460" s="7">
        <v>752285</v>
      </c>
      <c r="AN460" s="7">
        <v>45869</v>
      </c>
      <c r="AO460" s="7">
        <f t="shared" si="41"/>
        <v>806150</v>
      </c>
      <c r="AP460" s="7">
        <f>AO460+AN460</f>
        <v>852019</v>
      </c>
      <c r="AQ460" s="27" t="s">
        <v>5219</v>
      </c>
      <c r="AR460" s="7" t="str">
        <f>_xlfn.XLOOKUP(C460,Sheet1!A:A,Sheet1!B:B, "Other")</f>
        <v>North America</v>
      </c>
      <c r="AS460" t="str">
        <f>_xlfn.XLOOKUP(D460,Sheet1!D:D,Sheet1!E:E)</f>
        <v>Technology</v>
      </c>
    </row>
    <row r="461" spans="1:45" ht="18" customHeight="1">
      <c r="A461" s="7">
        <v>457</v>
      </c>
      <c r="B461" s="7" t="s">
        <v>300</v>
      </c>
      <c r="C461" s="7" t="s">
        <v>114</v>
      </c>
      <c r="D461" s="7" t="s">
        <v>91</v>
      </c>
      <c r="E461" s="7" t="s">
        <v>5218</v>
      </c>
      <c r="F461" s="7" t="s">
        <v>5217</v>
      </c>
      <c r="G461" s="122"/>
      <c r="H461" s="7"/>
      <c r="I461" s="7"/>
      <c r="J461" s="122" t="s">
        <v>1960</v>
      </c>
      <c r="K461" s="7"/>
      <c r="L461" s="127" t="s">
        <v>1960</v>
      </c>
      <c r="M461" s="122" t="s">
        <v>1957</v>
      </c>
      <c r="N461" s="7" t="s">
        <v>3793</v>
      </c>
      <c r="O461" s="7">
        <v>2050</v>
      </c>
      <c r="P461" s="7" cm="1">
        <f t="array" ref="P461">IF(O461="", "", IFERROR(MAX(--_xlfn.TEXTSPLIT(O461,"+")), O461))</f>
        <v>2050</v>
      </c>
      <c r="Q461" s="7">
        <v>2022</v>
      </c>
      <c r="R461" s="126" t="s">
        <v>5216</v>
      </c>
      <c r="S461" s="7"/>
      <c r="T461" s="7"/>
      <c r="U461" s="7"/>
      <c r="V461" s="7" t="str" cm="1">
        <f t="array" ref="V461">IF(U461="", "", IFERROR(MAX(--_xlfn.TEXTSPLIT(U461,"+")), U461))</f>
        <v/>
      </c>
      <c r="W461" s="7"/>
      <c r="X461" s="7"/>
      <c r="Y461" s="122"/>
      <c r="Z461" s="7"/>
      <c r="AA461" s="109"/>
      <c r="AB461" s="7">
        <v>2022</v>
      </c>
      <c r="AC461" s="124">
        <v>85655</v>
      </c>
      <c r="AD461" s="7"/>
      <c r="AE461" s="124">
        <v>99833</v>
      </c>
      <c r="AF461" s="124">
        <v>81936</v>
      </c>
      <c r="AG461" s="7" t="s">
        <v>5032</v>
      </c>
      <c r="AH461" s="124">
        <f t="shared" ref="AH461:AH467" si="42">AC461+AE461</f>
        <v>185488</v>
      </c>
      <c r="AI461" s="124">
        <f>AH461+AF461</f>
        <v>267424</v>
      </c>
      <c r="AJ461" s="7">
        <v>2021</v>
      </c>
      <c r="AK461" s="124">
        <v>77668</v>
      </c>
      <c r="AL461" s="7"/>
      <c r="AM461" s="124">
        <v>108293</v>
      </c>
      <c r="AN461" s="124">
        <v>85582</v>
      </c>
      <c r="AO461" s="124">
        <f t="shared" si="41"/>
        <v>185961</v>
      </c>
      <c r="AP461" s="124">
        <f>AO461+AN461</f>
        <v>271543</v>
      </c>
      <c r="AQ461" s="125" t="s">
        <v>5216</v>
      </c>
      <c r="AR461" s="7" t="str">
        <f>_xlfn.XLOOKUP(C461,Sheet1!A:A,Sheet1!B:B, "Other")</f>
        <v>Asia</v>
      </c>
      <c r="AS461" t="str">
        <f>_xlfn.XLOOKUP(D461,Sheet1!D:D,Sheet1!E:E)</f>
        <v>Retail</v>
      </c>
    </row>
    <row r="462" spans="1:45" ht="18" customHeight="1">
      <c r="A462" s="7">
        <v>458</v>
      </c>
      <c r="B462" s="7" t="s">
        <v>5215</v>
      </c>
      <c r="C462" s="7" t="s">
        <v>4457</v>
      </c>
      <c r="D462" s="7" t="s">
        <v>71</v>
      </c>
      <c r="E462" s="7" t="s">
        <v>5214</v>
      </c>
      <c r="F462" s="7" t="s">
        <v>5213</v>
      </c>
      <c r="G462" s="122"/>
      <c r="H462" s="7"/>
      <c r="I462" s="7"/>
      <c r="J462" s="122"/>
      <c r="K462" s="7"/>
      <c r="L462" s="127"/>
      <c r="M462" s="122"/>
      <c r="N462" s="7"/>
      <c r="O462" s="7"/>
      <c r="P462" s="7" t="str" cm="1">
        <f t="array" ref="P462">IF(O462="", "", IFERROR(MAX(--_xlfn.TEXTSPLIT(O462,"+")), O462))</f>
        <v/>
      </c>
      <c r="Q462" s="7"/>
      <c r="R462" s="109"/>
      <c r="S462" s="7"/>
      <c r="T462" s="7"/>
      <c r="U462" s="7"/>
      <c r="V462" s="7" t="str" cm="1">
        <f t="array" ref="V462">IF(U462="", "", IFERROR(MAX(--_xlfn.TEXTSPLIT(U462,"+")), U462))</f>
        <v/>
      </c>
      <c r="W462" s="7"/>
      <c r="X462" s="7"/>
      <c r="Y462" s="122"/>
      <c r="Z462" s="7"/>
      <c r="AA462" s="126"/>
      <c r="AB462" s="7">
        <v>2021</v>
      </c>
      <c r="AC462" s="124">
        <v>9002782</v>
      </c>
      <c r="AD462" s="7"/>
      <c r="AE462" s="124">
        <v>233667</v>
      </c>
      <c r="AF462" s="7"/>
      <c r="AG462" s="7" t="s">
        <v>5032</v>
      </c>
      <c r="AH462" s="124">
        <f t="shared" si="42"/>
        <v>9236449</v>
      </c>
      <c r="AI462" s="124">
        <f>AF462+AH462</f>
        <v>9236449</v>
      </c>
      <c r="AJ462" s="7">
        <v>2020</v>
      </c>
      <c r="AK462" s="124">
        <v>6151019</v>
      </c>
      <c r="AL462" s="7"/>
      <c r="AM462" s="124">
        <v>192866</v>
      </c>
      <c r="AN462" s="7"/>
      <c r="AO462" s="124">
        <f t="shared" si="41"/>
        <v>6343885</v>
      </c>
      <c r="AP462" s="124">
        <f>AN462+AO462</f>
        <v>6343885</v>
      </c>
      <c r="AQ462" s="27" t="s">
        <v>5212</v>
      </c>
      <c r="AR462" s="7" t="str">
        <f>_xlfn.XLOOKUP(C462,Sheet1!A:A,Sheet1!B:B, "Other")</f>
        <v>North America</v>
      </c>
      <c r="AS462" t="str">
        <f>_xlfn.XLOOKUP(D462,Sheet1!D:D,Sheet1!E:E)</f>
        <v>Energy and utilities</v>
      </c>
    </row>
    <row r="463" spans="1:45" ht="18" customHeight="1">
      <c r="A463" s="7">
        <v>459</v>
      </c>
      <c r="B463" s="7" t="s">
        <v>498</v>
      </c>
      <c r="C463" s="7" t="s">
        <v>400</v>
      </c>
      <c r="D463" s="7" t="s">
        <v>85</v>
      </c>
      <c r="E463" s="7" t="s">
        <v>5211</v>
      </c>
      <c r="F463" s="7" t="s">
        <v>5210</v>
      </c>
      <c r="G463" s="122"/>
      <c r="H463" s="7"/>
      <c r="I463" s="7"/>
      <c r="J463" s="122" t="s">
        <v>4183</v>
      </c>
      <c r="K463" s="7">
        <v>2030</v>
      </c>
      <c r="L463" s="127">
        <v>2023</v>
      </c>
      <c r="M463" s="122"/>
      <c r="N463" s="7"/>
      <c r="O463" s="7"/>
      <c r="P463" s="7" t="str" cm="1">
        <f t="array" ref="P463">IF(O463="", "", IFERROR(MAX(--_xlfn.TEXTSPLIT(O463,"+")), O463))</f>
        <v/>
      </c>
      <c r="Q463" s="7"/>
      <c r="R463" s="109"/>
      <c r="S463" s="7" t="s">
        <v>1957</v>
      </c>
      <c r="T463" s="7" t="s">
        <v>4492</v>
      </c>
      <c r="U463" s="7">
        <v>2050</v>
      </c>
      <c r="V463" s="7" cm="1">
        <f t="array" ref="V463">IF(U463="", "", IFERROR(MAX(--_xlfn.TEXTSPLIT(U463,"+")), U463))</f>
        <v>2050</v>
      </c>
      <c r="W463" s="7">
        <v>2022</v>
      </c>
      <c r="X463" s="125" t="s">
        <v>5207</v>
      </c>
      <c r="Y463" s="122" t="s">
        <v>4174</v>
      </c>
      <c r="Z463" s="7" t="s">
        <v>5209</v>
      </c>
      <c r="AA463" s="126" t="s">
        <v>5208</v>
      </c>
      <c r="AB463" s="7">
        <v>2022</v>
      </c>
      <c r="AC463" s="7">
        <v>31200000</v>
      </c>
      <c r="AD463" s="7"/>
      <c r="AE463" s="7">
        <v>2400000</v>
      </c>
      <c r="AF463" s="7">
        <v>12900000</v>
      </c>
      <c r="AG463" s="7" t="s">
        <v>4174</v>
      </c>
      <c r="AH463" s="7">
        <f t="shared" si="42"/>
        <v>33600000</v>
      </c>
      <c r="AI463" s="7">
        <f>AH463+AF463</f>
        <v>46500000</v>
      </c>
      <c r="AJ463" s="7">
        <v>2021</v>
      </c>
      <c r="AK463" s="7">
        <v>33400000</v>
      </c>
      <c r="AL463" s="7"/>
      <c r="AM463" s="7">
        <v>2600000</v>
      </c>
      <c r="AN463" s="7">
        <v>12000000</v>
      </c>
      <c r="AO463" s="7">
        <f t="shared" si="41"/>
        <v>36000000</v>
      </c>
      <c r="AP463" s="7">
        <f>AO463+AN463</f>
        <v>48000000</v>
      </c>
      <c r="AQ463" s="27" t="s">
        <v>5207</v>
      </c>
      <c r="AR463" s="7" t="str">
        <f>_xlfn.XLOOKUP(C463,Sheet1!A:A,Sheet1!B:B, "Other")</f>
        <v>Europe</v>
      </c>
      <c r="AS463" t="str">
        <f>_xlfn.XLOOKUP(D463,Sheet1!D:D,Sheet1!E:E)</f>
        <v>Industrial goods</v>
      </c>
    </row>
    <row r="464" spans="1:45" ht="18" customHeight="1">
      <c r="A464" s="7">
        <v>460</v>
      </c>
      <c r="B464" s="7" t="s">
        <v>2963</v>
      </c>
      <c r="C464" s="7" t="s">
        <v>4195</v>
      </c>
      <c r="D464" s="7" t="s">
        <v>66</v>
      </c>
      <c r="E464" s="7" t="s">
        <v>5206</v>
      </c>
      <c r="F464" s="7" t="s">
        <v>1953</v>
      </c>
      <c r="G464" s="122"/>
      <c r="H464" s="7"/>
      <c r="I464" s="7"/>
      <c r="J464" s="122" t="s">
        <v>4183</v>
      </c>
      <c r="K464" s="7">
        <v>2035</v>
      </c>
      <c r="L464" s="127">
        <v>2022</v>
      </c>
      <c r="M464" s="122" t="s">
        <v>1957</v>
      </c>
      <c r="N464" s="7" t="s">
        <v>5131</v>
      </c>
      <c r="O464" s="7">
        <v>2050</v>
      </c>
      <c r="P464" s="7" cm="1">
        <f t="array" ref="P464">IF(O464="", "", IFERROR(MAX(--_xlfn.TEXTSPLIT(O464,"+")), O464))</f>
        <v>2050</v>
      </c>
      <c r="Q464" s="7">
        <v>2022</v>
      </c>
      <c r="R464" s="126" t="s">
        <v>5203</v>
      </c>
      <c r="S464" s="7"/>
      <c r="T464" s="7"/>
      <c r="U464" s="7"/>
      <c r="V464" s="7" t="str" cm="1">
        <f t="array" ref="V464">IF(U464="", "", IFERROR(MAX(--_xlfn.TEXTSPLIT(U464,"+")), U464))</f>
        <v/>
      </c>
      <c r="W464" s="7"/>
      <c r="X464" s="7"/>
      <c r="Y464" s="122" t="s">
        <v>4174</v>
      </c>
      <c r="Z464" s="7" t="s">
        <v>5205</v>
      </c>
      <c r="AA464" s="126" t="s">
        <v>5204</v>
      </c>
      <c r="AB464" s="7">
        <v>2022</v>
      </c>
      <c r="AC464" s="124">
        <v>16813000</v>
      </c>
      <c r="AD464" s="7"/>
      <c r="AE464" s="124">
        <v>21981000</v>
      </c>
      <c r="AF464" s="124">
        <v>25859000</v>
      </c>
      <c r="AG464" s="7" t="s">
        <v>4174</v>
      </c>
      <c r="AH464" s="124">
        <f t="shared" si="42"/>
        <v>38794000</v>
      </c>
      <c r="AI464" s="124">
        <f>AH464+AF464</f>
        <v>64653000</v>
      </c>
      <c r="AJ464" s="7">
        <v>2021</v>
      </c>
      <c r="AK464" s="124">
        <v>16321000</v>
      </c>
      <c r="AL464" s="7"/>
      <c r="AM464" s="124">
        <v>23573000</v>
      </c>
      <c r="AN464" s="124">
        <v>21261000</v>
      </c>
      <c r="AO464" s="124">
        <f>AM464+AK464</f>
        <v>39894000</v>
      </c>
      <c r="AP464" s="124">
        <f>AO464+AN464</f>
        <v>61155000</v>
      </c>
      <c r="AQ464" s="27" t="s">
        <v>5203</v>
      </c>
      <c r="AR464" s="7" t="str">
        <f>_xlfn.XLOOKUP(C464,Sheet1!A:A,Sheet1!B:B, "Other")</f>
        <v>Europe</v>
      </c>
      <c r="AS464" t="str">
        <f>_xlfn.XLOOKUP(D464,Sheet1!D:D,Sheet1!E:E)</f>
        <v>Chemicals</v>
      </c>
    </row>
    <row r="465" spans="1:45" ht="18" customHeight="1">
      <c r="A465" s="7">
        <v>461</v>
      </c>
      <c r="B465" s="7" t="s">
        <v>4460</v>
      </c>
      <c r="C465" s="7" t="s">
        <v>858</v>
      </c>
      <c r="D465" s="7" t="s">
        <v>178</v>
      </c>
      <c r="E465" s="7" t="s">
        <v>5202</v>
      </c>
      <c r="F465" s="7" t="s">
        <v>5201</v>
      </c>
      <c r="G465" s="122"/>
      <c r="H465" s="7"/>
      <c r="I465" s="7"/>
      <c r="J465" s="122" t="s">
        <v>4183</v>
      </c>
      <c r="K465" s="7">
        <v>2030</v>
      </c>
      <c r="L465" s="127">
        <v>2020</v>
      </c>
      <c r="M465" s="122"/>
      <c r="N465" s="7"/>
      <c r="O465" s="7"/>
      <c r="P465" s="7" t="str" cm="1">
        <f t="array" ref="P465">IF(O465="", "", IFERROR(MAX(--_xlfn.TEXTSPLIT(O465,"+")), O465))</f>
        <v/>
      </c>
      <c r="Q465" s="7"/>
      <c r="R465" s="109"/>
      <c r="S465" s="7" t="s">
        <v>4172</v>
      </c>
      <c r="T465" s="7" t="s">
        <v>4471</v>
      </c>
      <c r="U465" s="7">
        <v>2050</v>
      </c>
      <c r="V465" s="7" cm="1">
        <f t="array" ref="V465">IF(U465="", "", IFERROR(MAX(--_xlfn.TEXTSPLIT(U465,"+")), U465))</f>
        <v>2050</v>
      </c>
      <c r="W465" s="7">
        <v>2022</v>
      </c>
      <c r="X465" s="125" t="s">
        <v>5200</v>
      </c>
      <c r="Y465" s="122"/>
      <c r="Z465" s="7"/>
      <c r="AA465" s="109"/>
      <c r="AB465" s="7">
        <v>2022</v>
      </c>
      <c r="AC465" s="7">
        <v>215000</v>
      </c>
      <c r="AD465" s="7"/>
      <c r="AE465" s="7">
        <v>226000</v>
      </c>
      <c r="AF465" s="7">
        <v>15489000</v>
      </c>
      <c r="AG465" s="7" t="s">
        <v>4174</v>
      </c>
      <c r="AH465" s="7">
        <f t="shared" si="42"/>
        <v>441000</v>
      </c>
      <c r="AI465" s="7">
        <f>AH465+AF465</f>
        <v>15930000</v>
      </c>
      <c r="AJ465" s="7">
        <v>2021</v>
      </c>
      <c r="AK465" s="7">
        <v>135000</v>
      </c>
      <c r="AL465" s="7"/>
      <c r="AM465" s="7">
        <v>119000</v>
      </c>
      <c r="AN465" s="7">
        <v>15119000</v>
      </c>
      <c r="AO465" s="7">
        <f>AM465+AK465</f>
        <v>254000</v>
      </c>
      <c r="AP465" s="7">
        <f>AO465+AN465</f>
        <v>15373000</v>
      </c>
      <c r="AQ465" s="27" t="s">
        <v>5199</v>
      </c>
      <c r="AR465" s="7" t="str">
        <f>_xlfn.XLOOKUP(C465,Sheet1!A:A,Sheet1!B:B, "Other")</f>
        <v>Europe</v>
      </c>
      <c r="AS465" t="str">
        <f>_xlfn.XLOOKUP(D465,Sheet1!D:D,Sheet1!E:E)</f>
        <v>Transportation and logistics</v>
      </c>
    </row>
    <row r="466" spans="1:45" ht="18" customHeight="1">
      <c r="A466" s="7">
        <v>462</v>
      </c>
      <c r="B466" s="7" t="s">
        <v>5198</v>
      </c>
      <c r="C466" s="7" t="s">
        <v>4457</v>
      </c>
      <c r="D466" s="7" t="s">
        <v>186</v>
      </c>
      <c r="E466" s="7" t="s">
        <v>5197</v>
      </c>
      <c r="F466" s="7" t="s">
        <v>5196</v>
      </c>
      <c r="G466" s="122"/>
      <c r="H466" s="7"/>
      <c r="I466" s="7"/>
      <c r="J466" s="122"/>
      <c r="K466" s="7"/>
      <c r="L466" s="127"/>
      <c r="M466" s="122"/>
      <c r="N466" s="7"/>
      <c r="O466" s="7"/>
      <c r="P466" s="7" t="str" cm="1">
        <f t="array" ref="P466">IF(O466="", "", IFERROR(MAX(--_xlfn.TEXTSPLIT(O466,"+")), O466))</f>
        <v/>
      </c>
      <c r="Q466" s="7"/>
      <c r="R466" s="109"/>
      <c r="S466" s="7"/>
      <c r="T466" s="7"/>
      <c r="U466" s="7"/>
      <c r="V466" s="7" t="str" cm="1">
        <f t="array" ref="V466">IF(U466="", "", IFERROR(MAX(--_xlfn.TEXTSPLIT(U466,"+")), U466))</f>
        <v/>
      </c>
      <c r="W466" s="7"/>
      <c r="X466" s="7"/>
      <c r="Y466" s="122"/>
      <c r="Z466" s="7"/>
      <c r="AA466" s="126"/>
      <c r="AB466" s="7">
        <v>2022</v>
      </c>
      <c r="AC466" s="7">
        <v>98358</v>
      </c>
      <c r="AD466" s="7">
        <v>181474</v>
      </c>
      <c r="AE466" s="7">
        <v>153304</v>
      </c>
      <c r="AF466" s="7">
        <v>27177</v>
      </c>
      <c r="AG466" s="7" t="s">
        <v>5032</v>
      </c>
      <c r="AH466" s="124">
        <f t="shared" si="42"/>
        <v>251662</v>
      </c>
      <c r="AI466" s="124">
        <f>AF466+AH466</f>
        <v>278839</v>
      </c>
      <c r="AJ466" s="7">
        <v>2021</v>
      </c>
      <c r="AK466" s="7">
        <v>126891</v>
      </c>
      <c r="AL466" s="7">
        <v>187519</v>
      </c>
      <c r="AM466" s="7">
        <v>176604</v>
      </c>
      <c r="AN466" s="7"/>
      <c r="AO466" s="124">
        <f>AK466+AM466</f>
        <v>303495</v>
      </c>
      <c r="AP466" s="124">
        <f>AN466+AO466</f>
        <v>303495</v>
      </c>
      <c r="AQ466" s="27" t="s">
        <v>5195</v>
      </c>
      <c r="AR466" s="7" t="str">
        <f>_xlfn.XLOOKUP(C466,Sheet1!A:A,Sheet1!B:B, "Other")</f>
        <v>North America</v>
      </c>
      <c r="AS466" t="str">
        <f>_xlfn.XLOOKUP(D466,Sheet1!D:D,Sheet1!E:E)</f>
        <v>Technology</v>
      </c>
    </row>
    <row r="467" spans="1:45" ht="18" customHeight="1">
      <c r="A467" s="7">
        <v>463</v>
      </c>
      <c r="B467" s="7" t="s">
        <v>378</v>
      </c>
      <c r="C467" s="7" t="s">
        <v>3277</v>
      </c>
      <c r="D467" s="7" t="s">
        <v>186</v>
      </c>
      <c r="E467" s="7" t="s">
        <v>5194</v>
      </c>
      <c r="F467" s="7" t="s">
        <v>5193</v>
      </c>
      <c r="G467" s="122"/>
      <c r="H467" s="7"/>
      <c r="I467" s="7"/>
      <c r="J467" s="122" t="s">
        <v>1957</v>
      </c>
      <c r="K467" s="7"/>
      <c r="L467" s="127">
        <v>2022</v>
      </c>
      <c r="M467" s="122" t="s">
        <v>1957</v>
      </c>
      <c r="N467" s="7" t="s">
        <v>5131</v>
      </c>
      <c r="O467" s="7">
        <v>2030</v>
      </c>
      <c r="P467" s="7" cm="1">
        <f t="array" ref="P467">IF(O467="", "", IFERROR(MAX(--_xlfn.TEXTSPLIT(O467,"+")), O467))</f>
        <v>2030</v>
      </c>
      <c r="Q467" s="7">
        <v>2022</v>
      </c>
      <c r="R467" s="126" t="s">
        <v>5192</v>
      </c>
      <c r="S467" s="7"/>
      <c r="T467" s="7"/>
      <c r="U467" s="7"/>
      <c r="V467" s="7" t="str" cm="1">
        <f t="array" ref="V467">IF(U467="", "", IFERROR(MAX(--_xlfn.TEXTSPLIT(U467,"+")), U467))</f>
        <v/>
      </c>
      <c r="W467" s="7"/>
      <c r="X467" s="7"/>
      <c r="Y467" s="122"/>
      <c r="Z467" s="7"/>
      <c r="AA467" s="126"/>
      <c r="AB467" s="7">
        <v>2022</v>
      </c>
      <c r="AC467" s="123">
        <v>19528.28</v>
      </c>
      <c r="AD467" s="123">
        <v>303653.21000000002</v>
      </c>
      <c r="AE467" s="123">
        <v>94609.58</v>
      </c>
      <c r="AF467" s="123">
        <v>11099059.9</v>
      </c>
      <c r="AG467" s="7" t="s">
        <v>4174</v>
      </c>
      <c r="AH467" s="123">
        <f t="shared" si="42"/>
        <v>114137.86</v>
      </c>
      <c r="AI467" s="123">
        <f>AH467+AF467</f>
        <v>11213197.76</v>
      </c>
      <c r="AJ467" s="7">
        <v>2021</v>
      </c>
      <c r="AK467" s="123">
        <v>20072.8</v>
      </c>
      <c r="AL467" s="123">
        <v>287909.87</v>
      </c>
      <c r="AM467" s="123">
        <v>125696.18</v>
      </c>
      <c r="AN467" s="123">
        <v>16141042.93</v>
      </c>
      <c r="AO467" s="123">
        <f>AK467+AM467</f>
        <v>145768.97999999998</v>
      </c>
      <c r="AP467" s="123">
        <f>AO467+AN467</f>
        <v>16286811.91</v>
      </c>
      <c r="AQ467" s="27" t="s">
        <v>5191</v>
      </c>
      <c r="AR467" s="7" t="str">
        <f>_xlfn.XLOOKUP(C467,Sheet1!A:A,Sheet1!B:B, "Other")</f>
        <v>Asia</v>
      </c>
      <c r="AS467" t="str">
        <f>_xlfn.XLOOKUP(D467,Sheet1!D:D,Sheet1!E:E)</f>
        <v>Technology</v>
      </c>
    </row>
    <row r="468" spans="1:45" ht="18" customHeight="1">
      <c r="A468" s="7">
        <v>464</v>
      </c>
      <c r="B468" s="7" t="s">
        <v>306</v>
      </c>
      <c r="C468" s="7" t="s">
        <v>73</v>
      </c>
      <c r="D468" s="7" t="s">
        <v>85</v>
      </c>
      <c r="E468" s="7" t="s">
        <v>5190</v>
      </c>
      <c r="F468" s="7" t="s">
        <v>5189</v>
      </c>
      <c r="G468" s="122"/>
      <c r="H468" s="7"/>
      <c r="I468" s="7"/>
      <c r="J468" s="122" t="s">
        <v>1957</v>
      </c>
      <c r="K468" s="7"/>
      <c r="L468" s="127">
        <v>2023</v>
      </c>
      <c r="M468" s="122" t="s">
        <v>4519</v>
      </c>
      <c r="N468" s="7" t="s">
        <v>5131</v>
      </c>
      <c r="O468" s="7">
        <v>2060</v>
      </c>
      <c r="P468" s="7" cm="1">
        <f t="array" ref="P468">IF(O468="", "", IFERROR(MAX(--_xlfn.TEXTSPLIT(O468,"+")), O468))</f>
        <v>2060</v>
      </c>
      <c r="Q468" s="7">
        <v>2021</v>
      </c>
      <c r="R468" s="126" t="s">
        <v>5188</v>
      </c>
      <c r="S468" s="7"/>
      <c r="T468" s="7"/>
      <c r="U468" s="7"/>
      <c r="V468" s="7" t="str" cm="1">
        <f t="array" ref="V468">IF(U468="", "", IFERROR(MAX(--_xlfn.TEXTSPLIT(U468,"+")), U468))</f>
        <v/>
      </c>
      <c r="W468" s="7"/>
      <c r="X468" s="7"/>
      <c r="Y468" s="122"/>
      <c r="Z468" s="7"/>
      <c r="AA468" s="109"/>
      <c r="AB468" s="7" t="s">
        <v>5032</v>
      </c>
      <c r="AC468" s="7"/>
      <c r="AD468" s="7"/>
      <c r="AE468" s="7"/>
      <c r="AF468" s="7"/>
      <c r="AG468" s="7" t="s">
        <v>5032</v>
      </c>
      <c r="AH468" s="7"/>
      <c r="AI468" s="7"/>
      <c r="AJ468" s="7"/>
      <c r="AK468" s="7"/>
      <c r="AL468" s="7"/>
      <c r="AM468" s="7"/>
      <c r="AN468" s="7"/>
      <c r="AO468" s="7"/>
      <c r="AP468" s="7"/>
      <c r="AQ468" s="7"/>
      <c r="AR468" s="7" t="str">
        <f>_xlfn.XLOOKUP(C468,Sheet1!A:A,Sheet1!B:B, "Other")</f>
        <v>Asia</v>
      </c>
      <c r="AS468" t="str">
        <f>_xlfn.XLOOKUP(D468,Sheet1!D:D,Sheet1!E:E)</f>
        <v>Industrial goods</v>
      </c>
    </row>
    <row r="469" spans="1:45" ht="18" customHeight="1">
      <c r="A469" s="7">
        <v>465</v>
      </c>
      <c r="B469" s="7" t="s">
        <v>4410</v>
      </c>
      <c r="C469" s="7" t="s">
        <v>73</v>
      </c>
      <c r="D469" s="7" t="s">
        <v>85</v>
      </c>
      <c r="E469" s="7" t="s">
        <v>5187</v>
      </c>
      <c r="F469" s="7" t="s">
        <v>5186</v>
      </c>
      <c r="G469" s="122"/>
      <c r="H469" s="7"/>
      <c r="I469" s="7"/>
      <c r="J469" s="122" t="s">
        <v>1960</v>
      </c>
      <c r="K469" s="7"/>
      <c r="L469" s="127" t="s">
        <v>1960</v>
      </c>
      <c r="M469" s="122" t="s">
        <v>4519</v>
      </c>
      <c r="N469" s="7" t="s">
        <v>5131</v>
      </c>
      <c r="O469" s="7">
        <v>2060</v>
      </c>
      <c r="P469" s="7" cm="1">
        <f t="array" ref="P469">IF(O469="", "", IFERROR(MAX(--_xlfn.TEXTSPLIT(O469,"+")), O469))</f>
        <v>2060</v>
      </c>
      <c r="Q469" s="7">
        <v>2022</v>
      </c>
      <c r="R469" s="126" t="s">
        <v>5185</v>
      </c>
      <c r="S469" s="7"/>
      <c r="T469" s="7"/>
      <c r="U469" s="7"/>
      <c r="V469" s="7" t="str" cm="1">
        <f t="array" ref="V469">IF(U469="", "", IFERROR(MAX(--_xlfn.TEXTSPLIT(U469,"+")), U469))</f>
        <v/>
      </c>
      <c r="W469" s="7"/>
      <c r="X469" s="7"/>
      <c r="Y469" s="122"/>
      <c r="Z469" s="7"/>
      <c r="AA469" s="109"/>
      <c r="AB469" s="7" t="s">
        <v>5032</v>
      </c>
      <c r="AC469" s="7"/>
      <c r="AD469" s="7"/>
      <c r="AE469" s="7"/>
      <c r="AF469" s="7"/>
      <c r="AG469" s="7" t="s">
        <v>5032</v>
      </c>
      <c r="AH469" s="7"/>
      <c r="AI469" s="7"/>
      <c r="AJ469" s="7"/>
      <c r="AK469" s="7"/>
      <c r="AL469" s="7"/>
      <c r="AM469" s="7"/>
      <c r="AN469" s="7"/>
      <c r="AO469" s="7"/>
      <c r="AP469" s="7"/>
      <c r="AQ469" s="7" t="s">
        <v>5184</v>
      </c>
      <c r="AR469" s="7" t="str">
        <f>_xlfn.XLOOKUP(C469,Sheet1!A:A,Sheet1!B:B, "Other")</f>
        <v>Asia</v>
      </c>
      <c r="AS469" t="str">
        <f>_xlfn.XLOOKUP(D469,Sheet1!D:D,Sheet1!E:E)</f>
        <v>Industrial goods</v>
      </c>
    </row>
    <row r="470" spans="1:45" ht="18" customHeight="1">
      <c r="A470" s="7">
        <v>466</v>
      </c>
      <c r="B470" s="7" t="s">
        <v>4567</v>
      </c>
      <c r="C470" s="7" t="s">
        <v>73</v>
      </c>
      <c r="D470" s="7" t="s">
        <v>85</v>
      </c>
      <c r="E470" s="7" t="s">
        <v>5183</v>
      </c>
      <c r="F470" s="7" t="s">
        <v>5182</v>
      </c>
      <c r="G470" s="122"/>
      <c r="H470" s="7"/>
      <c r="I470" s="7"/>
      <c r="J470" s="122" t="s">
        <v>1960</v>
      </c>
      <c r="K470" s="7"/>
      <c r="L470" s="127" t="s">
        <v>1960</v>
      </c>
      <c r="M470" s="122"/>
      <c r="N470" s="7"/>
      <c r="O470" s="7"/>
      <c r="P470" s="7" t="str" cm="1">
        <f t="array" ref="P470">IF(O470="", "", IFERROR(MAX(--_xlfn.TEXTSPLIT(O470,"+")), O470))</f>
        <v/>
      </c>
      <c r="Q470" s="7"/>
      <c r="R470" s="109"/>
      <c r="S470" s="7"/>
      <c r="T470" s="7"/>
      <c r="U470" s="7"/>
      <c r="V470" s="7" t="str" cm="1">
        <f t="array" ref="V470">IF(U470="", "", IFERROR(MAX(--_xlfn.TEXTSPLIT(U470,"+")), U470))</f>
        <v/>
      </c>
      <c r="W470" s="7"/>
      <c r="X470" s="7"/>
      <c r="Y470" s="122"/>
      <c r="Z470" s="7"/>
      <c r="AA470" s="109"/>
      <c r="AB470" s="7" t="s">
        <v>5032</v>
      </c>
      <c r="AC470" s="7"/>
      <c r="AD470" s="7"/>
      <c r="AE470" s="7"/>
      <c r="AF470" s="7"/>
      <c r="AG470" s="7" t="s">
        <v>5032</v>
      </c>
      <c r="AH470" s="7"/>
      <c r="AI470" s="7"/>
      <c r="AJ470" s="7"/>
      <c r="AK470" s="7"/>
      <c r="AL470" s="7"/>
      <c r="AM470" s="7"/>
      <c r="AN470" s="7"/>
      <c r="AO470" s="7"/>
      <c r="AP470" s="7"/>
      <c r="AQ470" s="7"/>
      <c r="AR470" s="7" t="str">
        <f>_xlfn.XLOOKUP(C470,Sheet1!A:A,Sheet1!B:B, "Other")</f>
        <v>Asia</v>
      </c>
      <c r="AS470" t="str">
        <f>_xlfn.XLOOKUP(D470,Sheet1!D:D,Sheet1!E:E)</f>
        <v>Industrial goods</v>
      </c>
    </row>
    <row r="471" spans="1:45" ht="18" customHeight="1">
      <c r="A471" s="7">
        <v>467</v>
      </c>
      <c r="B471" s="7" t="s">
        <v>5181</v>
      </c>
      <c r="C471" s="7" t="s">
        <v>73</v>
      </c>
      <c r="D471" s="7" t="s">
        <v>454</v>
      </c>
      <c r="E471" s="7" t="s">
        <v>5180</v>
      </c>
      <c r="F471" s="7" t="s">
        <v>5179</v>
      </c>
      <c r="G471" s="122"/>
      <c r="H471" s="7"/>
      <c r="I471" s="7"/>
      <c r="J471" s="122"/>
      <c r="K471" s="7"/>
      <c r="L471" s="127"/>
      <c r="M471" s="122"/>
      <c r="N471" s="7"/>
      <c r="O471" s="7"/>
      <c r="P471" s="7" t="str" cm="1">
        <f t="array" ref="P471">IF(O471="", "", IFERROR(MAX(--_xlfn.TEXTSPLIT(O471,"+")), O471))</f>
        <v/>
      </c>
      <c r="Q471" s="7"/>
      <c r="R471" s="109"/>
      <c r="S471" s="7"/>
      <c r="T471" s="7"/>
      <c r="U471" s="7"/>
      <c r="V471" s="7" t="str" cm="1">
        <f t="array" ref="V471">IF(U471="", "", IFERROR(MAX(--_xlfn.TEXTSPLIT(U471,"+")), U471))</f>
        <v/>
      </c>
      <c r="W471" s="7"/>
      <c r="X471" s="7"/>
      <c r="Y471" s="122"/>
      <c r="Z471" s="7"/>
      <c r="AA471" s="109"/>
      <c r="AB471" s="7">
        <v>2022</v>
      </c>
      <c r="AC471" s="7"/>
      <c r="AD471" s="7"/>
      <c r="AE471" s="7"/>
      <c r="AF471" s="7"/>
      <c r="AG471" s="7" t="s">
        <v>5032</v>
      </c>
      <c r="AH471" s="124">
        <f>6431.53+26509.59+175652.07</f>
        <v>208593.19</v>
      </c>
      <c r="AI471" s="124">
        <f>AF471+AH471</f>
        <v>208593.19</v>
      </c>
      <c r="AJ471" s="7">
        <v>2021</v>
      </c>
      <c r="AK471" s="7"/>
      <c r="AL471" s="7"/>
      <c r="AM471" s="7"/>
      <c r="AN471" s="7"/>
      <c r="AO471" s="124">
        <f>20097.91+5721.03+102155.43</f>
        <v>127974.37</v>
      </c>
      <c r="AP471" s="124">
        <f>AN471+AO471</f>
        <v>127974.37</v>
      </c>
      <c r="AQ471" s="27" t="s">
        <v>5178</v>
      </c>
      <c r="AR471" s="7" t="str">
        <f>_xlfn.XLOOKUP(C471,Sheet1!A:A,Sheet1!B:B, "Other")</f>
        <v>Asia</v>
      </c>
      <c r="AS471" t="str">
        <f>_xlfn.XLOOKUP(D471,Sheet1!D:D,Sheet1!E:E)</f>
        <v>Retail</v>
      </c>
    </row>
    <row r="472" spans="1:45" ht="18" customHeight="1">
      <c r="A472" s="7">
        <v>468</v>
      </c>
      <c r="B472" s="7" t="s">
        <v>4566</v>
      </c>
      <c r="C472" s="7" t="s">
        <v>73</v>
      </c>
      <c r="D472" s="7" t="s">
        <v>71</v>
      </c>
      <c r="E472" s="7" t="s">
        <v>5177</v>
      </c>
      <c r="F472" s="7" t="s">
        <v>5176</v>
      </c>
      <c r="G472" s="122"/>
      <c r="H472" s="7"/>
      <c r="I472" s="7"/>
      <c r="J472" s="122" t="s">
        <v>1960</v>
      </c>
      <c r="K472" s="7"/>
      <c r="L472" s="127" t="s">
        <v>1960</v>
      </c>
      <c r="M472" s="122"/>
      <c r="N472" s="7"/>
      <c r="O472" s="7"/>
      <c r="P472" s="7" t="str" cm="1">
        <f t="array" ref="P472">IF(O472="", "", IFERROR(MAX(--_xlfn.TEXTSPLIT(O472,"+")), O472))</f>
        <v/>
      </c>
      <c r="Q472" s="7"/>
      <c r="R472" s="109"/>
      <c r="S472" s="7"/>
      <c r="T472" s="7"/>
      <c r="U472" s="7"/>
      <c r="V472" s="7" t="str" cm="1">
        <f t="array" ref="V472">IF(U472="", "", IFERROR(MAX(--_xlfn.TEXTSPLIT(U472,"+")), U472))</f>
        <v/>
      </c>
      <c r="W472" s="7"/>
      <c r="X472" s="7"/>
      <c r="Y472" s="122"/>
      <c r="Z472" s="7"/>
      <c r="AA472" s="109"/>
      <c r="AB472" s="7" t="s">
        <v>5032</v>
      </c>
      <c r="AC472" s="7"/>
      <c r="AD472" s="7"/>
      <c r="AE472" s="7"/>
      <c r="AF472" s="7"/>
      <c r="AG472" s="7" t="s">
        <v>5032</v>
      </c>
      <c r="AH472" s="124"/>
      <c r="AI472" s="124"/>
      <c r="AJ472" s="7" t="s">
        <v>5032</v>
      </c>
      <c r="AK472" s="7"/>
      <c r="AL472" s="7"/>
      <c r="AM472" s="7"/>
      <c r="AN472" s="7"/>
      <c r="AO472" s="123"/>
      <c r="AP472" s="123"/>
      <c r="AQ472" s="7"/>
      <c r="AR472" s="7" t="str">
        <f>_xlfn.XLOOKUP(C472,Sheet1!A:A,Sheet1!B:B, "Other")</f>
        <v>Asia</v>
      </c>
      <c r="AS472" t="str">
        <f>_xlfn.XLOOKUP(D472,Sheet1!D:D,Sheet1!E:E)</f>
        <v>Energy and utilities</v>
      </c>
    </row>
    <row r="473" spans="1:45" ht="18" customHeight="1">
      <c r="A473" s="7">
        <v>469</v>
      </c>
      <c r="B473" s="7" t="s">
        <v>477</v>
      </c>
      <c r="C473" s="7" t="s">
        <v>4195</v>
      </c>
      <c r="D473" s="7" t="s">
        <v>5156</v>
      </c>
      <c r="E473" s="7" t="s">
        <v>5175</v>
      </c>
      <c r="F473" s="7" t="s">
        <v>5174</v>
      </c>
      <c r="G473" s="122"/>
      <c r="H473" s="7"/>
      <c r="I473" s="7"/>
      <c r="J473" s="122" t="s">
        <v>4183</v>
      </c>
      <c r="K473" s="7">
        <v>2030</v>
      </c>
      <c r="L473" s="127">
        <v>2021</v>
      </c>
      <c r="M473" s="122" t="s">
        <v>1957</v>
      </c>
      <c r="N473" s="7" t="s">
        <v>5042</v>
      </c>
      <c r="O473" s="7">
        <v>2030</v>
      </c>
      <c r="P473" s="7" cm="1">
        <f t="array" ref="P473">IF(O473="", "", IFERROR(MAX(--_xlfn.TEXTSPLIT(O473,"+")), O473))</f>
        <v>2030</v>
      </c>
      <c r="Q473" s="7">
        <v>2019</v>
      </c>
      <c r="R473" s="126" t="s">
        <v>5173</v>
      </c>
      <c r="S473" s="7" t="s">
        <v>4172</v>
      </c>
      <c r="T473" s="7" t="s">
        <v>1968</v>
      </c>
      <c r="U473" s="7">
        <v>2050</v>
      </c>
      <c r="V473" s="7" cm="1">
        <f t="array" ref="V473">IF(U473="", "", IFERROR(MAX(--_xlfn.TEXTSPLIT(U473,"+")), U473))</f>
        <v>2050</v>
      </c>
      <c r="W473" s="7">
        <v>2021</v>
      </c>
      <c r="X473" s="125" t="s">
        <v>5173</v>
      </c>
      <c r="Y473" s="122" t="s">
        <v>4174</v>
      </c>
      <c r="Z473" s="7" t="s">
        <v>5172</v>
      </c>
      <c r="AA473" s="126" t="s">
        <v>5171</v>
      </c>
      <c r="AB473" s="7">
        <v>2022</v>
      </c>
      <c r="AC473" s="124">
        <v>100000</v>
      </c>
      <c r="AD473" s="124">
        <v>46807</v>
      </c>
      <c r="AE473" s="124">
        <v>47071</v>
      </c>
      <c r="AF473" s="7"/>
      <c r="AG473" s="7" t="s">
        <v>5032</v>
      </c>
      <c r="AH473" s="124">
        <f>AC473+AE473</f>
        <v>147071</v>
      </c>
      <c r="AI473" s="124">
        <f>AF473+AH473</f>
        <v>147071</v>
      </c>
      <c r="AJ473" s="7">
        <v>2021</v>
      </c>
      <c r="AK473" s="7">
        <f>70%*AO473</f>
        <v>88839.799999999988</v>
      </c>
      <c r="AL473" s="7"/>
      <c r="AM473" s="7">
        <f>30%*AO473</f>
        <v>38074.199999999997</v>
      </c>
      <c r="AN473" s="7"/>
      <c r="AO473" s="124">
        <v>126914</v>
      </c>
      <c r="AP473" s="124">
        <f>AN473+AO473</f>
        <v>126914</v>
      </c>
      <c r="AQ473" s="27" t="s">
        <v>5170</v>
      </c>
      <c r="AR473" s="7" t="str">
        <f>_xlfn.XLOOKUP(C473,Sheet1!A:A,Sheet1!B:B, "Other")</f>
        <v>Europe</v>
      </c>
      <c r="AS473" t="str">
        <f>_xlfn.XLOOKUP(D473,Sheet1!D:D,Sheet1!E:E)</f>
        <v>Retail</v>
      </c>
    </row>
    <row r="474" spans="1:45" ht="18" customHeight="1">
      <c r="A474" s="7">
        <v>470</v>
      </c>
      <c r="B474" s="7" t="s">
        <v>4439</v>
      </c>
      <c r="C474" s="7" t="s">
        <v>207</v>
      </c>
      <c r="D474" s="7" t="s">
        <v>171</v>
      </c>
      <c r="E474" s="7" t="s">
        <v>5169</v>
      </c>
      <c r="F474" s="7" t="s">
        <v>5168</v>
      </c>
      <c r="G474" s="122"/>
      <c r="H474" s="7"/>
      <c r="I474" s="7"/>
      <c r="J474" s="122" t="s">
        <v>1957</v>
      </c>
      <c r="K474" s="7"/>
      <c r="L474" s="127">
        <v>2022</v>
      </c>
      <c r="M474" s="122" t="s">
        <v>1957</v>
      </c>
      <c r="N474" s="7" t="s">
        <v>5042</v>
      </c>
      <c r="O474" s="7">
        <v>2050</v>
      </c>
      <c r="P474" s="7" cm="1">
        <f t="array" ref="P474">IF(O474="", "", IFERROR(MAX(--_xlfn.TEXTSPLIT(O474,"+")), O474))</f>
        <v>2050</v>
      </c>
      <c r="Q474" s="7">
        <v>2021</v>
      </c>
      <c r="R474" s="126" t="s">
        <v>5167</v>
      </c>
      <c r="S474" s="7"/>
      <c r="T474" s="7"/>
      <c r="U474" s="7"/>
      <c r="V474" s="7" t="str" cm="1">
        <f t="array" ref="V474">IF(U474="", "", IFERROR(MAX(--_xlfn.TEXTSPLIT(U474,"+")), U474))</f>
        <v/>
      </c>
      <c r="W474" s="7"/>
      <c r="X474" s="7"/>
      <c r="Y474" s="122"/>
      <c r="Z474" s="7"/>
      <c r="AA474" s="109"/>
      <c r="AB474" s="7">
        <v>2022</v>
      </c>
      <c r="AC474" s="7">
        <v>602000</v>
      </c>
      <c r="AD474" s="7"/>
      <c r="AE474" s="7">
        <v>1963000</v>
      </c>
      <c r="AF474" s="7">
        <v>14963000</v>
      </c>
      <c r="AG474" s="7" t="s">
        <v>5032</v>
      </c>
      <c r="AH474" s="7">
        <f>AC474+AE474</f>
        <v>2565000</v>
      </c>
      <c r="AI474" s="7">
        <f>AF474+AH474</f>
        <v>17528000</v>
      </c>
      <c r="AJ474" s="7">
        <v>2021</v>
      </c>
      <c r="AK474" s="7">
        <v>5770000</v>
      </c>
      <c r="AL474" s="7"/>
      <c r="AM474" s="7">
        <v>1908000</v>
      </c>
      <c r="AN474" s="7">
        <v>14380000</v>
      </c>
      <c r="AO474" s="7">
        <f>AK474+AM474</f>
        <v>7678000</v>
      </c>
      <c r="AP474" s="7">
        <f>AN474+AO474</f>
        <v>22058000</v>
      </c>
      <c r="AQ474" s="27" t="s">
        <v>5166</v>
      </c>
      <c r="AR474" s="7" t="str">
        <f>_xlfn.XLOOKUP(C474,Sheet1!A:A,Sheet1!B:B, "Other")</f>
        <v>Asia</v>
      </c>
      <c r="AS474" t="str">
        <f>_xlfn.XLOOKUP(D474,Sheet1!D:D,Sheet1!E:E)</f>
        <v>Automotive</v>
      </c>
    </row>
    <row r="475" spans="1:45" ht="18" customHeight="1">
      <c r="A475" s="7">
        <v>471</v>
      </c>
      <c r="B475" s="7" t="s">
        <v>5165</v>
      </c>
      <c r="C475" s="7" t="s">
        <v>78</v>
      </c>
      <c r="D475" s="7" t="s">
        <v>71</v>
      </c>
      <c r="E475" s="7" t="s">
        <v>5164</v>
      </c>
      <c r="F475" s="7" t="s">
        <v>5163</v>
      </c>
      <c r="G475" s="122"/>
      <c r="H475" s="7"/>
      <c r="I475" s="7"/>
      <c r="J475" s="122"/>
      <c r="K475" s="7"/>
      <c r="L475" s="127"/>
      <c r="M475" s="122"/>
      <c r="N475" s="7"/>
      <c r="O475" s="7"/>
      <c r="P475" s="7" t="str" cm="1">
        <f t="array" ref="P475">IF(O475="", "", IFERROR(MAX(--_xlfn.TEXTSPLIT(O475,"+")), O475))</f>
        <v/>
      </c>
      <c r="Q475" s="7"/>
      <c r="R475" s="109"/>
      <c r="S475" s="7"/>
      <c r="T475" s="7"/>
      <c r="U475" s="7"/>
      <c r="V475" s="7" t="str" cm="1">
        <f t="array" ref="V475">IF(U475="", "", IFERROR(MAX(--_xlfn.TEXTSPLIT(U475,"+")), U475))</f>
        <v/>
      </c>
      <c r="W475" s="7"/>
      <c r="X475" s="125"/>
      <c r="Y475" s="122"/>
      <c r="Z475" s="7"/>
      <c r="AA475" s="126"/>
      <c r="AB475" s="7">
        <v>2022</v>
      </c>
      <c r="AC475" s="124">
        <v>23243129</v>
      </c>
      <c r="AD475" s="124">
        <v>3092646</v>
      </c>
      <c r="AE475" s="7"/>
      <c r="AF475" s="7"/>
      <c r="AG475" s="7" t="s">
        <v>5032</v>
      </c>
      <c r="AH475" s="124">
        <f>AC475+AD475</f>
        <v>26335775</v>
      </c>
      <c r="AI475" s="124">
        <f>AF475+AH475</f>
        <v>26335775</v>
      </c>
      <c r="AJ475" s="7">
        <v>2021</v>
      </c>
      <c r="AK475" s="124">
        <v>23150007</v>
      </c>
      <c r="AL475" s="124">
        <v>3256768</v>
      </c>
      <c r="AM475" s="7"/>
      <c r="AN475" s="7"/>
      <c r="AO475" s="124">
        <f>AK475+AL475</f>
        <v>26406775</v>
      </c>
      <c r="AP475" s="124">
        <f>AN475+AO475</f>
        <v>26406775</v>
      </c>
      <c r="AQ475" s="27" t="s">
        <v>5162</v>
      </c>
      <c r="AR475" s="7" t="str">
        <f>_xlfn.XLOOKUP(C475,Sheet1!A:A,Sheet1!B:B, "Other")</f>
        <v>North America</v>
      </c>
      <c r="AS475" t="str">
        <f>_xlfn.XLOOKUP(D475,Sheet1!D:D,Sheet1!E:E)</f>
        <v>Energy and utilities</v>
      </c>
    </row>
    <row r="476" spans="1:45" ht="18" customHeight="1">
      <c r="A476" s="7">
        <v>472</v>
      </c>
      <c r="B476" s="7" t="s">
        <v>362</v>
      </c>
      <c r="C476" s="7" t="s">
        <v>146</v>
      </c>
      <c r="D476" s="7" t="s">
        <v>186</v>
      </c>
      <c r="E476" s="7" t="s">
        <v>5161</v>
      </c>
      <c r="F476" s="7" t="s">
        <v>5160</v>
      </c>
      <c r="G476" s="122" t="s">
        <v>4174</v>
      </c>
      <c r="H476" s="7">
        <v>2014</v>
      </c>
      <c r="I476" s="7">
        <v>2015</v>
      </c>
      <c r="J476" s="122" t="s">
        <v>4183</v>
      </c>
      <c r="K476" s="7">
        <v>2025</v>
      </c>
      <c r="L476" s="127">
        <v>2019</v>
      </c>
      <c r="M476" s="122" t="s">
        <v>1957</v>
      </c>
      <c r="N476" s="7" t="s">
        <v>1659</v>
      </c>
      <c r="O476" s="7">
        <v>2023</v>
      </c>
      <c r="P476" s="7" cm="1">
        <f t="array" ref="P476">IF(O476="", "", IFERROR(MAX(--_xlfn.TEXTSPLIT(O476,"+")), O476))</f>
        <v>2023</v>
      </c>
      <c r="Q476" s="7">
        <v>2022</v>
      </c>
      <c r="R476" s="126" t="s">
        <v>5159</v>
      </c>
      <c r="S476" s="7" t="s">
        <v>4172</v>
      </c>
      <c r="T476" s="7" t="s">
        <v>2760</v>
      </c>
      <c r="U476" s="7">
        <v>2030</v>
      </c>
      <c r="V476" s="7" cm="1">
        <f t="array" ref="V476">IF(U476="", "", IFERROR(MAX(--_xlfn.TEXTSPLIT(U476,"+")), U476))</f>
        <v>2030</v>
      </c>
      <c r="W476" s="7">
        <v>2022</v>
      </c>
      <c r="X476" s="125" t="s">
        <v>5159</v>
      </c>
      <c r="Y476" s="122" t="s">
        <v>4174</v>
      </c>
      <c r="Z476" s="7" t="s">
        <v>5037</v>
      </c>
      <c r="AA476" s="126" t="s">
        <v>5158</v>
      </c>
      <c r="AB476" s="7">
        <v>2022</v>
      </c>
      <c r="AC476" s="7">
        <v>107500</v>
      </c>
      <c r="AD476" s="7">
        <v>175300</v>
      </c>
      <c r="AE476" s="7">
        <v>125600</v>
      </c>
      <c r="AF476" s="7">
        <v>153100</v>
      </c>
      <c r="AG476" s="7" t="s">
        <v>4174</v>
      </c>
      <c r="AH476" s="7">
        <f t="shared" ref="AH476:AH486" si="43">AC476+AE476</f>
        <v>233100</v>
      </c>
      <c r="AI476" s="7">
        <f>AH476+AF476</f>
        <v>386200</v>
      </c>
      <c r="AJ476" s="7">
        <v>2021</v>
      </c>
      <c r="AK476" s="7">
        <v>96300</v>
      </c>
      <c r="AL476" s="7">
        <v>111500</v>
      </c>
      <c r="AM476" s="7">
        <v>81300</v>
      </c>
      <c r="AN476" s="7">
        <v>137100</v>
      </c>
      <c r="AO476" s="7">
        <f>AK476+AM476</f>
        <v>177600</v>
      </c>
      <c r="AP476" s="7">
        <f>AO476+AN476</f>
        <v>314700</v>
      </c>
      <c r="AQ476" s="27" t="s">
        <v>5157</v>
      </c>
      <c r="AR476" s="7" t="str">
        <f>_xlfn.XLOOKUP(C476,Sheet1!A:A,Sheet1!B:B, "Other")</f>
        <v>Europe</v>
      </c>
      <c r="AS476" t="str">
        <f>_xlfn.XLOOKUP(D476,Sheet1!D:D,Sheet1!E:E)</f>
        <v>Technology</v>
      </c>
    </row>
    <row r="477" spans="1:45" ht="18" customHeight="1">
      <c r="A477" s="7">
        <v>473</v>
      </c>
      <c r="B477" s="7" t="s">
        <v>2382</v>
      </c>
      <c r="C477" s="7" t="s">
        <v>4457</v>
      </c>
      <c r="D477" s="7" t="s">
        <v>5156</v>
      </c>
      <c r="E477" s="7" t="s">
        <v>5155</v>
      </c>
      <c r="F477" s="7" t="s">
        <v>5154</v>
      </c>
      <c r="G477" s="122" t="s">
        <v>4174</v>
      </c>
      <c r="H477" s="7">
        <v>2022</v>
      </c>
      <c r="I477" s="7">
        <v>2015</v>
      </c>
      <c r="J477" s="122" t="s">
        <v>4183</v>
      </c>
      <c r="K477" s="7">
        <v>2030</v>
      </c>
      <c r="L477" s="127">
        <v>2021</v>
      </c>
      <c r="M477" s="122"/>
      <c r="N477" s="7"/>
      <c r="O477" s="7"/>
      <c r="P477" s="7" t="str" cm="1">
        <f t="array" ref="P477">IF(O477="", "", IFERROR(MAX(--_xlfn.TEXTSPLIT(O477,"+")), O477))</f>
        <v/>
      </c>
      <c r="Q477" s="7"/>
      <c r="R477" s="109"/>
      <c r="S477" s="7"/>
      <c r="T477" s="7"/>
      <c r="U477" s="7"/>
      <c r="V477" s="7" t="str" cm="1">
        <f t="array" ref="V477">IF(U477="", "", IFERROR(MAX(--_xlfn.TEXTSPLIT(U477,"+")), U477))</f>
        <v/>
      </c>
      <c r="W477" s="7"/>
      <c r="X477" s="7"/>
      <c r="Y477" s="122" t="s">
        <v>4174</v>
      </c>
      <c r="Z477" s="7" t="s">
        <v>5037</v>
      </c>
      <c r="AA477" s="126" t="s">
        <v>5153</v>
      </c>
      <c r="AB477" s="7">
        <v>2022</v>
      </c>
      <c r="AC477" s="124">
        <v>358500</v>
      </c>
      <c r="AD477" s="124">
        <v>789349</v>
      </c>
      <c r="AE477" s="124">
        <v>293364</v>
      </c>
      <c r="AF477" s="124">
        <v>14134864</v>
      </c>
      <c r="AG477" s="7" t="s">
        <v>4174</v>
      </c>
      <c r="AH477" s="124">
        <f t="shared" si="43"/>
        <v>651864</v>
      </c>
      <c r="AI477" s="124">
        <f>AH477+AF477</f>
        <v>14786728</v>
      </c>
      <c r="AJ477" s="7">
        <v>2021</v>
      </c>
      <c r="AK477" s="124">
        <v>350424</v>
      </c>
      <c r="AL477" s="124">
        <v>778002</v>
      </c>
      <c r="AM477" s="124">
        <v>331274</v>
      </c>
      <c r="AN477" s="124">
        <v>13238157</v>
      </c>
      <c r="AO477" s="124">
        <f>AK477+AM477</f>
        <v>681698</v>
      </c>
      <c r="AP477" s="124">
        <f>AO477+AN477</f>
        <v>13919855</v>
      </c>
      <c r="AQ477" s="27" t="s">
        <v>5152</v>
      </c>
      <c r="AR477" s="7" t="str">
        <f>_xlfn.XLOOKUP(C477,Sheet1!A:A,Sheet1!B:B, "Other")</f>
        <v>North America</v>
      </c>
      <c r="AS477" t="str">
        <f>_xlfn.XLOOKUP(D477,Sheet1!D:D,Sheet1!E:E)</f>
        <v>Retail</v>
      </c>
    </row>
    <row r="478" spans="1:45" ht="18" customHeight="1">
      <c r="A478" s="7">
        <v>474</v>
      </c>
      <c r="B478" s="7" t="s">
        <v>940</v>
      </c>
      <c r="C478" s="7" t="s">
        <v>146</v>
      </c>
      <c r="D478" s="7" t="s">
        <v>91</v>
      </c>
      <c r="E478" s="7" t="s">
        <v>5151</v>
      </c>
      <c r="F478" s="7" t="s">
        <v>5150</v>
      </c>
      <c r="G478" s="122"/>
      <c r="H478" s="7"/>
      <c r="I478" s="7"/>
      <c r="J478" s="122" t="s">
        <v>4183</v>
      </c>
      <c r="K478" s="7">
        <v>2030</v>
      </c>
      <c r="L478" s="127">
        <v>2019</v>
      </c>
      <c r="M478" s="122" t="s">
        <v>1957</v>
      </c>
      <c r="N478" s="7" t="s">
        <v>1659</v>
      </c>
      <c r="O478" s="7">
        <v>2040</v>
      </c>
      <c r="P478" s="7" cm="1">
        <f t="array" ref="P478">IF(O478="", "", IFERROR(MAX(--_xlfn.TEXTSPLIT(O478,"+")), O478))</f>
        <v>2040</v>
      </c>
      <c r="Q478" s="7">
        <v>2021</v>
      </c>
      <c r="R478" s="126" t="s">
        <v>5149</v>
      </c>
      <c r="S478" s="7"/>
      <c r="T478" s="7"/>
      <c r="U478" s="7"/>
      <c r="V478" s="7" t="str" cm="1">
        <f t="array" ref="V478">IF(U478="", "", IFERROR(MAX(--_xlfn.TEXTSPLIT(U478,"+")), U478))</f>
        <v/>
      </c>
      <c r="W478" s="7"/>
      <c r="X478" s="7"/>
      <c r="Y478" s="122"/>
      <c r="Z478" s="7"/>
      <c r="AA478" s="126"/>
      <c r="AB478" s="7">
        <v>2022</v>
      </c>
      <c r="AC478" s="7">
        <v>451140</v>
      </c>
      <c r="AD478" s="7"/>
      <c r="AE478" s="7">
        <v>636016</v>
      </c>
      <c r="AF478" s="7">
        <v>2691563</v>
      </c>
      <c r="AG478" s="7" t="s">
        <v>4174</v>
      </c>
      <c r="AH478" s="7">
        <f t="shared" si="43"/>
        <v>1087156</v>
      </c>
      <c r="AI478" s="7">
        <f>AH478+AF478</f>
        <v>3778719</v>
      </c>
      <c r="AJ478" s="7">
        <v>2021</v>
      </c>
      <c r="AK478" s="7">
        <v>470609</v>
      </c>
      <c r="AL478" s="7"/>
      <c r="AM478" s="7">
        <v>639904</v>
      </c>
      <c r="AN478" s="7">
        <v>2807555</v>
      </c>
      <c r="AO478" s="7">
        <f>AK478+AM478</f>
        <v>1110513</v>
      </c>
      <c r="AP478" s="7">
        <f>AO478+AN478</f>
        <v>3918068</v>
      </c>
      <c r="AQ478" s="27" t="s">
        <v>5148</v>
      </c>
      <c r="AR478" s="7" t="str">
        <f>_xlfn.XLOOKUP(C478,Sheet1!A:A,Sheet1!B:B, "Other")</f>
        <v>Europe</v>
      </c>
      <c r="AS478" t="str">
        <f>_xlfn.XLOOKUP(D478,Sheet1!D:D,Sheet1!E:E)</f>
        <v>Retail</v>
      </c>
    </row>
    <row r="479" spans="1:45" ht="18" customHeight="1">
      <c r="A479" s="7">
        <v>475</v>
      </c>
      <c r="B479" s="7" t="s">
        <v>5147</v>
      </c>
      <c r="C479" s="7" t="s">
        <v>4457</v>
      </c>
      <c r="D479" s="7" t="s">
        <v>319</v>
      </c>
      <c r="E479" s="7" t="s">
        <v>5146</v>
      </c>
      <c r="F479" s="7" t="s">
        <v>5145</v>
      </c>
      <c r="G479" s="122"/>
      <c r="H479" s="7"/>
      <c r="I479" s="7"/>
      <c r="J479" s="122"/>
      <c r="K479" s="7"/>
      <c r="L479" s="127"/>
      <c r="M479" s="122"/>
      <c r="N479" s="7"/>
      <c r="O479" s="7"/>
      <c r="P479" s="7" t="str" cm="1">
        <f t="array" ref="P479">IF(O479="", "", IFERROR(MAX(--_xlfn.TEXTSPLIT(O479,"+")), O479))</f>
        <v/>
      </c>
      <c r="Q479" s="7"/>
      <c r="R479" s="126"/>
      <c r="S479" s="7"/>
      <c r="T479" s="7"/>
      <c r="U479" s="7"/>
      <c r="V479" s="7" t="str" cm="1">
        <f t="array" ref="V479">IF(U479="", "", IFERROR(MAX(--_xlfn.TEXTSPLIT(U479,"+")), U479))</f>
        <v/>
      </c>
      <c r="W479" s="7"/>
      <c r="X479" s="7"/>
      <c r="Y479" s="122"/>
      <c r="Z479" s="7"/>
      <c r="AA479" s="109"/>
      <c r="AB479" s="7">
        <v>2021</v>
      </c>
      <c r="AC479" s="123">
        <v>7418.49</v>
      </c>
      <c r="AD479" s="7"/>
      <c r="AE479" s="123">
        <v>12645.07</v>
      </c>
      <c r="AF479" s="7"/>
      <c r="AG479" s="7" t="s">
        <v>5032</v>
      </c>
      <c r="AH479" s="124">
        <f t="shared" si="43"/>
        <v>20063.559999999998</v>
      </c>
      <c r="AI479" s="124">
        <f>AF479+AH479</f>
        <v>20063.559999999998</v>
      </c>
      <c r="AJ479" s="7" t="s">
        <v>5032</v>
      </c>
      <c r="AK479" s="7"/>
      <c r="AL479" s="7"/>
      <c r="AM479" s="7"/>
      <c r="AN479" s="7"/>
      <c r="AO479" s="124"/>
      <c r="AP479" s="124"/>
      <c r="AQ479" s="27" t="s">
        <v>5144</v>
      </c>
      <c r="AR479" s="7" t="str">
        <f>_xlfn.XLOOKUP(C479,Sheet1!A:A,Sheet1!B:B, "Other")</f>
        <v>North America</v>
      </c>
      <c r="AS479" t="str">
        <f>_xlfn.XLOOKUP(D479,Sheet1!D:D,Sheet1!E:E)</f>
        <v>Health care and pharmaceuticals</v>
      </c>
    </row>
    <row r="480" spans="1:45" ht="18" customHeight="1">
      <c r="A480" s="7">
        <v>476</v>
      </c>
      <c r="B480" s="7" t="s">
        <v>5143</v>
      </c>
      <c r="C480" s="7" t="s">
        <v>73</v>
      </c>
      <c r="D480" s="7" t="s">
        <v>71</v>
      </c>
      <c r="E480" s="7" t="s">
        <v>5142</v>
      </c>
      <c r="F480" s="7" t="s">
        <v>5141</v>
      </c>
      <c r="G480" s="122"/>
      <c r="H480" s="7"/>
      <c r="I480" s="7"/>
      <c r="J480" s="122"/>
      <c r="K480" s="7"/>
      <c r="L480" s="127"/>
      <c r="M480" s="122" t="s">
        <v>1957</v>
      </c>
      <c r="N480" s="7" t="s">
        <v>4832</v>
      </c>
      <c r="O480" s="7">
        <v>2030</v>
      </c>
      <c r="P480" s="7" cm="1">
        <f t="array" ref="P480">IF(O480="", "", IFERROR(MAX(--_xlfn.TEXTSPLIT(O480,"+")), O480))</f>
        <v>2030</v>
      </c>
      <c r="Q480" s="7">
        <v>2022</v>
      </c>
      <c r="R480" s="126" t="s">
        <v>5140</v>
      </c>
      <c r="S480" s="7"/>
      <c r="T480" s="7"/>
      <c r="U480" s="7"/>
      <c r="V480" s="7" t="str" cm="1">
        <f t="array" ref="V480">IF(U480="", "", IFERROR(MAX(--_xlfn.TEXTSPLIT(U480,"+")), U480))</f>
        <v/>
      </c>
      <c r="W480" s="7"/>
      <c r="X480" s="7"/>
      <c r="Y480" s="122"/>
      <c r="Z480" s="7"/>
      <c r="AA480" s="109"/>
      <c r="AB480" s="7">
        <v>2022</v>
      </c>
      <c r="AC480" s="123">
        <v>899131.66</v>
      </c>
      <c r="AD480" s="123">
        <v>10088957.42</v>
      </c>
      <c r="AE480" s="123">
        <v>1843924.16</v>
      </c>
      <c r="AF480" s="7"/>
      <c r="AG480" s="7" t="s">
        <v>5032</v>
      </c>
      <c r="AH480" s="124">
        <f t="shared" si="43"/>
        <v>2743055.82</v>
      </c>
      <c r="AI480" s="124">
        <f>AF480+AH480</f>
        <v>2743055.82</v>
      </c>
      <c r="AJ480" s="7">
        <v>2021</v>
      </c>
      <c r="AK480" s="123">
        <v>855694.25</v>
      </c>
      <c r="AL480" s="123">
        <v>5242993.5599999996</v>
      </c>
      <c r="AM480" s="123">
        <v>2512015.9300000002</v>
      </c>
      <c r="AN480" s="7"/>
      <c r="AO480" s="124">
        <f>AK480+AM480</f>
        <v>3367710.18</v>
      </c>
      <c r="AP480" s="124">
        <f>AN480+AO480</f>
        <v>3367710.18</v>
      </c>
      <c r="AQ480" s="27" t="s">
        <v>5140</v>
      </c>
      <c r="AR480" s="7" t="str">
        <f>_xlfn.XLOOKUP(C480,Sheet1!A:A,Sheet1!B:B, "Other")</f>
        <v>Asia</v>
      </c>
      <c r="AS480" t="str">
        <f>_xlfn.XLOOKUP(D480,Sheet1!D:D,Sheet1!E:E)</f>
        <v>Energy and utilities</v>
      </c>
    </row>
    <row r="481" spans="1:45" ht="18" customHeight="1">
      <c r="A481" s="7">
        <v>477</v>
      </c>
      <c r="B481" s="7" t="s">
        <v>5139</v>
      </c>
      <c r="C481" s="7" t="s">
        <v>4457</v>
      </c>
      <c r="D481" s="7" t="s">
        <v>186</v>
      </c>
      <c r="E481" s="7" t="s">
        <v>5138</v>
      </c>
      <c r="F481" s="7" t="s">
        <v>5137</v>
      </c>
      <c r="G481" s="122"/>
      <c r="H481" s="7"/>
      <c r="I481" s="7"/>
      <c r="J481" s="122" t="s">
        <v>4183</v>
      </c>
      <c r="K481" s="7">
        <v>2040</v>
      </c>
      <c r="L481" s="127">
        <v>2023</v>
      </c>
      <c r="M481" s="122"/>
      <c r="N481" s="7"/>
      <c r="O481" s="7"/>
      <c r="P481" s="7" t="str" cm="1">
        <f t="array" ref="P481">IF(O481="", "", IFERROR(MAX(--_xlfn.TEXTSPLIT(O481,"+")), O481))</f>
        <v/>
      </c>
      <c r="Q481" s="7"/>
      <c r="R481" s="109"/>
      <c r="S481" s="7" t="s">
        <v>4504</v>
      </c>
      <c r="T481" s="7" t="s">
        <v>5136</v>
      </c>
      <c r="U481" s="7" t="s">
        <v>4907</v>
      </c>
      <c r="V481" s="7" cm="1">
        <f t="array" ref="V481">IF(U481="", "", IFERROR(MAX(--_xlfn.TEXTSPLIT(U481,"+")), U481))</f>
        <v>2040</v>
      </c>
      <c r="W481" s="7">
        <v>2020</v>
      </c>
      <c r="X481" s="125" t="s">
        <v>5135</v>
      </c>
      <c r="Y481" s="122"/>
      <c r="Z481" s="7"/>
      <c r="AA481" s="109"/>
      <c r="AB481" s="7">
        <v>2022</v>
      </c>
      <c r="AC481" s="124">
        <v>1274</v>
      </c>
      <c r="AD481" s="124">
        <v>125182</v>
      </c>
      <c r="AE481" s="124">
        <v>58502</v>
      </c>
      <c r="AF481" s="7">
        <f>12549+23011730</f>
        <v>23024279</v>
      </c>
      <c r="AG481" s="7" t="s">
        <v>4174</v>
      </c>
      <c r="AH481" s="124">
        <f t="shared" si="43"/>
        <v>59776</v>
      </c>
      <c r="AI481" s="124">
        <f>AF481+AH481</f>
        <v>23084055</v>
      </c>
      <c r="AJ481" s="7">
        <v>2021</v>
      </c>
      <c r="AK481" s="7">
        <v>735</v>
      </c>
      <c r="AL481" s="124">
        <v>118795</v>
      </c>
      <c r="AM481" s="124">
        <v>60705</v>
      </c>
      <c r="AN481" s="7">
        <f>1462+19814573</f>
        <v>19816035</v>
      </c>
      <c r="AO481" s="124">
        <f>AK481+AM481</f>
        <v>61440</v>
      </c>
      <c r="AP481" s="124">
        <f>AN481+AO481</f>
        <v>19877475</v>
      </c>
      <c r="AQ481" s="27" t="s">
        <v>5134</v>
      </c>
      <c r="AR481" s="7" t="str">
        <f>_xlfn.XLOOKUP(C481,Sheet1!A:A,Sheet1!B:B, "Other")</f>
        <v>North America</v>
      </c>
      <c r="AS481" t="str">
        <f>_xlfn.XLOOKUP(D481,Sheet1!D:D,Sheet1!E:E)</f>
        <v>Technology</v>
      </c>
    </row>
    <row r="482" spans="1:45" ht="18" customHeight="1">
      <c r="A482" s="7">
        <v>478</v>
      </c>
      <c r="B482" s="7" t="s">
        <v>4276</v>
      </c>
      <c r="C482" s="7" t="s">
        <v>73</v>
      </c>
      <c r="D482" s="7" t="s">
        <v>76</v>
      </c>
      <c r="E482" s="7" t="s">
        <v>5133</v>
      </c>
      <c r="F482" s="7" t="s">
        <v>5132</v>
      </c>
      <c r="G482" s="122"/>
      <c r="H482" s="7"/>
      <c r="I482" s="7"/>
      <c r="J482" s="122" t="s">
        <v>1960</v>
      </c>
      <c r="K482" s="7"/>
      <c r="L482" s="127" t="s">
        <v>1960</v>
      </c>
      <c r="M482" s="122" t="s">
        <v>4519</v>
      </c>
      <c r="N482" s="7" t="s">
        <v>5131</v>
      </c>
      <c r="O482" s="7">
        <v>2060</v>
      </c>
      <c r="P482" s="7" cm="1">
        <f t="array" ref="P482">IF(O482="", "", IFERROR(MAX(--_xlfn.TEXTSPLIT(O482,"+")), O482))</f>
        <v>2060</v>
      </c>
      <c r="Q482" s="7">
        <v>2020</v>
      </c>
      <c r="R482" s="126" t="s">
        <v>5130</v>
      </c>
      <c r="S482" s="7"/>
      <c r="T482" s="7"/>
      <c r="U482" s="7"/>
      <c r="V482" s="7" t="str" cm="1">
        <f t="array" ref="V482">IF(U482="", "", IFERROR(MAX(--_xlfn.TEXTSPLIT(U482,"+")), U482))</f>
        <v/>
      </c>
      <c r="W482" s="7"/>
      <c r="X482" s="7"/>
      <c r="Y482" s="122"/>
      <c r="Z482" s="7"/>
      <c r="AA482" s="109"/>
      <c r="AB482" s="7">
        <v>2021</v>
      </c>
      <c r="AC482" s="7">
        <v>1452.34</v>
      </c>
      <c r="AD482" s="7"/>
      <c r="AE482" s="7">
        <v>17521.28</v>
      </c>
      <c r="AF482" s="7"/>
      <c r="AG482" s="7" t="s">
        <v>5032</v>
      </c>
      <c r="AH482" s="124">
        <f t="shared" si="43"/>
        <v>18973.62</v>
      </c>
      <c r="AI482" s="124">
        <f>AF482+AH482</f>
        <v>18973.62</v>
      </c>
      <c r="AJ482" s="7" t="s">
        <v>5032</v>
      </c>
      <c r="AK482" s="7"/>
      <c r="AL482" s="7"/>
      <c r="AM482" s="7"/>
      <c r="AN482" s="7"/>
      <c r="AO482" s="123"/>
      <c r="AP482" s="123"/>
      <c r="AQ482" s="27" t="s">
        <v>5130</v>
      </c>
      <c r="AR482" s="7" t="str">
        <f>_xlfn.XLOOKUP(C482,Sheet1!A:A,Sheet1!B:B, "Other")</f>
        <v>Asia</v>
      </c>
      <c r="AS482" t="str">
        <f>_xlfn.XLOOKUP(D482,Sheet1!D:D,Sheet1!E:E)</f>
        <v>Financial services</v>
      </c>
    </row>
    <row r="483" spans="1:45" ht="18" customHeight="1">
      <c r="A483" s="7">
        <v>479</v>
      </c>
      <c r="B483" s="7" t="s">
        <v>5129</v>
      </c>
      <c r="C483" s="7" t="s">
        <v>73</v>
      </c>
      <c r="D483" s="7" t="s">
        <v>186</v>
      </c>
      <c r="E483" s="7" t="s">
        <v>5128</v>
      </c>
      <c r="F483" s="7" t="s">
        <v>5127</v>
      </c>
      <c r="G483" s="122"/>
      <c r="H483" s="7"/>
      <c r="I483" s="7"/>
      <c r="J483" s="122" t="s">
        <v>1957</v>
      </c>
      <c r="K483" s="7"/>
      <c r="L483" s="127"/>
      <c r="M483" s="122" t="s">
        <v>1957</v>
      </c>
      <c r="N483" s="7" t="s">
        <v>5042</v>
      </c>
      <c r="O483" s="7">
        <v>2050</v>
      </c>
      <c r="P483" s="7" cm="1">
        <f t="array" ref="P483">IF(O483="", "", IFERROR(MAX(--_xlfn.TEXTSPLIT(O483,"+")), O483))</f>
        <v>2050</v>
      </c>
      <c r="Q483" s="7">
        <v>2021</v>
      </c>
      <c r="R483" s="126" t="s">
        <v>5126</v>
      </c>
      <c r="S483" s="7"/>
      <c r="T483" s="7"/>
      <c r="U483" s="7"/>
      <c r="V483" s="7" t="str" cm="1">
        <f t="array" ref="V483">IF(U483="", "", IFERROR(MAX(--_xlfn.TEXTSPLIT(U483,"+")), U483))</f>
        <v/>
      </c>
      <c r="W483" s="7"/>
      <c r="X483" s="7"/>
      <c r="Y483" s="122"/>
      <c r="Z483" s="7"/>
      <c r="AA483" s="109"/>
      <c r="AB483" s="7">
        <v>2021</v>
      </c>
      <c r="AC483" s="123">
        <v>28264.14</v>
      </c>
      <c r="AD483" s="7"/>
      <c r="AE483" s="123">
        <v>1113413.08</v>
      </c>
      <c r="AF483" s="7"/>
      <c r="AG483" s="7" t="s">
        <v>5032</v>
      </c>
      <c r="AH483" s="124">
        <f t="shared" si="43"/>
        <v>1141677.22</v>
      </c>
      <c r="AI483" s="124">
        <f>AF483+AH483</f>
        <v>1141677.22</v>
      </c>
      <c r="AJ483" s="7" t="s">
        <v>5032</v>
      </c>
      <c r="AK483" s="7"/>
      <c r="AL483" s="7"/>
      <c r="AM483" s="7"/>
      <c r="AN483" s="7"/>
      <c r="AO483" s="124">
        <f>AK483+AM483</f>
        <v>0</v>
      </c>
      <c r="AP483" s="124">
        <f>AN483+AO483</f>
        <v>0</v>
      </c>
      <c r="AQ483" s="27" t="s">
        <v>5125</v>
      </c>
      <c r="AR483" s="7" t="str">
        <f>_xlfn.XLOOKUP(C483,Sheet1!A:A,Sheet1!B:B, "Other")</f>
        <v>Asia</v>
      </c>
      <c r="AS483" t="str">
        <f>_xlfn.XLOOKUP(D483,Sheet1!D:D,Sheet1!E:E)</f>
        <v>Technology</v>
      </c>
    </row>
    <row r="484" spans="1:45" ht="18" customHeight="1">
      <c r="A484" s="7">
        <v>480</v>
      </c>
      <c r="B484" s="7" t="s">
        <v>386</v>
      </c>
      <c r="C484" s="7" t="s">
        <v>4457</v>
      </c>
      <c r="D484" s="7" t="s">
        <v>5091</v>
      </c>
      <c r="E484" s="7" t="s">
        <v>5124</v>
      </c>
      <c r="F484" s="7" t="s">
        <v>5123</v>
      </c>
      <c r="G484" s="122"/>
      <c r="H484" s="7"/>
      <c r="I484" s="7"/>
      <c r="J484" s="122" t="s">
        <v>4183</v>
      </c>
      <c r="K484" s="7">
        <v>2030</v>
      </c>
      <c r="L484" s="127">
        <v>2022</v>
      </c>
      <c r="M484" s="122" t="s">
        <v>1957</v>
      </c>
      <c r="N484" s="7" t="s">
        <v>5122</v>
      </c>
      <c r="O484" s="7">
        <v>2025</v>
      </c>
      <c r="P484" s="7" cm="1">
        <f t="array" ref="P484">IF(O484="", "", IFERROR(MAX(--_xlfn.TEXTSPLIT(O484,"+")), O484))</f>
        <v>2025</v>
      </c>
      <c r="Q484" s="7">
        <v>2021</v>
      </c>
      <c r="R484" s="126" t="s">
        <v>5121</v>
      </c>
      <c r="S484" s="7" t="s">
        <v>4172</v>
      </c>
      <c r="T484" s="7" t="s">
        <v>2760</v>
      </c>
      <c r="U484" s="7">
        <v>2040</v>
      </c>
      <c r="V484" s="7" cm="1">
        <f t="array" ref="V484">IF(U484="", "", IFERROR(MAX(--_xlfn.TEXTSPLIT(U484,"+")), U484))</f>
        <v>2040</v>
      </c>
      <c r="W484" s="7">
        <v>2022</v>
      </c>
      <c r="X484" s="7" t="s">
        <v>5120</v>
      </c>
      <c r="Y484" s="122" t="s">
        <v>4174</v>
      </c>
      <c r="Z484" s="7" t="s">
        <v>5037</v>
      </c>
      <c r="AA484" s="126" t="s">
        <v>5119</v>
      </c>
      <c r="AB484" s="7">
        <v>2022</v>
      </c>
      <c r="AC484" s="124">
        <v>297602</v>
      </c>
      <c r="AD484" s="7"/>
      <c r="AE484" s="124">
        <v>42482</v>
      </c>
      <c r="AF484" s="124">
        <v>4257000</v>
      </c>
      <c r="AG484" s="7" t="s">
        <v>4174</v>
      </c>
      <c r="AH484" s="124">
        <f t="shared" si="43"/>
        <v>340084</v>
      </c>
      <c r="AI484" s="124">
        <f>AH484+AF484</f>
        <v>4597084</v>
      </c>
      <c r="AJ484" s="7">
        <v>2021</v>
      </c>
      <c r="AK484" s="124">
        <v>308822</v>
      </c>
      <c r="AL484" s="7"/>
      <c r="AM484" s="124">
        <v>64217</v>
      </c>
      <c r="AN484" s="124">
        <v>3749000</v>
      </c>
      <c r="AO484" s="124">
        <f>AK484+AM484</f>
        <v>373039</v>
      </c>
      <c r="AP484" s="124">
        <f>AO484+AN484</f>
        <v>4122039</v>
      </c>
      <c r="AQ484" s="125" t="s">
        <v>5119</v>
      </c>
      <c r="AR484" s="7" t="str">
        <f>_xlfn.XLOOKUP(C484,Sheet1!A:A,Sheet1!B:B, "Other")</f>
        <v>North America</v>
      </c>
      <c r="AS484" t="str">
        <f>_xlfn.XLOOKUP(D484,Sheet1!D:D,Sheet1!E:E)</f>
        <v>Food, beverages and agriculture</v>
      </c>
    </row>
    <row r="485" spans="1:45" ht="18" customHeight="1">
      <c r="A485" s="7">
        <v>481</v>
      </c>
      <c r="B485" s="7" t="s">
        <v>235</v>
      </c>
      <c r="C485" s="7" t="s">
        <v>114</v>
      </c>
      <c r="D485" s="7" t="s">
        <v>5091</v>
      </c>
      <c r="E485" s="7" t="s">
        <v>5118</v>
      </c>
      <c r="F485" s="7" t="s">
        <v>5117</v>
      </c>
      <c r="G485" s="122"/>
      <c r="H485" s="7"/>
      <c r="I485" s="7"/>
      <c r="J485" s="122" t="s">
        <v>1960</v>
      </c>
      <c r="K485" s="7"/>
      <c r="L485" s="127" t="s">
        <v>1960</v>
      </c>
      <c r="M485" s="122" t="s">
        <v>1957</v>
      </c>
      <c r="N485" s="7" t="s">
        <v>5042</v>
      </c>
      <c r="O485" s="7">
        <v>2050</v>
      </c>
      <c r="P485" s="7" cm="1">
        <f t="array" ref="P485">IF(O485="", "", IFERROR(MAX(--_xlfn.TEXTSPLIT(O485,"+")), O485))</f>
        <v>2050</v>
      </c>
      <c r="Q485" s="7">
        <v>2021</v>
      </c>
      <c r="R485" s="126" t="s">
        <v>5116</v>
      </c>
      <c r="S485" s="7"/>
      <c r="T485" s="7"/>
      <c r="U485" s="7"/>
      <c r="V485" s="7" t="str" cm="1">
        <f t="array" ref="V485">IF(U485="", "", IFERROR(MAX(--_xlfn.TEXTSPLIT(U485,"+")), U485))</f>
        <v/>
      </c>
      <c r="W485" s="7"/>
      <c r="X485" s="7"/>
      <c r="Y485" s="122"/>
      <c r="Z485" s="7"/>
      <c r="AA485" s="126"/>
      <c r="AB485" s="7">
        <v>2021</v>
      </c>
      <c r="AC485" s="124">
        <v>328445</v>
      </c>
      <c r="AD485" s="7"/>
      <c r="AE485" s="124">
        <v>340746</v>
      </c>
      <c r="AF485" s="124">
        <v>311783</v>
      </c>
      <c r="AG485" s="7" t="s">
        <v>5032</v>
      </c>
      <c r="AH485" s="124">
        <f t="shared" si="43"/>
        <v>669191</v>
      </c>
      <c r="AI485" s="124">
        <f>AH485+AF485</f>
        <v>980974</v>
      </c>
      <c r="AJ485" s="7">
        <v>2020</v>
      </c>
      <c r="AK485" s="124">
        <v>323127</v>
      </c>
      <c r="AL485" s="7"/>
      <c r="AM485" s="124">
        <v>322298</v>
      </c>
      <c r="AN485" s="7">
        <v>40</v>
      </c>
      <c r="AO485" s="124">
        <f>AK485+AM485</f>
        <v>645425</v>
      </c>
      <c r="AP485" s="124">
        <f>AO485+AN485</f>
        <v>645465</v>
      </c>
      <c r="AQ485" s="27" t="s">
        <v>5116</v>
      </c>
      <c r="AR485" s="7" t="str">
        <f>_xlfn.XLOOKUP(C485,Sheet1!A:A,Sheet1!B:B, "Other")</f>
        <v>Asia</v>
      </c>
      <c r="AS485" t="str">
        <f>_xlfn.XLOOKUP(D485,Sheet1!D:D,Sheet1!E:E)</f>
        <v>Food, beverages and agriculture</v>
      </c>
    </row>
    <row r="486" spans="1:45" ht="18" customHeight="1">
      <c r="A486" s="7">
        <v>482</v>
      </c>
      <c r="B486" s="7" t="s">
        <v>399</v>
      </c>
      <c r="C486" s="7" t="s">
        <v>4457</v>
      </c>
      <c r="D486" s="7" t="s">
        <v>319</v>
      </c>
      <c r="E486" s="7" t="s">
        <v>5115</v>
      </c>
      <c r="F486" s="7" t="s">
        <v>5114</v>
      </c>
      <c r="G486" s="122"/>
      <c r="H486" s="7"/>
      <c r="I486" s="7"/>
      <c r="J486" s="122" t="s">
        <v>1957</v>
      </c>
      <c r="K486" s="7"/>
      <c r="L486" s="127">
        <v>2023</v>
      </c>
      <c r="M486" s="122" t="s">
        <v>1957</v>
      </c>
      <c r="N486" s="7" t="s">
        <v>3793</v>
      </c>
      <c r="O486" s="7">
        <v>2030</v>
      </c>
      <c r="P486" s="7" cm="1">
        <f t="array" ref="P486">IF(O486="", "", IFERROR(MAX(--_xlfn.TEXTSPLIT(O486,"+")), O486))</f>
        <v>2030</v>
      </c>
      <c r="Q486" s="7">
        <v>2020</v>
      </c>
      <c r="R486" s="126" t="s">
        <v>5113</v>
      </c>
      <c r="S486" s="7" t="s">
        <v>4172</v>
      </c>
      <c r="T486" s="7" t="s">
        <v>2760</v>
      </c>
      <c r="U486" s="7">
        <v>2045</v>
      </c>
      <c r="V486" s="7" cm="1">
        <f t="array" ref="V486">IF(U486="", "", IFERROR(MAX(--_xlfn.TEXTSPLIT(U486,"+")), U486))</f>
        <v>2045</v>
      </c>
      <c r="W486" s="7">
        <v>2021</v>
      </c>
      <c r="X486" s="125" t="s">
        <v>4489</v>
      </c>
      <c r="Y486" s="122"/>
      <c r="Z486" s="7"/>
      <c r="AA486" s="126"/>
      <c r="AB486" s="7">
        <v>2021</v>
      </c>
      <c r="AC486" s="7">
        <v>94904</v>
      </c>
      <c r="AD486" s="7"/>
      <c r="AE486" s="7">
        <v>189802</v>
      </c>
      <c r="AF486" s="7"/>
      <c r="AG486" s="7" t="s">
        <v>5032</v>
      </c>
      <c r="AH486" s="7">
        <f t="shared" si="43"/>
        <v>284706</v>
      </c>
      <c r="AI486" s="7">
        <f>AH486</f>
        <v>284706</v>
      </c>
      <c r="AJ486" s="7">
        <v>2020</v>
      </c>
      <c r="AK486" s="7">
        <v>92100</v>
      </c>
      <c r="AL486" s="7"/>
      <c r="AM486" s="7">
        <v>206900</v>
      </c>
      <c r="AN486" s="7"/>
      <c r="AO486" s="7">
        <f>AK486+AM486</f>
        <v>299000</v>
      </c>
      <c r="AP486" s="7">
        <f>AO486</f>
        <v>299000</v>
      </c>
      <c r="AQ486" s="27" t="s">
        <v>5112</v>
      </c>
      <c r="AR486" s="7" t="str">
        <f>_xlfn.XLOOKUP(C486,Sheet1!A:A,Sheet1!B:B, "Other")</f>
        <v>North America</v>
      </c>
      <c r="AS486" t="str">
        <f>_xlfn.XLOOKUP(D486,Sheet1!D:D,Sheet1!E:E)</f>
        <v>Health care and pharmaceuticals</v>
      </c>
    </row>
    <row r="487" spans="1:45" ht="18" customHeight="1">
      <c r="A487" s="7">
        <v>483</v>
      </c>
      <c r="B487" s="7" t="s">
        <v>897</v>
      </c>
      <c r="C487" s="7" t="s">
        <v>73</v>
      </c>
      <c r="D487" s="7" t="s">
        <v>90</v>
      </c>
      <c r="E487" s="7" t="s">
        <v>5111</v>
      </c>
      <c r="F487" s="7" t="s">
        <v>5110</v>
      </c>
      <c r="G487" s="122"/>
      <c r="H487" s="7"/>
      <c r="I487" s="7"/>
      <c r="J487" s="122" t="s">
        <v>1960</v>
      </c>
      <c r="K487" s="7"/>
      <c r="L487" s="127" t="s">
        <v>1960</v>
      </c>
      <c r="M487" s="122"/>
      <c r="N487" s="7"/>
      <c r="O487" s="7"/>
      <c r="P487" s="7" t="str" cm="1">
        <f t="array" ref="P487">IF(O487="", "", IFERROR(MAX(--_xlfn.TEXTSPLIT(O487,"+")), O487))</f>
        <v/>
      </c>
      <c r="Q487" s="7"/>
      <c r="R487" s="109"/>
      <c r="S487" s="7"/>
      <c r="T487" s="7"/>
      <c r="U487" s="7"/>
      <c r="V487" s="7" t="str" cm="1">
        <f t="array" ref="V487">IF(U487="", "", IFERROR(MAX(--_xlfn.TEXTSPLIT(U487,"+")), U487))</f>
        <v/>
      </c>
      <c r="W487" s="7"/>
      <c r="X487" s="7"/>
      <c r="Y487" s="122"/>
      <c r="Z487" s="7"/>
      <c r="AA487" s="109"/>
      <c r="AB487" s="7" t="s">
        <v>5032</v>
      </c>
      <c r="AC487" s="7"/>
      <c r="AD487" s="7"/>
      <c r="AE487" s="7"/>
      <c r="AF487" s="7"/>
      <c r="AG487" s="7" t="s">
        <v>5032</v>
      </c>
      <c r="AH487" s="124"/>
      <c r="AI487" s="124"/>
      <c r="AJ487" s="7" t="s">
        <v>5032</v>
      </c>
      <c r="AK487" s="7"/>
      <c r="AL487" s="7"/>
      <c r="AM487" s="7"/>
      <c r="AN487" s="7"/>
      <c r="AO487" s="123"/>
      <c r="AP487" s="123"/>
      <c r="AQ487" s="7"/>
      <c r="AR487" s="7" t="str">
        <f>_xlfn.XLOOKUP(C487,Sheet1!A:A,Sheet1!B:B, "Other")</f>
        <v>Asia</v>
      </c>
      <c r="AS487" t="str">
        <f>_xlfn.XLOOKUP(D487,Sheet1!D:D,Sheet1!E:E)</f>
        <v>Financial services</v>
      </c>
    </row>
    <row r="488" spans="1:45" ht="18" customHeight="1">
      <c r="A488" s="7">
        <v>484</v>
      </c>
      <c r="B488" s="7" t="s">
        <v>4278</v>
      </c>
      <c r="C488" s="7" t="s">
        <v>4457</v>
      </c>
      <c r="D488" s="7" t="s">
        <v>258</v>
      </c>
      <c r="E488" s="7" t="s">
        <v>5109</v>
      </c>
      <c r="F488" s="7" t="s">
        <v>5108</v>
      </c>
      <c r="G488" s="122"/>
      <c r="H488" s="7"/>
      <c r="I488" s="7"/>
      <c r="J488" s="122" t="s">
        <v>4183</v>
      </c>
      <c r="K488" s="7">
        <v>2030</v>
      </c>
      <c r="L488" s="127">
        <v>2023</v>
      </c>
      <c r="M488" s="122" t="s">
        <v>4172</v>
      </c>
      <c r="N488" s="7" t="s">
        <v>5107</v>
      </c>
      <c r="O488" s="7">
        <v>2022</v>
      </c>
      <c r="P488" s="7" cm="1">
        <f t="array" ref="P488">IF(O488="", "", IFERROR(MAX(--_xlfn.TEXTSPLIT(O488,"+")), O488))</f>
        <v>2022</v>
      </c>
      <c r="Q488" s="7">
        <v>2022</v>
      </c>
      <c r="R488" s="126" t="s">
        <v>5104</v>
      </c>
      <c r="S488" s="7" t="s">
        <v>4172</v>
      </c>
      <c r="T488" s="7" t="s">
        <v>5106</v>
      </c>
      <c r="U488" s="7">
        <v>2050</v>
      </c>
      <c r="V488" s="7" cm="1">
        <f t="array" ref="V488">IF(U488="", "", IFERROR(MAX(--_xlfn.TEXTSPLIT(U488,"+")), U488))</f>
        <v>2050</v>
      </c>
      <c r="W488" s="7"/>
      <c r="X488" s="125" t="s">
        <v>5104</v>
      </c>
      <c r="Y488" s="122" t="s">
        <v>4174</v>
      </c>
      <c r="Z488" s="7" t="s">
        <v>5037</v>
      </c>
      <c r="AA488" s="126" t="s">
        <v>5105</v>
      </c>
      <c r="AB488" s="7">
        <v>2022</v>
      </c>
      <c r="AC488" s="124">
        <v>59388</v>
      </c>
      <c r="AD488" s="124">
        <v>41411</v>
      </c>
      <c r="AE488" s="7">
        <v>0</v>
      </c>
      <c r="AF488" s="124">
        <v>1086833</v>
      </c>
      <c r="AG488" s="7" t="s">
        <v>4174</v>
      </c>
      <c r="AH488" s="124">
        <f>AC488+AE488</f>
        <v>59388</v>
      </c>
      <c r="AI488" s="124">
        <f>AH488+AF488</f>
        <v>1146221</v>
      </c>
      <c r="AJ488" s="7">
        <v>2021</v>
      </c>
      <c r="AK488" s="124">
        <v>62815</v>
      </c>
      <c r="AL488" s="124">
        <v>42291</v>
      </c>
      <c r="AM488" s="7">
        <v>0</v>
      </c>
      <c r="AN488" s="124">
        <v>1466497</v>
      </c>
      <c r="AO488" s="124">
        <f>AK488+AM488</f>
        <v>62815</v>
      </c>
      <c r="AP488" s="124">
        <f>AO488+AN488</f>
        <v>1529312</v>
      </c>
      <c r="AQ488" s="27" t="s">
        <v>5104</v>
      </c>
      <c r="AR488" s="7" t="str">
        <f>_xlfn.XLOOKUP(C488,Sheet1!A:A,Sheet1!B:B, "Other")</f>
        <v>North America</v>
      </c>
      <c r="AS488" t="str">
        <f>_xlfn.XLOOKUP(D488,Sheet1!D:D,Sheet1!E:E)</f>
        <v>Telecommunications and media</v>
      </c>
    </row>
    <row r="489" spans="1:45" ht="18" customHeight="1">
      <c r="A489" s="7">
        <v>485</v>
      </c>
      <c r="B489" s="7" t="s">
        <v>340</v>
      </c>
      <c r="C489" s="7" t="s">
        <v>287</v>
      </c>
      <c r="D489" s="7" t="s">
        <v>342</v>
      </c>
      <c r="E489" s="7" t="s">
        <v>5103</v>
      </c>
      <c r="F489" s="7" t="s">
        <v>5102</v>
      </c>
      <c r="G489" s="122"/>
      <c r="H489" s="7"/>
      <c r="I489" s="7"/>
      <c r="J489" s="122" t="s">
        <v>4183</v>
      </c>
      <c r="K489" s="7">
        <v>2030</v>
      </c>
      <c r="L489" s="127">
        <v>2022</v>
      </c>
      <c r="M489" s="122" t="s">
        <v>1957</v>
      </c>
      <c r="N489" s="7" t="s">
        <v>1659</v>
      </c>
      <c r="O489" s="7">
        <v>2022</v>
      </c>
      <c r="P489" s="7" cm="1">
        <f t="array" ref="P489">IF(O489="", "", IFERROR(MAX(--_xlfn.TEXTSPLIT(O489,"+")), O489))</f>
        <v>2022</v>
      </c>
      <c r="Q489" s="7">
        <v>2022</v>
      </c>
      <c r="R489" s="126" t="s">
        <v>5101</v>
      </c>
      <c r="S489" s="7" t="s">
        <v>1957</v>
      </c>
      <c r="T489" s="7"/>
      <c r="U489" s="7">
        <v>2050</v>
      </c>
      <c r="V489" s="7" cm="1">
        <f t="array" ref="V489">IF(U489="", "", IFERROR(MAX(--_xlfn.TEXTSPLIT(U489,"+")), U489))</f>
        <v>2050</v>
      </c>
      <c r="W489" s="7">
        <v>2022</v>
      </c>
      <c r="X489" s="125" t="s">
        <v>5100</v>
      </c>
      <c r="Y489" s="122"/>
      <c r="Z489" s="7"/>
      <c r="AA489" s="109"/>
      <c r="AB489" s="7" t="s">
        <v>5032</v>
      </c>
      <c r="AC489" s="7"/>
      <c r="AD489" s="7"/>
      <c r="AE489" s="7"/>
      <c r="AF489" s="7"/>
      <c r="AG489" s="7" t="s">
        <v>5032</v>
      </c>
      <c r="AH489" s="7"/>
      <c r="AI489" s="7"/>
      <c r="AJ489" s="7" t="s">
        <v>5032</v>
      </c>
      <c r="AK489" s="7"/>
      <c r="AL489" s="7"/>
      <c r="AM489" s="7"/>
      <c r="AN489" s="7"/>
      <c r="AO489" s="7"/>
      <c r="AP489" s="7"/>
      <c r="AQ489" s="7"/>
      <c r="AR489" s="7" t="str">
        <f>_xlfn.XLOOKUP(C489,Sheet1!A:A,Sheet1!B:B, "Other")</f>
        <v>Europe</v>
      </c>
      <c r="AS489" t="str">
        <f>_xlfn.XLOOKUP(D489,Sheet1!D:D,Sheet1!E:E)</f>
        <v>Food, beverages and agriculture</v>
      </c>
    </row>
    <row r="490" spans="1:45" ht="18" customHeight="1">
      <c r="A490" s="7">
        <v>486</v>
      </c>
      <c r="B490" s="7" t="s">
        <v>5099</v>
      </c>
      <c r="C490" s="7" t="s">
        <v>4457</v>
      </c>
      <c r="D490" s="7" t="s">
        <v>71</v>
      </c>
      <c r="E490" s="7" t="s">
        <v>5098</v>
      </c>
      <c r="F490" s="7" t="s">
        <v>5097</v>
      </c>
      <c r="G490" s="122"/>
      <c r="H490" s="7"/>
      <c r="I490" s="7"/>
      <c r="J490" s="122" t="s">
        <v>4183</v>
      </c>
      <c r="K490" s="7">
        <v>2025</v>
      </c>
      <c r="L490" s="127">
        <v>2021</v>
      </c>
      <c r="M490" s="122"/>
      <c r="N490" s="7"/>
      <c r="O490" s="7"/>
      <c r="P490" s="7" t="str" cm="1">
        <f t="array" ref="P490">IF(O490="", "", IFERROR(MAX(--_xlfn.TEXTSPLIT(O490,"+")), O490))</f>
        <v/>
      </c>
      <c r="Q490" s="7"/>
      <c r="R490" s="109"/>
      <c r="S490" s="7" t="s">
        <v>1957</v>
      </c>
      <c r="T490" s="7" t="s">
        <v>5096</v>
      </c>
      <c r="U490" s="7">
        <v>2050</v>
      </c>
      <c r="V490" s="7" cm="1">
        <f t="array" ref="V490">IF(U490="", "", IFERROR(MAX(--_xlfn.TEXTSPLIT(U490,"+")), U490))</f>
        <v>2050</v>
      </c>
      <c r="W490" s="7">
        <v>2021</v>
      </c>
      <c r="X490" s="125" t="s">
        <v>5095</v>
      </c>
      <c r="Y490" s="122" t="s">
        <v>4174</v>
      </c>
      <c r="Z490" s="7" t="s">
        <v>5094</v>
      </c>
      <c r="AA490" s="126" t="s">
        <v>5093</v>
      </c>
      <c r="AB490" s="7">
        <v>2022</v>
      </c>
      <c r="AC490" s="7"/>
      <c r="AD490" s="7"/>
      <c r="AE490" s="7"/>
      <c r="AF490" s="7"/>
      <c r="AG490" s="7" t="s">
        <v>5032</v>
      </c>
      <c r="AH490" s="124">
        <v>35000000</v>
      </c>
      <c r="AI490" s="124">
        <f>AF490+AH490</f>
        <v>35000000</v>
      </c>
      <c r="AJ490" s="7">
        <v>2021</v>
      </c>
      <c r="AK490" s="7"/>
      <c r="AL490" s="7"/>
      <c r="AM490" s="7"/>
      <c r="AN490" s="7"/>
      <c r="AO490" s="124">
        <v>33000000</v>
      </c>
      <c r="AP490" s="124">
        <f>AN490+AO490</f>
        <v>33000000</v>
      </c>
      <c r="AQ490" s="27" t="s">
        <v>5092</v>
      </c>
      <c r="AR490" s="7" t="str">
        <f>_xlfn.XLOOKUP(C490,Sheet1!A:A,Sheet1!B:B, "Other")</f>
        <v>North America</v>
      </c>
      <c r="AS490" t="str">
        <f>_xlfn.XLOOKUP(D490,Sheet1!D:D,Sheet1!E:E)</f>
        <v>Energy and utilities</v>
      </c>
    </row>
    <row r="491" spans="1:45" ht="18" customHeight="1">
      <c r="A491" s="7">
        <v>487</v>
      </c>
      <c r="B491" s="7" t="s">
        <v>150</v>
      </c>
      <c r="C491" s="7" t="s">
        <v>4457</v>
      </c>
      <c r="D491" s="7" t="s">
        <v>5091</v>
      </c>
      <c r="E491" s="7" t="s">
        <v>5090</v>
      </c>
      <c r="F491" s="7" t="s">
        <v>5089</v>
      </c>
      <c r="G491" s="122"/>
      <c r="H491" s="7"/>
      <c r="I491" s="7"/>
      <c r="J491" s="122" t="s">
        <v>4183</v>
      </c>
      <c r="K491" s="7">
        <v>2025</v>
      </c>
      <c r="L491" s="127">
        <v>2020</v>
      </c>
      <c r="M491" s="122"/>
      <c r="N491" s="7"/>
      <c r="O491" s="7"/>
      <c r="P491" s="7" t="str" cm="1">
        <f t="array" ref="P491">IF(O491="", "", IFERROR(MAX(--_xlfn.TEXTSPLIT(O491,"+")), O491))</f>
        <v/>
      </c>
      <c r="Q491" s="7"/>
      <c r="R491" s="109"/>
      <c r="S491" s="7" t="s">
        <v>4172</v>
      </c>
      <c r="T491" s="7" t="s">
        <v>4259</v>
      </c>
      <c r="U491" s="7">
        <v>2050</v>
      </c>
      <c r="V491" s="7" cm="1">
        <f t="array" ref="V491">IF(U491="", "", IFERROR(MAX(--_xlfn.TEXTSPLIT(U491,"+")), U491))</f>
        <v>2050</v>
      </c>
      <c r="W491" s="7">
        <v>2021</v>
      </c>
      <c r="X491" s="125" t="s">
        <v>5088</v>
      </c>
      <c r="Y491" s="122" t="s">
        <v>4174</v>
      </c>
      <c r="Z491" s="7" t="s">
        <v>5037</v>
      </c>
      <c r="AA491" s="126" t="s">
        <v>5087</v>
      </c>
      <c r="AB491" s="7">
        <v>2022</v>
      </c>
      <c r="AC491" s="124">
        <v>880000</v>
      </c>
      <c r="AD491" s="7"/>
      <c r="AE491" s="124">
        <v>545000</v>
      </c>
      <c r="AF491" s="124">
        <v>28500000</v>
      </c>
      <c r="AG491" s="7" t="s">
        <v>4174</v>
      </c>
      <c r="AH491" s="124">
        <f>AC491+AE491</f>
        <v>1425000</v>
      </c>
      <c r="AI491" s="124">
        <f>AH491+AF491</f>
        <v>29925000</v>
      </c>
      <c r="AJ491" s="7">
        <v>2021</v>
      </c>
      <c r="AK491" s="124">
        <v>894692</v>
      </c>
      <c r="AL491" s="7"/>
      <c r="AM491" s="124">
        <v>606885</v>
      </c>
      <c r="AN491" s="124">
        <v>27888809</v>
      </c>
      <c r="AO491" s="124">
        <f>AK491+AM491</f>
        <v>1501577</v>
      </c>
      <c r="AP491" s="124">
        <f>AO491+AN491</f>
        <v>29390386</v>
      </c>
      <c r="AQ491" s="27" t="s">
        <v>5086</v>
      </c>
      <c r="AR491" s="7" t="str">
        <f>_xlfn.XLOOKUP(C491,Sheet1!A:A,Sheet1!B:B, "Other")</f>
        <v>North America</v>
      </c>
      <c r="AS491" t="str">
        <f>_xlfn.XLOOKUP(D491,Sheet1!D:D,Sheet1!E:E)</f>
        <v>Food, beverages and agriculture</v>
      </c>
    </row>
    <row r="492" spans="1:45" ht="18" customHeight="1">
      <c r="A492" s="7">
        <v>488</v>
      </c>
      <c r="B492" s="7" t="s">
        <v>62</v>
      </c>
      <c r="C492" s="7" t="s">
        <v>63</v>
      </c>
      <c r="D492" s="7" t="s">
        <v>66</v>
      </c>
      <c r="E492" s="7" t="s">
        <v>5085</v>
      </c>
      <c r="F492" s="7" t="s">
        <v>5084</v>
      </c>
      <c r="G492" s="122"/>
      <c r="H492" s="7"/>
      <c r="I492" s="7"/>
      <c r="J492" s="122" t="s">
        <v>4183</v>
      </c>
      <c r="K492" s="7">
        <v>2035</v>
      </c>
      <c r="L492" s="127">
        <v>2022</v>
      </c>
      <c r="M492" s="122" t="s">
        <v>1957</v>
      </c>
      <c r="N492" s="7" t="s">
        <v>5042</v>
      </c>
      <c r="O492" s="7">
        <v>2050</v>
      </c>
      <c r="P492" s="7" cm="1">
        <f t="array" ref="P492">IF(O492="", "", IFERROR(MAX(--_xlfn.TEXTSPLIT(O492,"+")), O492))</f>
        <v>2050</v>
      </c>
      <c r="Q492" s="7">
        <v>2021</v>
      </c>
      <c r="R492" s="126" t="s">
        <v>5083</v>
      </c>
      <c r="S492" s="7"/>
      <c r="T492" s="7"/>
      <c r="U492" s="7"/>
      <c r="V492" s="7" t="str" cm="1">
        <f t="array" ref="V492">IF(U492="", "", IFERROR(MAX(--_xlfn.TEXTSPLIT(U492,"+")), U492))</f>
        <v/>
      </c>
      <c r="W492" s="7"/>
      <c r="X492" s="7"/>
      <c r="Y492" s="122" t="s">
        <v>4174</v>
      </c>
      <c r="Z492" s="7" t="s">
        <v>5082</v>
      </c>
      <c r="AA492" s="126" t="s">
        <v>5081</v>
      </c>
      <c r="AB492" s="7">
        <v>2022</v>
      </c>
      <c r="AC492" s="124">
        <v>16273</v>
      </c>
      <c r="AD492" s="7"/>
      <c r="AE492" s="124">
        <v>23033</v>
      </c>
      <c r="AF492" s="124">
        <v>22134</v>
      </c>
      <c r="AG492" s="7" t="s">
        <v>5032</v>
      </c>
      <c r="AH492" s="124">
        <f>AC492+AE492</f>
        <v>39306</v>
      </c>
      <c r="AI492" s="124">
        <f>AF492+AH492</f>
        <v>61440</v>
      </c>
      <c r="AJ492" s="7">
        <v>2021</v>
      </c>
      <c r="AK492" s="124">
        <v>15536</v>
      </c>
      <c r="AL492" s="7"/>
      <c r="AM492" s="124">
        <v>20829</v>
      </c>
      <c r="AN492" s="124">
        <v>22247</v>
      </c>
      <c r="AO492" s="124">
        <f>AK492+AM492</f>
        <v>36365</v>
      </c>
      <c r="AP492" s="124">
        <f>AN492+AO492</f>
        <v>58612</v>
      </c>
      <c r="AQ492" s="27" t="s">
        <v>5080</v>
      </c>
      <c r="AR492" s="7" t="str">
        <f>_xlfn.XLOOKUP(C492,Sheet1!A:A,Sheet1!B:B, "Other")</f>
        <v>Europe</v>
      </c>
      <c r="AS492" t="str">
        <f>_xlfn.XLOOKUP(D492,Sheet1!D:D,Sheet1!E:E)</f>
        <v>Chemicals</v>
      </c>
    </row>
    <row r="493" spans="1:45" ht="18" customHeight="1">
      <c r="A493" s="7">
        <v>489</v>
      </c>
      <c r="B493" s="7" t="s">
        <v>4473</v>
      </c>
      <c r="C493" s="7" t="s">
        <v>4457</v>
      </c>
      <c r="D493" s="7" t="s">
        <v>319</v>
      </c>
      <c r="E493" s="7" t="s">
        <v>5079</v>
      </c>
      <c r="F493" s="7" t="s">
        <v>5078</v>
      </c>
      <c r="G493" s="122"/>
      <c r="H493" s="7"/>
      <c r="I493" s="7"/>
      <c r="J493" s="122" t="s">
        <v>1960</v>
      </c>
      <c r="K493" s="7"/>
      <c r="L493" s="127" t="s">
        <v>1960</v>
      </c>
      <c r="M493" s="122"/>
      <c r="N493" s="7"/>
      <c r="O493" s="7"/>
      <c r="P493" s="7" t="str" cm="1">
        <f t="array" ref="P493">IF(O493="", "", IFERROR(MAX(--_xlfn.TEXTSPLIT(O493,"+")), O493))</f>
        <v/>
      </c>
      <c r="Q493" s="7"/>
      <c r="R493" s="109"/>
      <c r="S493" s="7"/>
      <c r="T493" s="7"/>
      <c r="U493" s="7"/>
      <c r="V493" s="7" t="str" cm="1">
        <f t="array" ref="V493">IF(U493="", "", IFERROR(MAX(--_xlfn.TEXTSPLIT(U493,"+")), U493))</f>
        <v/>
      </c>
      <c r="W493" s="7"/>
      <c r="X493" s="7"/>
      <c r="Y493" s="122"/>
      <c r="Z493" s="7"/>
      <c r="AA493" s="126"/>
      <c r="AB493" s="7">
        <v>2021</v>
      </c>
      <c r="AC493" s="7">
        <v>155974</v>
      </c>
      <c r="AD493" s="7">
        <v>216493</v>
      </c>
      <c r="AE493" s="7">
        <v>226042</v>
      </c>
      <c r="AF493" s="7"/>
      <c r="AG493" s="7" t="s">
        <v>5032</v>
      </c>
      <c r="AH493" s="7">
        <f>AE493+AC493</f>
        <v>382016</v>
      </c>
      <c r="AI493" s="7">
        <f>AH493</f>
        <v>382016</v>
      </c>
      <c r="AJ493" s="7">
        <v>2020</v>
      </c>
      <c r="AK493" s="7">
        <v>141040</v>
      </c>
      <c r="AL493" s="7">
        <v>208642</v>
      </c>
      <c r="AM493" s="7">
        <v>233726</v>
      </c>
      <c r="AN493" s="7"/>
      <c r="AO493" s="7">
        <f>AK493+AM493</f>
        <v>374766</v>
      </c>
      <c r="AP493" s="7">
        <f>AO493</f>
        <v>374766</v>
      </c>
      <c r="AQ493" s="27" t="s">
        <v>5077</v>
      </c>
      <c r="AR493" s="7" t="str">
        <f>_xlfn.XLOOKUP(C493,Sheet1!A:A,Sheet1!B:B, "Other")</f>
        <v>North America</v>
      </c>
      <c r="AS493" t="str">
        <f>_xlfn.XLOOKUP(D493,Sheet1!D:D,Sheet1!E:E)</f>
        <v>Health care and pharmaceuticals</v>
      </c>
    </row>
    <row r="494" spans="1:45" ht="18" customHeight="1">
      <c r="A494" s="7">
        <v>490</v>
      </c>
      <c r="B494" s="7" t="s">
        <v>4247</v>
      </c>
      <c r="C494" s="7" t="s">
        <v>146</v>
      </c>
      <c r="D494" s="7" t="s">
        <v>71</v>
      </c>
      <c r="E494" s="7" t="s">
        <v>5076</v>
      </c>
      <c r="F494" s="7" t="s">
        <v>5075</v>
      </c>
      <c r="G494" s="122"/>
      <c r="H494" s="7"/>
      <c r="I494" s="7"/>
      <c r="J494" s="122" t="s">
        <v>4183</v>
      </c>
      <c r="K494" s="7">
        <v>2030</v>
      </c>
      <c r="L494" s="127">
        <v>2021</v>
      </c>
      <c r="M494" s="122" t="s">
        <v>1957</v>
      </c>
      <c r="N494" s="7" t="s">
        <v>3793</v>
      </c>
      <c r="O494" s="7">
        <v>2030</v>
      </c>
      <c r="P494" s="7" cm="1">
        <f t="array" ref="P494">IF(O494="", "", IFERROR(MAX(--_xlfn.TEXTSPLIT(O494,"+")), O494))</f>
        <v>2030</v>
      </c>
      <c r="Q494" s="7">
        <v>2021</v>
      </c>
      <c r="R494" s="126" t="s">
        <v>5074</v>
      </c>
      <c r="S494" s="7"/>
      <c r="T494" s="7"/>
      <c r="U494" s="7"/>
      <c r="V494" s="7" t="str" cm="1">
        <f t="array" ref="V494">IF(U494="", "", IFERROR(MAX(--_xlfn.TEXTSPLIT(U494,"+")), U494))</f>
        <v/>
      </c>
      <c r="W494" s="7"/>
      <c r="X494" s="7"/>
      <c r="Y494" s="122" t="s">
        <v>4174</v>
      </c>
      <c r="Z494" s="7" t="s">
        <v>5073</v>
      </c>
      <c r="AA494" s="126" t="s">
        <v>5072</v>
      </c>
      <c r="AB494" s="7">
        <v>2022</v>
      </c>
      <c r="AC494" s="7"/>
      <c r="AD494" s="7"/>
      <c r="AE494" s="7"/>
      <c r="AF494" s="7">
        <f>1323012+5081</f>
        <v>1328093</v>
      </c>
      <c r="AG494" s="7" t="s">
        <v>4174</v>
      </c>
      <c r="AH494" s="7">
        <v>215000</v>
      </c>
      <c r="AI494" s="7">
        <f>AH494+AF494</f>
        <v>1543093</v>
      </c>
      <c r="AJ494" s="7">
        <v>2021</v>
      </c>
      <c r="AK494" s="7"/>
      <c r="AL494" s="7"/>
      <c r="AM494" s="7"/>
      <c r="AN494" s="7">
        <f>1369163+4433000</f>
        <v>5802163</v>
      </c>
      <c r="AO494" s="7">
        <v>273000</v>
      </c>
      <c r="AP494" s="7">
        <f>AO494+AN494</f>
        <v>6075163</v>
      </c>
      <c r="AQ494" s="27" t="s">
        <v>5072</v>
      </c>
      <c r="AR494" s="7" t="str">
        <f>_xlfn.XLOOKUP(C494,Sheet1!A:A,Sheet1!B:B, "Other")</f>
        <v>Europe</v>
      </c>
      <c r="AS494" t="str">
        <f>_xlfn.XLOOKUP(D494,Sheet1!D:D,Sheet1!E:E)</f>
        <v>Energy and utilities</v>
      </c>
    </row>
    <row r="495" spans="1:45" ht="18" customHeight="1">
      <c r="A495" s="7">
        <v>491</v>
      </c>
      <c r="B495" s="7" t="s">
        <v>5071</v>
      </c>
      <c r="C495" s="7" t="s">
        <v>4457</v>
      </c>
      <c r="D495" s="7" t="s">
        <v>186</v>
      </c>
      <c r="E495" s="7" t="s">
        <v>5070</v>
      </c>
      <c r="F495" s="7" t="s">
        <v>5069</v>
      </c>
      <c r="G495" s="122"/>
      <c r="H495" s="7"/>
      <c r="I495" s="7"/>
      <c r="J495" s="122" t="s">
        <v>4183</v>
      </c>
      <c r="K495" s="7">
        <v>2030</v>
      </c>
      <c r="L495" s="127">
        <v>2019</v>
      </c>
      <c r="M495" s="122"/>
      <c r="N495" s="7"/>
      <c r="O495" s="7"/>
      <c r="P495" s="7" t="str" cm="1">
        <f t="array" ref="P495">IF(O495="", "", IFERROR(MAX(--_xlfn.TEXTSPLIT(O495,"+")), O495))</f>
        <v/>
      </c>
      <c r="Q495" s="7"/>
      <c r="R495" s="109"/>
      <c r="S495" s="7" t="s">
        <v>4172</v>
      </c>
      <c r="T495" s="7" t="s">
        <v>1968</v>
      </c>
      <c r="U495" s="7">
        <v>2021</v>
      </c>
      <c r="V495" s="7" cm="1">
        <f t="array" ref="V495">IF(U495="", "", IFERROR(MAX(--_xlfn.TEXTSPLIT(U495,"+")), U495))</f>
        <v>2021</v>
      </c>
      <c r="W495" s="7">
        <v>2021</v>
      </c>
      <c r="X495" s="125" t="s">
        <v>5068</v>
      </c>
      <c r="Y495" s="122" t="s">
        <v>4174</v>
      </c>
      <c r="Z495" s="7" t="s">
        <v>5067</v>
      </c>
      <c r="AA495" s="126" t="s">
        <v>5066</v>
      </c>
      <c r="AB495" s="7">
        <v>2022</v>
      </c>
      <c r="AC495" s="124">
        <v>4000</v>
      </c>
      <c r="AD495" s="124">
        <v>280000</v>
      </c>
      <c r="AE495" s="124">
        <v>67000</v>
      </c>
      <c r="AF495" s="124">
        <v>1267000</v>
      </c>
      <c r="AG495" s="7" t="s">
        <v>4174</v>
      </c>
      <c r="AH495" s="124">
        <f>AC495+AE495</f>
        <v>71000</v>
      </c>
      <c r="AI495" s="124">
        <f>AF495+AH495</f>
        <v>1338000</v>
      </c>
      <c r="AJ495" s="7">
        <v>2021</v>
      </c>
      <c r="AK495" s="124">
        <v>6000</v>
      </c>
      <c r="AL495" s="124">
        <v>286000</v>
      </c>
      <c r="AM495" s="124">
        <v>86000</v>
      </c>
      <c r="AN495" s="124">
        <v>1004000</v>
      </c>
      <c r="AO495" s="124">
        <f>AK495+AM495</f>
        <v>92000</v>
      </c>
      <c r="AP495" s="124">
        <f>AN495+AO495</f>
        <v>1096000</v>
      </c>
      <c r="AQ495" s="27" t="s">
        <v>5065</v>
      </c>
      <c r="AR495" s="7" t="str">
        <f>_xlfn.XLOOKUP(C495,Sheet1!A:A,Sheet1!B:B, "Other")</f>
        <v>North America</v>
      </c>
      <c r="AS495" t="str">
        <f>_xlfn.XLOOKUP(D495,Sheet1!D:D,Sheet1!E:E)</f>
        <v>Technology</v>
      </c>
    </row>
    <row r="496" spans="1:45" ht="18" customHeight="1">
      <c r="A496" s="7">
        <v>492</v>
      </c>
      <c r="B496" s="7" t="s">
        <v>4477</v>
      </c>
      <c r="C496" s="7" t="s">
        <v>4457</v>
      </c>
      <c r="D496" s="7" t="s">
        <v>258</v>
      </c>
      <c r="E496" s="7" t="s">
        <v>5064</v>
      </c>
      <c r="F496" s="7" t="s">
        <v>5063</v>
      </c>
      <c r="G496" s="122"/>
      <c r="H496" s="7"/>
      <c r="I496" s="7"/>
      <c r="J496" s="122" t="s">
        <v>1957</v>
      </c>
      <c r="K496" s="7"/>
      <c r="L496" s="127">
        <v>2021</v>
      </c>
      <c r="M496" s="122"/>
      <c r="N496" s="7"/>
      <c r="O496" s="7"/>
      <c r="P496" s="7" t="str" cm="1">
        <f t="array" ref="P496">IF(O496="", "", IFERROR(MAX(--_xlfn.TEXTSPLIT(O496,"+")), O496))</f>
        <v/>
      </c>
      <c r="Q496" s="7"/>
      <c r="R496" s="109"/>
      <c r="S496" s="7"/>
      <c r="T496" s="7"/>
      <c r="U496" s="7"/>
      <c r="V496" s="7" t="str" cm="1">
        <f t="array" ref="V496">IF(U496="", "", IFERROR(MAX(--_xlfn.TEXTSPLIT(U496,"+")), U496))</f>
        <v/>
      </c>
      <c r="W496" s="7"/>
      <c r="X496" s="7"/>
      <c r="Y496" s="122" t="s">
        <v>4174</v>
      </c>
      <c r="Z496" s="7" t="s">
        <v>5062</v>
      </c>
      <c r="AA496" s="126" t="s">
        <v>5061</v>
      </c>
      <c r="AB496" s="7">
        <v>2021</v>
      </c>
      <c r="AC496" s="124">
        <v>173281</v>
      </c>
      <c r="AD496" s="7">
        <v>122144</v>
      </c>
      <c r="AE496" s="7">
        <v>127690</v>
      </c>
      <c r="AF496" s="7">
        <v>1739593</v>
      </c>
      <c r="AG496" s="7" t="s">
        <v>5032</v>
      </c>
      <c r="AH496" s="124">
        <f>AC496+AE496</f>
        <v>300971</v>
      </c>
      <c r="AI496" s="124">
        <f>AH496+AF496</f>
        <v>2040564</v>
      </c>
      <c r="AJ496" s="7">
        <v>2020</v>
      </c>
      <c r="AK496" s="7">
        <v>87539</v>
      </c>
      <c r="AL496" s="7">
        <v>139608</v>
      </c>
      <c r="AM496" s="7">
        <v>134333</v>
      </c>
      <c r="AN496" s="7">
        <v>1436688</v>
      </c>
      <c r="AO496" s="7">
        <f>AK496+AM496</f>
        <v>221872</v>
      </c>
      <c r="AP496" s="7">
        <f>AO496+AN496</f>
        <v>1658560</v>
      </c>
      <c r="AQ496" s="27" t="s">
        <v>5060</v>
      </c>
      <c r="AR496" s="7" t="str">
        <f>_xlfn.XLOOKUP(C496,Sheet1!A:A,Sheet1!B:B, "Other")</f>
        <v>North America</v>
      </c>
      <c r="AS496" t="str">
        <f>_xlfn.XLOOKUP(D496,Sheet1!D:D,Sheet1!E:E)</f>
        <v>Telecommunications and media</v>
      </c>
    </row>
    <row r="497" spans="1:45" ht="18" customHeight="1">
      <c r="A497" s="7">
        <v>493</v>
      </c>
      <c r="B497" s="7" t="s">
        <v>4496</v>
      </c>
      <c r="C497" s="7" t="s">
        <v>73</v>
      </c>
      <c r="D497" s="7" t="s">
        <v>135</v>
      </c>
      <c r="E497" s="7" t="s">
        <v>5059</v>
      </c>
      <c r="F497" s="7" t="s">
        <v>5058</v>
      </c>
      <c r="G497" s="122"/>
      <c r="H497" s="7"/>
      <c r="I497" s="7"/>
      <c r="J497" s="122" t="s">
        <v>1960</v>
      </c>
      <c r="K497" s="7"/>
      <c r="L497" s="127" t="s">
        <v>1960</v>
      </c>
      <c r="M497" s="122"/>
      <c r="N497" s="7"/>
      <c r="O497" s="7"/>
      <c r="P497" s="7" t="str" cm="1">
        <f t="array" ref="P497">IF(O497="", "", IFERROR(MAX(--_xlfn.TEXTSPLIT(O497,"+")), O497))</f>
        <v/>
      </c>
      <c r="Q497" s="7"/>
      <c r="R497" s="109"/>
      <c r="S497" s="7"/>
      <c r="T497" s="7"/>
      <c r="U497" s="7"/>
      <c r="V497" s="7" t="str" cm="1">
        <f t="array" ref="V497">IF(U497="", "", IFERROR(MAX(--_xlfn.TEXTSPLIT(U497,"+")), U497))</f>
        <v/>
      </c>
      <c r="W497" s="7"/>
      <c r="X497" s="7"/>
      <c r="Y497" s="122"/>
      <c r="Z497" s="7"/>
      <c r="AA497" s="109"/>
      <c r="AB497" s="7" t="s">
        <v>5032</v>
      </c>
      <c r="AC497" s="7"/>
      <c r="AD497" s="7"/>
      <c r="AE497" s="7"/>
      <c r="AF497" s="7"/>
      <c r="AG497" s="7" t="s">
        <v>5032</v>
      </c>
      <c r="AH497" s="7"/>
      <c r="AI497" s="7"/>
      <c r="AJ497" s="7" t="s">
        <v>5032</v>
      </c>
      <c r="AK497" s="7"/>
      <c r="AL497" s="7"/>
      <c r="AM497" s="7"/>
      <c r="AN497" s="7"/>
      <c r="AO497" s="7"/>
      <c r="AP497" s="7"/>
      <c r="AQ497" s="7"/>
      <c r="AR497" s="7" t="str">
        <f>_xlfn.XLOOKUP(C497,Sheet1!A:A,Sheet1!B:B, "Other")</f>
        <v>Asia</v>
      </c>
      <c r="AS497" t="str">
        <f>_xlfn.XLOOKUP(D497,Sheet1!D:D,Sheet1!E:E)</f>
        <v>Engineering and construction</v>
      </c>
    </row>
    <row r="498" spans="1:45" ht="18" customHeight="1">
      <c r="A498" s="7">
        <v>494</v>
      </c>
      <c r="B498" s="7" t="s">
        <v>591</v>
      </c>
      <c r="C498" s="7" t="s">
        <v>207</v>
      </c>
      <c r="D498" s="7" t="s">
        <v>171</v>
      </c>
      <c r="E498" s="7" t="s">
        <v>5057</v>
      </c>
      <c r="F498" s="7" t="s">
        <v>5056</v>
      </c>
      <c r="G498" s="122"/>
      <c r="H498" s="7"/>
      <c r="I498" s="7"/>
      <c r="J498" s="122" t="s">
        <v>4183</v>
      </c>
      <c r="K498" s="7">
        <v>2030</v>
      </c>
      <c r="L498" s="127">
        <v>2023</v>
      </c>
      <c r="M498" s="122" t="s">
        <v>1957</v>
      </c>
      <c r="N498" s="7" t="s">
        <v>109</v>
      </c>
      <c r="O498" s="7">
        <v>2050</v>
      </c>
      <c r="P498" s="7" cm="1">
        <f t="array" ref="P498">IF(O498="", "", IFERROR(MAX(--_xlfn.TEXTSPLIT(O498,"+")), O498))</f>
        <v>2050</v>
      </c>
      <c r="Q498" s="7">
        <v>2020</v>
      </c>
      <c r="R498" s="126" t="s">
        <v>4474</v>
      </c>
      <c r="S498" s="7"/>
      <c r="T498" s="7"/>
      <c r="U498" s="7"/>
      <c r="V498" s="7" t="str" cm="1">
        <f t="array" ref="V498">IF(U498="", "", IFERROR(MAX(--_xlfn.TEXTSPLIT(U498,"+")), U498))</f>
        <v/>
      </c>
      <c r="W498" s="7"/>
      <c r="X498" s="7"/>
      <c r="Y498" s="122"/>
      <c r="Z498" s="7"/>
      <c r="AA498" s="126"/>
      <c r="AB498" s="7">
        <v>2022</v>
      </c>
      <c r="AC498" s="7">
        <v>1711000</v>
      </c>
      <c r="AD498" s="7"/>
      <c r="AE498" s="7">
        <v>1370000</v>
      </c>
      <c r="AF498" s="7">
        <v>109688000</v>
      </c>
      <c r="AG498" s="7" t="s">
        <v>4174</v>
      </c>
      <c r="AH498" s="7">
        <f>AC498+AE498</f>
        <v>3081000</v>
      </c>
      <c r="AI498" s="7">
        <f>AH498+AF498</f>
        <v>112769000</v>
      </c>
      <c r="AJ498" s="7">
        <v>2021</v>
      </c>
      <c r="AK498" s="7">
        <v>1722000</v>
      </c>
      <c r="AL498" s="7"/>
      <c r="AM498" s="7">
        <v>1664000</v>
      </c>
      <c r="AN498" s="7">
        <v>113421000</v>
      </c>
      <c r="AO498" s="7">
        <f>AK498+AM498</f>
        <v>3386000</v>
      </c>
      <c r="AP498" s="7">
        <f>AO498+AN498</f>
        <v>116807000</v>
      </c>
      <c r="AQ498" s="27" t="s">
        <v>5055</v>
      </c>
      <c r="AR498" s="7" t="str">
        <f>_xlfn.XLOOKUP(C498,Sheet1!A:A,Sheet1!B:B, "Other")</f>
        <v>Asia</v>
      </c>
      <c r="AS498" t="str">
        <f>_xlfn.XLOOKUP(D498,Sheet1!D:D,Sheet1!E:E)</f>
        <v>Automotive</v>
      </c>
    </row>
    <row r="499" spans="1:45" ht="18" customHeight="1">
      <c r="A499" s="7">
        <v>495</v>
      </c>
      <c r="B499" s="7" t="s">
        <v>3218</v>
      </c>
      <c r="C499" s="7" t="s">
        <v>73</v>
      </c>
      <c r="D499" s="7" t="s">
        <v>76</v>
      </c>
      <c r="E499" s="7" t="s">
        <v>5054</v>
      </c>
      <c r="F499" s="7" t="s">
        <v>5053</v>
      </c>
      <c r="G499" s="122"/>
      <c r="H499" s="7"/>
      <c r="I499" s="7"/>
      <c r="J499" s="122" t="s">
        <v>1960</v>
      </c>
      <c r="K499" s="7"/>
      <c r="L499" s="127" t="s">
        <v>1960</v>
      </c>
      <c r="M499" s="122"/>
      <c r="N499" s="7"/>
      <c r="O499" s="7"/>
      <c r="P499" s="7" t="str" cm="1">
        <f t="array" ref="P499">IF(O499="", "", IFERROR(MAX(--_xlfn.TEXTSPLIT(O499,"+")), O499))</f>
        <v/>
      </c>
      <c r="Q499" s="7"/>
      <c r="R499" s="109"/>
      <c r="S499" s="7"/>
      <c r="T499" s="7"/>
      <c r="U499" s="7"/>
      <c r="V499" s="7" t="str" cm="1">
        <f t="array" ref="V499">IF(U499="", "", IFERROR(MAX(--_xlfn.TEXTSPLIT(U499,"+")), U499))</f>
        <v/>
      </c>
      <c r="W499" s="7"/>
      <c r="X499" s="7"/>
      <c r="Y499" s="122"/>
      <c r="Z499" s="7"/>
      <c r="AA499" s="109"/>
      <c r="AB499" s="7" t="s">
        <v>5032</v>
      </c>
      <c r="AC499" s="7"/>
      <c r="AD499" s="7"/>
      <c r="AE499" s="7"/>
      <c r="AF499" s="7"/>
      <c r="AG499" s="7" t="s">
        <v>5032</v>
      </c>
      <c r="AH499" s="7"/>
      <c r="AI499" s="7"/>
      <c r="AJ499" s="7"/>
      <c r="AK499" s="7"/>
      <c r="AL499" s="7"/>
      <c r="AM499" s="7"/>
      <c r="AN499" s="7"/>
      <c r="AO499" s="7"/>
      <c r="AP499" s="7"/>
      <c r="AQ499" s="7"/>
      <c r="AR499" s="7" t="str">
        <f>_xlfn.XLOOKUP(C499,Sheet1!A:A,Sheet1!B:B, "Other")</f>
        <v>Asia</v>
      </c>
      <c r="AS499" t="str">
        <f>_xlfn.XLOOKUP(D499,Sheet1!D:D,Sheet1!E:E)</f>
        <v>Financial services</v>
      </c>
    </row>
    <row r="500" spans="1:45" ht="18" customHeight="1">
      <c r="A500" s="7">
        <v>496</v>
      </c>
      <c r="B500" s="7" t="s">
        <v>370</v>
      </c>
      <c r="C500" s="7" t="s">
        <v>114</v>
      </c>
      <c r="D500" s="7" t="s">
        <v>76</v>
      </c>
      <c r="E500" s="7" t="s">
        <v>5052</v>
      </c>
      <c r="F500" s="7" t="s">
        <v>5051</v>
      </c>
      <c r="G500" s="122" t="s">
        <v>4174</v>
      </c>
      <c r="H500" s="7">
        <v>2040</v>
      </c>
      <c r="I500" s="7">
        <v>2023</v>
      </c>
      <c r="J500" s="122" t="s">
        <v>1960</v>
      </c>
      <c r="K500" s="7"/>
      <c r="L500" s="127" t="s">
        <v>1960</v>
      </c>
      <c r="M500" s="122" t="s">
        <v>5050</v>
      </c>
      <c r="N500" s="7" t="s">
        <v>4274</v>
      </c>
      <c r="O500" s="7">
        <v>2050</v>
      </c>
      <c r="P500" s="7" cm="1">
        <f t="array" ref="P500">IF(O500="", "", IFERROR(MAX(--_xlfn.TEXTSPLIT(O500,"+")), O500))</f>
        <v>2050</v>
      </c>
      <c r="Q500" s="7">
        <v>2021</v>
      </c>
      <c r="R500" s="126" t="s">
        <v>5049</v>
      </c>
      <c r="S500" s="7"/>
      <c r="T500" s="7"/>
      <c r="U500" s="7"/>
      <c r="V500" s="7" t="str" cm="1">
        <f t="array" ref="V500">IF(U500="", "", IFERROR(MAX(--_xlfn.TEXTSPLIT(U500,"+")), U500))</f>
        <v/>
      </c>
      <c r="W500" s="7"/>
      <c r="X500" s="7"/>
      <c r="Y500" s="122"/>
      <c r="Z500" s="7"/>
      <c r="AA500" s="109"/>
      <c r="AB500" s="7">
        <v>2021</v>
      </c>
      <c r="AC500" s="124">
        <v>27878</v>
      </c>
      <c r="AD500" s="7"/>
      <c r="AE500" s="124">
        <v>34374</v>
      </c>
      <c r="AF500" s="7">
        <f>170.7+163.2+1508.8+9.2+6+20.8+20550000+20000+4420000+130000+70000+25230000</f>
        <v>50421878.700000003</v>
      </c>
      <c r="AG500" s="7" t="s">
        <v>5032</v>
      </c>
      <c r="AH500" s="124">
        <f>AC500+AE500</f>
        <v>62252</v>
      </c>
      <c r="AI500" s="129">
        <f>AH500+AF500</f>
        <v>50484130.700000003</v>
      </c>
      <c r="AJ500" s="7">
        <v>2020</v>
      </c>
      <c r="AK500" s="124">
        <v>27878</v>
      </c>
      <c r="AL500" s="7"/>
      <c r="AM500" s="124">
        <v>34374</v>
      </c>
      <c r="AN500" s="7"/>
      <c r="AO500" s="124">
        <v>66825</v>
      </c>
      <c r="AP500" s="124">
        <f>AO500+AN500</f>
        <v>66825</v>
      </c>
      <c r="AQ500" s="27" t="s">
        <v>5049</v>
      </c>
      <c r="AR500" s="7" t="str">
        <f>_xlfn.XLOOKUP(C500,Sheet1!A:A,Sheet1!B:B, "Other")</f>
        <v>Asia</v>
      </c>
      <c r="AS500" t="str">
        <f>_xlfn.XLOOKUP(D500,Sheet1!D:D,Sheet1!E:E)</f>
        <v>Financial services</v>
      </c>
    </row>
    <row r="501" spans="1:45" ht="18" customHeight="1">
      <c r="A501" s="7">
        <v>497</v>
      </c>
      <c r="B501" s="7" t="s">
        <v>582</v>
      </c>
      <c r="C501" s="7" t="s">
        <v>207</v>
      </c>
      <c r="D501" s="7" t="s">
        <v>76</v>
      </c>
      <c r="E501" s="7" t="s">
        <v>5048</v>
      </c>
      <c r="F501" s="7" t="s">
        <v>5047</v>
      </c>
      <c r="G501" s="122"/>
      <c r="H501" s="7"/>
      <c r="I501" s="7"/>
      <c r="J501" s="122" t="s">
        <v>1960</v>
      </c>
      <c r="K501" s="7"/>
      <c r="L501" s="127" t="s">
        <v>1960</v>
      </c>
      <c r="M501" s="122"/>
      <c r="N501" s="7"/>
      <c r="O501" s="7"/>
      <c r="P501" s="7" t="str" cm="1">
        <f t="array" ref="P501">IF(O501="", "", IFERROR(MAX(--_xlfn.TEXTSPLIT(O501,"+")), O501))</f>
        <v/>
      </c>
      <c r="Q501" s="7"/>
      <c r="R501" s="128"/>
      <c r="S501" s="7" t="s">
        <v>4172</v>
      </c>
      <c r="T501" s="7" t="s">
        <v>1968</v>
      </c>
      <c r="U501" s="7">
        <v>2050</v>
      </c>
      <c r="V501" s="7" cm="1">
        <f t="array" ref="V501">IF(U501="", "", IFERROR(MAX(--_xlfn.TEXTSPLIT(U501,"+")), U501))</f>
        <v>2050</v>
      </c>
      <c r="W501" s="7">
        <v>2021</v>
      </c>
      <c r="X501" s="125" t="s">
        <v>4531</v>
      </c>
      <c r="Y501" s="122" t="s">
        <v>4174</v>
      </c>
      <c r="Z501" s="7" t="s">
        <v>5046</v>
      </c>
      <c r="AA501" s="126" t="s">
        <v>5045</v>
      </c>
      <c r="AB501" s="7">
        <v>2021</v>
      </c>
      <c r="AC501" s="124">
        <v>2268</v>
      </c>
      <c r="AD501" s="7"/>
      <c r="AE501" s="124">
        <v>28308</v>
      </c>
      <c r="AF501" s="124">
        <v>122255</v>
      </c>
      <c r="AG501" s="7" t="s">
        <v>5032</v>
      </c>
      <c r="AH501" s="7">
        <f>AC501+AE501</f>
        <v>30576</v>
      </c>
      <c r="AI501" s="7">
        <f>AH501+AF501</f>
        <v>152831</v>
      </c>
      <c r="AJ501" s="7">
        <v>2020</v>
      </c>
      <c r="AK501" s="124">
        <v>2340</v>
      </c>
      <c r="AL501" s="7"/>
      <c r="AM501" s="124">
        <v>28137</v>
      </c>
      <c r="AN501" s="124">
        <v>123706</v>
      </c>
      <c r="AO501" s="7">
        <f>AK501+AM501</f>
        <v>30477</v>
      </c>
      <c r="AP501" s="7">
        <f>AN501+AO501</f>
        <v>154183</v>
      </c>
      <c r="AQ501" s="27" t="s">
        <v>5045</v>
      </c>
      <c r="AR501" s="7" t="str">
        <f>_xlfn.XLOOKUP(C501,Sheet1!A:A,Sheet1!B:B, "Other")</f>
        <v>Asia</v>
      </c>
      <c r="AS501" t="str">
        <f>_xlfn.XLOOKUP(D501,Sheet1!D:D,Sheet1!E:E)</f>
        <v>Financial services</v>
      </c>
    </row>
    <row r="502" spans="1:45" ht="18" customHeight="1">
      <c r="A502" s="7">
        <v>498</v>
      </c>
      <c r="B502" s="7" t="s">
        <v>4545</v>
      </c>
      <c r="C502" s="7" t="s">
        <v>4457</v>
      </c>
      <c r="D502" s="7" t="s">
        <v>454</v>
      </c>
      <c r="E502" s="7" t="s">
        <v>5044</v>
      </c>
      <c r="F502" s="7" t="s">
        <v>5043</v>
      </c>
      <c r="G502" s="122"/>
      <c r="H502" s="7"/>
      <c r="I502" s="7"/>
      <c r="J502" s="122" t="s">
        <v>1960</v>
      </c>
      <c r="K502" s="7"/>
      <c r="L502" s="127" t="s">
        <v>1960</v>
      </c>
      <c r="M502" s="122"/>
      <c r="N502" s="7"/>
      <c r="O502" s="7"/>
      <c r="P502" s="7" t="str" cm="1">
        <f t="array" ref="P502">IF(O502="", "", IFERROR(MAX(--_xlfn.TEXTSPLIT(O502,"+")), O502))</f>
        <v/>
      </c>
      <c r="Q502" s="7"/>
      <c r="R502" s="109"/>
      <c r="S502" s="7" t="s">
        <v>1957</v>
      </c>
      <c r="T502" s="7" t="s">
        <v>5042</v>
      </c>
      <c r="U502" s="7">
        <v>2050</v>
      </c>
      <c r="V502" s="7" cm="1">
        <f t="array" ref="V502">IF(U502="", "", IFERROR(MAX(--_xlfn.TEXTSPLIT(U502,"+")), U502))</f>
        <v>2050</v>
      </c>
      <c r="W502" s="7">
        <v>2021</v>
      </c>
      <c r="X502" s="125" t="s">
        <v>5041</v>
      </c>
      <c r="Y502" s="122"/>
      <c r="Z502" s="7"/>
      <c r="AA502" s="109"/>
      <c r="AB502" s="7">
        <v>2022</v>
      </c>
      <c r="AC502" s="7">
        <v>103088</v>
      </c>
      <c r="AD502" s="7"/>
      <c r="AE502" s="7">
        <v>56271</v>
      </c>
      <c r="AF502" s="7"/>
      <c r="AG502" s="7" t="s">
        <v>5032</v>
      </c>
      <c r="AH502" s="7">
        <f>AC502+AE502</f>
        <v>159359</v>
      </c>
      <c r="AI502" s="7">
        <f>AH502+AF502</f>
        <v>159359</v>
      </c>
      <c r="AJ502" s="7">
        <v>2021</v>
      </c>
      <c r="AK502" s="7">
        <v>91650</v>
      </c>
      <c r="AL502" s="7"/>
      <c r="AM502" s="7">
        <v>79617</v>
      </c>
      <c r="AN502" s="7"/>
      <c r="AO502" s="7">
        <f>AK502+AM502</f>
        <v>171267</v>
      </c>
      <c r="AP502" s="7">
        <f>AN502+AO502</f>
        <v>171267</v>
      </c>
      <c r="AQ502" s="27" t="s">
        <v>5041</v>
      </c>
      <c r="AR502" s="7" t="str">
        <f>_xlfn.XLOOKUP(C502,Sheet1!A:A,Sheet1!B:B, "Other")</f>
        <v>North America</v>
      </c>
      <c r="AS502" t="str">
        <f>_xlfn.XLOOKUP(D502,Sheet1!D:D,Sheet1!E:E)</f>
        <v>Retail</v>
      </c>
    </row>
    <row r="503" spans="1:45" ht="18" customHeight="1">
      <c r="A503" s="7">
        <v>499</v>
      </c>
      <c r="B503" s="7" t="s">
        <v>711</v>
      </c>
      <c r="C503" s="7" t="s">
        <v>207</v>
      </c>
      <c r="D503" s="7" t="s">
        <v>283</v>
      </c>
      <c r="E503" s="7" t="s">
        <v>5040</v>
      </c>
      <c r="F503" s="7" t="s">
        <v>5039</v>
      </c>
      <c r="G503" s="122"/>
      <c r="H503" s="7"/>
      <c r="I503" s="7"/>
      <c r="J503" s="122" t="s">
        <v>1960</v>
      </c>
      <c r="K503" s="21" t="s">
        <v>1960</v>
      </c>
      <c r="L503" s="109"/>
      <c r="M503" s="122" t="s">
        <v>4172</v>
      </c>
      <c r="N503" s="7" t="s">
        <v>5038</v>
      </c>
      <c r="O503" s="7">
        <v>2040</v>
      </c>
      <c r="P503" s="7" cm="1">
        <f t="array" ref="P503">IF(O503="", "", IFERROR(MAX(--_xlfn.TEXTSPLIT(O503,"+")), O503))</f>
        <v>2040</v>
      </c>
      <c r="Q503" s="7">
        <v>2021</v>
      </c>
      <c r="R503" s="126" t="s">
        <v>4574</v>
      </c>
      <c r="S503" s="7"/>
      <c r="T503" s="7"/>
      <c r="U503" s="7"/>
      <c r="V503" s="7" t="str" cm="1">
        <f t="array" ref="V503">IF(U503="", "", IFERROR(MAX(--_xlfn.TEXTSPLIT(U503,"+")), U503))</f>
        <v/>
      </c>
      <c r="W503" s="125"/>
      <c r="X503" s="7"/>
      <c r="Y503" s="122" t="s">
        <v>4174</v>
      </c>
      <c r="Z503" s="122" t="s">
        <v>5037</v>
      </c>
      <c r="AA503" s="125" t="s">
        <v>5036</v>
      </c>
      <c r="AB503" s="7">
        <v>2022</v>
      </c>
      <c r="AC503" s="7">
        <v>140000</v>
      </c>
      <c r="AD503" s="7"/>
      <c r="AE503" s="7">
        <v>376000</v>
      </c>
      <c r="AF503" s="7">
        <v>1500000000</v>
      </c>
      <c r="AG503" s="7" t="s">
        <v>5032</v>
      </c>
      <c r="AH503" s="124">
        <f>AC503+AE503</f>
        <v>516000</v>
      </c>
      <c r="AI503" s="124">
        <f>AF503+AH503</f>
        <v>1500516000</v>
      </c>
      <c r="AJ503" s="7">
        <v>2021</v>
      </c>
      <c r="AK503" s="7">
        <v>151000</v>
      </c>
      <c r="AL503" s="7"/>
      <c r="AM503" s="7">
        <v>399000</v>
      </c>
      <c r="AN503" s="7"/>
      <c r="AO503" s="123">
        <f>AK503+AM503</f>
        <v>550000</v>
      </c>
      <c r="AP503" s="123">
        <f>AN503+AO503</f>
        <v>550000</v>
      </c>
      <c r="AQ503" s="27" t="s">
        <v>5035</v>
      </c>
      <c r="AR503" s="7" t="str">
        <f>_xlfn.XLOOKUP(C503,Sheet1!A:A,Sheet1!B:B, "Other")</f>
        <v>Asia</v>
      </c>
      <c r="AS503" t="str">
        <f>_xlfn.XLOOKUP(D503,Sheet1!D:D,Sheet1!E:E)</f>
        <v>Industrial goods</v>
      </c>
    </row>
    <row r="504" spans="1:45" ht="18" customHeight="1">
      <c r="A504" s="7">
        <v>500</v>
      </c>
      <c r="B504" s="7" t="s">
        <v>310</v>
      </c>
      <c r="C504" s="7" t="s">
        <v>73</v>
      </c>
      <c r="D504" s="7" t="s">
        <v>91</v>
      </c>
      <c r="E504" s="7" t="s">
        <v>5034</v>
      </c>
      <c r="F504" s="7" t="s">
        <v>5033</v>
      </c>
      <c r="G504" s="122"/>
      <c r="H504" s="7"/>
      <c r="I504" s="7"/>
      <c r="J504" s="122" t="s">
        <v>1960</v>
      </c>
      <c r="K504" s="21" t="s">
        <v>1960</v>
      </c>
      <c r="L504" s="109"/>
      <c r="M504" s="122"/>
      <c r="N504" s="7"/>
      <c r="O504" s="7"/>
      <c r="P504" s="7" t="str" cm="1">
        <f t="array" ref="P504">IF(O504="", "", IFERROR(MAX(--_xlfn.TEXTSPLIT(O504,"+")), O504))</f>
        <v/>
      </c>
      <c r="Q504" s="7"/>
      <c r="R504" s="109"/>
      <c r="S504" s="7"/>
      <c r="T504" s="7"/>
      <c r="U504" s="7"/>
      <c r="V504" s="7" t="str" cm="1">
        <f t="array" ref="V504">IF(U504="", "", IFERROR(MAX(--_xlfn.TEXTSPLIT(U504,"+")), U504))</f>
        <v/>
      </c>
      <c r="W504" s="7"/>
      <c r="X504" s="7"/>
      <c r="Y504" s="122"/>
      <c r="Z504" s="7"/>
      <c r="AA504" s="109"/>
      <c r="AB504" s="7" t="s">
        <v>5032</v>
      </c>
      <c r="AC504" s="7"/>
      <c r="AD504" s="7"/>
      <c r="AE504" s="7"/>
      <c r="AF504" s="7"/>
      <c r="AG504" s="7" t="s">
        <v>5032</v>
      </c>
      <c r="AH504" s="7"/>
      <c r="AI504" s="7"/>
      <c r="AJ504" s="7" t="s">
        <v>5032</v>
      </c>
      <c r="AK504" s="7"/>
      <c r="AL504" s="7"/>
      <c r="AM504" s="7"/>
      <c r="AN504" s="7"/>
      <c r="AO504" s="7"/>
      <c r="AP504" s="7"/>
      <c r="AQ504" s="7"/>
      <c r="AR504" s="7" t="str">
        <f>_xlfn.XLOOKUP(C504,Sheet1!A:A,Sheet1!B:B, "Other")</f>
        <v>Asia</v>
      </c>
      <c r="AS504" t="str">
        <f>_xlfn.XLOOKUP(D504,Sheet1!D:D,Sheet1!E:E)</f>
        <v>Retail</v>
      </c>
    </row>
    <row r="505" spans="1:45" ht="18" customHeight="1">
      <c r="A505" s="7"/>
      <c r="B505" s="7"/>
      <c r="C505" s="7"/>
      <c r="D505" s="7"/>
      <c r="E505" s="7"/>
      <c r="F505" s="7"/>
      <c r="G505" s="122"/>
      <c r="H505" s="7"/>
      <c r="I505" s="7"/>
      <c r="J505" s="122"/>
      <c r="K505" s="7"/>
      <c r="L505" s="127"/>
      <c r="M505" s="122"/>
      <c r="N505" s="7"/>
      <c r="O505" s="7"/>
      <c r="P505" s="223">
        <v>247</v>
      </c>
      <c r="Q505" s="7"/>
      <c r="R505" s="126"/>
      <c r="S505" s="7"/>
      <c r="T505" s="7"/>
      <c r="U505" s="7"/>
      <c r="V505" s="7" t="str" cm="1">
        <f t="array" ref="V505">IF(U505="", "", IFERROR(MAX(--_xlfn.TEXTSPLIT(U505,"+")), U505))</f>
        <v/>
      </c>
      <c r="W505" s="27"/>
      <c r="X505" s="7"/>
      <c r="Y505" s="122"/>
      <c r="Z505" s="7"/>
      <c r="AA505" s="109"/>
      <c r="AB505" s="7"/>
      <c r="AC505" s="7"/>
      <c r="AD505" s="7"/>
      <c r="AE505" s="7"/>
      <c r="AF505" s="7"/>
      <c r="AG505" s="7"/>
      <c r="AH505" s="7"/>
      <c r="AI505" s="7"/>
      <c r="AJ505" s="7"/>
      <c r="AK505" s="7"/>
      <c r="AL505" s="7"/>
      <c r="AM505" s="7"/>
      <c r="AN505" s="7"/>
      <c r="AO505" s="7"/>
      <c r="AP505" s="7"/>
      <c r="AQ505" s="27"/>
      <c r="AR505" s="7">
        <f>_xlfn.XLOOKUP(C505,Sheet1!A:A,Sheet1!B:B, "Other")</f>
        <v>0</v>
      </c>
    </row>
    <row r="506" spans="1:45" ht="18" customHeight="1">
      <c r="A506" s="7"/>
      <c r="B506" s="7"/>
      <c r="C506" s="7"/>
      <c r="D506" s="7"/>
      <c r="E506" s="7"/>
      <c r="F506" s="7"/>
      <c r="G506" s="122"/>
      <c r="H506" s="7"/>
      <c r="I506" s="7"/>
      <c r="J506" s="122"/>
      <c r="K506" s="7"/>
      <c r="L506" s="127"/>
      <c r="M506" s="122"/>
      <c r="N506" s="7"/>
      <c r="O506" s="7"/>
      <c r="P506" s="223" t="str" cm="1">
        <f t="array" ref="P506">IF(O506="", "", IFERROR(MAX(--_xlfn.TEXTSPLIT(O506,"+")), O506))</f>
        <v/>
      </c>
      <c r="Q506" s="7"/>
      <c r="R506" s="126"/>
      <c r="S506" s="7"/>
      <c r="T506" s="7"/>
      <c r="U506" s="7">
        <v>197</v>
      </c>
      <c r="V506" s="7" cm="1">
        <f t="array" ref="V506">IF(U506="", "", IFERROR(MAX(--_xlfn.TEXTSPLIT(U506,"+")), U506))</f>
        <v>197</v>
      </c>
      <c r="W506" s="27"/>
      <c r="X506" s="7"/>
      <c r="Y506" s="122"/>
      <c r="Z506" s="7"/>
      <c r="AA506" s="109"/>
      <c r="AB506" s="7"/>
      <c r="AC506" s="7"/>
      <c r="AD506" s="7"/>
      <c r="AE506" s="7"/>
      <c r="AF506" s="7"/>
      <c r="AG506" s="7"/>
      <c r="AH506" s="7"/>
      <c r="AI506" s="7"/>
      <c r="AJ506" s="7"/>
      <c r="AK506" s="7"/>
      <c r="AL506" s="7"/>
      <c r="AM506" s="7"/>
      <c r="AN506" s="7"/>
      <c r="AO506" s="7"/>
      <c r="AP506" s="7"/>
      <c r="AQ506" s="27"/>
      <c r="AR506" s="7">
        <f>_xlfn.XLOOKUP(C506,Sheet1!A:A,Sheet1!B:B, "Other")</f>
        <v>0</v>
      </c>
    </row>
    <row r="507" spans="1:45" ht="18" customHeight="1">
      <c r="A507" s="7"/>
      <c r="B507" s="7"/>
      <c r="C507" s="7"/>
      <c r="D507" s="7"/>
      <c r="E507" s="7"/>
      <c r="F507" s="7"/>
      <c r="G507" s="122"/>
      <c r="H507" s="7">
        <v>74</v>
      </c>
      <c r="I507" s="7"/>
      <c r="J507" s="122"/>
      <c r="K507" s="7"/>
      <c r="L507" s="127"/>
      <c r="M507" s="122"/>
      <c r="N507" s="7"/>
      <c r="O507" s="7"/>
      <c r="P507" s="223" t="str" cm="1">
        <f t="array" ref="P507">IF(O507="", "", IFERROR(MAX(--_xlfn.TEXTSPLIT(O507,"+")), O507))</f>
        <v/>
      </c>
      <c r="Q507" s="7"/>
      <c r="R507" s="126"/>
      <c r="S507" s="7"/>
      <c r="T507" s="7"/>
      <c r="U507" s="7"/>
      <c r="V507" s="223" t="str" cm="1">
        <f t="array" ref="V507">IF(U507="", "", IFERROR(MAX(--_xlfn.TEXTSPLIT(U507,"+")), U507))</f>
        <v/>
      </c>
      <c r="W507" s="27"/>
      <c r="X507" s="7"/>
      <c r="Y507" s="122"/>
      <c r="Z507" s="7"/>
      <c r="AA507" s="109"/>
      <c r="AB507" s="7"/>
      <c r="AC507" s="7"/>
      <c r="AD507" s="7"/>
      <c r="AE507" s="7"/>
      <c r="AF507" s="7"/>
      <c r="AG507" s="7"/>
      <c r="AH507" s="7"/>
      <c r="AI507" s="7"/>
      <c r="AJ507" s="7"/>
      <c r="AK507" s="7"/>
      <c r="AL507" s="7"/>
      <c r="AM507" s="7"/>
      <c r="AN507" s="7"/>
      <c r="AO507" s="7"/>
      <c r="AP507" s="7"/>
      <c r="AQ507" s="27"/>
      <c r="AR507" s="7">
        <f>_xlfn.XLOOKUP(C507,Sheet1!A:A,Sheet1!B:B, "Other")</f>
        <v>0</v>
      </c>
    </row>
    <row r="508" spans="1:45" ht="18" customHeight="1">
      <c r="A508" s="7"/>
      <c r="B508" s="7"/>
      <c r="C508" s="7"/>
      <c r="D508" s="7"/>
      <c r="E508" s="7"/>
      <c r="F508" s="7"/>
      <c r="G508" s="122"/>
      <c r="H508" s="7"/>
      <c r="I508" s="7"/>
      <c r="J508" s="122"/>
      <c r="K508" s="7">
        <v>121</v>
      </c>
      <c r="L508" s="127"/>
      <c r="M508" s="122"/>
      <c r="N508" s="7"/>
      <c r="O508" s="7"/>
      <c r="P508" s="223" t="str" cm="1">
        <f t="array" ref="P508">IF(O508="", "", IFERROR(MAX(--_xlfn.TEXTSPLIT(O508,"+")), O508))</f>
        <v/>
      </c>
      <c r="Q508" s="7"/>
      <c r="R508" s="126"/>
      <c r="S508" s="7"/>
      <c r="T508" s="7"/>
      <c r="U508" s="7"/>
      <c r="V508" s="223" t="str" cm="1">
        <f t="array" ref="V508">IF(U508="", "", IFERROR(MAX(--_xlfn.TEXTSPLIT(U508,"+")), U508))</f>
        <v/>
      </c>
      <c r="W508" s="27"/>
      <c r="X508" s="7"/>
      <c r="Y508" s="122"/>
      <c r="Z508" s="7"/>
      <c r="AA508" s="109"/>
      <c r="AB508" s="7"/>
      <c r="AC508" s="7"/>
      <c r="AD508" s="7"/>
      <c r="AE508" s="7"/>
      <c r="AF508" s="7"/>
      <c r="AG508" s="7"/>
      <c r="AH508" s="7"/>
      <c r="AI508" s="7"/>
      <c r="AJ508" s="7"/>
      <c r="AK508" s="7"/>
      <c r="AL508" s="7"/>
      <c r="AM508" s="7"/>
      <c r="AN508" s="7"/>
      <c r="AO508" s="7"/>
      <c r="AP508" s="7"/>
      <c r="AQ508" s="27"/>
      <c r="AR508" s="7">
        <f>_xlfn.XLOOKUP(C508,Sheet1!A:A,Sheet1!B:B, "Other")</f>
        <v>0</v>
      </c>
    </row>
  </sheetData>
  <mergeCells count="8">
    <mergeCell ref="AY3:BA3"/>
    <mergeCell ref="BB3:BD3"/>
    <mergeCell ref="BE3:BG3"/>
    <mergeCell ref="AV23:AX23"/>
    <mergeCell ref="AY23:BA23"/>
    <mergeCell ref="BB23:BD23"/>
    <mergeCell ref="BE23:BG23"/>
    <mergeCell ref="AV3:AX3"/>
  </mergeCells>
  <phoneticPr fontId="38" type="noConversion"/>
  <hyperlinks>
    <hyperlink ref="R212" r:id="rId1" xr:uid="{EA93E918-E786-4C92-BC76-2E706086646C}"/>
    <hyperlink ref="R386" r:id="rId2" xr:uid="{440F86F5-6539-4488-838E-C5C329B2F513}"/>
    <hyperlink ref="R399" r:id="rId3" xr:uid="{EF004678-143D-455C-BC65-64208E5F88B4}"/>
    <hyperlink ref="R392" r:id="rId4" xr:uid="{B0F59810-E715-4622-B1C1-8A6B7CB4F917}"/>
  </hyperlinks>
  <pageMargins left="0.7" right="0.7" top="0.75" bottom="0.75" header="0.3" footer="0.3"/>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03C55-62FF-4C54-86D7-A29281D50651}">
  <sheetPr>
    <tabColor theme="9" tint="0.79998168889431442"/>
  </sheetPr>
  <dimension ref="A1:AV502"/>
  <sheetViews>
    <sheetView zoomScale="78" workbookViewId="0">
      <pane xSplit="1" ySplit="2" topLeftCell="AD18" activePane="bottomRight" state="frozen"/>
      <selection pane="topRight" activeCell="B1" sqref="B1"/>
      <selection pane="bottomLeft" activeCell="A3" sqref="A3"/>
      <selection pane="bottomRight" activeCell="AF8" sqref="AF8"/>
    </sheetView>
  </sheetViews>
  <sheetFormatPr defaultColWidth="9.08984375" defaultRowHeight="14.5"/>
  <cols>
    <col min="1" max="1" width="9.08984375" style="7"/>
    <col min="2" max="2" width="7" style="7" customWidth="1"/>
    <col min="3" max="3" width="16.54296875" style="7" customWidth="1"/>
    <col min="4" max="4" width="9.08984375" style="109"/>
    <col min="5" max="5" width="13.90625" style="7" customWidth="1"/>
    <col min="6" max="6" width="9.08984375" style="7"/>
    <col min="7" max="7" width="13.6328125" style="109" customWidth="1"/>
    <col min="8" max="8" width="18.08984375" style="7" customWidth="1"/>
    <col min="9" max="9" width="9.08984375" style="7"/>
    <col min="10" max="10" width="13.90625" style="109" customWidth="1"/>
    <col min="11" max="11" width="30.6328125" style="7" customWidth="1"/>
    <col min="12" max="13" width="26.6328125" style="7" customWidth="1"/>
    <col min="14" max="14" width="12.453125" style="7" customWidth="1"/>
    <col min="15" max="15" width="14.6328125" style="7" customWidth="1"/>
    <col min="16" max="16" width="12.453125" style="109" customWidth="1"/>
    <col min="17" max="17" width="42.08984375" style="7" customWidth="1"/>
    <col min="18" max="19" width="26.6328125" style="7" customWidth="1"/>
    <col min="20" max="20" width="12.453125" style="7" customWidth="1"/>
    <col min="21" max="21" width="14.6328125" style="7" customWidth="1"/>
    <col min="22" max="22" width="12.453125" style="109" customWidth="1"/>
    <col min="23" max="16384" width="9.08984375" style="7"/>
  </cols>
  <sheetData>
    <row r="1" spans="1:48">
      <c r="A1" s="121" t="s">
        <v>5031</v>
      </c>
      <c r="B1" s="120"/>
      <c r="C1" s="120"/>
      <c r="D1" s="119"/>
      <c r="E1" s="117" t="s">
        <v>5030</v>
      </c>
      <c r="F1" s="117"/>
      <c r="G1" s="118"/>
      <c r="H1" s="117" t="s">
        <v>5029</v>
      </c>
      <c r="I1" s="117"/>
      <c r="J1" s="118"/>
      <c r="K1" s="117" t="s">
        <v>5028</v>
      </c>
      <c r="L1" s="117"/>
      <c r="M1" s="117"/>
      <c r="N1" s="117"/>
      <c r="O1" s="117"/>
      <c r="P1" s="118"/>
      <c r="Q1" s="117" t="s">
        <v>5027</v>
      </c>
      <c r="R1" s="117"/>
      <c r="S1" s="117"/>
      <c r="T1" s="117"/>
      <c r="U1" s="117"/>
      <c r="V1" s="116"/>
    </row>
    <row r="2" spans="1:48" ht="101.5">
      <c r="A2" s="115" t="s">
        <v>4450</v>
      </c>
      <c r="B2" s="114" t="s">
        <v>1944</v>
      </c>
      <c r="C2" s="114" t="s">
        <v>4449</v>
      </c>
      <c r="D2" s="113" t="s">
        <v>1915</v>
      </c>
      <c r="E2" s="112" t="s">
        <v>4448</v>
      </c>
      <c r="F2" s="112" t="s">
        <v>4443</v>
      </c>
      <c r="G2" s="110" t="s">
        <v>4163</v>
      </c>
      <c r="H2" s="111" t="s">
        <v>4447</v>
      </c>
      <c r="I2" s="112" t="s">
        <v>5026</v>
      </c>
      <c r="J2" s="110" t="s">
        <v>4163</v>
      </c>
      <c r="K2" s="111" t="s">
        <v>5025</v>
      </c>
      <c r="L2" s="111" t="s">
        <v>5024</v>
      </c>
      <c r="M2" s="111"/>
      <c r="N2" s="111" t="s">
        <v>5021</v>
      </c>
      <c r="O2" s="111" t="s">
        <v>5020</v>
      </c>
      <c r="P2" s="110" t="s">
        <v>1916</v>
      </c>
      <c r="Q2" s="111" t="s">
        <v>5023</v>
      </c>
      <c r="R2" s="111" t="s">
        <v>5022</v>
      </c>
      <c r="S2" s="111"/>
      <c r="T2" s="111" t="s">
        <v>5021</v>
      </c>
      <c r="U2" s="111" t="s">
        <v>5020</v>
      </c>
      <c r="V2" s="110" t="s">
        <v>1916</v>
      </c>
    </row>
    <row r="3" spans="1:48">
      <c r="A3" s="7" t="s">
        <v>1889</v>
      </c>
      <c r="B3" s="7">
        <v>1</v>
      </c>
      <c r="C3" s="7" t="s">
        <v>4457</v>
      </c>
      <c r="D3" s="109" t="s">
        <v>4467</v>
      </c>
      <c r="E3" s="7" t="s">
        <v>4174</v>
      </c>
      <c r="F3" s="7">
        <v>2025</v>
      </c>
      <c r="G3" s="109">
        <v>2015</v>
      </c>
      <c r="H3" s="7" t="s">
        <v>4183</v>
      </c>
      <c r="I3" s="7">
        <v>2025</v>
      </c>
      <c r="J3" s="109">
        <v>2016</v>
      </c>
      <c r="M3" s="7" t="str" cm="1">
        <f t="array" ref="M3">IF(N3="", "", IFERROR(MAX(--_xlfn.TEXTSPLIT(N3,"+")), N3))</f>
        <v/>
      </c>
      <c r="Q3" s="7" t="s">
        <v>1957</v>
      </c>
      <c r="R3" s="7" t="s">
        <v>160</v>
      </c>
      <c r="S3" s="7" cm="1">
        <f t="array" ref="S3">IF(T3="", "", IFERROR(MAX(--_xlfn.TEXTSPLIT(T3,"+")), T3))</f>
        <v>2040</v>
      </c>
      <c r="T3" s="7">
        <v>2040</v>
      </c>
      <c r="U3" s="7">
        <v>2015</v>
      </c>
      <c r="V3" s="109" t="s">
        <v>5019</v>
      </c>
      <c r="W3" s="7" t="str">
        <f>_xlfn.XLOOKUP(C3,Sheet1!A:A,Sheet1!B:B, "Other")</f>
        <v>North America</v>
      </c>
      <c r="X3" s="222" t="str">
        <f>_xlfn.XLOOKUP(D3,Sheet1!D:D,Sheet1!E:E,"Other")</f>
        <v>Retail</v>
      </c>
      <c r="AG3" s="61"/>
      <c r="AH3" s="61"/>
      <c r="AI3"/>
      <c r="AJ3" s="216" t="s">
        <v>8311</v>
      </c>
      <c r="AK3" s="217"/>
      <c r="AL3" s="218"/>
      <c r="AM3" s="216" t="s">
        <v>3034</v>
      </c>
      <c r="AN3" s="217"/>
      <c r="AO3" s="218"/>
      <c r="AP3" s="216" t="s">
        <v>32</v>
      </c>
      <c r="AQ3" s="217"/>
      <c r="AR3" s="218"/>
      <c r="AS3" s="216" t="s">
        <v>2072</v>
      </c>
      <c r="AT3" s="217"/>
      <c r="AU3" s="218"/>
      <c r="AV3" s="200" t="s">
        <v>7213</v>
      </c>
    </row>
    <row r="4" spans="1:48">
      <c r="A4" s="7" t="s">
        <v>3995</v>
      </c>
      <c r="B4" s="7">
        <v>2</v>
      </c>
      <c r="C4" s="7" t="s">
        <v>4457</v>
      </c>
      <c r="D4" s="109" t="s">
        <v>4467</v>
      </c>
      <c r="H4" s="7" t="s">
        <v>1957</v>
      </c>
      <c r="I4" s="7">
        <v>2030</v>
      </c>
      <c r="J4" s="109">
        <v>2020</v>
      </c>
      <c r="M4" s="7" t="str" cm="1">
        <f t="array" ref="M4">IF(N4="", "", IFERROR(MAX(--_xlfn.TEXTSPLIT(N4,"+")), N4))</f>
        <v/>
      </c>
      <c r="Q4" s="7" t="s">
        <v>1957</v>
      </c>
      <c r="R4" s="7" t="s">
        <v>4492</v>
      </c>
      <c r="S4" s="7" cm="1">
        <f t="array" ref="S4">IF(T4="", "", IFERROR(MAX(--_xlfn.TEXTSPLIT(T4,"+")), T4))</f>
        <v>2040</v>
      </c>
      <c r="T4" s="7">
        <v>2040</v>
      </c>
      <c r="U4" s="7">
        <v>2019</v>
      </c>
      <c r="V4" s="109" t="s">
        <v>5018</v>
      </c>
      <c r="W4" s="7" t="str">
        <f>_xlfn.XLOOKUP(C4,Sheet1!A:A,Sheet1!B:B, "Other")</f>
        <v>North America</v>
      </c>
      <c r="X4" s="222" t="str">
        <f>_xlfn.XLOOKUP(D4,Sheet1!D:D,Sheet1!E:E,"Other")</f>
        <v>Retail</v>
      </c>
      <c r="AI4" s="200" t="s">
        <v>1915</v>
      </c>
      <c r="AJ4" s="201" t="s">
        <v>8325</v>
      </c>
      <c r="AK4" s="201" t="s">
        <v>8326</v>
      </c>
      <c r="AL4" s="201" t="s">
        <v>8314</v>
      </c>
      <c r="AM4" s="201" t="s">
        <v>8325</v>
      </c>
      <c r="AN4" s="201" t="s">
        <v>8326</v>
      </c>
      <c r="AO4" s="201" t="s">
        <v>8314</v>
      </c>
      <c r="AP4" s="201" t="s">
        <v>8325</v>
      </c>
      <c r="AQ4" s="201" t="s">
        <v>8326</v>
      </c>
      <c r="AR4" s="201" t="s">
        <v>8314</v>
      </c>
      <c r="AS4" s="201" t="s">
        <v>8325</v>
      </c>
      <c r="AT4" s="201" t="s">
        <v>8326</v>
      </c>
      <c r="AU4" s="201" t="s">
        <v>8314</v>
      </c>
      <c r="AV4" s="201"/>
    </row>
    <row r="5" spans="1:48">
      <c r="A5" s="7" t="s">
        <v>1877</v>
      </c>
      <c r="B5" s="7">
        <v>3</v>
      </c>
      <c r="C5" s="7" t="s">
        <v>73</v>
      </c>
      <c r="D5" s="109" t="s">
        <v>4199</v>
      </c>
      <c r="K5" s="7" t="s">
        <v>4519</v>
      </c>
      <c r="L5" s="7" t="s">
        <v>4518</v>
      </c>
      <c r="M5" s="7" cm="1">
        <f t="array" ref="M5">IF(N5="", "", IFERROR(MAX(--_xlfn.TEXTSPLIT(N5,"+")), N5))</f>
        <v>2060</v>
      </c>
      <c r="N5" s="7">
        <v>2060</v>
      </c>
      <c r="O5" s="7">
        <v>2021</v>
      </c>
      <c r="P5" s="109" t="s">
        <v>5017</v>
      </c>
      <c r="S5" s="7" t="str" cm="1">
        <f t="array" ref="S5">IF(T5="", "", IFERROR(MAX(--_xlfn.TEXTSPLIT(T5,"+")), T5))</f>
        <v/>
      </c>
      <c r="W5" s="7" t="str">
        <f>_xlfn.XLOOKUP(C5,Sheet1!A:A,Sheet1!B:B, "Other")</f>
        <v>Asia</v>
      </c>
      <c r="X5" s="222" t="str">
        <f>_xlfn.XLOOKUP(D5,Sheet1!D:D,Sheet1!E:E,"Other")</f>
        <v>Other</v>
      </c>
      <c r="AI5" s="202" t="s">
        <v>4260</v>
      </c>
      <c r="AJ5" s="199">
        <f>COUNTIFS($D$3:$D$502,AI5,$I$3:$I$502,"&lt;=2022")</f>
        <v>0</v>
      </c>
      <c r="AK5" s="199">
        <f t="shared" ref="AK5:AK21" si="0">COUNTIFS($D$3:$D$502,AI5,$I$3:$I$502,"&gt;=2023",$I$3:$I$502,"&lt;=2030")</f>
        <v>1</v>
      </c>
      <c r="AL5" s="199">
        <f>COUNTIFS($D$3:$D$502,AI5,$I$3:$I$502,"&gt;2030")</f>
        <v>0</v>
      </c>
      <c r="AM5" s="199">
        <f>COUNTIFS($D$3:$D$502,AI5,$F$3:$F$502,"&lt;=2022")</f>
        <v>0</v>
      </c>
      <c r="AN5" s="199">
        <f>COUNTIFS($D$3:$D$502,AI5,$F$3:$F$502,"&gt;=2023",$F$3:$F$502,"&lt;=2030")</f>
        <v>0</v>
      </c>
      <c r="AO5" s="199">
        <f>COUNTIFS($D$3:$D$502,AI5,$F$3:$F$502,"&gt;2030")</f>
        <v>0</v>
      </c>
      <c r="AP5" s="199">
        <f>COUNTIFS($D$3:$D$502,AI5,$M$3:$M$502,"&lt;=2022")</f>
        <v>0</v>
      </c>
      <c r="AQ5" s="199">
        <f t="shared" ref="AQ5:AQ6" si="1">COUNTIFS($D$3:$D$502,AI5,$M$3:$M$502,"&gt;=2023",$M$3:$M$502,"&lt;=2030")</f>
        <v>0</v>
      </c>
      <c r="AR5" s="199">
        <f>COUNTIFS($D$3:$D$502,AI5,$M$3:$M$502,"&gt;2030")</f>
        <v>1</v>
      </c>
      <c r="AS5" s="199">
        <f>COUNTIFS($D$3:$D$502,AI5,$S$3:$S$502,"&lt;=2022")</f>
        <v>1</v>
      </c>
      <c r="AT5" s="199">
        <f>COUNTIFS($D$3:$D$502,AI5,$S$3:$S$502,"&gt;=2023",$S$3:$S$502,"&lt;=2030")</f>
        <v>1</v>
      </c>
      <c r="AU5" s="199">
        <f>COUNTIFS($D$3:$D$502,AI5,$S$3:$S$502,"&gt;2030")</f>
        <v>2</v>
      </c>
      <c r="AV5" s="204">
        <f>SUM(AJ5:AU5)</f>
        <v>6</v>
      </c>
    </row>
    <row r="6" spans="1:48">
      <c r="A6" s="7" t="s">
        <v>1880</v>
      </c>
      <c r="B6" s="7">
        <v>4</v>
      </c>
      <c r="C6" s="7" t="s">
        <v>73</v>
      </c>
      <c r="D6" s="109" t="s">
        <v>3498</v>
      </c>
      <c r="M6" s="7" t="str" cm="1">
        <f t="array" ref="M6">IF(N6="", "", IFERROR(MAX(--_xlfn.TEXTSPLIT(N6,"+")), N6))</f>
        <v/>
      </c>
      <c r="Q6" s="7" t="s">
        <v>1957</v>
      </c>
      <c r="R6" s="7" t="s">
        <v>4518</v>
      </c>
      <c r="S6" s="7" cm="1">
        <f t="array" ref="S6">IF(T6="", "", IFERROR(MAX(--_xlfn.TEXTSPLIT(T6,"+")), T6))</f>
        <v>2050</v>
      </c>
      <c r="T6" s="7">
        <v>2050</v>
      </c>
      <c r="U6" s="7">
        <v>2021</v>
      </c>
      <c r="V6" s="109" t="s">
        <v>5016</v>
      </c>
      <c r="W6" s="7" t="str">
        <f>_xlfn.XLOOKUP(C6,Sheet1!A:A,Sheet1!B:B, "Other")</f>
        <v>Asia</v>
      </c>
      <c r="X6" s="222" t="str">
        <f>_xlfn.XLOOKUP(D6,Sheet1!D:D,Sheet1!E:E,"Other")</f>
        <v>Other</v>
      </c>
      <c r="AI6" s="202" t="s">
        <v>4476</v>
      </c>
      <c r="AJ6" s="199">
        <f t="shared" ref="AJ6:AJ21" si="2">COUNTIFS($D$3:$D$502,AI6,$I$3:$I$502,"&lt;=2022")</f>
        <v>0</v>
      </c>
      <c r="AK6" s="199">
        <f t="shared" si="0"/>
        <v>10</v>
      </c>
      <c r="AL6" s="199">
        <f t="shared" ref="AL6:AL21" si="3">COUNTIFS($D$3:$D$502,AI6,$I$3:$I$502,"&gt;2030")</f>
        <v>4</v>
      </c>
      <c r="AM6" s="199">
        <f t="shared" ref="AM6:AM21" si="4">COUNTIFS($D$3:$D$502,AI6,$F$3:$F$502,"&lt;=2022")</f>
        <v>0</v>
      </c>
      <c r="AN6" s="199">
        <f t="shared" ref="AN6:AN21" si="5">COUNTIFS($D$3:$D$502,AI6,$F$3:$F$502,"&gt;=2023",$F$3:$F$502,"&lt;=2030")</f>
        <v>1</v>
      </c>
      <c r="AO6" s="199">
        <f t="shared" ref="AO6:AO21" si="6">COUNTIFS($D$3:$D$502,AI6,$F$3:$F$502,"&gt;2030")</f>
        <v>6</v>
      </c>
      <c r="AP6" s="199">
        <f t="shared" ref="AP6:AP20" si="7">COUNTIFS($D$3:$D$502,AI6,$M$3:$M$502,"&lt;=2022")</f>
        <v>1</v>
      </c>
      <c r="AQ6" s="199">
        <f t="shared" si="1"/>
        <v>2</v>
      </c>
      <c r="AR6" s="199">
        <f t="shared" ref="AR6:AR21" si="8">COUNTIFS($D$3:$D$502,AI6,$M$3:$M$502,"&gt;2030")</f>
        <v>22</v>
      </c>
      <c r="AS6" s="199">
        <f t="shared" ref="AS6:AS21" si="9">COUNTIFS($D$3:$D$502,AI6,$S$3:$S$502,"&lt;=2022")</f>
        <v>0</v>
      </c>
      <c r="AT6" s="199">
        <f t="shared" ref="AT6:AT21" si="10">COUNTIFS($D$3:$D$502,AI6,$S$3:$S$502,"&gt;=2023",$S$3:$S$502,"&lt;=2030")</f>
        <v>0</v>
      </c>
      <c r="AU6" s="199">
        <f t="shared" ref="AU6:AU21" si="11">COUNTIFS($D$3:$D$502,AI6,$S$3:$S$502,"&gt;2030")</f>
        <v>3</v>
      </c>
      <c r="AV6" s="204">
        <f t="shared" ref="AV6:AV22" si="12">SUM(AJ6:AU6)</f>
        <v>49</v>
      </c>
    </row>
    <row r="7" spans="1:48">
      <c r="A7" s="7" t="s">
        <v>1887</v>
      </c>
      <c r="B7" s="7">
        <v>5</v>
      </c>
      <c r="C7" s="7" t="s">
        <v>73</v>
      </c>
      <c r="D7" s="109" t="s">
        <v>3498</v>
      </c>
      <c r="K7" s="7" t="s">
        <v>4519</v>
      </c>
      <c r="L7" s="7" t="s">
        <v>4518</v>
      </c>
      <c r="M7" s="7" cm="1">
        <f t="array" ref="M7">IF(N7="", "", IFERROR(MAX(--_xlfn.TEXTSPLIT(N7,"+")), N7))</f>
        <v>2060</v>
      </c>
      <c r="N7" s="7">
        <v>2060</v>
      </c>
      <c r="O7" s="7">
        <v>2021</v>
      </c>
      <c r="P7" s="109" t="s">
        <v>5015</v>
      </c>
      <c r="S7" s="7" t="str" cm="1">
        <f t="array" ref="S7">IF(T7="", "", IFERROR(MAX(--_xlfn.TEXTSPLIT(T7,"+")), T7))</f>
        <v/>
      </c>
      <c r="W7" s="7" t="str">
        <f>_xlfn.XLOOKUP(C7,Sheet1!A:A,Sheet1!B:B, "Other")</f>
        <v>Asia</v>
      </c>
      <c r="X7" s="222" t="str">
        <f>_xlfn.XLOOKUP(D7,Sheet1!D:D,Sheet1!E:E,"Other")</f>
        <v>Other</v>
      </c>
      <c r="AI7" s="202" t="s">
        <v>66</v>
      </c>
      <c r="AJ7" s="199">
        <f t="shared" si="2"/>
        <v>0</v>
      </c>
      <c r="AK7" s="199">
        <f t="shared" si="0"/>
        <v>2</v>
      </c>
      <c r="AL7" s="199">
        <f t="shared" si="3"/>
        <v>0</v>
      </c>
      <c r="AM7" s="199">
        <f t="shared" si="4"/>
        <v>0</v>
      </c>
      <c r="AN7" s="199">
        <f t="shared" si="5"/>
        <v>0</v>
      </c>
      <c r="AO7" s="199">
        <f t="shared" si="6"/>
        <v>1</v>
      </c>
      <c r="AP7" s="199">
        <f t="shared" si="7"/>
        <v>0</v>
      </c>
      <c r="AQ7" s="199">
        <f>COUNTIFS($D$3:$D$502,AI7,$M$3:$M$502,"&gt;=2023",$M$3:$M$502,"&lt;=2030")</f>
        <v>0</v>
      </c>
      <c r="AR7" s="199">
        <f t="shared" si="8"/>
        <v>5</v>
      </c>
      <c r="AS7" s="199">
        <f t="shared" si="9"/>
        <v>0</v>
      </c>
      <c r="AT7" s="199">
        <f t="shared" si="10"/>
        <v>0</v>
      </c>
      <c r="AU7" s="199">
        <f t="shared" si="11"/>
        <v>4</v>
      </c>
      <c r="AV7" s="204">
        <f t="shared" si="12"/>
        <v>12</v>
      </c>
    </row>
    <row r="8" spans="1:48">
      <c r="A8" s="29" t="s">
        <v>1875</v>
      </c>
      <c r="B8" s="7">
        <v>6</v>
      </c>
      <c r="C8" s="7" t="s">
        <v>985</v>
      </c>
      <c r="D8" s="109" t="s">
        <v>4494</v>
      </c>
      <c r="M8" s="7" t="str" cm="1">
        <f t="array" ref="M8">IF(N8="", "", IFERROR(MAX(--_xlfn.TEXTSPLIT(N8,"+")), N8))</f>
        <v/>
      </c>
      <c r="Q8" s="7" t="s">
        <v>1957</v>
      </c>
      <c r="R8" s="7" t="s">
        <v>2098</v>
      </c>
      <c r="S8" s="7" cm="1">
        <f t="array" ref="S8">IF(T8="", "", IFERROR(MAX(--_xlfn.TEXTSPLIT(T8,"+")), T8))</f>
        <v>2050</v>
      </c>
      <c r="T8" s="7">
        <v>2050</v>
      </c>
      <c r="U8" s="7">
        <v>2021</v>
      </c>
      <c r="V8" s="109" t="s">
        <v>5014</v>
      </c>
      <c r="W8" s="7" t="str">
        <f>_xlfn.XLOOKUP(C8,Sheet1!A:A,Sheet1!B:B, "Other")</f>
        <v>Other</v>
      </c>
      <c r="X8" s="222" t="str">
        <f>_xlfn.XLOOKUP(D8,Sheet1!D:D,Sheet1!E:E,"Other")</f>
        <v>Other</v>
      </c>
      <c r="AI8" s="202" t="s">
        <v>4199</v>
      </c>
      <c r="AJ8" s="199">
        <f t="shared" si="2"/>
        <v>0</v>
      </c>
      <c r="AK8" s="199">
        <f t="shared" si="0"/>
        <v>8</v>
      </c>
      <c r="AL8" s="199">
        <f t="shared" si="3"/>
        <v>1</v>
      </c>
      <c r="AM8" s="199">
        <f t="shared" si="4"/>
        <v>0</v>
      </c>
      <c r="AN8" s="199">
        <f t="shared" si="5"/>
        <v>0</v>
      </c>
      <c r="AO8" s="199">
        <f t="shared" si="6"/>
        <v>0</v>
      </c>
      <c r="AP8" s="199">
        <f t="shared" si="7"/>
        <v>1</v>
      </c>
      <c r="AQ8" s="199">
        <f t="shared" ref="AQ8:AQ21" si="13">COUNTIFS($D$3:$D$502,AI8,$M$3:$M$502,"&gt;=2023",$M$3:$M$502,"&lt;=2030")</f>
        <v>1</v>
      </c>
      <c r="AR8" s="199">
        <f t="shared" si="8"/>
        <v>12</v>
      </c>
      <c r="AS8" s="199">
        <f t="shared" si="9"/>
        <v>0</v>
      </c>
      <c r="AT8" s="199">
        <f t="shared" si="10"/>
        <v>0</v>
      </c>
      <c r="AU8" s="199">
        <f t="shared" si="11"/>
        <v>6</v>
      </c>
      <c r="AV8" s="204">
        <f t="shared" si="12"/>
        <v>29</v>
      </c>
    </row>
    <row r="9" spans="1:48">
      <c r="A9" s="7" t="s">
        <v>1846</v>
      </c>
      <c r="B9" s="7">
        <v>7</v>
      </c>
      <c r="C9" s="7" t="s">
        <v>4457</v>
      </c>
      <c r="D9" s="109" t="s">
        <v>186</v>
      </c>
      <c r="E9" s="7" t="s">
        <v>4174</v>
      </c>
      <c r="F9" s="7">
        <v>2020</v>
      </c>
      <c r="G9" s="109">
        <v>2016</v>
      </c>
      <c r="H9" s="7" t="s">
        <v>4183</v>
      </c>
      <c r="I9" s="7">
        <v>2030</v>
      </c>
      <c r="J9" s="109">
        <v>2021</v>
      </c>
      <c r="K9" s="7" t="s">
        <v>4573</v>
      </c>
      <c r="L9" s="7" t="s">
        <v>5013</v>
      </c>
      <c r="M9" s="7" cm="1">
        <f t="array" ref="M9">IF(N9="", "", IFERROR(MAX(--_xlfn.TEXTSPLIT(N9,"+")), N9))</f>
        <v>2030</v>
      </c>
      <c r="N9" s="7" t="s">
        <v>5012</v>
      </c>
      <c r="O9" s="7" t="s">
        <v>4606</v>
      </c>
      <c r="P9" s="109" t="s">
        <v>3943</v>
      </c>
      <c r="S9" s="7" t="str" cm="1">
        <f t="array" ref="S9">IF(T9="", "", IFERROR(MAX(--_xlfn.TEXTSPLIT(T9,"+")), T9))</f>
        <v/>
      </c>
      <c r="W9" s="7" t="str">
        <f>_xlfn.XLOOKUP(C9,Sheet1!A:A,Sheet1!B:B, "Other")</f>
        <v>North America</v>
      </c>
      <c r="X9" s="222" t="str">
        <f>_xlfn.XLOOKUP(D9,Sheet1!D:D,Sheet1!E:E,"Other")</f>
        <v>Technology</v>
      </c>
      <c r="AI9" s="202" t="s">
        <v>4197</v>
      </c>
      <c r="AJ9" s="199">
        <f t="shared" si="2"/>
        <v>0</v>
      </c>
      <c r="AK9" s="199">
        <f t="shared" si="0"/>
        <v>3</v>
      </c>
      <c r="AL9" s="199">
        <f t="shared" si="3"/>
        <v>0</v>
      </c>
      <c r="AM9" s="199">
        <f t="shared" si="4"/>
        <v>0</v>
      </c>
      <c r="AN9" s="199">
        <f t="shared" si="5"/>
        <v>0</v>
      </c>
      <c r="AO9" s="199">
        <f t="shared" si="6"/>
        <v>1</v>
      </c>
      <c r="AP9" s="199">
        <f t="shared" si="7"/>
        <v>0</v>
      </c>
      <c r="AQ9" s="199">
        <f t="shared" si="13"/>
        <v>0</v>
      </c>
      <c r="AR9" s="199">
        <f t="shared" si="8"/>
        <v>4</v>
      </c>
      <c r="AS9" s="199">
        <f t="shared" si="9"/>
        <v>0</v>
      </c>
      <c r="AT9" s="199">
        <f t="shared" si="10"/>
        <v>0</v>
      </c>
      <c r="AU9" s="199">
        <f t="shared" si="11"/>
        <v>0</v>
      </c>
      <c r="AV9" s="204">
        <f t="shared" si="12"/>
        <v>8</v>
      </c>
    </row>
    <row r="10" spans="1:48">
      <c r="A10" s="7" t="s">
        <v>1863</v>
      </c>
      <c r="B10" s="7">
        <v>8</v>
      </c>
      <c r="C10" s="7" t="s">
        <v>146</v>
      </c>
      <c r="D10" s="109" t="s">
        <v>4476</v>
      </c>
      <c r="H10" s="7" t="s">
        <v>4183</v>
      </c>
      <c r="I10" s="7">
        <v>2025</v>
      </c>
      <c r="J10" s="109">
        <v>2022</v>
      </c>
      <c r="K10" s="7" t="s">
        <v>1957</v>
      </c>
      <c r="L10" s="7" t="s">
        <v>2425</v>
      </c>
      <c r="M10" s="7" cm="1">
        <f t="array" ref="M10">IF(N10="", "", IFERROR(MAX(--_xlfn.TEXTSPLIT(N10,"+")), N10))</f>
        <v>2050</v>
      </c>
      <c r="N10" s="7">
        <v>2050</v>
      </c>
      <c r="O10" s="7">
        <v>2021</v>
      </c>
      <c r="P10" s="109" t="s">
        <v>5011</v>
      </c>
      <c r="S10" s="7" t="str" cm="1">
        <f t="array" ref="S10">IF(T10="", "", IFERROR(MAX(--_xlfn.TEXTSPLIT(T10,"+")), T10))</f>
        <v/>
      </c>
      <c r="W10" s="7" t="str">
        <f>_xlfn.XLOOKUP(C10,Sheet1!A:A,Sheet1!B:B, "Other")</f>
        <v>Europe</v>
      </c>
      <c r="X10" s="222" t="str">
        <f>_xlfn.XLOOKUP(D10,Sheet1!D:D,Sheet1!E:E,"Other")</f>
        <v>Other</v>
      </c>
      <c r="AI10" s="202" t="s">
        <v>4465</v>
      </c>
      <c r="AJ10" s="199">
        <f t="shared" si="2"/>
        <v>0</v>
      </c>
      <c r="AK10" s="199">
        <f t="shared" si="0"/>
        <v>31</v>
      </c>
      <c r="AL10" s="199">
        <f t="shared" si="3"/>
        <v>0</v>
      </c>
      <c r="AM10" s="199">
        <f t="shared" si="4"/>
        <v>13</v>
      </c>
      <c r="AN10" s="199">
        <f t="shared" si="5"/>
        <v>10</v>
      </c>
      <c r="AO10" s="199">
        <f t="shared" si="6"/>
        <v>0</v>
      </c>
      <c r="AP10" s="199">
        <f t="shared" si="7"/>
        <v>31</v>
      </c>
      <c r="AQ10" s="199">
        <f t="shared" si="13"/>
        <v>6</v>
      </c>
      <c r="AR10" s="199">
        <f t="shared" si="8"/>
        <v>15</v>
      </c>
      <c r="AS10" s="199">
        <f t="shared" si="9"/>
        <v>0</v>
      </c>
      <c r="AT10" s="199">
        <f t="shared" si="10"/>
        <v>3</v>
      </c>
      <c r="AU10" s="199">
        <f t="shared" si="11"/>
        <v>56</v>
      </c>
      <c r="AV10" s="204">
        <f t="shared" si="12"/>
        <v>165</v>
      </c>
    </row>
    <row r="11" spans="1:48">
      <c r="A11" s="7" t="s">
        <v>1811</v>
      </c>
      <c r="B11" s="7">
        <v>9</v>
      </c>
      <c r="C11" s="7" t="s">
        <v>73</v>
      </c>
      <c r="D11" s="109" t="s">
        <v>4197</v>
      </c>
      <c r="M11" s="7" t="str" cm="1">
        <f t="array" ref="M11">IF(N11="", "", IFERROR(MAX(--_xlfn.TEXTSPLIT(N11,"+")), N11))</f>
        <v/>
      </c>
      <c r="S11" s="7" t="str" cm="1">
        <f t="array" ref="S11">IF(T11="", "", IFERROR(MAX(--_xlfn.TEXTSPLIT(T11,"+")), T11))</f>
        <v/>
      </c>
      <c r="W11" s="7" t="str">
        <f>_xlfn.XLOOKUP(C11,Sheet1!A:A,Sheet1!B:B, "Other")</f>
        <v>Asia</v>
      </c>
      <c r="X11" s="222" t="str">
        <f>_xlfn.XLOOKUP(D11,Sheet1!D:D,Sheet1!E:E,"Other")</f>
        <v>Other</v>
      </c>
      <c r="AI11" s="202" t="s">
        <v>4455</v>
      </c>
      <c r="AJ11" s="199">
        <f t="shared" si="2"/>
        <v>0</v>
      </c>
      <c r="AK11" s="199">
        <f t="shared" si="0"/>
        <v>11</v>
      </c>
      <c r="AL11" s="199">
        <f t="shared" si="3"/>
        <v>0</v>
      </c>
      <c r="AM11" s="199">
        <f t="shared" si="4"/>
        <v>1</v>
      </c>
      <c r="AN11" s="199">
        <f t="shared" si="5"/>
        <v>4</v>
      </c>
      <c r="AO11" s="199">
        <f t="shared" si="6"/>
        <v>0</v>
      </c>
      <c r="AP11" s="199">
        <f t="shared" si="7"/>
        <v>0</v>
      </c>
      <c r="AQ11" s="199">
        <f t="shared" si="13"/>
        <v>2</v>
      </c>
      <c r="AR11" s="199">
        <f t="shared" si="8"/>
        <v>2</v>
      </c>
      <c r="AS11" s="199">
        <f t="shared" si="9"/>
        <v>0</v>
      </c>
      <c r="AT11" s="199">
        <f t="shared" si="10"/>
        <v>0</v>
      </c>
      <c r="AU11" s="199">
        <f t="shared" si="11"/>
        <v>9</v>
      </c>
      <c r="AV11" s="204">
        <f t="shared" si="12"/>
        <v>29</v>
      </c>
    </row>
    <row r="12" spans="1:48">
      <c r="A12" s="7" t="s">
        <v>1815</v>
      </c>
      <c r="B12" s="7">
        <v>10</v>
      </c>
      <c r="C12" s="7" t="s">
        <v>4457</v>
      </c>
      <c r="D12" s="109" t="s">
        <v>4201</v>
      </c>
      <c r="H12" s="7" t="s">
        <v>4183</v>
      </c>
      <c r="I12" s="7">
        <v>2030</v>
      </c>
      <c r="J12" s="109">
        <v>2018</v>
      </c>
      <c r="K12" s="7" t="s">
        <v>1957</v>
      </c>
      <c r="L12" s="7" t="s">
        <v>2425</v>
      </c>
      <c r="M12" s="7" cm="1">
        <f t="array" ref="M12">IF(N12="", "", IFERROR(MAX(--_xlfn.TEXTSPLIT(N12,"+")), N12))</f>
        <v>2030</v>
      </c>
      <c r="N12" s="7">
        <v>2030</v>
      </c>
      <c r="O12" s="7">
        <v>2020</v>
      </c>
      <c r="P12" s="109" t="s">
        <v>5010</v>
      </c>
      <c r="Q12" s="7" t="s">
        <v>4472</v>
      </c>
      <c r="R12" s="7" t="s">
        <v>2760</v>
      </c>
      <c r="S12" s="7" cm="1">
        <f t="array" ref="S12">IF(T12="", "", IFERROR(MAX(--_xlfn.TEXTSPLIT(T12,"+")), T12))</f>
        <v>2050</v>
      </c>
      <c r="T12" s="7">
        <v>2050</v>
      </c>
      <c r="U12" s="7">
        <v>2021</v>
      </c>
      <c r="V12" s="109" t="s">
        <v>5010</v>
      </c>
      <c r="W12" s="7" t="str">
        <f>_xlfn.XLOOKUP(C12,Sheet1!A:A,Sheet1!B:B, "Other")</f>
        <v>North America</v>
      </c>
      <c r="X12" s="222" t="str">
        <f>_xlfn.XLOOKUP(D12,Sheet1!D:D,Sheet1!E:E,"Other")</f>
        <v>Other</v>
      </c>
      <c r="AI12" s="202" t="s">
        <v>4201</v>
      </c>
      <c r="AJ12" s="199">
        <f t="shared" si="2"/>
        <v>0</v>
      </c>
      <c r="AK12" s="199">
        <f t="shared" si="0"/>
        <v>15</v>
      </c>
      <c r="AL12" s="199">
        <f t="shared" si="3"/>
        <v>0</v>
      </c>
      <c r="AM12" s="199">
        <f t="shared" si="4"/>
        <v>0</v>
      </c>
      <c r="AN12" s="199">
        <f t="shared" si="5"/>
        <v>7</v>
      </c>
      <c r="AO12" s="199">
        <f t="shared" si="6"/>
        <v>0</v>
      </c>
      <c r="AP12" s="199">
        <f t="shared" si="7"/>
        <v>1</v>
      </c>
      <c r="AQ12" s="199">
        <f t="shared" si="13"/>
        <v>8</v>
      </c>
      <c r="AR12" s="199">
        <f t="shared" si="8"/>
        <v>2</v>
      </c>
      <c r="AS12" s="199">
        <f t="shared" si="9"/>
        <v>0</v>
      </c>
      <c r="AT12" s="199">
        <f t="shared" si="10"/>
        <v>2</v>
      </c>
      <c r="AU12" s="199">
        <f t="shared" si="11"/>
        <v>10</v>
      </c>
      <c r="AV12" s="204">
        <f t="shared" si="12"/>
        <v>45</v>
      </c>
    </row>
    <row r="13" spans="1:48">
      <c r="A13" s="7" t="s">
        <v>1835</v>
      </c>
      <c r="B13" s="7">
        <v>11</v>
      </c>
      <c r="C13" s="7" t="s">
        <v>4457</v>
      </c>
      <c r="D13" s="109" t="s">
        <v>4201</v>
      </c>
      <c r="M13" s="7" t="str" cm="1">
        <f t="array" ref="M13">IF(N13="", "", IFERROR(MAX(--_xlfn.TEXTSPLIT(N13,"+")), N13))</f>
        <v/>
      </c>
      <c r="Q13" s="7" t="s">
        <v>1957</v>
      </c>
      <c r="R13" s="7" t="s">
        <v>2425</v>
      </c>
      <c r="S13" s="7" cm="1">
        <f t="array" ref="S13">IF(T13="", "", IFERROR(MAX(--_xlfn.TEXTSPLIT(T13,"+")), T13))</f>
        <v>2035</v>
      </c>
      <c r="T13" s="7">
        <v>2035</v>
      </c>
      <c r="U13" s="7">
        <v>2021</v>
      </c>
      <c r="V13" s="109" t="s">
        <v>5009</v>
      </c>
      <c r="W13" s="7" t="str">
        <f>_xlfn.XLOOKUP(C13,Sheet1!A:A,Sheet1!B:B, "Other")</f>
        <v>North America</v>
      </c>
      <c r="X13" s="222" t="str">
        <f>_xlfn.XLOOKUP(D13,Sheet1!D:D,Sheet1!E:E,"Other")</f>
        <v>Other</v>
      </c>
      <c r="AI13" s="202" t="s">
        <v>4643</v>
      </c>
      <c r="AJ13" s="199">
        <f t="shared" si="2"/>
        <v>0</v>
      </c>
      <c r="AK13" s="199">
        <f t="shared" si="0"/>
        <v>4</v>
      </c>
      <c r="AL13" s="199">
        <f t="shared" si="3"/>
        <v>0</v>
      </c>
      <c r="AM13" s="199">
        <f t="shared" si="4"/>
        <v>1</v>
      </c>
      <c r="AN13" s="199">
        <f t="shared" si="5"/>
        <v>2</v>
      </c>
      <c r="AO13" s="199">
        <f t="shared" si="6"/>
        <v>0</v>
      </c>
      <c r="AP13" s="199">
        <f t="shared" si="7"/>
        <v>0</v>
      </c>
      <c r="AQ13" s="199">
        <f t="shared" si="13"/>
        <v>2</v>
      </c>
      <c r="AR13" s="199">
        <f t="shared" si="8"/>
        <v>0</v>
      </c>
      <c r="AS13" s="199">
        <f t="shared" si="9"/>
        <v>0</v>
      </c>
      <c r="AT13" s="199">
        <f t="shared" si="10"/>
        <v>0</v>
      </c>
      <c r="AU13" s="199">
        <f t="shared" si="11"/>
        <v>3</v>
      </c>
      <c r="AV13" s="204">
        <f t="shared" si="12"/>
        <v>12</v>
      </c>
    </row>
    <row r="14" spans="1:48">
      <c r="A14" s="7" t="s">
        <v>1868</v>
      </c>
      <c r="B14" s="7">
        <v>12</v>
      </c>
      <c r="C14" s="7" t="s">
        <v>4457</v>
      </c>
      <c r="D14" s="109" t="s">
        <v>3498</v>
      </c>
      <c r="M14" s="7" t="str" cm="1">
        <f t="array" ref="M14">IF(N14="", "", IFERROR(MAX(--_xlfn.TEXTSPLIT(N14,"+")), N14))</f>
        <v/>
      </c>
      <c r="Q14" s="7" t="s">
        <v>1957</v>
      </c>
      <c r="R14" s="7" t="s">
        <v>2425</v>
      </c>
      <c r="S14" s="7" cm="1">
        <f t="array" ref="S14">IF(T14="", "", IFERROR(MAX(--_xlfn.TEXTSPLIT(T14,"+")), T14))</f>
        <v>2050</v>
      </c>
      <c r="T14" s="7">
        <v>2050</v>
      </c>
      <c r="U14" s="7">
        <v>2022</v>
      </c>
      <c r="V14" s="109" t="s">
        <v>5008</v>
      </c>
      <c r="W14" s="7" t="str">
        <f>_xlfn.XLOOKUP(C14,Sheet1!A:A,Sheet1!B:B, "Other")</f>
        <v>North America</v>
      </c>
      <c r="X14" s="222" t="str">
        <f>_xlfn.XLOOKUP(D14,Sheet1!D:D,Sheet1!E:E,"Other")</f>
        <v>Other</v>
      </c>
      <c r="AI14" s="202" t="s">
        <v>4459</v>
      </c>
      <c r="AJ14" s="199">
        <f t="shared" si="2"/>
        <v>0</v>
      </c>
      <c r="AK14" s="199">
        <f t="shared" si="0"/>
        <v>17</v>
      </c>
      <c r="AL14" s="199">
        <f t="shared" si="3"/>
        <v>0</v>
      </c>
      <c r="AM14" s="199">
        <f t="shared" si="4"/>
        <v>0</v>
      </c>
      <c r="AN14" s="199">
        <f t="shared" si="5"/>
        <v>4</v>
      </c>
      <c r="AO14" s="199">
        <f t="shared" si="6"/>
        <v>4</v>
      </c>
      <c r="AP14" s="199">
        <f t="shared" si="7"/>
        <v>0</v>
      </c>
      <c r="AQ14" s="199">
        <f t="shared" si="13"/>
        <v>5</v>
      </c>
      <c r="AR14" s="199">
        <f t="shared" si="8"/>
        <v>10</v>
      </c>
      <c r="AS14" s="199">
        <f t="shared" si="9"/>
        <v>0</v>
      </c>
      <c r="AT14" s="199">
        <f t="shared" si="10"/>
        <v>0</v>
      </c>
      <c r="AU14" s="199">
        <f t="shared" si="11"/>
        <v>13</v>
      </c>
      <c r="AV14" s="204">
        <f t="shared" si="12"/>
        <v>53</v>
      </c>
    </row>
    <row r="15" spans="1:48">
      <c r="A15" s="7" t="s">
        <v>1851</v>
      </c>
      <c r="B15" s="7">
        <v>13</v>
      </c>
      <c r="C15" s="7" t="s">
        <v>207</v>
      </c>
      <c r="D15" s="109" t="s">
        <v>4476</v>
      </c>
      <c r="K15" s="7" t="s">
        <v>4172</v>
      </c>
      <c r="L15" s="7" t="s">
        <v>4532</v>
      </c>
      <c r="M15" s="7" cm="1">
        <f t="array" ref="M15">IF(N15="", "", IFERROR(MAX(--_xlfn.TEXTSPLIT(N15,"+")), N15))</f>
        <v>2050</v>
      </c>
      <c r="N15" s="7">
        <v>2050</v>
      </c>
      <c r="O15" s="7">
        <v>2021</v>
      </c>
      <c r="P15" s="109" t="s">
        <v>5007</v>
      </c>
      <c r="S15" s="7" t="str" cm="1">
        <f t="array" ref="S15">IF(T15="", "", IFERROR(MAX(--_xlfn.TEXTSPLIT(T15,"+")), T15))</f>
        <v/>
      </c>
      <c r="W15" s="7" t="str">
        <f>_xlfn.XLOOKUP(C15,Sheet1!A:A,Sheet1!B:B, "Other")</f>
        <v>Asia</v>
      </c>
      <c r="X15" s="222" t="str">
        <f>_xlfn.XLOOKUP(D15,Sheet1!D:D,Sheet1!E:E,"Other")</f>
        <v>Other</v>
      </c>
      <c r="AI15" s="202" t="s">
        <v>4494</v>
      </c>
      <c r="AJ15" s="199">
        <f t="shared" si="2"/>
        <v>0</v>
      </c>
      <c r="AK15" s="199">
        <f t="shared" si="0"/>
        <v>2</v>
      </c>
      <c r="AL15" s="199">
        <f t="shared" si="3"/>
        <v>0</v>
      </c>
      <c r="AM15" s="199">
        <f t="shared" si="4"/>
        <v>0</v>
      </c>
      <c r="AN15" s="199">
        <f t="shared" si="5"/>
        <v>0</v>
      </c>
      <c r="AO15" s="199">
        <f t="shared" si="6"/>
        <v>0</v>
      </c>
      <c r="AP15" s="199">
        <f t="shared" si="7"/>
        <v>0</v>
      </c>
      <c r="AQ15" s="199">
        <f t="shared" si="13"/>
        <v>1</v>
      </c>
      <c r="AR15" s="199">
        <f t="shared" si="8"/>
        <v>15</v>
      </c>
      <c r="AS15" s="199">
        <f t="shared" si="9"/>
        <v>0</v>
      </c>
      <c r="AT15" s="199">
        <f t="shared" si="10"/>
        <v>0</v>
      </c>
      <c r="AU15" s="199">
        <f t="shared" si="11"/>
        <v>8</v>
      </c>
      <c r="AV15" s="204">
        <f t="shared" si="12"/>
        <v>26</v>
      </c>
    </row>
    <row r="16" spans="1:48">
      <c r="A16" s="7" t="s">
        <v>1843</v>
      </c>
      <c r="B16" s="7">
        <v>14</v>
      </c>
      <c r="C16" s="7" t="s">
        <v>4457</v>
      </c>
      <c r="D16" s="109" t="s">
        <v>4465</v>
      </c>
      <c r="M16" s="7" t="str" cm="1">
        <f t="array" ref="M16">IF(N16="", "", IFERROR(MAX(--_xlfn.TEXTSPLIT(N16,"+")), N16))</f>
        <v/>
      </c>
      <c r="S16" s="7" t="str" cm="1">
        <f t="array" ref="S16">IF(T16="", "", IFERROR(MAX(--_xlfn.TEXTSPLIT(T16,"+")), T16))</f>
        <v/>
      </c>
      <c r="W16" s="7" t="str">
        <f>_xlfn.XLOOKUP(C16,Sheet1!A:A,Sheet1!B:B, "Other")</f>
        <v>North America</v>
      </c>
      <c r="X16" s="222" t="str">
        <f>_xlfn.XLOOKUP(D16,Sheet1!D:D,Sheet1!E:E,"Other")</f>
        <v>Other</v>
      </c>
      <c r="AI16" s="202" t="s">
        <v>3498</v>
      </c>
      <c r="AJ16" s="199">
        <f t="shared" si="2"/>
        <v>0</v>
      </c>
      <c r="AK16" s="199">
        <f t="shared" si="0"/>
        <v>0</v>
      </c>
      <c r="AL16" s="199">
        <f t="shared" si="3"/>
        <v>0</v>
      </c>
      <c r="AM16" s="199">
        <f t="shared" si="4"/>
        <v>0</v>
      </c>
      <c r="AN16" s="199">
        <f t="shared" si="5"/>
        <v>0</v>
      </c>
      <c r="AO16" s="199">
        <f t="shared" si="6"/>
        <v>0</v>
      </c>
      <c r="AP16" s="199">
        <f t="shared" si="7"/>
        <v>0</v>
      </c>
      <c r="AQ16" s="199">
        <f t="shared" si="13"/>
        <v>1</v>
      </c>
      <c r="AR16" s="199">
        <f t="shared" si="8"/>
        <v>4</v>
      </c>
      <c r="AS16" s="199">
        <f t="shared" si="9"/>
        <v>0</v>
      </c>
      <c r="AT16" s="199">
        <f t="shared" si="10"/>
        <v>0</v>
      </c>
      <c r="AU16" s="199">
        <f t="shared" si="11"/>
        <v>19</v>
      </c>
      <c r="AV16" s="204">
        <f t="shared" si="12"/>
        <v>24</v>
      </c>
    </row>
    <row r="17" spans="1:48">
      <c r="A17" s="7" t="s">
        <v>5006</v>
      </c>
      <c r="B17" s="7">
        <v>15</v>
      </c>
      <c r="C17" s="7" t="s">
        <v>96</v>
      </c>
      <c r="D17" s="109" t="s">
        <v>3498</v>
      </c>
      <c r="M17" s="7" t="str" cm="1">
        <f t="array" ref="M17">IF(N17="", "", IFERROR(MAX(--_xlfn.TEXTSPLIT(N17,"+")), N17))</f>
        <v/>
      </c>
      <c r="Q17" s="7" t="s">
        <v>4172</v>
      </c>
      <c r="R17" s="7" t="s">
        <v>5005</v>
      </c>
      <c r="S17" s="7" cm="1">
        <f t="array" ref="S17">IF(T17="", "", IFERROR(MAX(--_xlfn.TEXTSPLIT(T17,"+")), T17))</f>
        <v>2050</v>
      </c>
      <c r="T17" s="7">
        <v>2050</v>
      </c>
      <c r="U17" s="7">
        <v>2021</v>
      </c>
      <c r="V17" s="109" t="s">
        <v>5004</v>
      </c>
      <c r="W17" s="7" t="str">
        <f>_xlfn.XLOOKUP(C17,Sheet1!A:A,Sheet1!B:B, "Other")</f>
        <v>Europe</v>
      </c>
      <c r="X17" s="222" t="str">
        <f>_xlfn.XLOOKUP(D17,Sheet1!D:D,Sheet1!E:E,"Other")</f>
        <v>Other</v>
      </c>
      <c r="AI17" s="202" t="s">
        <v>976</v>
      </c>
      <c r="AJ17" s="199">
        <f t="shared" si="2"/>
        <v>0</v>
      </c>
      <c r="AK17" s="199">
        <f t="shared" si="0"/>
        <v>0</v>
      </c>
      <c r="AL17" s="199">
        <f t="shared" si="3"/>
        <v>0</v>
      </c>
      <c r="AM17" s="199">
        <f t="shared" si="4"/>
        <v>0</v>
      </c>
      <c r="AN17" s="199">
        <f t="shared" si="5"/>
        <v>0</v>
      </c>
      <c r="AO17" s="199">
        <f t="shared" si="6"/>
        <v>0</v>
      </c>
      <c r="AP17" s="199">
        <f t="shared" si="7"/>
        <v>0</v>
      </c>
      <c r="AQ17" s="199">
        <f t="shared" si="13"/>
        <v>0</v>
      </c>
      <c r="AR17" s="199">
        <f t="shared" si="8"/>
        <v>2</v>
      </c>
      <c r="AS17" s="199">
        <f t="shared" si="9"/>
        <v>0</v>
      </c>
      <c r="AT17" s="199">
        <f t="shared" si="10"/>
        <v>0</v>
      </c>
      <c r="AU17" s="199">
        <f t="shared" si="11"/>
        <v>0</v>
      </c>
      <c r="AV17" s="204">
        <f t="shared" si="12"/>
        <v>2</v>
      </c>
    </row>
    <row r="18" spans="1:48">
      <c r="A18" s="7" t="s">
        <v>1826</v>
      </c>
      <c r="B18" s="7">
        <v>16</v>
      </c>
      <c r="C18" s="7" t="s">
        <v>4457</v>
      </c>
      <c r="D18" s="109" t="s">
        <v>4467</v>
      </c>
      <c r="H18" s="7" t="s">
        <v>1957</v>
      </c>
      <c r="I18" s="7">
        <v>2030</v>
      </c>
      <c r="J18" s="109">
        <v>2022</v>
      </c>
      <c r="K18" s="7" t="s">
        <v>4540</v>
      </c>
      <c r="L18" s="7" t="s">
        <v>5003</v>
      </c>
      <c r="M18" s="7" t="str" cm="1">
        <f t="array" ref="M18">IF(N18="", "", IFERROR(MAX(--_xlfn.TEXTSPLIT(N18,"+")), N18))</f>
        <v/>
      </c>
      <c r="P18" s="109" t="s">
        <v>5002</v>
      </c>
      <c r="S18" s="7" t="str" cm="1">
        <f t="array" ref="S18">IF(T18="", "", IFERROR(MAX(--_xlfn.TEXTSPLIT(T18,"+")), T18))</f>
        <v/>
      </c>
      <c r="W18" s="7" t="str">
        <f>_xlfn.XLOOKUP(C18,Sheet1!A:A,Sheet1!B:B, "Other")</f>
        <v>North America</v>
      </c>
      <c r="X18" s="222" t="str">
        <f>_xlfn.XLOOKUP(D18,Sheet1!D:D,Sheet1!E:E,"Other")</f>
        <v>Retail</v>
      </c>
      <c r="AI18" s="202" t="s">
        <v>4467</v>
      </c>
      <c r="AJ18" s="199">
        <f t="shared" si="2"/>
        <v>0</v>
      </c>
      <c r="AK18" s="199">
        <f t="shared" si="0"/>
        <v>27</v>
      </c>
      <c r="AL18" s="199">
        <f t="shared" si="3"/>
        <v>2</v>
      </c>
      <c r="AM18" s="199">
        <f t="shared" si="4"/>
        <v>0</v>
      </c>
      <c r="AN18" s="199">
        <f t="shared" si="5"/>
        <v>7</v>
      </c>
      <c r="AO18" s="199">
        <f t="shared" si="6"/>
        <v>1</v>
      </c>
      <c r="AP18" s="199">
        <f t="shared" si="7"/>
        <v>1</v>
      </c>
      <c r="AQ18" s="199">
        <f t="shared" si="13"/>
        <v>2</v>
      </c>
      <c r="AR18" s="199">
        <f t="shared" si="8"/>
        <v>7</v>
      </c>
      <c r="AS18" s="199">
        <f t="shared" si="9"/>
        <v>0</v>
      </c>
      <c r="AT18" s="199">
        <f t="shared" si="10"/>
        <v>1</v>
      </c>
      <c r="AU18" s="199">
        <f t="shared" si="11"/>
        <v>19</v>
      </c>
      <c r="AV18" s="204">
        <f t="shared" si="12"/>
        <v>67</v>
      </c>
    </row>
    <row r="19" spans="1:48">
      <c r="A19" s="7" t="s">
        <v>1759</v>
      </c>
      <c r="B19" s="7">
        <v>17</v>
      </c>
      <c r="C19" s="7" t="s">
        <v>4457</v>
      </c>
      <c r="D19" s="109" t="s">
        <v>186</v>
      </c>
      <c r="E19" s="7" t="s">
        <v>4174</v>
      </c>
      <c r="F19" s="7">
        <v>2017</v>
      </c>
      <c r="G19" s="109">
        <v>2015</v>
      </c>
      <c r="K19" s="7" t="s">
        <v>1957</v>
      </c>
      <c r="L19" s="7" t="s">
        <v>2425</v>
      </c>
      <c r="M19" s="7" cm="1">
        <f t="array" ref="M19">IF(N19="", "", IFERROR(MAX(--_xlfn.TEXTSPLIT(N19,"+")), N19))</f>
        <v>2007</v>
      </c>
      <c r="N19" s="7">
        <v>2007</v>
      </c>
      <c r="O19" s="7">
        <v>2007</v>
      </c>
      <c r="P19" s="109" t="s">
        <v>5001</v>
      </c>
      <c r="Q19" s="7" t="s">
        <v>4172</v>
      </c>
      <c r="R19" s="7" t="s">
        <v>4471</v>
      </c>
      <c r="S19" s="7" cm="1">
        <f t="array" ref="S19">IF(T19="", "", IFERROR(MAX(--_xlfn.TEXTSPLIT(T19,"+")), T19))</f>
        <v>2030</v>
      </c>
      <c r="T19" s="7">
        <v>2030</v>
      </c>
      <c r="U19" s="7">
        <v>2021</v>
      </c>
      <c r="V19" s="109" t="s">
        <v>5000</v>
      </c>
      <c r="W19" s="7" t="str">
        <f>_xlfn.XLOOKUP(C19,Sheet1!A:A,Sheet1!B:B, "Other")</f>
        <v>North America</v>
      </c>
      <c r="X19" s="222" t="str">
        <f>_xlfn.XLOOKUP(D19,Sheet1!D:D,Sheet1!E:E,"Other")</f>
        <v>Technology</v>
      </c>
      <c r="AI19" s="202" t="s">
        <v>186</v>
      </c>
      <c r="AJ19" s="199">
        <f t="shared" si="2"/>
        <v>1</v>
      </c>
      <c r="AK19" s="199">
        <f t="shared" si="0"/>
        <v>9</v>
      </c>
      <c r="AL19" s="199">
        <f t="shared" si="3"/>
        <v>0</v>
      </c>
      <c r="AM19" s="199">
        <f t="shared" si="4"/>
        <v>4</v>
      </c>
      <c r="AN19" s="199">
        <f t="shared" si="5"/>
        <v>2</v>
      </c>
      <c r="AO19" s="199">
        <f t="shared" si="6"/>
        <v>2</v>
      </c>
      <c r="AP19" s="199">
        <f t="shared" si="7"/>
        <v>2</v>
      </c>
      <c r="AQ19" s="199">
        <f t="shared" si="13"/>
        <v>5</v>
      </c>
      <c r="AR19" s="199">
        <f t="shared" si="8"/>
        <v>0</v>
      </c>
      <c r="AS19" s="199">
        <f t="shared" si="9"/>
        <v>0</v>
      </c>
      <c r="AT19" s="199">
        <f t="shared" si="10"/>
        <v>5</v>
      </c>
      <c r="AU19" s="199">
        <f t="shared" si="11"/>
        <v>7</v>
      </c>
      <c r="AV19" s="204">
        <f t="shared" si="12"/>
        <v>37</v>
      </c>
    </row>
    <row r="20" spans="1:48">
      <c r="A20" s="7" t="s">
        <v>1833</v>
      </c>
      <c r="B20" s="7">
        <v>18</v>
      </c>
      <c r="C20" s="7" t="s">
        <v>114</v>
      </c>
      <c r="D20" s="109" t="s">
        <v>4459</v>
      </c>
      <c r="M20" s="7" t="str" cm="1">
        <f t="array" ref="M20">IF(N20="", "", IFERROR(MAX(--_xlfn.TEXTSPLIT(N20,"+")), N20))</f>
        <v/>
      </c>
      <c r="S20" s="7" t="str" cm="1">
        <f t="array" ref="S20">IF(T20="", "", IFERROR(MAX(--_xlfn.TEXTSPLIT(T20,"+")), T20))</f>
        <v/>
      </c>
      <c r="W20" s="7" t="str">
        <f>_xlfn.XLOOKUP(C20,Sheet1!A:A,Sheet1!B:B, "Other")</f>
        <v>Asia</v>
      </c>
      <c r="X20" s="222" t="str">
        <f>_xlfn.XLOOKUP(D20,Sheet1!D:D,Sheet1!E:E,"Other")</f>
        <v>Other</v>
      </c>
      <c r="AI20" s="202" t="s">
        <v>4190</v>
      </c>
      <c r="AJ20" s="199">
        <f t="shared" si="2"/>
        <v>2</v>
      </c>
      <c r="AK20" s="199">
        <f t="shared" si="0"/>
        <v>8</v>
      </c>
      <c r="AL20" s="199">
        <f t="shared" si="3"/>
        <v>2</v>
      </c>
      <c r="AM20" s="199">
        <f t="shared" si="4"/>
        <v>1</v>
      </c>
      <c r="AN20" s="199">
        <f t="shared" si="5"/>
        <v>2</v>
      </c>
      <c r="AO20" s="199">
        <f t="shared" si="6"/>
        <v>0</v>
      </c>
      <c r="AP20" s="199">
        <f t="shared" si="7"/>
        <v>1</v>
      </c>
      <c r="AQ20" s="199">
        <f t="shared" si="13"/>
        <v>1</v>
      </c>
      <c r="AR20" s="199">
        <f t="shared" si="8"/>
        <v>5</v>
      </c>
      <c r="AS20" s="199">
        <f t="shared" si="9"/>
        <v>1</v>
      </c>
      <c r="AT20" s="199">
        <f t="shared" si="10"/>
        <v>1</v>
      </c>
      <c r="AU20" s="199">
        <f t="shared" si="11"/>
        <v>8</v>
      </c>
      <c r="AV20" s="204">
        <f t="shared" si="12"/>
        <v>32</v>
      </c>
    </row>
    <row r="21" spans="1:48">
      <c r="A21" s="7" t="s">
        <v>1810</v>
      </c>
      <c r="B21" s="7">
        <v>19</v>
      </c>
      <c r="C21" s="7" t="s">
        <v>183</v>
      </c>
      <c r="D21" s="109" t="s">
        <v>4465</v>
      </c>
      <c r="M21" s="7" t="str" cm="1">
        <f t="array" ref="M21">IF(N21="", "", IFERROR(MAX(--_xlfn.TEXTSPLIT(N21,"+")), N21))</f>
        <v/>
      </c>
      <c r="S21" s="7" t="str" cm="1">
        <f t="array" ref="S21">IF(T21="", "", IFERROR(MAX(--_xlfn.TEXTSPLIT(T21,"+")), T21))</f>
        <v/>
      </c>
      <c r="W21" s="7" t="str">
        <f>_xlfn.XLOOKUP(C21,Sheet1!A:A,Sheet1!B:B, "Other")</f>
        <v>Asia</v>
      </c>
      <c r="X21" s="222" t="str">
        <f>_xlfn.XLOOKUP(D21,Sheet1!D:D,Sheet1!E:E,"Other")</f>
        <v>Other</v>
      </c>
      <c r="AI21" s="202" t="s">
        <v>4179</v>
      </c>
      <c r="AJ21" s="199">
        <f t="shared" si="2"/>
        <v>0</v>
      </c>
      <c r="AK21" s="199">
        <f t="shared" si="0"/>
        <v>8</v>
      </c>
      <c r="AL21" s="199">
        <f t="shared" si="3"/>
        <v>1</v>
      </c>
      <c r="AM21" s="199">
        <f t="shared" si="4"/>
        <v>0</v>
      </c>
      <c r="AN21" s="199">
        <f>COUNTIFS($D$3:$D$502,AI21,$F$3:$F$502,"&gt;=2023",$F$3:$F$502,"&lt;=2030")</f>
        <v>1</v>
      </c>
      <c r="AO21" s="199">
        <f t="shared" si="6"/>
        <v>0</v>
      </c>
      <c r="AP21" s="199">
        <f>COUNTIFS($D$3:$D$502,AI21,$M$3:$M$502,"&lt;=2022")</f>
        <v>2</v>
      </c>
      <c r="AQ21" s="199">
        <f t="shared" si="13"/>
        <v>1</v>
      </c>
      <c r="AR21" s="199">
        <f t="shared" si="8"/>
        <v>8</v>
      </c>
      <c r="AS21" s="199">
        <f t="shared" si="9"/>
        <v>0</v>
      </c>
      <c r="AT21" s="199">
        <f t="shared" si="10"/>
        <v>1</v>
      </c>
      <c r="AU21" s="199">
        <f t="shared" si="11"/>
        <v>5</v>
      </c>
      <c r="AV21" s="204">
        <f t="shared" si="12"/>
        <v>27</v>
      </c>
    </row>
    <row r="22" spans="1:48">
      <c r="A22" s="7" t="s">
        <v>1806</v>
      </c>
      <c r="B22" s="7">
        <v>20</v>
      </c>
      <c r="C22" s="7" t="s">
        <v>3277</v>
      </c>
      <c r="D22" s="109" t="s">
        <v>4459</v>
      </c>
      <c r="H22" s="7" t="s">
        <v>1957</v>
      </c>
      <c r="I22" s="7">
        <v>2030</v>
      </c>
      <c r="J22" s="109">
        <v>2021</v>
      </c>
      <c r="M22" s="7" t="str" cm="1">
        <f t="array" ref="M22">IF(N22="", "", IFERROR(MAX(--_xlfn.TEXTSPLIT(N22,"+")), N22))</f>
        <v/>
      </c>
      <c r="Q22" s="7" t="s">
        <v>4172</v>
      </c>
      <c r="R22" s="7" t="s">
        <v>4532</v>
      </c>
      <c r="S22" s="7" cm="1">
        <f t="array" ref="S22">IF(T22="", "", IFERROR(MAX(--_xlfn.TEXTSPLIT(T22,"+")), T22))</f>
        <v>2050</v>
      </c>
      <c r="T22" s="7">
        <v>2050</v>
      </c>
      <c r="U22" s="7">
        <v>2020</v>
      </c>
      <c r="V22" s="109" t="s">
        <v>4999</v>
      </c>
      <c r="W22" s="7" t="str">
        <f>_xlfn.XLOOKUP(C22,Sheet1!A:A,Sheet1!B:B, "Other")</f>
        <v>Asia</v>
      </c>
      <c r="X22" s="222" t="str">
        <f>_xlfn.XLOOKUP(D22,Sheet1!D:D,Sheet1!E:E,"Other")</f>
        <v>Other</v>
      </c>
      <c r="AI22" s="203" t="s">
        <v>7213</v>
      </c>
      <c r="AJ22" s="204">
        <f>SUM(AJ5:AJ21)</f>
        <v>3</v>
      </c>
      <c r="AK22" s="204">
        <f>SUM(AK5:AK21)</f>
        <v>156</v>
      </c>
      <c r="AL22" s="204">
        <f>SUM(AL5:AL21)</f>
        <v>10</v>
      </c>
      <c r="AM22" s="204">
        <f t="shared" ref="AM22:AU22" si="14">SUM(AM5:AM21)</f>
        <v>20</v>
      </c>
      <c r="AN22" s="204">
        <f t="shared" si="14"/>
        <v>40</v>
      </c>
      <c r="AO22" s="204">
        <f t="shared" si="14"/>
        <v>15</v>
      </c>
      <c r="AP22" s="204">
        <f t="shared" si="14"/>
        <v>40</v>
      </c>
      <c r="AQ22" s="204">
        <f t="shared" si="14"/>
        <v>37</v>
      </c>
      <c r="AR22" s="204">
        <f t="shared" si="14"/>
        <v>114</v>
      </c>
      <c r="AS22" s="204">
        <f t="shared" si="14"/>
        <v>2</v>
      </c>
      <c r="AT22" s="204">
        <f t="shared" si="14"/>
        <v>14</v>
      </c>
      <c r="AU22" s="204">
        <f t="shared" si="14"/>
        <v>172</v>
      </c>
      <c r="AV22" s="204">
        <f t="shared" si="12"/>
        <v>623</v>
      </c>
    </row>
    <row r="23" spans="1:48">
      <c r="A23" s="7" t="s">
        <v>1795</v>
      </c>
      <c r="B23" s="7">
        <v>21</v>
      </c>
      <c r="C23" s="7" t="s">
        <v>4457</v>
      </c>
      <c r="D23" s="109" t="s">
        <v>4467</v>
      </c>
      <c r="H23" s="7" t="s">
        <v>1957</v>
      </c>
      <c r="I23" s="7">
        <v>2035</v>
      </c>
      <c r="J23" s="109">
        <v>2021</v>
      </c>
      <c r="M23" s="7" t="str" cm="1">
        <f t="array" ref="M23">IF(N23="", "", IFERROR(MAX(--_xlfn.TEXTSPLIT(N23,"+")), N23))</f>
        <v/>
      </c>
      <c r="S23" s="7" t="str" cm="1">
        <f t="array" ref="S23">IF(T23="", "", IFERROR(MAX(--_xlfn.TEXTSPLIT(T23,"+")), T23))</f>
        <v/>
      </c>
      <c r="W23" s="7" t="str">
        <f>_xlfn.XLOOKUP(C23,Sheet1!A:A,Sheet1!B:B, "Other")</f>
        <v>North America</v>
      </c>
      <c r="X23" s="222" t="str">
        <f>_xlfn.XLOOKUP(D23,Sheet1!D:D,Sheet1!E:E,"Other")</f>
        <v>Retail</v>
      </c>
      <c r="AI23"/>
      <c r="AJ23" s="216" t="s">
        <v>8311</v>
      </c>
      <c r="AK23" s="217"/>
      <c r="AL23" s="218"/>
      <c r="AM23" s="216" t="s">
        <v>3034</v>
      </c>
      <c r="AN23" s="217"/>
      <c r="AO23" s="218"/>
      <c r="AP23" s="216" t="s">
        <v>32</v>
      </c>
      <c r="AQ23" s="217"/>
      <c r="AR23" s="218"/>
      <c r="AS23" s="216" t="s">
        <v>2072</v>
      </c>
      <c r="AT23" s="217"/>
      <c r="AU23" s="218"/>
      <c r="AV23" s="200" t="s">
        <v>7213</v>
      </c>
    </row>
    <row r="24" spans="1:48">
      <c r="A24" s="7" t="s">
        <v>1799</v>
      </c>
      <c r="B24" s="7">
        <v>22</v>
      </c>
      <c r="C24" s="7" t="s">
        <v>73</v>
      </c>
      <c r="D24" s="109" t="s">
        <v>4465</v>
      </c>
      <c r="M24" s="7" t="str" cm="1">
        <f t="array" ref="M24">IF(N24="", "", IFERROR(MAX(--_xlfn.TEXTSPLIT(N24,"+")), N24))</f>
        <v/>
      </c>
      <c r="S24" s="7" t="str" cm="1">
        <f t="array" ref="S24">IF(T24="", "", IFERROR(MAX(--_xlfn.TEXTSPLIT(T24,"+")), T24))</f>
        <v/>
      </c>
      <c r="W24" s="7" t="str">
        <f>_xlfn.XLOOKUP(C24,Sheet1!A:A,Sheet1!B:B, "Other")</f>
        <v>Asia</v>
      </c>
      <c r="X24" s="222" t="str">
        <f>_xlfn.XLOOKUP(D24,Sheet1!D:D,Sheet1!E:E,"Other")</f>
        <v>Other</v>
      </c>
      <c r="AI24" s="200" t="s">
        <v>8315</v>
      </c>
      <c r="AJ24" s="201" t="s">
        <v>8325</v>
      </c>
      <c r="AK24" s="201" t="s">
        <v>8326</v>
      </c>
      <c r="AL24" s="201" t="s">
        <v>8314</v>
      </c>
      <c r="AM24" s="201" t="s">
        <v>8325</v>
      </c>
      <c r="AN24" s="201" t="s">
        <v>8326</v>
      </c>
      <c r="AO24" s="201" t="s">
        <v>8314</v>
      </c>
      <c r="AP24" s="201" t="s">
        <v>8325</v>
      </c>
      <c r="AQ24" s="201" t="s">
        <v>8326</v>
      </c>
      <c r="AR24" s="201" t="s">
        <v>8314</v>
      </c>
      <c r="AS24" s="201" t="s">
        <v>8325</v>
      </c>
      <c r="AT24" s="201" t="s">
        <v>8326</v>
      </c>
      <c r="AU24" s="201" t="s">
        <v>8314</v>
      </c>
      <c r="AV24" s="201"/>
    </row>
    <row r="25" spans="1:48">
      <c r="A25" s="7" t="s">
        <v>1828</v>
      </c>
      <c r="B25" s="7">
        <v>23</v>
      </c>
      <c r="C25" s="7" t="s">
        <v>287</v>
      </c>
      <c r="D25" s="109" t="s">
        <v>4494</v>
      </c>
      <c r="M25" s="7" t="str" cm="1">
        <f t="array" ref="M25">IF(N25="", "", IFERROR(MAX(--_xlfn.TEXTSPLIT(N25,"+")), N25))</f>
        <v/>
      </c>
      <c r="Q25" s="7" t="s">
        <v>4172</v>
      </c>
      <c r="R25" s="7" t="s">
        <v>4532</v>
      </c>
      <c r="S25" s="7" cm="1">
        <f t="array" ref="S25">IF(T25="", "", IFERROR(MAX(--_xlfn.TEXTSPLIT(T25,"+")), T25))</f>
        <v>2050</v>
      </c>
      <c r="T25" s="7">
        <v>2050</v>
      </c>
      <c r="U25" s="7">
        <v>2020</v>
      </c>
      <c r="V25" s="109" t="s">
        <v>4998</v>
      </c>
      <c r="W25" s="7" t="str">
        <f>_xlfn.XLOOKUP(C25,Sheet1!A:A,Sheet1!B:B, "Other")</f>
        <v>Europe</v>
      </c>
      <c r="X25" s="222" t="str">
        <f>_xlfn.XLOOKUP(D25,Sheet1!D:D,Sheet1!E:E,"Other")</f>
        <v>Other</v>
      </c>
      <c r="AI25" s="202" t="s">
        <v>1994</v>
      </c>
      <c r="AJ25" s="199">
        <f>COUNTIFS($W$3:$W$502,AI25,$I$3:$I$502,"&lt;=2022")</f>
        <v>0</v>
      </c>
      <c r="AK25" s="199">
        <f>COUNTIFS($W$3:$W$502,AI25,$I$3:$I$502,"&gt;=2023",$I$3:$I$502,"&lt;=2030")</f>
        <v>28</v>
      </c>
      <c r="AL25" s="199">
        <f>COUNTIFS($W$3:$W$502,AI25,$I$3:$I$502,"&gt;2030")</f>
        <v>5</v>
      </c>
      <c r="AM25" s="199">
        <f>COUNTIFS($W$3:$W$502,AI25,$F$3:$F$502,"&lt;=2022")</f>
        <v>0</v>
      </c>
      <c r="AN25" s="199">
        <f>COUNTIFS($W$3:$W$502,AI25,$F$3:$F$502,"&gt;=2023",$F$3:$F$502,"&lt;=2030")</f>
        <v>2</v>
      </c>
      <c r="AO25" s="199">
        <f>COUNTIFS($W$3:$W$502,AI25,$F$3:$F$502,"&gt;2030")</f>
        <v>10</v>
      </c>
      <c r="AP25" s="199">
        <f>COUNTIFS($W$3:$W$502,AI25,$M$3:$M$502,"&lt;=2022")</f>
        <v>4</v>
      </c>
      <c r="AQ25" s="199">
        <f>COUNTIFS($W$3:$W$502,AI25,$M$3:$M$502,"&gt;=2023",$M$3:$M$502,"&lt;=2030")</f>
        <v>6</v>
      </c>
      <c r="AR25" s="199">
        <f>COUNTIFS($W$3:$W$502,AI25,$M$3:$M$502,"&gt;2030")</f>
        <v>70</v>
      </c>
      <c r="AS25" s="199">
        <f>COUNTIFS($W$3:$W$502,AI25,$S$3:$S$502,"&lt;=2022")</f>
        <v>0</v>
      </c>
      <c r="AT25" s="199">
        <f>COUNTIFS($W$3:$W$502,AI25,$S$3:$S$502,"&gt;=2023",$S$3:$S$502,"&lt;=2030")</f>
        <v>0</v>
      </c>
      <c r="AU25" s="199">
        <f>COUNTIFS($W$3:$W$502,AI25,$S$3:$S$502,"&gt;2030")</f>
        <v>37</v>
      </c>
      <c r="AV25" s="206">
        <f>SUM(AJ25:AU25)</f>
        <v>162</v>
      </c>
    </row>
    <row r="26" spans="1:48">
      <c r="A26" s="7" t="s">
        <v>1785</v>
      </c>
      <c r="B26" s="7">
        <v>24</v>
      </c>
      <c r="C26" s="7" t="s">
        <v>73</v>
      </c>
      <c r="D26" s="109" t="s">
        <v>4465</v>
      </c>
      <c r="M26" s="7" t="str" cm="1">
        <f t="array" ref="M26">IF(N26="", "", IFERROR(MAX(--_xlfn.TEXTSPLIT(N26,"+")), N26))</f>
        <v/>
      </c>
      <c r="S26" s="7" t="str" cm="1">
        <f t="array" ref="S26">IF(T26="", "", IFERROR(MAX(--_xlfn.TEXTSPLIT(T26,"+")), T26))</f>
        <v/>
      </c>
      <c r="W26" s="7" t="str">
        <f>_xlfn.XLOOKUP(C26,Sheet1!A:A,Sheet1!B:B, "Other")</f>
        <v>Asia</v>
      </c>
      <c r="X26" s="222" t="str">
        <f>_xlfn.XLOOKUP(D26,Sheet1!D:D,Sheet1!E:E,"Other")</f>
        <v>Other</v>
      </c>
      <c r="AI26" s="202" t="s">
        <v>1951</v>
      </c>
      <c r="AJ26" s="199">
        <f t="shared" ref="AJ26:AJ28" si="15">COUNTIFS($W$3:$W$502,AI26,$I$3:$I$502,"&lt;=2022")</f>
        <v>1</v>
      </c>
      <c r="AK26" s="199">
        <f t="shared" ref="AK26:AK28" si="16">COUNTIFS($W$3:$W$502,AI26,$I$3:$I$502,"&gt;=2023",$I$3:$I$502,"&lt;=2030")</f>
        <v>76</v>
      </c>
      <c r="AL26" s="199">
        <f t="shared" ref="AL26:AL28" si="17">COUNTIFS($W$3:$W$502,AI26,$I$3:$I$502,"&gt;2030")</f>
        <v>1</v>
      </c>
      <c r="AM26" s="199">
        <f t="shared" ref="AM26:AM28" si="18">COUNTIFS($W$3:$W$502,AI26,$F$3:$F$502,"&lt;=2022")</f>
        <v>8</v>
      </c>
      <c r="AN26" s="199">
        <f t="shared" ref="AN26:AN28" si="19">COUNTIFS($W$3:$W$502,AI26,$F$3:$F$502,"&gt;=2023",$F$3:$F$502,"&lt;=2030")</f>
        <v>24</v>
      </c>
      <c r="AO26" s="199">
        <f t="shared" ref="AO26:AO28" si="20">COUNTIFS($W$3:$W$502,AI26,$F$3:$F$502,"&gt;2030")</f>
        <v>2</v>
      </c>
      <c r="AP26" s="199">
        <f t="shared" ref="AP26:AP28" si="21">COUNTIFS($W$3:$W$502,AI26,$M$3:$M$502,"&lt;=2022")</f>
        <v>20</v>
      </c>
      <c r="AQ26" s="199">
        <f t="shared" ref="AQ26:AQ28" si="22">COUNTIFS($W$3:$W$502,AI26,$M$3:$M$502,"&gt;=2023",$M$3:$M$502,"&lt;=2030")</f>
        <v>17</v>
      </c>
      <c r="AR26" s="199">
        <f t="shared" ref="AR26:AR28" si="23">COUNTIFS($W$3:$W$502,AI26,$M$3:$M$502,"&gt;2030")</f>
        <v>26</v>
      </c>
      <c r="AS26" s="199">
        <f t="shared" ref="AS26:AS28" si="24">COUNTIFS($W$3:$W$502,AI26,$S$3:$S$502,"&lt;=2022")</f>
        <v>0</v>
      </c>
      <c r="AT26" s="199">
        <f t="shared" ref="AT26:AT28" si="25">COUNTIFS($W$3:$W$502,AI26,$S$3:$S$502,"&gt;=2023",$S$3:$S$502,"&lt;=2030")</f>
        <v>8</v>
      </c>
      <c r="AU26" s="199">
        <f t="shared" ref="AU26:AU28" si="26">COUNTIFS($W$3:$W$502,AI26,$S$3:$S$502,"&gt;2030")</f>
        <v>69</v>
      </c>
      <c r="AV26" s="206">
        <f t="shared" ref="AV26:AV28" si="27">SUM(AJ26:AU26)</f>
        <v>252</v>
      </c>
    </row>
    <row r="27" spans="1:48">
      <c r="A27" s="7" t="s">
        <v>1791</v>
      </c>
      <c r="B27" s="7">
        <v>25</v>
      </c>
      <c r="C27" s="7" t="s">
        <v>73</v>
      </c>
      <c r="D27" s="109" t="s">
        <v>4465</v>
      </c>
      <c r="K27" s="7" t="s">
        <v>1957</v>
      </c>
      <c r="L27" s="7" t="s">
        <v>4832</v>
      </c>
      <c r="M27" s="7" cm="1">
        <f t="array" ref="M27">IF(N27="", "", IFERROR(MAX(--_xlfn.TEXTSPLIT(N27,"+")), N27))</f>
        <v>2030</v>
      </c>
      <c r="N27" s="7">
        <v>2030</v>
      </c>
      <c r="O27" s="7">
        <v>2021</v>
      </c>
      <c r="P27" s="109" t="s">
        <v>4997</v>
      </c>
      <c r="S27" s="7" t="str" cm="1">
        <f t="array" ref="S27">IF(T27="", "", IFERROR(MAX(--_xlfn.TEXTSPLIT(T27,"+")), T27))</f>
        <v/>
      </c>
      <c r="W27" s="7" t="str">
        <f>_xlfn.XLOOKUP(C27,Sheet1!A:A,Sheet1!B:B, "Other")</f>
        <v>Asia</v>
      </c>
      <c r="X27" s="222" t="str">
        <f>_xlfn.XLOOKUP(D27,Sheet1!D:D,Sheet1!E:E,"Other")</f>
        <v>Other</v>
      </c>
      <c r="AI27" s="202" t="s">
        <v>2029</v>
      </c>
      <c r="AJ27" s="199">
        <f t="shared" si="15"/>
        <v>2</v>
      </c>
      <c r="AK27" s="199">
        <f t="shared" si="16"/>
        <v>47</v>
      </c>
      <c r="AL27" s="199">
        <f t="shared" si="17"/>
        <v>4</v>
      </c>
      <c r="AM27" s="199">
        <f t="shared" si="18"/>
        <v>12</v>
      </c>
      <c r="AN27" s="199">
        <f t="shared" si="19"/>
        <v>12</v>
      </c>
      <c r="AO27" s="199">
        <f t="shared" si="20"/>
        <v>3</v>
      </c>
      <c r="AP27" s="199">
        <f t="shared" si="21"/>
        <v>13</v>
      </c>
      <c r="AQ27" s="199">
        <f t="shared" si="22"/>
        <v>14</v>
      </c>
      <c r="AR27" s="199">
        <f t="shared" si="23"/>
        <v>16</v>
      </c>
      <c r="AS27" s="199">
        <f t="shared" si="24"/>
        <v>2</v>
      </c>
      <c r="AT27" s="199">
        <f t="shared" si="25"/>
        <v>6</v>
      </c>
      <c r="AU27" s="199">
        <f t="shared" si="26"/>
        <v>52</v>
      </c>
      <c r="AV27" s="206">
        <f t="shared" si="27"/>
        <v>183</v>
      </c>
    </row>
    <row r="28" spans="1:48">
      <c r="A28" s="7" t="s">
        <v>1767</v>
      </c>
      <c r="B28" s="7">
        <v>26</v>
      </c>
      <c r="C28" s="7" t="s">
        <v>4457</v>
      </c>
      <c r="D28" s="109" t="s">
        <v>4467</v>
      </c>
      <c r="M28" s="7" t="str" cm="1">
        <f t="array" ref="M28">IF(N28="", "", IFERROR(MAX(--_xlfn.TEXTSPLIT(N28,"+")), N28))</f>
        <v/>
      </c>
      <c r="S28" s="7" t="str" cm="1">
        <f t="array" ref="S28">IF(T28="", "", IFERROR(MAX(--_xlfn.TEXTSPLIT(T28,"+")), T28))</f>
        <v/>
      </c>
      <c r="W28" s="7" t="str">
        <f>_xlfn.XLOOKUP(C28,Sheet1!A:A,Sheet1!B:B, "Other")</f>
        <v>North America</v>
      </c>
      <c r="X28" s="222" t="str">
        <f>_xlfn.XLOOKUP(D28,Sheet1!D:D,Sheet1!E:E,"Other")</f>
        <v>Retail</v>
      </c>
      <c r="AI28" s="202" t="s">
        <v>8322</v>
      </c>
      <c r="AJ28" s="199">
        <f t="shared" si="15"/>
        <v>0</v>
      </c>
      <c r="AK28" s="199">
        <f t="shared" si="16"/>
        <v>5</v>
      </c>
      <c r="AL28" s="199">
        <f t="shared" si="17"/>
        <v>0</v>
      </c>
      <c r="AM28" s="199">
        <f t="shared" si="18"/>
        <v>0</v>
      </c>
      <c r="AN28" s="199">
        <f t="shared" si="19"/>
        <v>2</v>
      </c>
      <c r="AO28" s="199">
        <f t="shared" si="20"/>
        <v>0</v>
      </c>
      <c r="AP28" s="199">
        <f t="shared" si="21"/>
        <v>3</v>
      </c>
      <c r="AQ28" s="199">
        <f t="shared" si="22"/>
        <v>0</v>
      </c>
      <c r="AR28" s="199">
        <f t="shared" si="23"/>
        <v>2</v>
      </c>
      <c r="AS28" s="199">
        <f t="shared" si="24"/>
        <v>0</v>
      </c>
      <c r="AT28" s="199">
        <f t="shared" si="25"/>
        <v>0</v>
      </c>
      <c r="AU28" s="199">
        <f t="shared" si="26"/>
        <v>14</v>
      </c>
      <c r="AV28" s="206">
        <f t="shared" si="27"/>
        <v>26</v>
      </c>
    </row>
    <row r="29" spans="1:48">
      <c r="A29" s="7" t="s">
        <v>4215</v>
      </c>
      <c r="B29" s="7">
        <v>27</v>
      </c>
      <c r="C29" s="7" t="s">
        <v>63</v>
      </c>
      <c r="D29" s="109" t="s">
        <v>3498</v>
      </c>
      <c r="M29" s="7" t="str" cm="1">
        <f t="array" ref="M29">IF(N29="", "", IFERROR(MAX(--_xlfn.TEXTSPLIT(N29,"+")), N29))</f>
        <v/>
      </c>
      <c r="Q29" s="7" t="s">
        <v>4172</v>
      </c>
      <c r="R29" s="7" t="s">
        <v>4996</v>
      </c>
      <c r="S29" s="7" cm="1">
        <f t="array" ref="S29">IF(T29="", "", IFERROR(MAX(--_xlfn.TEXTSPLIT(T29,"+")), T29))</f>
        <v>2050</v>
      </c>
      <c r="T29" s="7">
        <v>2050</v>
      </c>
      <c r="U29" s="7">
        <v>2020</v>
      </c>
      <c r="V29" s="109" t="s">
        <v>4995</v>
      </c>
      <c r="W29" s="7" t="str">
        <f>_xlfn.XLOOKUP(C29,Sheet1!A:A,Sheet1!B:B, "Other")</f>
        <v>Europe</v>
      </c>
      <c r="X29" s="222" t="str">
        <f>_xlfn.XLOOKUP(D29,Sheet1!D:D,Sheet1!E:E,"Other")</f>
        <v>Other</v>
      </c>
      <c r="AI29" s="203" t="s">
        <v>7213</v>
      </c>
      <c r="AJ29" s="204">
        <f>SUM(AJ25:AJ28)</f>
        <v>3</v>
      </c>
      <c r="AK29" s="204">
        <f>SUM(AK25:AK28)</f>
        <v>156</v>
      </c>
      <c r="AL29" s="204">
        <f>SUM(AL25:AL28)</f>
        <v>10</v>
      </c>
      <c r="AM29" s="204">
        <f>SUM(AM25:AM28)</f>
        <v>20</v>
      </c>
      <c r="AN29" s="204">
        <f>SUM(AN25:AN28)</f>
        <v>40</v>
      </c>
      <c r="AO29" s="206">
        <f>SUM(AO25:AO28)</f>
        <v>15</v>
      </c>
      <c r="AP29" s="206">
        <f>SUM(AP25:AP28)</f>
        <v>40</v>
      </c>
      <c r="AQ29" s="206">
        <f>SUM(AQ25:AQ28)</f>
        <v>37</v>
      </c>
      <c r="AR29" s="205">
        <f>SUM(AR25:AR28)</f>
        <v>114</v>
      </c>
      <c r="AS29" s="206">
        <f>SUM(AS25:AS28)</f>
        <v>2</v>
      </c>
      <c r="AT29" s="206">
        <f>SUM(AT25:AT28)</f>
        <v>14</v>
      </c>
      <c r="AU29" s="206">
        <f>SUM(AU25:AU28)</f>
        <v>172</v>
      </c>
      <c r="AV29" s="206">
        <f>SUM(AV25:AV28)</f>
        <v>623</v>
      </c>
    </row>
    <row r="30" spans="1:48">
      <c r="A30" s="7" t="s">
        <v>1763</v>
      </c>
      <c r="B30" s="7">
        <v>28</v>
      </c>
      <c r="C30" s="7" t="s">
        <v>73</v>
      </c>
      <c r="D30" s="109" t="s">
        <v>4465</v>
      </c>
      <c r="M30" s="7" t="str" cm="1">
        <f t="array" ref="M30">IF(N30="", "", IFERROR(MAX(--_xlfn.TEXTSPLIT(N30,"+")), N30))</f>
        <v/>
      </c>
      <c r="S30" s="7" t="str" cm="1">
        <f t="array" ref="S30">IF(T30="", "", IFERROR(MAX(--_xlfn.TEXTSPLIT(T30,"+")), T30))</f>
        <v/>
      </c>
      <c r="W30" s="7" t="str">
        <f>_xlfn.XLOOKUP(C30,Sheet1!A:A,Sheet1!B:B, "Other")</f>
        <v>Asia</v>
      </c>
      <c r="X30" s="222" t="str">
        <f>_xlfn.XLOOKUP(D30,Sheet1!D:D,Sheet1!E:E,"Other")</f>
        <v>Other</v>
      </c>
    </row>
    <row r="31" spans="1:48">
      <c r="A31" s="7" t="s">
        <v>4994</v>
      </c>
      <c r="B31" s="7">
        <v>29</v>
      </c>
      <c r="C31" s="7" t="s">
        <v>96</v>
      </c>
      <c r="D31" s="109" t="s">
        <v>4476</v>
      </c>
      <c r="M31" s="7" t="str" cm="1">
        <f t="array" ref="M31">IF(N31="", "", IFERROR(MAX(--_xlfn.TEXTSPLIT(N31,"+")), N31))</f>
        <v/>
      </c>
      <c r="Q31" s="7" t="s">
        <v>4172</v>
      </c>
      <c r="R31" s="7" t="s">
        <v>4993</v>
      </c>
      <c r="S31" s="7" cm="1">
        <f t="array" ref="S31">IF(T31="", "", IFERROR(MAX(--_xlfn.TEXTSPLIT(T31,"+")), T31))</f>
        <v>2038</v>
      </c>
      <c r="T31" s="7">
        <v>2038</v>
      </c>
      <c r="U31" s="7">
        <v>2022</v>
      </c>
      <c r="V31" s="109" t="s">
        <v>4992</v>
      </c>
      <c r="W31" s="7" t="str">
        <f>_xlfn.XLOOKUP(C31,Sheet1!A:A,Sheet1!B:B, "Other")</f>
        <v>Europe</v>
      </c>
      <c r="X31" s="222" t="str">
        <f>_xlfn.XLOOKUP(D31,Sheet1!D:D,Sheet1!E:E,"Other")</f>
        <v>Other</v>
      </c>
    </row>
    <row r="32" spans="1:48">
      <c r="A32" s="7" t="s">
        <v>1065</v>
      </c>
      <c r="B32" s="7">
        <v>30</v>
      </c>
      <c r="C32" s="7" t="s">
        <v>4457</v>
      </c>
      <c r="D32" s="109" t="s">
        <v>4201</v>
      </c>
      <c r="E32" s="7" t="s">
        <v>4174</v>
      </c>
      <c r="F32" s="7">
        <v>2030</v>
      </c>
      <c r="G32" s="109">
        <v>2022</v>
      </c>
      <c r="K32" s="7" t="s">
        <v>1957</v>
      </c>
      <c r="L32" s="7" t="s">
        <v>2425</v>
      </c>
      <c r="M32" s="7" cm="1">
        <f t="array" ref="M32">IF(N32="", "", IFERROR(MAX(--_xlfn.TEXTSPLIT(N32,"+")), N32))</f>
        <v>2040</v>
      </c>
      <c r="N32" s="7">
        <v>2040</v>
      </c>
      <c r="O32" s="7">
        <v>2021</v>
      </c>
      <c r="P32" s="109" t="s">
        <v>3576</v>
      </c>
      <c r="S32" s="7" t="str" cm="1">
        <f t="array" ref="S32">IF(T32="", "", IFERROR(MAX(--_xlfn.TEXTSPLIT(T32,"+")), T32))</f>
        <v/>
      </c>
      <c r="W32" s="7" t="str">
        <f>_xlfn.XLOOKUP(C32,Sheet1!A:A,Sheet1!B:B, "Other")</f>
        <v>North America</v>
      </c>
      <c r="X32" s="222" t="str">
        <f>_xlfn.XLOOKUP(D32,Sheet1!D:D,Sheet1!E:E,"Other")</f>
        <v>Other</v>
      </c>
    </row>
    <row r="33" spans="1:24">
      <c r="A33" s="7" t="s">
        <v>4991</v>
      </c>
      <c r="B33" s="7">
        <v>31</v>
      </c>
      <c r="C33" s="7" t="s">
        <v>73</v>
      </c>
      <c r="D33" s="109" t="s">
        <v>66</v>
      </c>
      <c r="K33" s="7" t="s">
        <v>4519</v>
      </c>
      <c r="L33" s="7" t="s">
        <v>4518</v>
      </c>
      <c r="M33" s="7" cm="1">
        <f t="array" ref="M33">IF(N33="", "", IFERROR(MAX(--_xlfn.TEXTSPLIT(N33,"+")), N33))</f>
        <v>2060</v>
      </c>
      <c r="N33" s="7">
        <v>2060</v>
      </c>
      <c r="O33" s="7">
        <v>2021</v>
      </c>
      <c r="P33" s="109" t="s">
        <v>4990</v>
      </c>
      <c r="S33" s="7" t="str" cm="1">
        <f t="array" ref="S33">IF(T33="", "", IFERROR(MAX(--_xlfn.TEXTSPLIT(T33,"+")), T33))</f>
        <v/>
      </c>
      <c r="W33" s="7" t="str">
        <f>_xlfn.XLOOKUP(C33,Sheet1!A:A,Sheet1!B:B, "Other")</f>
        <v>Asia</v>
      </c>
      <c r="X33" s="222" t="str">
        <f>_xlfn.XLOOKUP(D33,Sheet1!D:D,Sheet1!E:E,"Other")</f>
        <v>Chemicals</v>
      </c>
    </row>
    <row r="34" spans="1:24">
      <c r="A34" s="7" t="s">
        <v>1800</v>
      </c>
      <c r="B34" s="7">
        <v>32</v>
      </c>
      <c r="C34" s="7" t="s">
        <v>4457</v>
      </c>
      <c r="D34" s="109" t="s">
        <v>4190</v>
      </c>
      <c r="H34" s="7" t="s">
        <v>4183</v>
      </c>
      <c r="I34" s="7">
        <v>2030</v>
      </c>
      <c r="J34" s="109">
        <v>2020</v>
      </c>
      <c r="K34" s="7" t="s">
        <v>1957</v>
      </c>
      <c r="L34" s="7" t="s">
        <v>2425</v>
      </c>
      <c r="M34" s="7" cm="1">
        <f t="array" ref="M34">IF(N34="", "", IFERROR(MAX(--_xlfn.TEXTSPLIT(N34,"+")), N34))</f>
        <v>2035</v>
      </c>
      <c r="N34" s="7">
        <v>2035</v>
      </c>
      <c r="O34" s="7">
        <v>2020</v>
      </c>
      <c r="P34" s="109" t="s">
        <v>4989</v>
      </c>
      <c r="S34" s="7" t="str" cm="1">
        <f t="array" ref="S34">IF(T34="", "", IFERROR(MAX(--_xlfn.TEXTSPLIT(T34,"+")), T34))</f>
        <v/>
      </c>
      <c r="W34" s="7" t="str">
        <f>_xlfn.XLOOKUP(C34,Sheet1!A:A,Sheet1!B:B, "Other")</f>
        <v>North America</v>
      </c>
      <c r="X34" s="222" t="str">
        <f>_xlfn.XLOOKUP(D34,Sheet1!D:D,Sheet1!E:E,"Other")</f>
        <v>Other</v>
      </c>
    </row>
    <row r="35" spans="1:24">
      <c r="A35" s="7" t="s">
        <v>1686</v>
      </c>
      <c r="B35" s="7">
        <v>33</v>
      </c>
      <c r="C35" s="7" t="s">
        <v>4457</v>
      </c>
      <c r="D35" s="109" t="s">
        <v>186</v>
      </c>
      <c r="E35" s="7" t="s">
        <v>4174</v>
      </c>
      <c r="F35" s="7">
        <v>2030</v>
      </c>
      <c r="G35" s="109">
        <v>2015</v>
      </c>
      <c r="H35" s="7" t="s">
        <v>4183</v>
      </c>
      <c r="I35" s="7">
        <v>2030</v>
      </c>
      <c r="J35" s="109">
        <v>2019</v>
      </c>
      <c r="K35" s="7" t="s">
        <v>1957</v>
      </c>
      <c r="L35" s="7" t="s">
        <v>4988</v>
      </c>
      <c r="M35" s="7" cm="1">
        <f t="array" ref="M35">IF(N35="", "", IFERROR(MAX(--_xlfn.TEXTSPLIT(N35,"+")), N35))</f>
        <v>2012</v>
      </c>
      <c r="N35" s="7">
        <v>2012</v>
      </c>
      <c r="O35" s="7">
        <v>2012</v>
      </c>
      <c r="P35" s="109" t="s">
        <v>4987</v>
      </c>
      <c r="Q35" s="7" t="s">
        <v>4172</v>
      </c>
      <c r="R35" s="7" t="s">
        <v>4986</v>
      </c>
      <c r="S35" s="7" cm="1">
        <f t="array" ref="S35">IF(T35="", "", IFERROR(MAX(--_xlfn.TEXTSPLIT(T35,"+")), T35))</f>
        <v>2030</v>
      </c>
      <c r="T35" s="7">
        <v>2030</v>
      </c>
      <c r="U35" s="7">
        <v>2020</v>
      </c>
      <c r="V35" s="109" t="s">
        <v>2839</v>
      </c>
      <c r="W35" s="7" t="str">
        <f>_xlfn.XLOOKUP(C35,Sheet1!A:A,Sheet1!B:B, "Other")</f>
        <v>North America</v>
      </c>
      <c r="X35" s="222" t="str">
        <f>_xlfn.XLOOKUP(D35,Sheet1!D:D,Sheet1!E:E,"Other")</f>
        <v>Technology</v>
      </c>
    </row>
    <row r="36" spans="1:24">
      <c r="A36" s="7" t="s">
        <v>1704</v>
      </c>
      <c r="B36" s="7">
        <v>34</v>
      </c>
      <c r="C36" s="7" t="s">
        <v>73</v>
      </c>
      <c r="D36" s="109" t="s">
        <v>4197</v>
      </c>
      <c r="M36" s="7" t="str" cm="1">
        <f t="array" ref="M36">IF(N36="", "", IFERROR(MAX(--_xlfn.TEXTSPLIT(N36,"+")), N36))</f>
        <v/>
      </c>
      <c r="S36" s="7" t="str" cm="1">
        <f t="array" ref="S36">IF(T36="", "", IFERROR(MAX(--_xlfn.TEXTSPLIT(T36,"+")), T36))</f>
        <v/>
      </c>
      <c r="W36" s="7" t="str">
        <f>_xlfn.XLOOKUP(C36,Sheet1!A:A,Sheet1!B:B, "Other")</f>
        <v>Asia</v>
      </c>
      <c r="X36" s="222" t="str">
        <f>_xlfn.XLOOKUP(D36,Sheet1!D:D,Sheet1!E:E,"Other")</f>
        <v>Other</v>
      </c>
    </row>
    <row r="37" spans="1:24">
      <c r="A37" s="7" t="s">
        <v>1873</v>
      </c>
      <c r="B37" s="7">
        <v>35</v>
      </c>
      <c r="C37" s="7" t="s">
        <v>4195</v>
      </c>
      <c r="D37" s="109" t="s">
        <v>3498</v>
      </c>
      <c r="M37" s="7" t="str" cm="1">
        <f t="array" ref="M37">IF(N37="", "", IFERROR(MAX(--_xlfn.TEXTSPLIT(N37,"+")), N37))</f>
        <v/>
      </c>
      <c r="Q37" s="7" t="s">
        <v>4172</v>
      </c>
      <c r="R37" s="7" t="s">
        <v>4985</v>
      </c>
      <c r="S37" s="7" cm="1">
        <f t="array" ref="S37">IF(T37="", "", IFERROR(MAX(--_xlfn.TEXTSPLIT(T37,"+")), T37))</f>
        <v>2050</v>
      </c>
      <c r="T37" s="7">
        <v>2050</v>
      </c>
      <c r="U37" s="7">
        <v>2020</v>
      </c>
      <c r="V37" s="109" t="s">
        <v>4984</v>
      </c>
      <c r="W37" s="7" t="str">
        <f>_xlfn.XLOOKUP(C37,Sheet1!A:A,Sheet1!B:B, "Other")</f>
        <v>Europe</v>
      </c>
      <c r="X37" s="222" t="str">
        <f>_xlfn.XLOOKUP(D37,Sheet1!D:D,Sheet1!E:E,"Other")</f>
        <v>Other</v>
      </c>
    </row>
    <row r="38" spans="1:24">
      <c r="A38" s="7" t="s">
        <v>1756</v>
      </c>
      <c r="B38" s="7">
        <v>36</v>
      </c>
      <c r="C38" s="7" t="s">
        <v>4457</v>
      </c>
      <c r="D38" s="109" t="s">
        <v>4467</v>
      </c>
      <c r="H38" s="7" t="s">
        <v>1957</v>
      </c>
      <c r="I38" s="7">
        <v>2030</v>
      </c>
      <c r="J38" s="109">
        <v>2021</v>
      </c>
      <c r="M38" s="7" t="str" cm="1">
        <f t="array" ref="M38">IF(N38="", "", IFERROR(MAX(--_xlfn.TEXTSPLIT(N38,"+")), N38))</f>
        <v/>
      </c>
      <c r="S38" s="7" t="str" cm="1">
        <f t="array" ref="S38">IF(T38="", "", IFERROR(MAX(--_xlfn.TEXTSPLIT(T38,"+")), T38))</f>
        <v/>
      </c>
      <c r="W38" s="7" t="str">
        <f>_xlfn.XLOOKUP(C38,Sheet1!A:A,Sheet1!B:B, "Other")</f>
        <v>North America</v>
      </c>
      <c r="X38" s="222" t="str">
        <f>_xlfn.XLOOKUP(D38,Sheet1!D:D,Sheet1!E:E,"Other")</f>
        <v>Retail</v>
      </c>
    </row>
    <row r="39" spans="1:24">
      <c r="A39" s="7" t="s">
        <v>1793</v>
      </c>
      <c r="B39" s="7">
        <v>37</v>
      </c>
      <c r="C39" s="7" t="s">
        <v>4457</v>
      </c>
      <c r="D39" s="109" t="s">
        <v>3498</v>
      </c>
      <c r="M39" s="7" t="str" cm="1">
        <f t="array" ref="M39">IF(N39="", "", IFERROR(MAX(--_xlfn.TEXTSPLIT(N39,"+")), N39))</f>
        <v/>
      </c>
      <c r="Q39" s="7" t="s">
        <v>1957</v>
      </c>
      <c r="R39" s="7" t="s">
        <v>2425</v>
      </c>
      <c r="S39" s="7" cm="1">
        <f t="array" ref="S39">IF(T39="", "", IFERROR(MAX(--_xlfn.TEXTSPLIT(T39,"+")), T39))</f>
        <v>2050</v>
      </c>
      <c r="T39" s="7">
        <v>2050</v>
      </c>
      <c r="U39" s="7">
        <v>2021</v>
      </c>
      <c r="V39" s="109" t="s">
        <v>4983</v>
      </c>
      <c r="W39" s="7" t="str">
        <f>_xlfn.XLOOKUP(C39,Sheet1!A:A,Sheet1!B:B, "Other")</f>
        <v>North America</v>
      </c>
      <c r="X39" s="222" t="str">
        <f>_xlfn.XLOOKUP(D39,Sheet1!D:D,Sheet1!E:E,"Other")</f>
        <v>Other</v>
      </c>
    </row>
    <row r="40" spans="1:24">
      <c r="A40" s="7" t="s">
        <v>4982</v>
      </c>
      <c r="B40" s="7">
        <v>38</v>
      </c>
      <c r="C40" s="7" t="s">
        <v>146</v>
      </c>
      <c r="D40" s="109" t="s">
        <v>4476</v>
      </c>
      <c r="K40" s="7" t="s">
        <v>4573</v>
      </c>
      <c r="L40" s="7" t="s">
        <v>4981</v>
      </c>
      <c r="M40" s="7" cm="1">
        <f t="array" ref="M40">IF(N40="", "", IFERROR(MAX(--_xlfn.TEXTSPLIT(N40,"+")), N40))</f>
        <v>2039</v>
      </c>
      <c r="N40" s="7" t="s">
        <v>4980</v>
      </c>
      <c r="O40" s="7" t="s">
        <v>4606</v>
      </c>
      <c r="P40" s="109" t="s">
        <v>4979</v>
      </c>
      <c r="S40" s="7" t="str" cm="1">
        <f t="array" ref="S40">IF(T40="", "", IFERROR(MAX(--_xlfn.TEXTSPLIT(T40,"+")), T40))</f>
        <v/>
      </c>
      <c r="W40" s="7" t="str">
        <f>_xlfn.XLOOKUP(C40,Sheet1!A:A,Sheet1!B:B, "Other")</f>
        <v>Europe</v>
      </c>
      <c r="X40" s="222" t="str">
        <f>_xlfn.XLOOKUP(D40,Sheet1!D:D,Sheet1!E:E,"Other")</f>
        <v>Other</v>
      </c>
    </row>
    <row r="41" spans="1:24">
      <c r="A41" s="7" t="s">
        <v>1691</v>
      </c>
      <c r="B41" s="7">
        <v>39</v>
      </c>
      <c r="C41" s="7" t="s">
        <v>73</v>
      </c>
      <c r="D41" s="109" t="s">
        <v>4197</v>
      </c>
      <c r="K41" s="7" t="s">
        <v>4519</v>
      </c>
      <c r="L41" s="7" t="s">
        <v>4518</v>
      </c>
      <c r="M41" s="7" cm="1">
        <f t="array" ref="M41">IF(N41="", "", IFERROR(MAX(--_xlfn.TEXTSPLIT(N41,"+")), N41))</f>
        <v>2060</v>
      </c>
      <c r="N41" s="7">
        <v>2060</v>
      </c>
      <c r="O41" s="7">
        <v>2021</v>
      </c>
      <c r="S41" s="7" t="str" cm="1">
        <f t="array" ref="S41">IF(T41="", "", IFERROR(MAX(--_xlfn.TEXTSPLIT(T41,"+")), T41))</f>
        <v/>
      </c>
      <c r="W41" s="7" t="str">
        <f>_xlfn.XLOOKUP(C41,Sheet1!A:A,Sheet1!B:B, "Other")</f>
        <v>Asia</v>
      </c>
      <c r="X41" s="222" t="str">
        <f>_xlfn.XLOOKUP(D41,Sheet1!D:D,Sheet1!E:E,"Other")</f>
        <v>Other</v>
      </c>
    </row>
    <row r="42" spans="1:24">
      <c r="A42" s="7" t="s">
        <v>1714</v>
      </c>
      <c r="B42" s="7">
        <v>40</v>
      </c>
      <c r="C42" s="7" t="s">
        <v>73</v>
      </c>
      <c r="D42" s="109" t="s">
        <v>4465</v>
      </c>
      <c r="M42" s="7" t="str" cm="1">
        <f t="array" ref="M42">IF(N42="", "", IFERROR(MAX(--_xlfn.TEXTSPLIT(N42,"+")), N42))</f>
        <v/>
      </c>
      <c r="S42" s="7" t="str" cm="1">
        <f t="array" ref="S42">IF(T42="", "", IFERROR(MAX(--_xlfn.TEXTSPLIT(T42,"+")), T42))</f>
        <v/>
      </c>
      <c r="W42" s="7" t="str">
        <f>_xlfn.XLOOKUP(C42,Sheet1!A:A,Sheet1!B:B, "Other")</f>
        <v>Asia</v>
      </c>
      <c r="X42" s="222" t="str">
        <f>_xlfn.XLOOKUP(D42,Sheet1!D:D,Sheet1!E:E,"Other")</f>
        <v>Other</v>
      </c>
    </row>
    <row r="43" spans="1:24">
      <c r="A43" s="7" t="s">
        <v>658</v>
      </c>
      <c r="B43" s="7">
        <v>41</v>
      </c>
      <c r="C43" s="7" t="s">
        <v>207</v>
      </c>
      <c r="D43" s="109" t="s">
        <v>66</v>
      </c>
      <c r="K43" s="7" t="s">
        <v>1957</v>
      </c>
      <c r="L43" s="7" t="s">
        <v>2425</v>
      </c>
      <c r="M43" s="7" cm="1">
        <f t="array" ref="M43">IF(N43="", "", IFERROR(MAX(--_xlfn.TEXTSPLIT(N43,"+")), N43))</f>
        <v>2050</v>
      </c>
      <c r="N43" s="7">
        <v>2050</v>
      </c>
      <c r="O43" s="7">
        <v>2021</v>
      </c>
      <c r="P43" s="109" t="s">
        <v>4978</v>
      </c>
      <c r="S43" s="7" t="str" cm="1">
        <f t="array" ref="S43">IF(T43="", "", IFERROR(MAX(--_xlfn.TEXTSPLIT(T43,"+")), T43))</f>
        <v/>
      </c>
      <c r="W43" s="7" t="str">
        <f>_xlfn.XLOOKUP(C43,Sheet1!A:A,Sheet1!B:B, "Other")</f>
        <v>Asia</v>
      </c>
      <c r="X43" s="222" t="str">
        <f>_xlfn.XLOOKUP(D43,Sheet1!D:D,Sheet1!E:E,"Other")</f>
        <v>Chemicals</v>
      </c>
    </row>
    <row r="44" spans="1:24">
      <c r="A44" s="7" t="s">
        <v>1736</v>
      </c>
      <c r="B44" s="7">
        <v>42</v>
      </c>
      <c r="C44" s="7" t="s">
        <v>73</v>
      </c>
      <c r="D44" s="109" t="s">
        <v>4465</v>
      </c>
      <c r="K44" s="7" t="s">
        <v>4519</v>
      </c>
      <c r="L44" s="7" t="s">
        <v>4518</v>
      </c>
      <c r="M44" s="7" cm="1">
        <f t="array" ref="M44">IF(N44="", "", IFERROR(MAX(--_xlfn.TEXTSPLIT(N44,"+")), N44))</f>
        <v>2060</v>
      </c>
      <c r="N44" s="7">
        <v>2060</v>
      </c>
      <c r="O44" s="7">
        <v>2021</v>
      </c>
      <c r="P44" s="109" t="s">
        <v>4977</v>
      </c>
      <c r="S44" s="7" t="str" cm="1">
        <f t="array" ref="S44">IF(T44="", "", IFERROR(MAX(--_xlfn.TEXTSPLIT(T44,"+")), T44))</f>
        <v/>
      </c>
      <c r="W44" s="7" t="str">
        <f>_xlfn.XLOOKUP(C44,Sheet1!A:A,Sheet1!B:B, "Other")</f>
        <v>Asia</v>
      </c>
      <c r="X44" s="222" t="str">
        <f>_xlfn.XLOOKUP(D44,Sheet1!D:D,Sheet1!E:E,"Other")</f>
        <v>Other</v>
      </c>
    </row>
    <row r="45" spans="1:24">
      <c r="A45" s="7" t="s">
        <v>1681</v>
      </c>
      <c r="B45" s="7">
        <v>43</v>
      </c>
      <c r="C45" s="7" t="s">
        <v>4457</v>
      </c>
      <c r="D45" s="109" t="s">
        <v>4467</v>
      </c>
      <c r="E45" s="7" t="s">
        <v>4174</v>
      </c>
      <c r="F45" s="7">
        <v>2030</v>
      </c>
      <c r="G45" s="109">
        <v>2021</v>
      </c>
      <c r="H45" s="7" t="s">
        <v>1957</v>
      </c>
      <c r="I45" s="7">
        <v>2030</v>
      </c>
      <c r="J45" s="109">
        <v>2021</v>
      </c>
      <c r="M45" s="7" t="str" cm="1">
        <f t="array" ref="M45">IF(N45="", "", IFERROR(MAX(--_xlfn.TEXTSPLIT(N45,"+")), N45))</f>
        <v/>
      </c>
      <c r="S45" s="7" t="str" cm="1">
        <f t="array" ref="S45">IF(T45="", "", IFERROR(MAX(--_xlfn.TEXTSPLIT(T45,"+")), T45))</f>
        <v/>
      </c>
      <c r="W45" s="7" t="str">
        <f>_xlfn.XLOOKUP(C45,Sheet1!A:A,Sheet1!B:B, "Other")</f>
        <v>North America</v>
      </c>
      <c r="X45" s="222" t="str">
        <f>_xlfn.XLOOKUP(D45,Sheet1!D:D,Sheet1!E:E,"Other")</f>
        <v>Retail</v>
      </c>
    </row>
    <row r="46" spans="1:24">
      <c r="A46" s="7" t="s">
        <v>1329</v>
      </c>
      <c r="B46" s="7">
        <v>44</v>
      </c>
      <c r="C46" s="7" t="s">
        <v>73</v>
      </c>
      <c r="D46" s="109" t="s">
        <v>4494</v>
      </c>
      <c r="K46" s="7" t="s">
        <v>1957</v>
      </c>
      <c r="L46" s="7" t="s">
        <v>4518</v>
      </c>
      <c r="M46" s="7" cm="1">
        <f t="array" ref="M46">IF(N46="", "", IFERROR(MAX(--_xlfn.TEXTSPLIT(N46,"+")), N46))</f>
        <v>2050</v>
      </c>
      <c r="N46" s="7">
        <v>2050</v>
      </c>
      <c r="O46" s="7">
        <v>2021</v>
      </c>
      <c r="P46" s="109" t="s">
        <v>4976</v>
      </c>
      <c r="S46" s="7" t="str" cm="1">
        <f t="array" ref="S46">IF(T46="", "", IFERROR(MAX(--_xlfn.TEXTSPLIT(T46,"+")), T46))</f>
        <v/>
      </c>
      <c r="W46" s="7" t="str">
        <f>_xlfn.XLOOKUP(C46,Sheet1!A:A,Sheet1!B:B, "Other")</f>
        <v>Asia</v>
      </c>
      <c r="X46" s="222" t="str">
        <f>_xlfn.XLOOKUP(D46,Sheet1!D:D,Sheet1!E:E,"Other")</f>
        <v>Other</v>
      </c>
    </row>
    <row r="47" spans="1:24">
      <c r="A47" s="7" t="s">
        <v>1753</v>
      </c>
      <c r="B47" s="7">
        <v>45</v>
      </c>
      <c r="C47" s="7" t="s">
        <v>4457</v>
      </c>
      <c r="D47" s="109" t="s">
        <v>4467</v>
      </c>
      <c r="K47" s="7" t="s">
        <v>1957</v>
      </c>
      <c r="L47" s="7" t="s">
        <v>2425</v>
      </c>
      <c r="M47" s="7" cm="1">
        <f t="array" ref="M47">IF(N47="", "", IFERROR(MAX(--_xlfn.TEXTSPLIT(N47,"+")), N47))</f>
        <v>2040</v>
      </c>
      <c r="N47" s="7">
        <v>2040</v>
      </c>
      <c r="O47" s="7">
        <v>2019</v>
      </c>
      <c r="P47" s="109" t="s">
        <v>4975</v>
      </c>
      <c r="S47" s="7" t="str" cm="1">
        <f t="array" ref="S47">IF(T47="", "", IFERROR(MAX(--_xlfn.TEXTSPLIT(T47,"+")), T47))</f>
        <v/>
      </c>
      <c r="W47" s="7" t="str">
        <f>_xlfn.XLOOKUP(C47,Sheet1!A:A,Sheet1!B:B, "Other")</f>
        <v>North America</v>
      </c>
      <c r="X47" s="222" t="str">
        <f>_xlfn.XLOOKUP(D47,Sheet1!D:D,Sheet1!E:E,"Other")</f>
        <v>Retail</v>
      </c>
    </row>
    <row r="48" spans="1:24">
      <c r="A48" s="7" t="s">
        <v>1367</v>
      </c>
      <c r="B48" s="7">
        <v>46</v>
      </c>
      <c r="C48" s="7" t="s">
        <v>73</v>
      </c>
      <c r="D48" s="109" t="s">
        <v>4467</v>
      </c>
      <c r="K48" s="7" t="s">
        <v>1957</v>
      </c>
      <c r="L48" s="7" t="s">
        <v>2425</v>
      </c>
      <c r="M48" s="7" cm="1">
        <f t="array" ref="M48">IF(N48="", "", IFERROR(MAX(--_xlfn.TEXTSPLIT(N48,"+")), N48))</f>
        <v>2060</v>
      </c>
      <c r="N48" s="7">
        <v>2060</v>
      </c>
      <c r="O48" s="7">
        <v>2020</v>
      </c>
      <c r="P48" s="109" t="s">
        <v>4974</v>
      </c>
      <c r="S48" s="7" t="str" cm="1">
        <f t="array" ref="S48">IF(T48="", "", IFERROR(MAX(--_xlfn.TEXTSPLIT(T48,"+")), T48))</f>
        <v/>
      </c>
      <c r="W48" s="7" t="str">
        <f>_xlfn.XLOOKUP(C48,Sheet1!A:A,Sheet1!B:B, "Other")</f>
        <v>Asia</v>
      </c>
      <c r="X48" s="222" t="str">
        <f>_xlfn.XLOOKUP(D48,Sheet1!D:D,Sheet1!E:E,"Other")</f>
        <v>Retail</v>
      </c>
    </row>
    <row r="49" spans="1:24">
      <c r="A49" s="7" t="s">
        <v>1731</v>
      </c>
      <c r="B49" s="7">
        <v>47</v>
      </c>
      <c r="C49" s="7" t="s">
        <v>146</v>
      </c>
      <c r="D49" s="109" t="s">
        <v>4465</v>
      </c>
      <c r="E49" s="7" t="s">
        <v>4174</v>
      </c>
      <c r="F49" s="7">
        <v>2023</v>
      </c>
      <c r="G49" s="109">
        <v>2018</v>
      </c>
      <c r="H49" s="7" t="s">
        <v>1957</v>
      </c>
      <c r="I49" s="7">
        <v>2030</v>
      </c>
      <c r="J49" s="109">
        <v>2018</v>
      </c>
      <c r="K49" s="7" t="s">
        <v>1957</v>
      </c>
      <c r="L49" s="7" t="s">
        <v>4223</v>
      </c>
      <c r="M49" s="7" cm="1">
        <f t="array" ref="M49">IF(N49="", "", IFERROR(MAX(--_xlfn.TEXTSPLIT(N49,"+")), N49))</f>
        <v>2012</v>
      </c>
      <c r="N49" s="7">
        <v>2012</v>
      </c>
      <c r="O49" s="7">
        <v>2012</v>
      </c>
      <c r="P49" s="109" t="s">
        <v>4973</v>
      </c>
      <c r="Q49" s="7" t="s">
        <v>4504</v>
      </c>
      <c r="R49" s="7" t="s">
        <v>4972</v>
      </c>
      <c r="S49" s="7" cm="1">
        <f t="array" ref="S49">IF(T49="", "", IFERROR(MAX(--_xlfn.TEXTSPLIT(T49,"+")), T49))</f>
        <v>2050</v>
      </c>
      <c r="T49" s="7" t="s">
        <v>4502</v>
      </c>
      <c r="U49" s="7" t="s">
        <v>4834</v>
      </c>
      <c r="V49" s="109" t="s">
        <v>4971</v>
      </c>
      <c r="W49" s="7" t="str">
        <f>_xlfn.XLOOKUP(C49,Sheet1!A:A,Sheet1!B:B, "Other")</f>
        <v>Europe</v>
      </c>
      <c r="X49" s="222" t="str">
        <f>_xlfn.XLOOKUP(D49,Sheet1!D:D,Sheet1!E:E,"Other")</f>
        <v>Other</v>
      </c>
    </row>
    <row r="50" spans="1:24">
      <c r="A50" s="7" t="s">
        <v>1725</v>
      </c>
      <c r="B50" s="7">
        <v>48</v>
      </c>
      <c r="C50" s="7" t="s">
        <v>63</v>
      </c>
      <c r="D50" s="109" t="s">
        <v>4465</v>
      </c>
      <c r="E50" s="7" t="s">
        <v>4174</v>
      </c>
      <c r="F50" s="7">
        <v>2025</v>
      </c>
      <c r="G50" s="109">
        <v>2017</v>
      </c>
      <c r="H50" s="7" t="s">
        <v>1957</v>
      </c>
      <c r="I50" s="7">
        <v>2025</v>
      </c>
      <c r="J50" s="109">
        <v>2015</v>
      </c>
      <c r="K50" s="7" t="s">
        <v>1957</v>
      </c>
      <c r="L50" s="7" t="s">
        <v>1659</v>
      </c>
      <c r="M50" s="7" cm="1">
        <f t="array" ref="M50">IF(N50="", "", IFERROR(MAX(--_xlfn.TEXTSPLIT(N50,"+")), N50))</f>
        <v>2020</v>
      </c>
      <c r="N50" s="7">
        <v>2020</v>
      </c>
      <c r="O50" s="7">
        <v>2019</v>
      </c>
      <c r="P50" s="109" t="s">
        <v>3904</v>
      </c>
      <c r="Q50" s="7" t="s">
        <v>4172</v>
      </c>
      <c r="R50" s="7" t="s">
        <v>4381</v>
      </c>
      <c r="S50" s="7" cm="1">
        <f t="array" ref="S50">IF(T50="", "", IFERROR(MAX(--_xlfn.TEXTSPLIT(T50,"+")), T50))</f>
        <v>2050</v>
      </c>
      <c r="T50" s="7">
        <v>2050</v>
      </c>
      <c r="U50" s="7">
        <v>2019</v>
      </c>
      <c r="V50" s="109" t="s">
        <v>3904</v>
      </c>
      <c r="W50" s="7" t="str">
        <f>_xlfn.XLOOKUP(C50,Sheet1!A:A,Sheet1!B:B, "Other")</f>
        <v>Europe</v>
      </c>
      <c r="X50" s="222" t="str">
        <f>_xlfn.XLOOKUP(D50,Sheet1!D:D,Sheet1!E:E,"Other")</f>
        <v>Other</v>
      </c>
    </row>
    <row r="51" spans="1:24">
      <c r="A51" s="7" t="s">
        <v>1649</v>
      </c>
      <c r="B51" s="7">
        <v>49</v>
      </c>
      <c r="C51" s="7" t="s">
        <v>4457</v>
      </c>
      <c r="D51" s="109" t="s">
        <v>3498</v>
      </c>
      <c r="M51" s="7" t="str" cm="1">
        <f t="array" ref="M51">IF(N51="", "", IFERROR(MAX(--_xlfn.TEXTSPLIT(N51,"+")), N51))</f>
        <v/>
      </c>
      <c r="S51" s="7" t="str" cm="1">
        <f t="array" ref="S51">IF(T51="", "", IFERROR(MAX(--_xlfn.TEXTSPLIT(T51,"+")), T51))</f>
        <v/>
      </c>
      <c r="W51" s="7" t="str">
        <f>_xlfn.XLOOKUP(C51,Sheet1!A:A,Sheet1!B:B, "Other")</f>
        <v>North America</v>
      </c>
      <c r="X51" s="222" t="str">
        <f>_xlfn.XLOOKUP(D51,Sheet1!D:D,Sheet1!E:E,"Other")</f>
        <v>Other</v>
      </c>
    </row>
    <row r="52" spans="1:24">
      <c r="A52" s="7" t="s">
        <v>4970</v>
      </c>
      <c r="B52" s="7">
        <v>50</v>
      </c>
      <c r="C52" s="7" t="s">
        <v>4457</v>
      </c>
      <c r="D52" s="109" t="s">
        <v>4201</v>
      </c>
      <c r="E52" s="7" t="s">
        <v>4174</v>
      </c>
      <c r="F52" s="7">
        <v>2025</v>
      </c>
      <c r="G52" s="109">
        <v>2019</v>
      </c>
      <c r="H52" s="7" t="s">
        <v>1957</v>
      </c>
      <c r="I52" s="7">
        <v>2030</v>
      </c>
      <c r="J52" s="109">
        <v>2018</v>
      </c>
      <c r="M52" s="7" t="str" cm="1">
        <f t="array" ref="M52">IF(N52="", "", IFERROR(MAX(--_xlfn.TEXTSPLIT(N52,"+")), N52))</f>
        <v/>
      </c>
      <c r="S52" s="7" t="str" cm="1">
        <f t="array" ref="S52">IF(T52="", "", IFERROR(MAX(--_xlfn.TEXTSPLIT(T52,"+")), T52))</f>
        <v/>
      </c>
      <c r="W52" s="7" t="str">
        <f>_xlfn.XLOOKUP(C52,Sheet1!A:A,Sheet1!B:B, "Other")</f>
        <v>North America</v>
      </c>
      <c r="X52" s="222" t="str">
        <f>_xlfn.XLOOKUP(D52,Sheet1!D:D,Sheet1!E:E,"Other")</f>
        <v>Other</v>
      </c>
    </row>
    <row r="53" spans="1:24">
      <c r="A53" s="7" t="s">
        <v>1722</v>
      </c>
      <c r="B53" s="7">
        <v>51</v>
      </c>
      <c r="C53" s="7" t="s">
        <v>4457</v>
      </c>
      <c r="D53" s="109" t="s">
        <v>4467</v>
      </c>
      <c r="M53" s="7" t="str" cm="1">
        <f t="array" ref="M53">IF(N53="", "", IFERROR(MAX(--_xlfn.TEXTSPLIT(N53,"+")), N53))</f>
        <v/>
      </c>
      <c r="S53" s="7" t="str" cm="1">
        <f t="array" ref="S53">IF(T53="", "", IFERROR(MAX(--_xlfn.TEXTSPLIT(T53,"+")), T53))</f>
        <v/>
      </c>
      <c r="W53" s="7" t="str">
        <f>_xlfn.XLOOKUP(C53,Sheet1!A:A,Sheet1!B:B, "Other")</f>
        <v>North America</v>
      </c>
      <c r="X53" s="222" t="str">
        <f>_xlfn.XLOOKUP(D53,Sheet1!D:D,Sheet1!E:E,"Other")</f>
        <v>Retail</v>
      </c>
    </row>
    <row r="54" spans="1:24">
      <c r="A54" s="7" t="s">
        <v>1743</v>
      </c>
      <c r="B54" s="7">
        <v>52</v>
      </c>
      <c r="C54" s="7" t="s">
        <v>972</v>
      </c>
      <c r="D54" s="109" t="s">
        <v>3498</v>
      </c>
      <c r="M54" s="7" t="str" cm="1">
        <f t="array" ref="M54">IF(N54="", "", IFERROR(MAX(--_xlfn.TEXTSPLIT(N54,"+")), N54))</f>
        <v/>
      </c>
      <c r="S54" s="7" t="str" cm="1">
        <f t="array" ref="S54">IF(T54="", "", IFERROR(MAX(--_xlfn.TEXTSPLIT(T54,"+")), T54))</f>
        <v/>
      </c>
      <c r="W54" s="7" t="str">
        <f>_xlfn.XLOOKUP(C54,Sheet1!A:A,Sheet1!B:B, "Other")</f>
        <v>Europe</v>
      </c>
      <c r="X54" s="222" t="str">
        <f>_xlfn.XLOOKUP(D54,Sheet1!D:D,Sheet1!E:E,"Other")</f>
        <v>Other</v>
      </c>
    </row>
    <row r="55" spans="1:24">
      <c r="A55" s="7" t="s">
        <v>1787</v>
      </c>
      <c r="B55" s="7">
        <v>53</v>
      </c>
      <c r="C55" s="7" t="s">
        <v>4457</v>
      </c>
      <c r="D55" s="109" t="s">
        <v>4476</v>
      </c>
      <c r="H55" s="7" t="s">
        <v>4183</v>
      </c>
      <c r="I55" s="7">
        <v>2035</v>
      </c>
      <c r="J55" s="109">
        <v>2021</v>
      </c>
      <c r="K55" s="7" t="s">
        <v>4172</v>
      </c>
      <c r="L55" s="7" t="s">
        <v>4969</v>
      </c>
      <c r="M55" s="7" cm="1">
        <f t="array" ref="M55">IF(N55="", "", IFERROR(MAX(--_xlfn.TEXTSPLIT(N55,"+")), N55))</f>
        <v>2050</v>
      </c>
      <c r="N55" s="7">
        <v>2050</v>
      </c>
      <c r="O55" s="7">
        <v>2020</v>
      </c>
      <c r="P55" s="109" t="s">
        <v>3287</v>
      </c>
      <c r="S55" s="7" t="str" cm="1">
        <f t="array" ref="S55">IF(T55="", "", IFERROR(MAX(--_xlfn.TEXTSPLIT(T55,"+")), T55))</f>
        <v/>
      </c>
      <c r="W55" s="7" t="str">
        <f>_xlfn.XLOOKUP(C55,Sheet1!A:A,Sheet1!B:B, "Other")</f>
        <v>North America</v>
      </c>
      <c r="X55" s="222" t="str">
        <f>_xlfn.XLOOKUP(D55,Sheet1!D:D,Sheet1!E:E,"Other")</f>
        <v>Other</v>
      </c>
    </row>
    <row r="56" spans="1:24">
      <c r="A56" s="7" t="s">
        <v>1742</v>
      </c>
      <c r="B56" s="7">
        <v>54</v>
      </c>
      <c r="C56" s="7" t="s">
        <v>4457</v>
      </c>
      <c r="D56" s="109" t="s">
        <v>4190</v>
      </c>
      <c r="H56" s="7" t="s">
        <v>4183</v>
      </c>
      <c r="I56" s="7">
        <v>2030</v>
      </c>
      <c r="J56" s="109">
        <v>2021</v>
      </c>
      <c r="M56" s="7" t="str" cm="1">
        <f t="array" ref="M56">IF(N56="", "", IFERROR(MAX(--_xlfn.TEXTSPLIT(N56,"+")), N56))</f>
        <v/>
      </c>
      <c r="Q56" s="7" t="s">
        <v>1957</v>
      </c>
      <c r="R56" s="7" t="s">
        <v>2425</v>
      </c>
      <c r="S56" s="7" cm="1">
        <f t="array" ref="S56">IF(T56="", "", IFERROR(MAX(--_xlfn.TEXTSPLIT(T56,"+")), T56))</f>
        <v>2035</v>
      </c>
      <c r="T56" s="7">
        <v>2035</v>
      </c>
      <c r="U56" s="7">
        <v>2019</v>
      </c>
      <c r="V56" s="109" t="s">
        <v>4968</v>
      </c>
      <c r="W56" s="7" t="str">
        <f>_xlfn.XLOOKUP(C56,Sheet1!A:A,Sheet1!B:B, "Other")</f>
        <v>North America</v>
      </c>
      <c r="X56" s="222" t="str">
        <f>_xlfn.XLOOKUP(D56,Sheet1!D:D,Sheet1!E:E,"Other")</f>
        <v>Other</v>
      </c>
    </row>
    <row r="57" spans="1:24">
      <c r="A57" s="7" t="s">
        <v>1221</v>
      </c>
      <c r="B57" s="7">
        <v>55</v>
      </c>
      <c r="C57" s="7" t="s">
        <v>73</v>
      </c>
      <c r="D57" s="109" t="s">
        <v>4467</v>
      </c>
      <c r="H57" s="7" t="s">
        <v>1957</v>
      </c>
      <c r="I57" s="7">
        <v>2030</v>
      </c>
      <c r="J57" s="109">
        <v>2021</v>
      </c>
      <c r="K57" s="7" t="s">
        <v>1957</v>
      </c>
      <c r="L57" s="7" t="s">
        <v>2425</v>
      </c>
      <c r="M57" s="7" cm="1">
        <f t="array" ref="M57">IF(N57="", "", IFERROR(MAX(--_xlfn.TEXTSPLIT(N57,"+")), N57))</f>
        <v>2030</v>
      </c>
      <c r="N57" s="7">
        <v>2030</v>
      </c>
      <c r="O57" s="7">
        <v>2021</v>
      </c>
      <c r="P57" s="109" t="s">
        <v>4967</v>
      </c>
      <c r="S57" s="7" t="str" cm="1">
        <f t="array" ref="S57">IF(T57="", "", IFERROR(MAX(--_xlfn.TEXTSPLIT(T57,"+")), T57))</f>
        <v/>
      </c>
      <c r="W57" s="7" t="str">
        <f>_xlfn.XLOOKUP(C57,Sheet1!A:A,Sheet1!B:B, "Other")</f>
        <v>Asia</v>
      </c>
      <c r="X57" s="222" t="str">
        <f>_xlfn.XLOOKUP(D57,Sheet1!D:D,Sheet1!E:E,"Other")</f>
        <v>Retail</v>
      </c>
    </row>
    <row r="58" spans="1:24">
      <c r="A58" s="7" t="s">
        <v>4351</v>
      </c>
      <c r="B58" s="7">
        <v>56</v>
      </c>
      <c r="C58" s="7" t="s">
        <v>228</v>
      </c>
      <c r="D58" s="109" t="s">
        <v>4199</v>
      </c>
      <c r="K58" s="7" t="s">
        <v>1957</v>
      </c>
      <c r="L58" s="7" t="s">
        <v>4731</v>
      </c>
      <c r="M58" s="7" cm="1">
        <f t="array" ref="M58">IF(N58="", "", IFERROR(MAX(--_xlfn.TEXTSPLIT(N58,"+")), N58))</f>
        <v>2050</v>
      </c>
      <c r="N58" s="7">
        <v>2050</v>
      </c>
      <c r="O58" s="7">
        <v>2021</v>
      </c>
      <c r="P58" s="109" t="s">
        <v>4966</v>
      </c>
      <c r="S58" s="7" t="str" cm="1">
        <f t="array" ref="S58">IF(T58="", "", IFERROR(MAX(--_xlfn.TEXTSPLIT(T58,"+")), T58))</f>
        <v/>
      </c>
      <c r="W58" s="7" t="str">
        <f>_xlfn.XLOOKUP(C58,Sheet1!A:A,Sheet1!B:B, "Other")</f>
        <v>Europe</v>
      </c>
      <c r="X58" s="222" t="str">
        <f>_xlfn.XLOOKUP(D58,Sheet1!D:D,Sheet1!E:E,"Other")</f>
        <v>Other</v>
      </c>
    </row>
    <row r="59" spans="1:24">
      <c r="A59" s="7" t="s">
        <v>1700</v>
      </c>
      <c r="B59" s="7">
        <v>57</v>
      </c>
      <c r="C59" s="7" t="s">
        <v>73</v>
      </c>
      <c r="D59" s="109" t="s">
        <v>4190</v>
      </c>
      <c r="M59" s="7" t="str" cm="1">
        <f t="array" ref="M59">IF(N59="", "", IFERROR(MAX(--_xlfn.TEXTSPLIT(N59,"+")), N59))</f>
        <v/>
      </c>
      <c r="S59" s="7" t="str" cm="1">
        <f t="array" ref="S59">IF(T59="", "", IFERROR(MAX(--_xlfn.TEXTSPLIT(T59,"+")), T59))</f>
        <v/>
      </c>
      <c r="W59" s="7" t="str">
        <f>_xlfn.XLOOKUP(C59,Sheet1!A:A,Sheet1!B:B, "Other")</f>
        <v>Asia</v>
      </c>
      <c r="X59" s="222" t="str">
        <f>_xlfn.XLOOKUP(D59,Sheet1!D:D,Sheet1!E:E,"Other")</f>
        <v>Other</v>
      </c>
    </row>
    <row r="60" spans="1:24">
      <c r="A60" s="7" t="s">
        <v>1483</v>
      </c>
      <c r="B60" s="7">
        <v>58</v>
      </c>
      <c r="C60" s="7" t="s">
        <v>73</v>
      </c>
      <c r="D60" s="109" t="s">
        <v>4494</v>
      </c>
      <c r="M60" s="7" t="str" cm="1">
        <f t="array" ref="M60">IF(N60="", "", IFERROR(MAX(--_xlfn.TEXTSPLIT(N60,"+")), N60))</f>
        <v/>
      </c>
      <c r="S60" s="7" t="str" cm="1">
        <f t="array" ref="S60">IF(T60="", "", IFERROR(MAX(--_xlfn.TEXTSPLIT(T60,"+")), T60))</f>
        <v/>
      </c>
      <c r="W60" s="7" t="str">
        <f>_xlfn.XLOOKUP(C60,Sheet1!A:A,Sheet1!B:B, "Other")</f>
        <v>Asia</v>
      </c>
      <c r="X60" s="222" t="str">
        <f>_xlfn.XLOOKUP(D60,Sheet1!D:D,Sheet1!E:E,"Other")</f>
        <v>Other</v>
      </c>
    </row>
    <row r="61" spans="1:24">
      <c r="A61" s="7" t="s">
        <v>1711</v>
      </c>
      <c r="B61" s="7">
        <v>59</v>
      </c>
      <c r="C61" s="7" t="s">
        <v>146</v>
      </c>
      <c r="D61" s="109" t="s">
        <v>4476</v>
      </c>
      <c r="E61" s="7" t="s">
        <v>4174</v>
      </c>
      <c r="F61" s="7">
        <v>2050</v>
      </c>
      <c r="G61" s="109">
        <v>2015</v>
      </c>
      <c r="H61" s="7" t="s">
        <v>4183</v>
      </c>
      <c r="I61" s="7">
        <v>2030</v>
      </c>
      <c r="J61" s="109">
        <v>2022</v>
      </c>
      <c r="K61" s="7" t="s">
        <v>4573</v>
      </c>
      <c r="L61" s="7" t="s">
        <v>4965</v>
      </c>
      <c r="M61" s="7" cm="1">
        <f t="array" ref="M61">IF(N61="", "", IFERROR(MAX(--_xlfn.TEXTSPLIT(N61,"+")), N61))</f>
        <v>2050</v>
      </c>
      <c r="N61" s="7" t="s">
        <v>4964</v>
      </c>
      <c r="O61" s="7" t="s">
        <v>4963</v>
      </c>
      <c r="P61" s="109" t="s">
        <v>4962</v>
      </c>
      <c r="S61" s="7" t="str" cm="1">
        <f t="array" ref="S61">IF(T61="", "", IFERROR(MAX(--_xlfn.TEXTSPLIT(T61,"+")), T61))</f>
        <v/>
      </c>
      <c r="W61" s="7" t="str">
        <f>_xlfn.XLOOKUP(C61,Sheet1!A:A,Sheet1!B:B, "Other")</f>
        <v>Europe</v>
      </c>
      <c r="X61" s="222" t="str">
        <f>_xlfn.XLOOKUP(D61,Sheet1!D:D,Sheet1!E:E,"Other")</f>
        <v>Other</v>
      </c>
    </row>
    <row r="62" spans="1:24">
      <c r="A62" s="7" t="s">
        <v>1560</v>
      </c>
      <c r="B62" s="7">
        <v>60</v>
      </c>
      <c r="C62" s="7" t="s">
        <v>73</v>
      </c>
      <c r="D62" s="109" t="s">
        <v>4197</v>
      </c>
      <c r="M62" s="7" t="str" cm="1">
        <f t="array" ref="M62">IF(N62="", "", IFERROR(MAX(--_xlfn.TEXTSPLIT(N62,"+")), N62))</f>
        <v/>
      </c>
      <c r="S62" s="7" t="str" cm="1">
        <f t="array" ref="S62">IF(T62="", "", IFERROR(MAX(--_xlfn.TEXTSPLIT(T62,"+")), T62))</f>
        <v/>
      </c>
      <c r="W62" s="7" t="str">
        <f>_xlfn.XLOOKUP(C62,Sheet1!A:A,Sheet1!B:B, "Other")</f>
        <v>Asia</v>
      </c>
      <c r="X62" s="222" t="str">
        <f>_xlfn.XLOOKUP(D62,Sheet1!D:D,Sheet1!E:E,"Other")</f>
        <v>Other</v>
      </c>
    </row>
    <row r="63" spans="1:24">
      <c r="A63" s="7" t="s">
        <v>1768</v>
      </c>
      <c r="B63" s="7">
        <v>61</v>
      </c>
      <c r="C63" s="7" t="s">
        <v>207</v>
      </c>
      <c r="D63" s="109" t="s">
        <v>4476</v>
      </c>
      <c r="K63" s="7" t="s">
        <v>1957</v>
      </c>
      <c r="L63" s="7" t="s">
        <v>2425</v>
      </c>
      <c r="M63" s="7" cm="1">
        <f t="array" ref="M63">IF(N63="", "", IFERROR(MAX(--_xlfn.TEXTSPLIT(N63,"+")), N63))</f>
        <v>2050</v>
      </c>
      <c r="N63" s="7">
        <v>2050</v>
      </c>
      <c r="O63" s="7">
        <v>2021</v>
      </c>
      <c r="P63" s="109" t="s">
        <v>4961</v>
      </c>
      <c r="S63" s="7" t="str" cm="1">
        <f t="array" ref="S63">IF(T63="", "", IFERROR(MAX(--_xlfn.TEXTSPLIT(T63,"+")), T63))</f>
        <v/>
      </c>
      <c r="W63" s="7" t="str">
        <f>_xlfn.XLOOKUP(C63,Sheet1!A:A,Sheet1!B:B, "Other")</f>
        <v>Asia</v>
      </c>
      <c r="X63" s="222" t="str">
        <f>_xlfn.XLOOKUP(D63,Sheet1!D:D,Sheet1!E:E,"Other")</f>
        <v>Other</v>
      </c>
    </row>
    <row r="64" spans="1:24">
      <c r="A64" s="7" t="s">
        <v>1574</v>
      </c>
      <c r="B64" s="7">
        <v>62</v>
      </c>
      <c r="C64" s="7" t="s">
        <v>146</v>
      </c>
      <c r="D64" s="109" t="s">
        <v>4190</v>
      </c>
      <c r="E64" s="7" t="s">
        <v>4174</v>
      </c>
      <c r="F64" s="7">
        <v>2021</v>
      </c>
      <c r="G64" s="109">
        <v>2019</v>
      </c>
      <c r="H64" s="7" t="s">
        <v>4183</v>
      </c>
      <c r="I64" s="7">
        <v>2021</v>
      </c>
      <c r="J64" s="109">
        <v>2019</v>
      </c>
      <c r="K64" s="7" t="s">
        <v>1957</v>
      </c>
      <c r="L64" s="7" t="s">
        <v>4960</v>
      </c>
      <c r="M64" s="7" cm="1">
        <f t="array" ref="M64">IF(N64="", "", IFERROR(MAX(--_xlfn.TEXTSPLIT(N64,"+")), N64))</f>
        <v>2025</v>
      </c>
      <c r="N64" s="7">
        <v>2025</v>
      </c>
      <c r="O64" s="7">
        <v>2021</v>
      </c>
      <c r="P64" s="109" t="s">
        <v>4958</v>
      </c>
      <c r="Q64" s="7" t="s">
        <v>4172</v>
      </c>
      <c r="R64" s="7" t="s">
        <v>4959</v>
      </c>
      <c r="S64" s="7" cm="1">
        <f t="array" ref="S64">IF(T64="", "", IFERROR(MAX(--_xlfn.TEXTSPLIT(T64,"+")), T64))</f>
        <v>2040</v>
      </c>
      <c r="T64" s="7">
        <v>2040</v>
      </c>
      <c r="U64" s="7">
        <v>2021</v>
      </c>
      <c r="V64" s="109" t="s">
        <v>4958</v>
      </c>
      <c r="W64" s="7" t="str">
        <f>_xlfn.XLOOKUP(C64,Sheet1!A:A,Sheet1!B:B, "Other")</f>
        <v>Europe</v>
      </c>
      <c r="X64" s="222" t="str">
        <f>_xlfn.XLOOKUP(D64,Sheet1!D:D,Sheet1!E:E,"Other")</f>
        <v>Other</v>
      </c>
    </row>
    <row r="65" spans="1:24">
      <c r="A65" s="7" t="s">
        <v>3027</v>
      </c>
      <c r="B65" s="7">
        <v>63</v>
      </c>
      <c r="C65" s="7" t="s">
        <v>4457</v>
      </c>
      <c r="D65" s="109" t="s">
        <v>4465</v>
      </c>
      <c r="E65" s="7" t="s">
        <v>4174</v>
      </c>
      <c r="F65" s="7">
        <v>2020</v>
      </c>
      <c r="G65" s="109">
        <v>2017</v>
      </c>
      <c r="K65" s="7" t="s">
        <v>1957</v>
      </c>
      <c r="L65" s="7" t="s">
        <v>4532</v>
      </c>
      <c r="M65" s="7" cm="1">
        <f t="array" ref="M65">IF(N65="", "", IFERROR(MAX(--_xlfn.TEXTSPLIT(N65,"+")), N65))</f>
        <v>2020</v>
      </c>
      <c r="N65" s="7">
        <v>2020</v>
      </c>
      <c r="O65" s="7">
        <v>2020</v>
      </c>
      <c r="P65" s="109" t="s">
        <v>4957</v>
      </c>
      <c r="S65" s="7" t="str" cm="1">
        <f t="array" ref="S65">IF(T65="", "", IFERROR(MAX(--_xlfn.TEXTSPLIT(T65,"+")), T65))</f>
        <v/>
      </c>
      <c r="W65" s="7" t="str">
        <f>_xlfn.XLOOKUP(C65,Sheet1!A:A,Sheet1!B:B, "Other")</f>
        <v>North America</v>
      </c>
      <c r="X65" s="222" t="str">
        <f>_xlfn.XLOOKUP(D65,Sheet1!D:D,Sheet1!E:E,"Other")</f>
        <v>Other</v>
      </c>
    </row>
    <row r="66" spans="1:24">
      <c r="A66" s="7" t="s">
        <v>1781</v>
      </c>
      <c r="B66" s="7">
        <v>64</v>
      </c>
      <c r="C66" s="7" t="s">
        <v>4457</v>
      </c>
      <c r="D66" s="109" t="s">
        <v>4476</v>
      </c>
      <c r="E66" s="7" t="s">
        <v>4174</v>
      </c>
      <c r="F66" s="7">
        <v>2035</v>
      </c>
      <c r="G66" s="109">
        <v>2016</v>
      </c>
      <c r="H66" s="7" t="s">
        <v>4183</v>
      </c>
      <c r="I66" s="7">
        <v>2035</v>
      </c>
      <c r="J66" s="109">
        <v>2021</v>
      </c>
      <c r="K66" s="7" t="s">
        <v>1957</v>
      </c>
      <c r="L66" s="7" t="s">
        <v>2425</v>
      </c>
      <c r="M66" s="7" cm="1">
        <f t="array" ref="M66">IF(N66="", "", IFERROR(MAX(--_xlfn.TEXTSPLIT(N66,"+")), N66))</f>
        <v>2040</v>
      </c>
      <c r="N66" s="7">
        <v>2040</v>
      </c>
      <c r="O66" s="7">
        <v>2021</v>
      </c>
      <c r="P66" s="109" t="s">
        <v>4956</v>
      </c>
      <c r="S66" s="7" t="str" cm="1">
        <f t="array" ref="S66">IF(T66="", "", IFERROR(MAX(--_xlfn.TEXTSPLIT(T66,"+")), T66))</f>
        <v/>
      </c>
      <c r="W66" s="7" t="str">
        <f>_xlfn.XLOOKUP(C66,Sheet1!A:A,Sheet1!B:B, "Other")</f>
        <v>North America</v>
      </c>
      <c r="X66" s="222" t="str">
        <f>_xlfn.XLOOKUP(D66,Sheet1!D:D,Sheet1!E:E,"Other")</f>
        <v>Other</v>
      </c>
    </row>
    <row r="67" spans="1:24">
      <c r="A67" s="7" t="s">
        <v>1679</v>
      </c>
      <c r="B67" s="7">
        <v>65</v>
      </c>
      <c r="C67" s="7" t="s">
        <v>73</v>
      </c>
      <c r="D67" s="109" t="s">
        <v>4494</v>
      </c>
      <c r="M67" s="7" t="str" cm="1">
        <f t="array" ref="M67">IF(N67="", "", IFERROR(MAX(--_xlfn.TEXTSPLIT(N67,"+")), N67))</f>
        <v/>
      </c>
      <c r="S67" s="7" t="str" cm="1">
        <f t="array" ref="S67">IF(T67="", "", IFERROR(MAX(--_xlfn.TEXTSPLIT(T67,"+")), T67))</f>
        <v/>
      </c>
      <c r="W67" s="7" t="str">
        <f>_xlfn.XLOOKUP(C67,Sheet1!A:A,Sheet1!B:B, "Other")</f>
        <v>Asia</v>
      </c>
      <c r="X67" s="222" t="str">
        <f>_xlfn.XLOOKUP(D67,Sheet1!D:D,Sheet1!E:E,"Other")</f>
        <v>Other</v>
      </c>
    </row>
    <row r="68" spans="1:24">
      <c r="A68" s="7" t="s">
        <v>1269</v>
      </c>
      <c r="B68" s="7">
        <v>66</v>
      </c>
      <c r="C68" s="7" t="s">
        <v>4457</v>
      </c>
      <c r="D68" s="109" t="s">
        <v>4201</v>
      </c>
      <c r="M68" s="7" t="str" cm="1">
        <f t="array" ref="M68">IF(N68="", "", IFERROR(MAX(--_xlfn.TEXTSPLIT(N68,"+")), N68))</f>
        <v/>
      </c>
      <c r="S68" s="7" t="str" cm="1">
        <f t="array" ref="S68">IF(T68="", "", IFERROR(MAX(--_xlfn.TEXTSPLIT(T68,"+")), T68))</f>
        <v/>
      </c>
      <c r="W68" s="7" t="str">
        <f>_xlfn.XLOOKUP(C68,Sheet1!A:A,Sheet1!B:B, "Other")</f>
        <v>North America</v>
      </c>
      <c r="X68" s="222" t="str">
        <f>_xlfn.XLOOKUP(D68,Sheet1!D:D,Sheet1!E:E,"Other")</f>
        <v>Other</v>
      </c>
    </row>
    <row r="69" spans="1:24">
      <c r="A69" s="7" t="s">
        <v>1716</v>
      </c>
      <c r="B69" s="7">
        <v>67</v>
      </c>
      <c r="C69" s="7" t="s">
        <v>972</v>
      </c>
      <c r="D69" s="109" t="s">
        <v>3498</v>
      </c>
      <c r="M69" s="7" t="str" cm="1">
        <f t="array" ref="M69">IF(N69="", "", IFERROR(MAX(--_xlfn.TEXTSPLIT(N69,"+")), N69))</f>
        <v/>
      </c>
      <c r="S69" s="7" t="str" cm="1">
        <f t="array" ref="S69">IF(T69="", "", IFERROR(MAX(--_xlfn.TEXTSPLIT(T69,"+")), T69))</f>
        <v/>
      </c>
      <c r="W69" s="7" t="str">
        <f>_xlfn.XLOOKUP(C69,Sheet1!A:A,Sheet1!B:B, "Other")</f>
        <v>Europe</v>
      </c>
      <c r="X69" s="222" t="str">
        <f>_xlfn.XLOOKUP(D69,Sheet1!D:D,Sheet1!E:E,"Other")</f>
        <v>Other</v>
      </c>
    </row>
    <row r="70" spans="1:24">
      <c r="A70" s="7" t="s">
        <v>1754</v>
      </c>
      <c r="B70" s="7">
        <v>68</v>
      </c>
      <c r="C70" s="7" t="s">
        <v>73</v>
      </c>
      <c r="D70" s="109" t="s">
        <v>4476</v>
      </c>
      <c r="M70" s="7" t="str" cm="1">
        <f t="array" ref="M70">IF(N70="", "", IFERROR(MAX(--_xlfn.TEXTSPLIT(N70,"+")), N70))</f>
        <v/>
      </c>
      <c r="S70" s="7" t="str" cm="1">
        <f t="array" ref="S70">IF(T70="", "", IFERROR(MAX(--_xlfn.TEXTSPLIT(T70,"+")), T70))</f>
        <v/>
      </c>
      <c r="W70" s="7" t="str">
        <f>_xlfn.XLOOKUP(C70,Sheet1!A:A,Sheet1!B:B, "Other")</f>
        <v>Asia</v>
      </c>
      <c r="X70" s="222" t="str">
        <f>_xlfn.XLOOKUP(D70,Sheet1!D:D,Sheet1!E:E,"Other")</f>
        <v>Other</v>
      </c>
    </row>
    <row r="71" spans="1:24">
      <c r="A71" s="7" t="s">
        <v>1128</v>
      </c>
      <c r="B71" s="7">
        <v>69</v>
      </c>
      <c r="C71" s="7" t="s">
        <v>73</v>
      </c>
      <c r="D71" s="109" t="s">
        <v>4494</v>
      </c>
      <c r="M71" s="7" t="str" cm="1">
        <f t="array" ref="M71">IF(N71="", "", IFERROR(MAX(--_xlfn.TEXTSPLIT(N71,"+")), N71))</f>
        <v/>
      </c>
      <c r="S71" s="7" t="str" cm="1">
        <f t="array" ref="S71">IF(T71="", "", IFERROR(MAX(--_xlfn.TEXTSPLIT(T71,"+")), T71))</f>
        <v/>
      </c>
      <c r="W71" s="7" t="str">
        <f>_xlfn.XLOOKUP(C71,Sheet1!A:A,Sheet1!B:B, "Other")</f>
        <v>Asia</v>
      </c>
      <c r="X71" s="222" t="str">
        <f>_xlfn.XLOOKUP(D71,Sheet1!D:D,Sheet1!E:E,"Other")</f>
        <v>Other</v>
      </c>
    </row>
    <row r="72" spans="1:24">
      <c r="A72" s="7" t="s">
        <v>1623</v>
      </c>
      <c r="B72" s="7">
        <v>70</v>
      </c>
      <c r="C72" s="7" t="s">
        <v>73</v>
      </c>
      <c r="D72" s="109" t="s">
        <v>4201</v>
      </c>
      <c r="K72" s="7" t="s">
        <v>4519</v>
      </c>
      <c r="L72" s="7" t="s">
        <v>4518</v>
      </c>
      <c r="M72" s="7" t="str" cm="1">
        <f t="array" ref="M72">IF(N72="", "", IFERROR(MAX(--_xlfn.TEXTSPLIT(N72,"+")), N72))</f>
        <v/>
      </c>
      <c r="P72" s="109" t="s">
        <v>4955</v>
      </c>
      <c r="S72" s="7" t="str" cm="1">
        <f t="array" ref="S72">IF(T72="", "", IFERROR(MAX(--_xlfn.TEXTSPLIT(T72,"+")), T72))</f>
        <v/>
      </c>
      <c r="W72" s="7" t="str">
        <f>_xlfn.XLOOKUP(C72,Sheet1!A:A,Sheet1!B:B, "Other")</f>
        <v>Asia</v>
      </c>
      <c r="X72" s="222" t="str">
        <f>_xlfn.XLOOKUP(D72,Sheet1!D:D,Sheet1!E:E,"Other")</f>
        <v>Other</v>
      </c>
    </row>
    <row r="73" spans="1:24">
      <c r="A73" s="7" t="s">
        <v>4954</v>
      </c>
      <c r="B73" s="7">
        <v>71</v>
      </c>
      <c r="C73" s="7" t="s">
        <v>4457</v>
      </c>
      <c r="D73" s="109" t="s">
        <v>186</v>
      </c>
      <c r="E73" s="7" t="s">
        <v>4174</v>
      </c>
      <c r="F73" s="7">
        <v>2020</v>
      </c>
      <c r="G73" s="109">
        <v>2016</v>
      </c>
      <c r="H73" s="7" t="s">
        <v>1957</v>
      </c>
      <c r="I73" s="7">
        <v>2030</v>
      </c>
      <c r="J73" s="109">
        <v>2020</v>
      </c>
      <c r="M73" s="7" t="str" cm="1">
        <f t="array" ref="M73">IF(N73="", "", IFERROR(MAX(--_xlfn.TEXTSPLIT(N73,"+")), N73))</f>
        <v/>
      </c>
      <c r="Q73" s="7" t="s">
        <v>4172</v>
      </c>
      <c r="R73" s="7" t="s">
        <v>42</v>
      </c>
      <c r="S73" s="7" cm="1">
        <f t="array" ref="S73">IF(T73="", "", IFERROR(MAX(--_xlfn.TEXTSPLIT(T73,"+")), T73))</f>
        <v>2030</v>
      </c>
      <c r="T73" s="7">
        <v>2030</v>
      </c>
      <c r="U73" s="7">
        <v>2022</v>
      </c>
      <c r="V73" s="109" t="s">
        <v>4953</v>
      </c>
      <c r="W73" s="7" t="str">
        <f>_xlfn.XLOOKUP(C73,Sheet1!A:A,Sheet1!B:B, "Other")</f>
        <v>North America</v>
      </c>
      <c r="X73" s="222" t="str">
        <f>_xlfn.XLOOKUP(D73,Sheet1!D:D,Sheet1!E:E,"Other")</f>
        <v>Technology</v>
      </c>
    </row>
    <row r="74" spans="1:24">
      <c r="A74" s="7" t="s">
        <v>1562</v>
      </c>
      <c r="B74" s="7">
        <v>72</v>
      </c>
      <c r="C74" s="7" t="s">
        <v>376</v>
      </c>
      <c r="D74" s="109" t="s">
        <v>4465</v>
      </c>
      <c r="K74" s="7" t="s">
        <v>4573</v>
      </c>
      <c r="L74" s="7" t="s">
        <v>4952</v>
      </c>
      <c r="M74" s="7" cm="1">
        <f t="array" ref="M74">IF(N74="", "", IFERROR(MAX(--_xlfn.TEXTSPLIT(N74,"+")), N74))</f>
        <v>2050</v>
      </c>
      <c r="N74" s="7" t="s">
        <v>4951</v>
      </c>
      <c r="O74" s="7" t="s">
        <v>4501</v>
      </c>
      <c r="P74" s="109" t="s">
        <v>4950</v>
      </c>
      <c r="Q74" s="7" t="s">
        <v>1957</v>
      </c>
      <c r="R74" s="7" t="s">
        <v>1659</v>
      </c>
      <c r="S74" s="7" cm="1">
        <f t="array" ref="S74">IF(T74="", "", IFERROR(MAX(--_xlfn.TEXTSPLIT(T74,"+")), T74))</f>
        <v>2040</v>
      </c>
      <c r="T74" s="7">
        <v>2040</v>
      </c>
      <c r="U74" s="7">
        <v>2021</v>
      </c>
      <c r="V74" s="109" t="s">
        <v>4949</v>
      </c>
      <c r="W74" s="7" t="str">
        <f>_xlfn.XLOOKUP(C74,Sheet1!A:A,Sheet1!B:B, "Other")</f>
        <v>Europe</v>
      </c>
      <c r="X74" s="222" t="str">
        <f>_xlfn.XLOOKUP(D74,Sheet1!D:D,Sheet1!E:E,"Other")</f>
        <v>Other</v>
      </c>
    </row>
    <row r="75" spans="1:24">
      <c r="A75" s="7" t="s">
        <v>1642</v>
      </c>
      <c r="B75" s="7">
        <v>73</v>
      </c>
      <c r="C75" s="7" t="s">
        <v>4457</v>
      </c>
      <c r="D75" s="109" t="s">
        <v>4190</v>
      </c>
      <c r="K75" s="7" t="s">
        <v>1957</v>
      </c>
      <c r="L75" s="7" t="s">
        <v>2425</v>
      </c>
      <c r="M75" s="7" cm="1">
        <f t="array" ref="M75">IF(N75="", "", IFERROR(MAX(--_xlfn.TEXTSPLIT(N75,"+")), N75))</f>
        <v>2035</v>
      </c>
      <c r="N75" s="7">
        <v>2035</v>
      </c>
      <c r="O75" s="7">
        <v>2021</v>
      </c>
      <c r="P75" s="109" t="s">
        <v>4948</v>
      </c>
      <c r="S75" s="7" t="str" cm="1">
        <f t="array" ref="S75">IF(T75="", "", IFERROR(MAX(--_xlfn.TEXTSPLIT(T75,"+")), T75))</f>
        <v/>
      </c>
      <c r="W75" s="7" t="str">
        <f>_xlfn.XLOOKUP(C75,Sheet1!A:A,Sheet1!B:B, "Other")</f>
        <v>North America</v>
      </c>
      <c r="X75" s="222" t="str">
        <f>_xlfn.XLOOKUP(D75,Sheet1!D:D,Sheet1!E:E,"Other")</f>
        <v>Other</v>
      </c>
    </row>
    <row r="76" spans="1:24">
      <c r="A76" s="7" t="s">
        <v>1705</v>
      </c>
      <c r="B76" s="7">
        <v>74</v>
      </c>
      <c r="C76" s="7" t="s">
        <v>4457</v>
      </c>
      <c r="D76" s="109" t="s">
        <v>3498</v>
      </c>
      <c r="M76" s="7" t="str" cm="1">
        <f t="array" ref="M76">IF(N76="", "", IFERROR(MAX(--_xlfn.TEXTSPLIT(N76,"+")), N76))</f>
        <v/>
      </c>
      <c r="S76" s="7" t="str" cm="1">
        <f t="array" ref="S76">IF(T76="", "", IFERROR(MAX(--_xlfn.TEXTSPLIT(T76,"+")), T76))</f>
        <v/>
      </c>
      <c r="W76" s="7" t="str">
        <f>_xlfn.XLOOKUP(C76,Sheet1!A:A,Sheet1!B:B, "Other")</f>
        <v>North America</v>
      </c>
      <c r="X76" s="222" t="str">
        <f>_xlfn.XLOOKUP(D76,Sheet1!D:D,Sheet1!E:E,"Other")</f>
        <v>Other</v>
      </c>
    </row>
    <row r="77" spans="1:24">
      <c r="A77" s="7" t="s">
        <v>1223</v>
      </c>
      <c r="B77" s="7">
        <v>75</v>
      </c>
      <c r="C77" s="7" t="s">
        <v>73</v>
      </c>
      <c r="D77" s="109" t="s">
        <v>4643</v>
      </c>
      <c r="M77" s="7" t="str" cm="1">
        <f t="array" ref="M77">IF(N77="", "", IFERROR(MAX(--_xlfn.TEXTSPLIT(N77,"+")), N77))</f>
        <v/>
      </c>
      <c r="S77" s="7" t="str" cm="1">
        <f t="array" ref="S77">IF(T77="", "", IFERROR(MAX(--_xlfn.TEXTSPLIT(T77,"+")), T77))</f>
        <v/>
      </c>
      <c r="W77" s="7" t="str">
        <f>_xlfn.XLOOKUP(C77,Sheet1!A:A,Sheet1!B:B, "Other")</f>
        <v>Asia</v>
      </c>
      <c r="X77" s="222" t="str">
        <f>_xlfn.XLOOKUP(D77,Sheet1!D:D,Sheet1!E:E,"Other")</f>
        <v>Other</v>
      </c>
    </row>
    <row r="78" spans="1:24">
      <c r="A78" s="7" t="s">
        <v>1451</v>
      </c>
      <c r="B78" s="7">
        <v>76</v>
      </c>
      <c r="C78" s="7" t="s">
        <v>73</v>
      </c>
      <c r="D78" s="109" t="s">
        <v>4494</v>
      </c>
      <c r="M78" s="7" t="str" cm="1">
        <f t="array" ref="M78">IF(N78="", "", IFERROR(MAX(--_xlfn.TEXTSPLIT(N78,"+")), N78))</f>
        <v/>
      </c>
      <c r="S78" s="7" t="str" cm="1">
        <f t="array" ref="S78">IF(T78="", "", IFERROR(MAX(--_xlfn.TEXTSPLIT(T78,"+")), T78))</f>
        <v/>
      </c>
      <c r="W78" s="7" t="str">
        <f>_xlfn.XLOOKUP(C78,Sheet1!A:A,Sheet1!B:B, "Other")</f>
        <v>Asia</v>
      </c>
      <c r="X78" s="222" t="str">
        <f>_xlfn.XLOOKUP(D78,Sheet1!D:D,Sheet1!E:E,"Other")</f>
        <v>Other</v>
      </c>
    </row>
    <row r="79" spans="1:24">
      <c r="A79" s="7" t="s">
        <v>911</v>
      </c>
      <c r="B79" s="7">
        <v>77</v>
      </c>
      <c r="C79" s="7" t="s">
        <v>73</v>
      </c>
      <c r="D79" s="109" t="s">
        <v>4465</v>
      </c>
      <c r="K79" s="7" t="s">
        <v>4519</v>
      </c>
      <c r="L79" s="7" t="s">
        <v>4518</v>
      </c>
      <c r="M79" s="7" cm="1">
        <f t="array" ref="M79">IF(N79="", "", IFERROR(MAX(--_xlfn.TEXTSPLIT(N79,"+")), N79))</f>
        <v>2060</v>
      </c>
      <c r="N79" s="7">
        <v>2060</v>
      </c>
      <c r="O79" s="7">
        <v>2020</v>
      </c>
      <c r="P79" s="109" t="s">
        <v>4947</v>
      </c>
      <c r="S79" s="7" t="str" cm="1">
        <f t="array" ref="S79">IF(T79="", "", IFERROR(MAX(--_xlfn.TEXTSPLIT(T79,"+")), T79))</f>
        <v/>
      </c>
      <c r="W79" s="7" t="str">
        <f>_xlfn.XLOOKUP(C79,Sheet1!A:A,Sheet1!B:B, "Other")</f>
        <v>Asia</v>
      </c>
      <c r="X79" s="222" t="str">
        <f>_xlfn.XLOOKUP(D79,Sheet1!D:D,Sheet1!E:E,"Other")</f>
        <v>Other</v>
      </c>
    </row>
    <row r="80" spans="1:24">
      <c r="A80" s="7" t="s">
        <v>1672</v>
      </c>
      <c r="B80" s="7">
        <v>78</v>
      </c>
      <c r="C80" s="7" t="s">
        <v>207</v>
      </c>
      <c r="D80" s="109" t="s">
        <v>4465</v>
      </c>
      <c r="K80" s="7" t="s">
        <v>1957</v>
      </c>
      <c r="L80" s="7" t="s">
        <v>4223</v>
      </c>
      <c r="M80" s="7" cm="1">
        <f t="array" ref="M80">IF(N80="", "", IFERROR(MAX(--_xlfn.TEXTSPLIT(N80,"+")), N80))</f>
        <v>2040</v>
      </c>
      <c r="N80" s="7">
        <v>2040</v>
      </c>
      <c r="O80" s="7">
        <v>2020</v>
      </c>
      <c r="P80" s="109" t="s">
        <v>4946</v>
      </c>
      <c r="Q80" s="7" t="s">
        <v>4172</v>
      </c>
      <c r="R80" s="7" t="s">
        <v>4945</v>
      </c>
      <c r="S80" s="7" cm="1">
        <f t="array" ref="S80">IF(T80="", "", IFERROR(MAX(--_xlfn.TEXTSPLIT(T80,"+")), T80))</f>
        <v>2050</v>
      </c>
      <c r="T80" s="7">
        <v>2050</v>
      </c>
      <c r="U80" s="7">
        <v>2020</v>
      </c>
      <c r="V80" s="109" t="s">
        <v>4944</v>
      </c>
      <c r="W80" s="7" t="str">
        <f>_xlfn.XLOOKUP(C80,Sheet1!A:A,Sheet1!B:B, "Other")</f>
        <v>Asia</v>
      </c>
      <c r="X80" s="222" t="str">
        <f>_xlfn.XLOOKUP(D80,Sheet1!D:D,Sheet1!E:E,"Other")</f>
        <v>Other</v>
      </c>
    </row>
    <row r="81" spans="1:24">
      <c r="A81" s="7" t="s">
        <v>1593</v>
      </c>
      <c r="B81" s="7">
        <v>79</v>
      </c>
      <c r="C81" s="7" t="s">
        <v>73</v>
      </c>
      <c r="D81" s="109" t="s">
        <v>4476</v>
      </c>
      <c r="M81" s="7" t="str" cm="1">
        <f t="array" ref="M81">IF(N81="", "", IFERROR(MAX(--_xlfn.TEXTSPLIT(N81,"+")), N81))</f>
        <v/>
      </c>
      <c r="S81" s="7" t="str" cm="1">
        <f t="array" ref="S81">IF(T81="", "", IFERROR(MAX(--_xlfn.TEXTSPLIT(T81,"+")), T81))</f>
        <v/>
      </c>
      <c r="W81" s="7" t="str">
        <f>_xlfn.XLOOKUP(C81,Sheet1!A:A,Sheet1!B:B, "Other")</f>
        <v>Asia</v>
      </c>
      <c r="X81" s="222" t="str">
        <f>_xlfn.XLOOKUP(D81,Sheet1!D:D,Sheet1!E:E,"Other")</f>
        <v>Other</v>
      </c>
    </row>
    <row r="82" spans="1:24">
      <c r="A82" s="7" t="s">
        <v>1267</v>
      </c>
      <c r="B82" s="7">
        <v>80</v>
      </c>
      <c r="C82" s="7" t="s">
        <v>73</v>
      </c>
      <c r="D82" s="109" t="s">
        <v>4201</v>
      </c>
      <c r="M82" s="7" t="str" cm="1">
        <f t="array" ref="M82">IF(N82="", "", IFERROR(MAX(--_xlfn.TEXTSPLIT(N82,"+")), N82))</f>
        <v/>
      </c>
      <c r="S82" s="7" t="str" cm="1">
        <f t="array" ref="S82">IF(T82="", "", IFERROR(MAX(--_xlfn.TEXTSPLIT(T82,"+")), T82))</f>
        <v/>
      </c>
      <c r="W82" s="7" t="str">
        <f>_xlfn.XLOOKUP(C82,Sheet1!A:A,Sheet1!B:B, "Other")</f>
        <v>Asia</v>
      </c>
      <c r="X82" s="222" t="str">
        <f>_xlfn.XLOOKUP(D82,Sheet1!D:D,Sheet1!E:E,"Other")</f>
        <v>Other</v>
      </c>
    </row>
    <row r="83" spans="1:24">
      <c r="A83" s="7" t="s">
        <v>1534</v>
      </c>
      <c r="B83" s="7">
        <v>81</v>
      </c>
      <c r="C83" s="7" t="s">
        <v>73</v>
      </c>
      <c r="D83" s="109" t="s">
        <v>4179</v>
      </c>
      <c r="K83" s="7" t="s">
        <v>4172</v>
      </c>
      <c r="L83" s="7" t="s">
        <v>4532</v>
      </c>
      <c r="M83" s="7" cm="1">
        <f t="array" ref="M83">IF(N83="", "", IFERROR(MAX(--_xlfn.TEXTSPLIT(N83,"+")), N83))</f>
        <v>2060</v>
      </c>
      <c r="N83" s="7">
        <v>2060</v>
      </c>
      <c r="O83" s="7">
        <v>2021</v>
      </c>
      <c r="P83" s="109" t="s">
        <v>4943</v>
      </c>
      <c r="S83" s="7" t="str" cm="1">
        <f t="array" ref="S83">IF(T83="", "", IFERROR(MAX(--_xlfn.TEXTSPLIT(T83,"+")), T83))</f>
        <v/>
      </c>
      <c r="W83" s="7" t="str">
        <f>_xlfn.XLOOKUP(C83,Sheet1!A:A,Sheet1!B:B, "Other")</f>
        <v>Asia</v>
      </c>
      <c r="X83" s="222" t="str">
        <f>_xlfn.XLOOKUP(D83,Sheet1!D:D,Sheet1!E:E,"Other")</f>
        <v>Other</v>
      </c>
    </row>
    <row r="84" spans="1:24">
      <c r="A84" s="7" t="s">
        <v>1698</v>
      </c>
      <c r="B84" s="7">
        <v>82</v>
      </c>
      <c r="C84" s="7" t="s">
        <v>4457</v>
      </c>
      <c r="D84" s="109" t="s">
        <v>3498</v>
      </c>
      <c r="K84" s="7" t="s">
        <v>1957</v>
      </c>
      <c r="L84" s="7" t="s">
        <v>2425</v>
      </c>
      <c r="M84" s="7" cm="1">
        <f t="array" ref="M84">IF(N84="", "", IFERROR(MAX(--_xlfn.TEXTSPLIT(N84,"+")), N84))</f>
        <v>2035</v>
      </c>
      <c r="N84" s="7">
        <v>2035</v>
      </c>
      <c r="O84" s="7">
        <v>2020</v>
      </c>
      <c r="P84" s="109" t="s">
        <v>4942</v>
      </c>
      <c r="S84" s="7" t="str" cm="1">
        <f t="array" ref="S84">IF(T84="", "", IFERROR(MAX(--_xlfn.TEXTSPLIT(T84,"+")), T84))</f>
        <v/>
      </c>
      <c r="W84" s="7" t="str">
        <f>_xlfn.XLOOKUP(C84,Sheet1!A:A,Sheet1!B:B, "Other")</f>
        <v>North America</v>
      </c>
      <c r="X84" s="222" t="str">
        <f>_xlfn.XLOOKUP(D84,Sheet1!D:D,Sheet1!E:E,"Other")</f>
        <v>Other</v>
      </c>
    </row>
    <row r="85" spans="1:24">
      <c r="A85" s="7" t="s">
        <v>2737</v>
      </c>
      <c r="B85" s="7">
        <v>83</v>
      </c>
      <c r="C85" s="7" t="s">
        <v>207</v>
      </c>
      <c r="D85" s="109" t="s">
        <v>4190</v>
      </c>
      <c r="K85" s="7" t="s">
        <v>1957</v>
      </c>
      <c r="L85" s="7" t="s">
        <v>2425</v>
      </c>
      <c r="M85" s="7" cm="1">
        <f t="array" ref="M85">IF(N85="", "", IFERROR(MAX(--_xlfn.TEXTSPLIT(N85,"+")), N85))</f>
        <v>2040</v>
      </c>
      <c r="N85" s="7">
        <v>2040</v>
      </c>
      <c r="O85" s="7">
        <v>2019</v>
      </c>
      <c r="P85" s="109" t="s">
        <v>4941</v>
      </c>
      <c r="S85" s="7" t="str" cm="1">
        <f t="array" ref="S85">IF(T85="", "", IFERROR(MAX(--_xlfn.TEXTSPLIT(T85,"+")), T85))</f>
        <v/>
      </c>
      <c r="W85" s="7" t="str">
        <f>_xlfn.XLOOKUP(C85,Sheet1!A:A,Sheet1!B:B, "Other")</f>
        <v>Asia</v>
      </c>
      <c r="X85" s="222" t="str">
        <f>_xlfn.XLOOKUP(D85,Sheet1!D:D,Sheet1!E:E,"Other")</f>
        <v>Other</v>
      </c>
    </row>
    <row r="86" spans="1:24">
      <c r="A86" s="7" t="s">
        <v>1573</v>
      </c>
      <c r="B86" s="7">
        <v>84</v>
      </c>
      <c r="C86" s="7" t="s">
        <v>63</v>
      </c>
      <c r="D86" s="109" t="s">
        <v>4465</v>
      </c>
      <c r="E86" s="7" t="s">
        <v>4174</v>
      </c>
      <c r="F86" s="7">
        <v>2030</v>
      </c>
      <c r="G86" s="109">
        <v>2016</v>
      </c>
      <c r="H86" s="7" t="s">
        <v>1957</v>
      </c>
      <c r="I86" s="7">
        <v>2030</v>
      </c>
      <c r="J86" s="109">
        <v>2016</v>
      </c>
      <c r="M86" s="7" t="str" cm="1">
        <f t="array" ref="M86">IF(N86="", "", IFERROR(MAX(--_xlfn.TEXTSPLIT(N86,"+")), N86))</f>
        <v/>
      </c>
      <c r="S86" s="7" t="str" cm="1">
        <f t="array" ref="S86">IF(T86="", "", IFERROR(MAX(--_xlfn.TEXTSPLIT(T86,"+")), T86))</f>
        <v/>
      </c>
      <c r="W86" s="7" t="str">
        <f>_xlfn.XLOOKUP(C86,Sheet1!A:A,Sheet1!B:B, "Other")</f>
        <v>Europe</v>
      </c>
      <c r="X86" s="222" t="str">
        <f>_xlfn.XLOOKUP(D86,Sheet1!D:D,Sheet1!E:E,"Other")</f>
        <v>Other</v>
      </c>
    </row>
    <row r="87" spans="1:24">
      <c r="A87" s="7" t="s">
        <v>1503</v>
      </c>
      <c r="B87" s="7">
        <v>85</v>
      </c>
      <c r="C87" s="7" t="s">
        <v>73</v>
      </c>
      <c r="D87" s="109" t="s">
        <v>4494</v>
      </c>
      <c r="M87" s="7" t="str" cm="1">
        <f t="array" ref="M87">IF(N87="", "", IFERROR(MAX(--_xlfn.TEXTSPLIT(N87,"+")), N87))</f>
        <v/>
      </c>
      <c r="S87" s="7" t="str" cm="1">
        <f t="array" ref="S87">IF(T87="", "", IFERROR(MAX(--_xlfn.TEXTSPLIT(T87,"+")), T87))</f>
        <v/>
      </c>
      <c r="W87" s="7" t="str">
        <f>_xlfn.XLOOKUP(C87,Sheet1!A:A,Sheet1!B:B, "Other")</f>
        <v>Asia</v>
      </c>
      <c r="X87" s="222" t="str">
        <f>_xlfn.XLOOKUP(D87,Sheet1!D:D,Sheet1!E:E,"Other")</f>
        <v>Other</v>
      </c>
    </row>
    <row r="88" spans="1:24">
      <c r="A88" s="7" t="s">
        <v>1600</v>
      </c>
      <c r="B88" s="7">
        <v>86</v>
      </c>
      <c r="C88" s="7" t="s">
        <v>4457</v>
      </c>
      <c r="D88" s="109" t="s">
        <v>186</v>
      </c>
      <c r="E88" s="7" t="s">
        <v>4174</v>
      </c>
      <c r="F88" s="7">
        <v>2040</v>
      </c>
      <c r="G88" s="109">
        <v>2019</v>
      </c>
      <c r="H88" s="7" t="s">
        <v>4183</v>
      </c>
      <c r="I88" s="7">
        <v>2020</v>
      </c>
      <c r="J88" s="109">
        <v>2021</v>
      </c>
      <c r="M88" s="7" t="str" cm="1">
        <f t="array" ref="M88">IF(N88="", "", IFERROR(MAX(--_xlfn.TEXTSPLIT(N88,"+")), N88))</f>
        <v/>
      </c>
      <c r="Q88" s="7" t="s">
        <v>4172</v>
      </c>
      <c r="R88" s="7" t="s">
        <v>1435</v>
      </c>
      <c r="S88" s="7" cm="1">
        <f t="array" ref="S88">IF(T88="", "", IFERROR(MAX(--_xlfn.TEXTSPLIT(T88,"+")), T88))</f>
        <v>2050</v>
      </c>
      <c r="T88" s="7">
        <v>2050</v>
      </c>
      <c r="U88" s="7">
        <v>2021</v>
      </c>
      <c r="V88" s="109" t="s">
        <v>4940</v>
      </c>
      <c r="W88" s="7" t="str">
        <f>_xlfn.XLOOKUP(C88,Sheet1!A:A,Sheet1!B:B, "Other")</f>
        <v>North America</v>
      </c>
      <c r="X88" s="222" t="str">
        <f>_xlfn.XLOOKUP(D88,Sheet1!D:D,Sheet1!E:E,"Other")</f>
        <v>Technology</v>
      </c>
    </row>
    <row r="89" spans="1:24">
      <c r="A89" s="7" t="s">
        <v>1432</v>
      </c>
      <c r="B89" s="7">
        <v>87</v>
      </c>
      <c r="C89" s="7" t="s">
        <v>4457</v>
      </c>
      <c r="D89" s="109" t="s">
        <v>4467</v>
      </c>
      <c r="E89" s="7" t="s">
        <v>4174</v>
      </c>
      <c r="F89" s="7">
        <v>2030</v>
      </c>
      <c r="G89" s="109">
        <v>2019</v>
      </c>
      <c r="H89" s="7" t="s">
        <v>4183</v>
      </c>
      <c r="I89" s="7">
        <v>2023</v>
      </c>
      <c r="J89" s="109">
        <v>2019</v>
      </c>
      <c r="M89" s="7" t="str" cm="1">
        <f t="array" ref="M89">IF(N89="", "", IFERROR(MAX(--_xlfn.TEXTSPLIT(N89,"+")), N89))</f>
        <v/>
      </c>
      <c r="Q89" s="7" t="s">
        <v>4172</v>
      </c>
      <c r="R89" s="7" t="s">
        <v>4667</v>
      </c>
      <c r="S89" s="7" cm="1">
        <f t="array" ref="S89">IF(T89="", "", IFERROR(MAX(--_xlfn.TEXTSPLIT(T89,"+")), T89))</f>
        <v>2040</v>
      </c>
      <c r="T89" s="7">
        <v>2040</v>
      </c>
      <c r="U89" s="7">
        <v>2021</v>
      </c>
      <c r="V89" s="109" t="s">
        <v>4939</v>
      </c>
      <c r="W89" s="7" t="str">
        <f>_xlfn.XLOOKUP(C89,Sheet1!A:A,Sheet1!B:B, "Other")</f>
        <v>North America</v>
      </c>
      <c r="X89" s="222" t="str">
        <f>_xlfn.XLOOKUP(D89,Sheet1!D:D,Sheet1!E:E,"Other")</f>
        <v>Retail</v>
      </c>
    </row>
    <row r="90" spans="1:24">
      <c r="A90" s="7" t="s">
        <v>1303</v>
      </c>
      <c r="B90" s="7">
        <v>88</v>
      </c>
      <c r="C90" s="7" t="s">
        <v>207</v>
      </c>
      <c r="D90" s="109" t="s">
        <v>4465</v>
      </c>
      <c r="H90" s="7" t="s">
        <v>4183</v>
      </c>
      <c r="I90" s="7">
        <v>2030</v>
      </c>
      <c r="J90" s="109">
        <v>2021</v>
      </c>
      <c r="M90" s="7" t="str" cm="1">
        <f t="array" ref="M90">IF(N90="", "", IFERROR(MAX(--_xlfn.TEXTSPLIT(N90,"+")), N90))</f>
        <v/>
      </c>
      <c r="Q90" s="7" t="s">
        <v>1957</v>
      </c>
      <c r="R90" s="7" t="s">
        <v>4938</v>
      </c>
      <c r="S90" s="7" cm="1">
        <f t="array" ref="S90">IF(T90="", "", IFERROR(MAX(--_xlfn.TEXTSPLIT(T90,"+")), T90))</f>
        <v>2050</v>
      </c>
      <c r="T90" s="7">
        <v>2050</v>
      </c>
      <c r="U90" s="7">
        <v>2020</v>
      </c>
      <c r="V90" s="109" t="s">
        <v>4937</v>
      </c>
      <c r="W90" s="7" t="str">
        <f>_xlfn.XLOOKUP(C90,Sheet1!A:A,Sheet1!B:B, "Other")</f>
        <v>Asia</v>
      </c>
      <c r="X90" s="222" t="str">
        <f>_xlfn.XLOOKUP(D90,Sheet1!D:D,Sheet1!E:E,"Other")</f>
        <v>Other</v>
      </c>
    </row>
    <row r="91" spans="1:24">
      <c r="A91" s="7" t="s">
        <v>1485</v>
      </c>
      <c r="B91" s="7">
        <v>89</v>
      </c>
      <c r="C91" s="7" t="s">
        <v>73</v>
      </c>
      <c r="D91" s="109" t="s">
        <v>4199</v>
      </c>
      <c r="M91" s="7" t="str" cm="1">
        <f t="array" ref="M91">IF(N91="", "", IFERROR(MAX(--_xlfn.TEXTSPLIT(N91,"+")), N91))</f>
        <v/>
      </c>
      <c r="S91" s="7" t="str" cm="1">
        <f t="array" ref="S91">IF(T91="", "", IFERROR(MAX(--_xlfn.TEXTSPLIT(T91,"+")), T91))</f>
        <v/>
      </c>
      <c r="W91" s="7" t="str">
        <f>_xlfn.XLOOKUP(C91,Sheet1!A:A,Sheet1!B:B, "Other")</f>
        <v>Asia</v>
      </c>
      <c r="X91" s="222" t="str">
        <f>_xlfn.XLOOKUP(D91,Sheet1!D:D,Sheet1!E:E,"Other")</f>
        <v>Other</v>
      </c>
    </row>
    <row r="92" spans="1:24">
      <c r="A92" s="7" t="s">
        <v>1582</v>
      </c>
      <c r="B92" s="7">
        <v>90</v>
      </c>
      <c r="C92" s="7" t="s">
        <v>376</v>
      </c>
      <c r="D92" s="109" t="s">
        <v>4199</v>
      </c>
      <c r="H92" s="7" t="s">
        <v>4183</v>
      </c>
      <c r="I92" s="7">
        <v>2030</v>
      </c>
      <c r="J92" s="109">
        <v>2020</v>
      </c>
      <c r="M92" s="7" t="str" cm="1">
        <f t="array" ref="M92">IF(N92="", "", IFERROR(MAX(--_xlfn.TEXTSPLIT(N92,"+")), N92))</f>
        <v/>
      </c>
      <c r="Q92" s="7" t="s">
        <v>4172</v>
      </c>
      <c r="R92" s="7" t="s">
        <v>4936</v>
      </c>
      <c r="S92" s="7" cm="1">
        <f t="array" ref="S92">IF(T92="", "", IFERROR(MAX(--_xlfn.TEXTSPLIT(T92,"+")), T92))</f>
        <v>2040</v>
      </c>
      <c r="T92" s="7">
        <v>2040</v>
      </c>
      <c r="U92" s="7">
        <v>2021</v>
      </c>
      <c r="V92" s="109" t="s">
        <v>4935</v>
      </c>
      <c r="W92" s="7" t="str">
        <f>_xlfn.XLOOKUP(C92,Sheet1!A:A,Sheet1!B:B, "Other")</f>
        <v>Europe</v>
      </c>
      <c r="X92" s="222" t="str">
        <f>_xlfn.XLOOKUP(D92,Sheet1!D:D,Sheet1!E:E,"Other")</f>
        <v>Other</v>
      </c>
    </row>
    <row r="93" spans="1:24">
      <c r="A93" s="7" t="s">
        <v>1387</v>
      </c>
      <c r="B93" s="7">
        <v>91</v>
      </c>
      <c r="C93" s="7" t="s">
        <v>73</v>
      </c>
      <c r="D93" s="109" t="s">
        <v>4465</v>
      </c>
      <c r="M93" s="7" t="str" cm="1">
        <f t="array" ref="M93">IF(N93="", "", IFERROR(MAX(--_xlfn.TEXTSPLIT(N93,"+")), N93))</f>
        <v/>
      </c>
      <c r="S93" s="7" t="str" cm="1">
        <f t="array" ref="S93">IF(T93="", "", IFERROR(MAX(--_xlfn.TEXTSPLIT(T93,"+")), T93))</f>
        <v/>
      </c>
      <c r="W93" s="7" t="str">
        <f>_xlfn.XLOOKUP(C93,Sheet1!A:A,Sheet1!B:B, "Other")</f>
        <v>Asia</v>
      </c>
      <c r="X93" s="222" t="str">
        <f>_xlfn.XLOOKUP(D93,Sheet1!D:D,Sheet1!E:E,"Other")</f>
        <v>Other</v>
      </c>
    </row>
    <row r="94" spans="1:24">
      <c r="A94" s="7" t="s">
        <v>1558</v>
      </c>
      <c r="B94" s="7">
        <v>92</v>
      </c>
      <c r="C94" s="7" t="s">
        <v>114</v>
      </c>
      <c r="D94" s="109" t="s">
        <v>4476</v>
      </c>
      <c r="E94" s="7" t="s">
        <v>4174</v>
      </c>
      <c r="F94" s="7">
        <v>2050</v>
      </c>
      <c r="G94" s="109">
        <v>2021</v>
      </c>
      <c r="K94" s="7" t="s">
        <v>4172</v>
      </c>
      <c r="L94" s="7" t="s">
        <v>4934</v>
      </c>
      <c r="M94" s="7" cm="1">
        <f t="array" ref="M94">IF(N94="", "", IFERROR(MAX(--_xlfn.TEXTSPLIT(N94,"+")), N94))</f>
        <v>2045</v>
      </c>
      <c r="N94" s="7">
        <v>2045</v>
      </c>
      <c r="O94" s="7">
        <v>2021</v>
      </c>
      <c r="P94" s="109" t="s">
        <v>4612</v>
      </c>
      <c r="S94" s="7" t="str" cm="1">
        <f t="array" ref="S94">IF(T94="", "", IFERROR(MAX(--_xlfn.TEXTSPLIT(T94,"+")), T94))</f>
        <v/>
      </c>
      <c r="W94" s="7" t="str">
        <f>_xlfn.XLOOKUP(C94,Sheet1!A:A,Sheet1!B:B, "Other")</f>
        <v>Asia</v>
      </c>
      <c r="X94" s="222" t="str">
        <f>_xlfn.XLOOKUP(D94,Sheet1!D:D,Sheet1!E:E,"Other")</f>
        <v>Other</v>
      </c>
    </row>
    <row r="95" spans="1:24">
      <c r="A95" s="7" t="s">
        <v>1718</v>
      </c>
      <c r="B95" s="7">
        <v>93</v>
      </c>
      <c r="C95" s="7" t="s">
        <v>4457</v>
      </c>
      <c r="D95" s="109" t="s">
        <v>4465</v>
      </c>
      <c r="M95" s="7" t="str" cm="1">
        <f t="array" ref="M95">IF(N95="", "", IFERROR(MAX(--_xlfn.TEXTSPLIT(N95,"+")), N95))</f>
        <v/>
      </c>
      <c r="S95" s="7" t="str" cm="1">
        <f t="array" ref="S95">IF(T95="", "", IFERROR(MAX(--_xlfn.TEXTSPLIT(T95,"+")), T95))</f>
        <v/>
      </c>
      <c r="W95" s="7" t="str">
        <f>_xlfn.XLOOKUP(C95,Sheet1!A:A,Sheet1!B:B, "Other")</f>
        <v>North America</v>
      </c>
      <c r="X95" s="222" t="str">
        <f>_xlfn.XLOOKUP(D95,Sheet1!D:D,Sheet1!E:E,"Other")</f>
        <v>Other</v>
      </c>
    </row>
    <row r="96" spans="1:24">
      <c r="A96" s="7" t="s">
        <v>1712</v>
      </c>
      <c r="B96" s="7">
        <v>94</v>
      </c>
      <c r="C96" s="7" t="s">
        <v>207</v>
      </c>
      <c r="D96" s="109" t="s">
        <v>4465</v>
      </c>
      <c r="K96" s="7" t="s">
        <v>1957</v>
      </c>
      <c r="L96" s="7" t="s">
        <v>2425</v>
      </c>
      <c r="M96" s="7" cm="1">
        <f t="array" ref="M96">IF(N96="", "", IFERROR(MAX(--_xlfn.TEXTSPLIT(N96,"+")), N96))</f>
        <v>2050</v>
      </c>
      <c r="N96" s="7">
        <v>2050</v>
      </c>
      <c r="O96" s="7">
        <v>2021</v>
      </c>
      <c r="P96" s="109" t="s">
        <v>4933</v>
      </c>
      <c r="S96" s="7" t="str" cm="1">
        <f t="array" ref="S96">IF(T96="", "", IFERROR(MAX(--_xlfn.TEXTSPLIT(T96,"+")), T96))</f>
        <v/>
      </c>
      <c r="W96" s="7" t="str">
        <f>_xlfn.XLOOKUP(C96,Sheet1!A:A,Sheet1!B:B, "Other")</f>
        <v>Asia</v>
      </c>
      <c r="X96" s="222" t="str">
        <f>_xlfn.XLOOKUP(D96,Sheet1!D:D,Sheet1!E:E,"Other")</f>
        <v>Other</v>
      </c>
    </row>
    <row r="97" spans="1:24">
      <c r="A97" s="7" t="s">
        <v>1491</v>
      </c>
      <c r="B97" s="7">
        <v>95</v>
      </c>
      <c r="C97" s="7" t="s">
        <v>63</v>
      </c>
      <c r="D97" s="109" t="s">
        <v>4199</v>
      </c>
      <c r="H97" s="7" t="s">
        <v>4183</v>
      </c>
      <c r="I97" s="7">
        <v>2030</v>
      </c>
      <c r="J97" s="109">
        <v>2020</v>
      </c>
      <c r="K97" s="7" t="s">
        <v>1957</v>
      </c>
      <c r="L97" s="7" t="s">
        <v>4932</v>
      </c>
      <c r="M97" s="7" cm="1">
        <f t="array" ref="M97">IF(N97="", "", IFERROR(MAX(--_xlfn.TEXTSPLIT(N97,"+")), N97))</f>
        <v>2050</v>
      </c>
      <c r="N97" s="7">
        <v>2050</v>
      </c>
      <c r="O97" s="7">
        <v>2020</v>
      </c>
      <c r="P97" s="109" t="s">
        <v>4931</v>
      </c>
      <c r="S97" s="7" t="str" cm="1">
        <f t="array" ref="S97">IF(T97="", "", IFERROR(MAX(--_xlfn.TEXTSPLIT(T97,"+")), T97))</f>
        <v/>
      </c>
      <c r="W97" s="7" t="str">
        <f>_xlfn.XLOOKUP(C97,Sheet1!A:A,Sheet1!B:B, "Other")</f>
        <v>Europe</v>
      </c>
      <c r="X97" s="222" t="str">
        <f>_xlfn.XLOOKUP(D97,Sheet1!D:D,Sheet1!E:E,"Other")</f>
        <v>Other</v>
      </c>
    </row>
    <row r="98" spans="1:24">
      <c r="A98" s="7" t="s">
        <v>1683</v>
      </c>
      <c r="B98" s="7">
        <v>96</v>
      </c>
      <c r="C98" s="7" t="s">
        <v>73</v>
      </c>
      <c r="D98" s="109" t="s">
        <v>4190</v>
      </c>
      <c r="M98" s="7" t="str" cm="1">
        <f t="array" ref="M98">IF(N98="", "", IFERROR(MAX(--_xlfn.TEXTSPLIT(N98,"+")), N98))</f>
        <v/>
      </c>
      <c r="S98" s="7" t="str" cm="1">
        <f t="array" ref="S98">IF(T98="", "", IFERROR(MAX(--_xlfn.TEXTSPLIT(T98,"+")), T98))</f>
        <v/>
      </c>
      <c r="W98" s="7" t="str">
        <f>_xlfn.XLOOKUP(C98,Sheet1!A:A,Sheet1!B:B, "Other")</f>
        <v>Asia</v>
      </c>
      <c r="X98" s="222" t="str">
        <f>_xlfn.XLOOKUP(D98,Sheet1!D:D,Sheet1!E:E,"Other")</f>
        <v>Other</v>
      </c>
    </row>
    <row r="99" spans="1:24">
      <c r="A99" s="7" t="s">
        <v>1386</v>
      </c>
      <c r="B99" s="7">
        <v>97</v>
      </c>
      <c r="C99" s="7" t="s">
        <v>4457</v>
      </c>
      <c r="D99" s="109" t="s">
        <v>4179</v>
      </c>
      <c r="K99" s="7" t="s">
        <v>1957</v>
      </c>
      <c r="L99" s="7" t="s">
        <v>160</v>
      </c>
      <c r="M99" s="7" cm="1">
        <f t="array" ref="M99">IF(N99="", "", IFERROR(MAX(--_xlfn.TEXTSPLIT(N99,"+")), N99))</f>
        <v>2050</v>
      </c>
      <c r="N99" s="7">
        <v>2050</v>
      </c>
      <c r="O99" s="7">
        <v>2021</v>
      </c>
      <c r="P99" s="109" t="s">
        <v>4930</v>
      </c>
      <c r="S99" s="7" t="str" cm="1">
        <f t="array" ref="S99">IF(T99="", "", IFERROR(MAX(--_xlfn.TEXTSPLIT(T99,"+")), T99))</f>
        <v/>
      </c>
      <c r="W99" s="7" t="str">
        <f>_xlfn.XLOOKUP(C99,Sheet1!A:A,Sheet1!B:B, "Other")</f>
        <v>North America</v>
      </c>
      <c r="X99" s="222" t="str">
        <f>_xlfn.XLOOKUP(D99,Sheet1!D:D,Sheet1!E:E,"Other")</f>
        <v>Other</v>
      </c>
    </row>
    <row r="100" spans="1:24">
      <c r="A100" s="7" t="s">
        <v>4929</v>
      </c>
      <c r="B100" s="7">
        <v>98</v>
      </c>
      <c r="C100" s="7" t="s">
        <v>87</v>
      </c>
      <c r="D100" s="109" t="s">
        <v>4465</v>
      </c>
      <c r="M100" s="7" t="str" cm="1">
        <f t="array" ref="M100">IF(N100="", "", IFERROR(MAX(--_xlfn.TEXTSPLIT(N100,"+")), N100))</f>
        <v/>
      </c>
      <c r="S100" s="7" t="str" cm="1">
        <f t="array" ref="S100">IF(T100="", "", IFERROR(MAX(--_xlfn.TEXTSPLIT(T100,"+")), T100))</f>
        <v/>
      </c>
      <c r="W100" s="7" t="str">
        <f>_xlfn.XLOOKUP(C100,Sheet1!A:A,Sheet1!B:B, "Other")</f>
        <v>Asia</v>
      </c>
      <c r="X100" s="222" t="str">
        <f>_xlfn.XLOOKUP(D100,Sheet1!D:D,Sheet1!E:E,"Other")</f>
        <v>Other</v>
      </c>
    </row>
    <row r="101" spans="1:24">
      <c r="A101" s="7" t="s">
        <v>1428</v>
      </c>
      <c r="B101" s="7">
        <v>99</v>
      </c>
      <c r="C101" s="7" t="s">
        <v>146</v>
      </c>
      <c r="D101" s="109" t="s">
        <v>4179</v>
      </c>
      <c r="H101" s="7" t="s">
        <v>1957</v>
      </c>
      <c r="I101" s="7">
        <v>2030</v>
      </c>
      <c r="J101" s="109">
        <v>2017</v>
      </c>
      <c r="M101" s="7" t="str" cm="1">
        <f t="array" ref="M101">IF(N101="", "", IFERROR(MAX(--_xlfn.TEXTSPLIT(N101,"+")), N101))</f>
        <v/>
      </c>
      <c r="Q101" s="7" t="s">
        <v>4172</v>
      </c>
      <c r="R101" s="7" t="s">
        <v>4372</v>
      </c>
      <c r="S101" s="7" cm="1">
        <f t="array" ref="S101">IF(T101="", "", IFERROR(MAX(--_xlfn.TEXTSPLIT(T101,"+")), T101))</f>
        <v>2050</v>
      </c>
      <c r="T101" s="7">
        <v>2050</v>
      </c>
      <c r="U101" s="7">
        <v>2017</v>
      </c>
      <c r="V101" s="109" t="s">
        <v>4928</v>
      </c>
      <c r="W101" s="7" t="str">
        <f>_xlfn.XLOOKUP(C101,Sheet1!A:A,Sheet1!B:B, "Other")</f>
        <v>Europe</v>
      </c>
      <c r="X101" s="222" t="str">
        <f>_xlfn.XLOOKUP(D101,Sheet1!D:D,Sheet1!E:E,"Other")</f>
        <v>Other</v>
      </c>
    </row>
    <row r="102" spans="1:24">
      <c r="A102" s="7" t="s">
        <v>1295</v>
      </c>
      <c r="B102" s="7">
        <v>100</v>
      </c>
      <c r="C102" s="7" t="s">
        <v>73</v>
      </c>
      <c r="D102" s="109" t="s">
        <v>4197</v>
      </c>
      <c r="M102" s="7" t="str" cm="1">
        <f t="array" ref="M102">IF(N102="", "", IFERROR(MAX(--_xlfn.TEXTSPLIT(N102,"+")), N102))</f>
        <v/>
      </c>
      <c r="S102" s="7" t="str" cm="1">
        <f t="array" ref="S102">IF(T102="", "", IFERROR(MAX(--_xlfn.TEXTSPLIT(T102,"+")), T102))</f>
        <v/>
      </c>
      <c r="W102" s="7" t="str">
        <f>_xlfn.XLOOKUP(C102,Sheet1!A:A,Sheet1!B:B, "Other")</f>
        <v>Asia</v>
      </c>
      <c r="X102" s="222" t="str">
        <f>_xlfn.XLOOKUP(D102,Sheet1!D:D,Sheet1!E:E,"Other")</f>
        <v>Other</v>
      </c>
    </row>
    <row r="103" spans="1:24">
      <c r="A103" s="7" t="s">
        <v>1389</v>
      </c>
      <c r="B103" s="7">
        <v>101</v>
      </c>
      <c r="C103" s="7" t="s">
        <v>4457</v>
      </c>
      <c r="D103" s="109" t="s">
        <v>4467</v>
      </c>
      <c r="H103" s="7" t="s">
        <v>1957</v>
      </c>
      <c r="I103" s="7">
        <v>2030</v>
      </c>
      <c r="J103" s="109">
        <v>2022</v>
      </c>
      <c r="M103" s="7" t="str" cm="1">
        <f t="array" ref="M103">IF(N103="", "", IFERROR(MAX(--_xlfn.TEXTSPLIT(N103,"+")), N103))</f>
        <v/>
      </c>
      <c r="Q103" s="7" t="s">
        <v>4172</v>
      </c>
      <c r="R103" s="7" t="s">
        <v>42</v>
      </c>
      <c r="S103" s="7" cm="1">
        <f t="array" ref="S103">IF(T103="", "", IFERROR(MAX(--_xlfn.TEXTSPLIT(T103,"+")), T103))</f>
        <v>2050</v>
      </c>
      <c r="T103" s="7">
        <v>2050</v>
      </c>
      <c r="U103" s="7">
        <v>2022</v>
      </c>
      <c r="V103" s="109" t="s">
        <v>4927</v>
      </c>
      <c r="W103" s="7" t="str">
        <f>_xlfn.XLOOKUP(C103,Sheet1!A:A,Sheet1!B:B, "Other")</f>
        <v>North America</v>
      </c>
      <c r="X103" s="222" t="str">
        <f>_xlfn.XLOOKUP(D103,Sheet1!D:D,Sheet1!E:E,"Other")</f>
        <v>Retail</v>
      </c>
    </row>
    <row r="104" spans="1:24">
      <c r="A104" s="7" t="s">
        <v>1373</v>
      </c>
      <c r="B104" s="7">
        <v>102</v>
      </c>
      <c r="C104" s="7" t="s">
        <v>73</v>
      </c>
      <c r="D104" s="109" t="s">
        <v>4465</v>
      </c>
      <c r="K104" s="7" t="s">
        <v>4519</v>
      </c>
      <c r="L104" s="7" t="s">
        <v>4518</v>
      </c>
      <c r="M104" s="7" cm="1">
        <f t="array" ref="M104">IF(N104="", "", IFERROR(MAX(--_xlfn.TEXTSPLIT(N104,"+")), N104))</f>
        <v>2060</v>
      </c>
      <c r="N104" s="7">
        <v>2060</v>
      </c>
      <c r="O104" s="7">
        <v>2020</v>
      </c>
      <c r="P104" s="109" t="s">
        <v>4926</v>
      </c>
      <c r="S104" s="7" t="str" cm="1">
        <f t="array" ref="S104">IF(T104="", "", IFERROR(MAX(--_xlfn.TEXTSPLIT(T104,"+")), T104))</f>
        <v/>
      </c>
      <c r="W104" s="7" t="str">
        <f>_xlfn.XLOOKUP(C104,Sheet1!A:A,Sheet1!B:B, "Other")</f>
        <v>Asia</v>
      </c>
      <c r="X104" s="222" t="str">
        <f>_xlfn.XLOOKUP(D104,Sheet1!D:D,Sheet1!E:E,"Other")</f>
        <v>Other</v>
      </c>
    </row>
    <row r="105" spans="1:24">
      <c r="A105" s="7" t="s">
        <v>1636</v>
      </c>
      <c r="B105" s="7">
        <v>103</v>
      </c>
      <c r="C105" s="7" t="s">
        <v>287</v>
      </c>
      <c r="D105" s="109" t="s">
        <v>4455</v>
      </c>
      <c r="E105" s="7" t="s">
        <v>4174</v>
      </c>
      <c r="F105" s="7">
        <v>2025</v>
      </c>
      <c r="G105" s="109">
        <v>2014</v>
      </c>
      <c r="H105" s="7" t="s">
        <v>4183</v>
      </c>
      <c r="I105" s="7">
        <v>2025</v>
      </c>
      <c r="J105" s="109">
        <v>2020</v>
      </c>
      <c r="M105" s="7" t="str" cm="1">
        <f t="array" ref="M105">IF(N105="", "", IFERROR(MAX(--_xlfn.TEXTSPLIT(N105,"+")), N105))</f>
        <v/>
      </c>
      <c r="Q105" s="7" t="s">
        <v>4172</v>
      </c>
      <c r="R105" s="7" t="s">
        <v>4925</v>
      </c>
      <c r="S105" s="7" cm="1">
        <f t="array" ref="S105">IF(T105="", "", IFERROR(MAX(--_xlfn.TEXTSPLIT(T105,"+")), T105))</f>
        <v>2050</v>
      </c>
      <c r="T105" s="7">
        <v>2050</v>
      </c>
      <c r="U105" s="7">
        <v>2019</v>
      </c>
      <c r="V105" s="109" t="s">
        <v>4924</v>
      </c>
      <c r="W105" s="7" t="str">
        <f>_xlfn.XLOOKUP(C105,Sheet1!A:A,Sheet1!B:B, "Other")</f>
        <v>Europe</v>
      </c>
      <c r="X105" s="222" t="str">
        <f>_xlfn.XLOOKUP(D105,Sheet1!D:D,Sheet1!E:E,"Other")</f>
        <v>Other</v>
      </c>
    </row>
    <row r="106" spans="1:24">
      <c r="A106" s="7" t="s">
        <v>1505</v>
      </c>
      <c r="B106" s="7">
        <v>104</v>
      </c>
      <c r="C106" s="7" t="s">
        <v>87</v>
      </c>
      <c r="D106" s="109" t="s">
        <v>3498</v>
      </c>
      <c r="M106" s="7" t="str" cm="1">
        <f t="array" ref="M106">IF(N106="", "", IFERROR(MAX(--_xlfn.TEXTSPLIT(N106,"+")), N106))</f>
        <v/>
      </c>
      <c r="S106" s="7" t="str" cm="1">
        <f t="array" ref="S106">IF(T106="", "", IFERROR(MAX(--_xlfn.TEXTSPLIT(T106,"+")), T106))</f>
        <v/>
      </c>
      <c r="W106" s="7" t="str">
        <f>_xlfn.XLOOKUP(C106,Sheet1!A:A,Sheet1!B:B, "Other")</f>
        <v>Asia</v>
      </c>
      <c r="X106" s="222" t="str">
        <f>_xlfn.XLOOKUP(D106,Sheet1!D:D,Sheet1!E:E,"Other")</f>
        <v>Other</v>
      </c>
    </row>
    <row r="107" spans="1:24">
      <c r="A107" s="7" t="s">
        <v>3873</v>
      </c>
      <c r="B107" s="7">
        <v>105</v>
      </c>
      <c r="C107" s="7" t="s">
        <v>4457</v>
      </c>
      <c r="D107" s="109" t="s">
        <v>4465</v>
      </c>
      <c r="E107" s="7" t="s">
        <v>4174</v>
      </c>
      <c r="F107" s="7">
        <v>2020</v>
      </c>
      <c r="G107" s="109">
        <v>2016</v>
      </c>
      <c r="K107" s="7" t="s">
        <v>1957</v>
      </c>
      <c r="L107" s="7" t="s">
        <v>109</v>
      </c>
      <c r="M107" s="7" cm="1">
        <f t="array" ref="M107">IF(N107="", "", IFERROR(MAX(--_xlfn.TEXTSPLIT(N107,"+")), N107))</f>
        <v>2019</v>
      </c>
      <c r="N107" s="7">
        <v>2019</v>
      </c>
      <c r="O107" s="7">
        <v>2016</v>
      </c>
      <c r="P107" s="109" t="s">
        <v>4923</v>
      </c>
      <c r="Q107" s="7" t="s">
        <v>4172</v>
      </c>
      <c r="R107" s="7" t="s">
        <v>4922</v>
      </c>
      <c r="S107" s="7" cm="1">
        <f t="array" ref="S107">IF(T107="", "", IFERROR(MAX(--_xlfn.TEXTSPLIT(T107,"+")), T107))</f>
        <v>2050</v>
      </c>
      <c r="T107" s="7">
        <v>2050</v>
      </c>
      <c r="U107" s="7">
        <v>2021</v>
      </c>
      <c r="V107" s="109" t="s">
        <v>4921</v>
      </c>
      <c r="W107" s="7" t="str">
        <f>_xlfn.XLOOKUP(C107,Sheet1!A:A,Sheet1!B:B, "Other")</f>
        <v>North America</v>
      </c>
      <c r="X107" s="222" t="str">
        <f>_xlfn.XLOOKUP(D107,Sheet1!D:D,Sheet1!E:E,"Other")</f>
        <v>Other</v>
      </c>
    </row>
    <row r="108" spans="1:24">
      <c r="A108" s="7" t="s">
        <v>873</v>
      </c>
      <c r="B108" s="7">
        <v>106</v>
      </c>
      <c r="C108" s="7" t="s">
        <v>73</v>
      </c>
      <c r="D108" s="109" t="s">
        <v>4465</v>
      </c>
      <c r="M108" s="7" t="str" cm="1">
        <f t="array" ref="M108">IF(N108="", "", IFERROR(MAX(--_xlfn.TEXTSPLIT(N108,"+")), N108))</f>
        <v/>
      </c>
      <c r="S108" s="7" t="str" cm="1">
        <f t="array" ref="S108">IF(T108="", "", IFERROR(MAX(--_xlfn.TEXTSPLIT(T108,"+")), T108))</f>
        <v/>
      </c>
      <c r="W108" s="7" t="str">
        <f>_xlfn.XLOOKUP(C108,Sheet1!A:A,Sheet1!B:B, "Other")</f>
        <v>Asia</v>
      </c>
      <c r="X108" s="222" t="str">
        <f>_xlfn.XLOOKUP(D108,Sheet1!D:D,Sheet1!E:E,"Other")</f>
        <v>Other</v>
      </c>
    </row>
    <row r="109" spans="1:24">
      <c r="A109" s="7" t="s">
        <v>1494</v>
      </c>
      <c r="B109" s="7">
        <v>107</v>
      </c>
      <c r="C109" s="7" t="s">
        <v>4457</v>
      </c>
      <c r="D109" s="109" t="s">
        <v>4201</v>
      </c>
      <c r="E109" s="7" t="s">
        <v>4174</v>
      </c>
      <c r="F109" s="7">
        <v>2025</v>
      </c>
      <c r="G109" s="109">
        <v>2015</v>
      </c>
      <c r="H109" s="7" t="s">
        <v>4183</v>
      </c>
      <c r="I109" s="7">
        <v>2030</v>
      </c>
      <c r="J109" s="109">
        <v>2020</v>
      </c>
      <c r="K109" s="7" t="s">
        <v>1957</v>
      </c>
      <c r="L109" s="7" t="s">
        <v>2425</v>
      </c>
      <c r="M109" s="7" cm="1">
        <f t="array" ref="M109">IF(N109="", "", IFERROR(MAX(--_xlfn.TEXTSPLIT(N109,"+")), N109))</f>
        <v>2030</v>
      </c>
      <c r="N109" s="7">
        <v>2030</v>
      </c>
      <c r="O109" s="7">
        <v>2020</v>
      </c>
      <c r="P109" s="109" t="s">
        <v>4920</v>
      </c>
      <c r="S109" s="7" t="str" cm="1">
        <f t="array" ref="S109">IF(T109="", "", IFERROR(MAX(--_xlfn.TEXTSPLIT(T109,"+")), T109))</f>
        <v/>
      </c>
      <c r="W109" s="7" t="str">
        <f>_xlfn.XLOOKUP(C109,Sheet1!A:A,Sheet1!B:B, "Other")</f>
        <v>North America</v>
      </c>
      <c r="X109" s="222" t="str">
        <f>_xlfn.XLOOKUP(D109,Sheet1!D:D,Sheet1!E:E,"Other")</f>
        <v>Other</v>
      </c>
    </row>
    <row r="110" spans="1:24">
      <c r="A110" s="7" t="s">
        <v>1635</v>
      </c>
      <c r="B110" s="7">
        <v>108</v>
      </c>
      <c r="C110" s="7" t="s">
        <v>146</v>
      </c>
      <c r="D110" s="109" t="s">
        <v>4476</v>
      </c>
      <c r="K110" s="7" t="s">
        <v>1957</v>
      </c>
      <c r="L110" s="7" t="s">
        <v>2425</v>
      </c>
      <c r="M110" s="7" cm="1">
        <f t="array" ref="M110">IF(N110="", "", IFERROR(MAX(--_xlfn.TEXTSPLIT(N110,"+")), N110))</f>
        <v>2020</v>
      </c>
      <c r="N110" s="7">
        <v>2020</v>
      </c>
      <c r="O110" s="7">
        <v>2019</v>
      </c>
      <c r="P110" s="109" t="s">
        <v>4919</v>
      </c>
      <c r="S110" s="7" t="str" cm="1">
        <f t="array" ref="S110">IF(T110="", "", IFERROR(MAX(--_xlfn.TEXTSPLIT(T110,"+")), T110))</f>
        <v/>
      </c>
      <c r="W110" s="7" t="str">
        <f>_xlfn.XLOOKUP(C110,Sheet1!A:A,Sheet1!B:B, "Other")</f>
        <v>Europe</v>
      </c>
      <c r="X110" s="222" t="str">
        <f>_xlfn.XLOOKUP(D110,Sheet1!D:D,Sheet1!E:E,"Other")</f>
        <v>Other</v>
      </c>
    </row>
    <row r="111" spans="1:24">
      <c r="A111" s="7" t="s">
        <v>1446</v>
      </c>
      <c r="B111" s="7">
        <v>109</v>
      </c>
      <c r="C111" s="7" t="s">
        <v>146</v>
      </c>
      <c r="D111" s="109" t="s">
        <v>66</v>
      </c>
      <c r="M111" s="7" t="str" cm="1">
        <f t="array" ref="M111">IF(N111="", "", IFERROR(MAX(--_xlfn.TEXTSPLIT(N111,"+")), N111))</f>
        <v/>
      </c>
      <c r="Q111" s="7" t="s">
        <v>1957</v>
      </c>
      <c r="R111" s="7" t="s">
        <v>4432</v>
      </c>
      <c r="S111" s="7" cm="1">
        <f t="array" ref="S111">IF(T111="", "", IFERROR(MAX(--_xlfn.TEXTSPLIT(T111,"+")), T111))</f>
        <v>2050</v>
      </c>
      <c r="T111" s="7">
        <v>2050</v>
      </c>
      <c r="U111" s="7">
        <v>2021</v>
      </c>
      <c r="V111" s="109" t="s">
        <v>4918</v>
      </c>
      <c r="W111" s="7" t="str">
        <f>_xlfn.XLOOKUP(C111,Sheet1!A:A,Sheet1!B:B, "Other")</f>
        <v>Europe</v>
      </c>
      <c r="X111" s="222" t="str">
        <f>_xlfn.XLOOKUP(D111,Sheet1!D:D,Sheet1!E:E,"Other")</f>
        <v>Chemicals</v>
      </c>
    </row>
    <row r="112" spans="1:24">
      <c r="A112" s="7" t="s">
        <v>1437</v>
      </c>
      <c r="B112" s="7">
        <v>110</v>
      </c>
      <c r="C112" s="7" t="s">
        <v>73</v>
      </c>
      <c r="D112" s="109" t="s">
        <v>4465</v>
      </c>
      <c r="M112" s="7" t="str" cm="1">
        <f t="array" ref="M112">IF(N112="", "", IFERROR(MAX(--_xlfn.TEXTSPLIT(N112,"+")), N112))</f>
        <v/>
      </c>
      <c r="S112" s="7" t="str" cm="1">
        <f t="array" ref="S112">IF(T112="", "", IFERROR(MAX(--_xlfn.TEXTSPLIT(T112,"+")), T112))</f>
        <v/>
      </c>
      <c r="W112" s="7" t="str">
        <f>_xlfn.XLOOKUP(C112,Sheet1!A:A,Sheet1!B:B, "Other")</f>
        <v>Asia</v>
      </c>
      <c r="X112" s="222" t="str">
        <f>_xlfn.XLOOKUP(D112,Sheet1!D:D,Sheet1!E:E,"Other")</f>
        <v>Other</v>
      </c>
    </row>
    <row r="113" spans="1:24">
      <c r="A113" s="7" t="s">
        <v>1607</v>
      </c>
      <c r="B113" s="7">
        <v>111</v>
      </c>
      <c r="C113" s="7" t="s">
        <v>376</v>
      </c>
      <c r="D113" s="109" t="s">
        <v>3498</v>
      </c>
      <c r="M113" s="7" t="str" cm="1">
        <f t="array" ref="M113">IF(N113="", "", IFERROR(MAX(--_xlfn.TEXTSPLIT(N113,"+")), N113))</f>
        <v/>
      </c>
      <c r="Q113" s="7" t="s">
        <v>4504</v>
      </c>
      <c r="R113" s="7" t="s">
        <v>4917</v>
      </c>
      <c r="S113" s="7" cm="1">
        <f t="array" ref="S113">IF(T113="", "", IFERROR(MAX(--_xlfn.TEXTSPLIT(T113,"+")), T113))</f>
        <v>2050</v>
      </c>
      <c r="T113" s="7" t="s">
        <v>4502</v>
      </c>
      <c r="U113" s="7" t="s">
        <v>4834</v>
      </c>
      <c r="V113" s="109" t="s">
        <v>4916</v>
      </c>
      <c r="W113" s="7" t="str">
        <f>_xlfn.XLOOKUP(C113,Sheet1!A:A,Sheet1!B:B, "Other")</f>
        <v>Europe</v>
      </c>
      <c r="X113" s="222" t="str">
        <f>_xlfn.XLOOKUP(D113,Sheet1!D:D,Sheet1!E:E,"Other")</f>
        <v>Other</v>
      </c>
    </row>
    <row r="114" spans="1:24">
      <c r="A114" s="7" t="s">
        <v>672</v>
      </c>
      <c r="B114" s="7">
        <v>112</v>
      </c>
      <c r="C114" s="7" t="s">
        <v>146</v>
      </c>
      <c r="D114" s="109" t="s">
        <v>4199</v>
      </c>
      <c r="H114" s="7" t="s">
        <v>4183</v>
      </c>
      <c r="I114" s="7">
        <v>2030</v>
      </c>
      <c r="J114" s="109">
        <v>2022</v>
      </c>
      <c r="K114" s="7" t="s">
        <v>4573</v>
      </c>
      <c r="L114" s="7" t="s">
        <v>4908</v>
      </c>
      <c r="M114" s="7" cm="1">
        <f t="array" ref="M114">IF(N114="", "", IFERROR(MAX(--_xlfn.TEXTSPLIT(N114,"+")), N114))</f>
        <v>2050</v>
      </c>
      <c r="N114" s="7" t="s">
        <v>4670</v>
      </c>
      <c r="O114" s="7" t="s">
        <v>4606</v>
      </c>
      <c r="P114" s="109" t="s">
        <v>3373</v>
      </c>
      <c r="S114" s="7" t="str" cm="1">
        <f t="array" ref="S114">IF(T114="", "", IFERROR(MAX(--_xlfn.TEXTSPLIT(T114,"+")), T114))</f>
        <v/>
      </c>
      <c r="W114" s="7" t="str">
        <f>_xlfn.XLOOKUP(C114,Sheet1!A:A,Sheet1!B:B, "Other")</f>
        <v>Europe</v>
      </c>
      <c r="X114" s="222" t="str">
        <f>_xlfn.XLOOKUP(D114,Sheet1!D:D,Sheet1!E:E,"Other")</f>
        <v>Other</v>
      </c>
    </row>
    <row r="115" spans="1:24">
      <c r="A115" s="7" t="s">
        <v>1528</v>
      </c>
      <c r="B115" s="7">
        <v>113</v>
      </c>
      <c r="C115" s="7" t="s">
        <v>207</v>
      </c>
      <c r="D115" s="109" t="s">
        <v>4459</v>
      </c>
      <c r="H115" s="7" t="s">
        <v>4183</v>
      </c>
      <c r="I115" s="7">
        <v>2030</v>
      </c>
      <c r="J115" s="109">
        <v>2020</v>
      </c>
      <c r="K115" s="7" t="s">
        <v>4573</v>
      </c>
      <c r="L115" s="7" t="s">
        <v>4915</v>
      </c>
      <c r="M115" s="7" cm="1">
        <f t="array" ref="M115">IF(N115="", "", IFERROR(MAX(--_xlfn.TEXTSPLIT(N115,"+")), N115))</f>
        <v>2050</v>
      </c>
      <c r="N115" s="7" t="s">
        <v>4502</v>
      </c>
      <c r="O115" s="7" t="s">
        <v>4914</v>
      </c>
      <c r="P115" s="109" t="s">
        <v>4913</v>
      </c>
      <c r="S115" s="7" t="str" cm="1">
        <f t="array" ref="S115">IF(T115="", "", IFERROR(MAX(--_xlfn.TEXTSPLIT(T115,"+")), T115))</f>
        <v/>
      </c>
      <c r="W115" s="7" t="str">
        <f>_xlfn.XLOOKUP(C115,Sheet1!A:A,Sheet1!B:B, "Other")</f>
        <v>Asia</v>
      </c>
      <c r="X115" s="222" t="str">
        <f>_xlfn.XLOOKUP(D115,Sheet1!D:D,Sheet1!E:E,"Other")</f>
        <v>Other</v>
      </c>
    </row>
    <row r="116" spans="1:24">
      <c r="A116" s="7" t="s">
        <v>1478</v>
      </c>
      <c r="B116" s="7">
        <v>114</v>
      </c>
      <c r="C116" s="7" t="s">
        <v>1481</v>
      </c>
      <c r="D116" s="109" t="s">
        <v>3498</v>
      </c>
      <c r="K116" s="7" t="s">
        <v>1957</v>
      </c>
      <c r="L116" s="7" t="s">
        <v>1659</v>
      </c>
      <c r="M116" s="7" cm="1">
        <f t="array" ref="M116">IF(N116="", "", IFERROR(MAX(--_xlfn.TEXTSPLIT(N116,"+")), N116))</f>
        <v>2030</v>
      </c>
      <c r="N116" s="7">
        <v>2030</v>
      </c>
      <c r="O116" s="7">
        <v>2020</v>
      </c>
      <c r="P116" s="109" t="s">
        <v>4911</v>
      </c>
      <c r="Q116" s="7" t="s">
        <v>1957</v>
      </c>
      <c r="R116" s="7" t="s">
        <v>4912</v>
      </c>
      <c r="S116" s="7" cm="1">
        <f t="array" ref="S116">IF(T116="", "", IFERROR(MAX(--_xlfn.TEXTSPLIT(T116,"+")), T116))</f>
        <v>2050</v>
      </c>
      <c r="T116" s="7">
        <v>2050</v>
      </c>
      <c r="U116" s="7">
        <v>2020</v>
      </c>
      <c r="V116" s="109" t="s">
        <v>4911</v>
      </c>
      <c r="W116" s="7" t="str">
        <f>_xlfn.XLOOKUP(C116,Sheet1!A:A,Sheet1!B:B, "Other")</f>
        <v>Europe</v>
      </c>
      <c r="X116" s="222" t="str">
        <f>_xlfn.XLOOKUP(D116,Sheet1!D:D,Sheet1!E:E,"Other")</f>
        <v>Other</v>
      </c>
    </row>
    <row r="117" spans="1:24">
      <c r="A117" s="7" t="s">
        <v>1414</v>
      </c>
      <c r="B117" s="7">
        <v>115</v>
      </c>
      <c r="C117" s="7" t="s">
        <v>96</v>
      </c>
      <c r="D117" s="109" t="s">
        <v>4467</v>
      </c>
      <c r="H117" s="7" t="s">
        <v>4183</v>
      </c>
      <c r="I117" s="7">
        <v>2030</v>
      </c>
      <c r="J117" s="109">
        <v>2020</v>
      </c>
      <c r="M117" s="7" t="str" cm="1">
        <f t="array" ref="M117">IF(N117="", "", IFERROR(MAX(--_xlfn.TEXTSPLIT(N117,"+")), N117))</f>
        <v/>
      </c>
      <c r="Q117" s="7" t="s">
        <v>4504</v>
      </c>
      <c r="R117" s="7" t="s">
        <v>4910</v>
      </c>
      <c r="S117" s="7" cm="1">
        <f t="array" ref="S117">IF(T117="", "", IFERROR(MAX(--_xlfn.TEXTSPLIT(T117,"+")), T117))</f>
        <v>2050</v>
      </c>
      <c r="T117" s="7" t="s">
        <v>4670</v>
      </c>
      <c r="U117" s="7" t="s">
        <v>4501</v>
      </c>
      <c r="V117" s="109" t="s">
        <v>4909</v>
      </c>
      <c r="W117" s="7" t="str">
        <f>_xlfn.XLOOKUP(C117,Sheet1!A:A,Sheet1!B:B, "Other")</f>
        <v>Europe</v>
      </c>
      <c r="X117" s="222" t="str">
        <f>_xlfn.XLOOKUP(D117,Sheet1!D:D,Sheet1!E:E,"Other")</f>
        <v>Retail</v>
      </c>
    </row>
    <row r="118" spans="1:24">
      <c r="A118" s="7" t="s">
        <v>1460</v>
      </c>
      <c r="B118" s="7">
        <v>116</v>
      </c>
      <c r="C118" s="7" t="s">
        <v>207</v>
      </c>
      <c r="D118" s="109" t="s">
        <v>4459</v>
      </c>
      <c r="E118" s="7" t="s">
        <v>4174</v>
      </c>
      <c r="F118" s="7">
        <v>2040</v>
      </c>
      <c r="G118" s="109">
        <v>2018</v>
      </c>
      <c r="H118" s="7" t="s">
        <v>4183</v>
      </c>
      <c r="I118" s="7">
        <v>2025</v>
      </c>
      <c r="J118" s="109">
        <v>2020</v>
      </c>
      <c r="K118" s="7" t="s">
        <v>4573</v>
      </c>
      <c r="L118" s="7" t="s">
        <v>4908</v>
      </c>
      <c r="M118" s="7" cm="1">
        <f t="array" ref="M118">IF(N118="", "", IFERROR(MAX(--_xlfn.TEXTSPLIT(N118,"+")), N118))</f>
        <v>2040</v>
      </c>
      <c r="N118" s="7" t="s">
        <v>4907</v>
      </c>
      <c r="O118" s="7" t="s">
        <v>4525</v>
      </c>
      <c r="P118" s="109" t="s">
        <v>4906</v>
      </c>
      <c r="S118" s="7" t="str" cm="1">
        <f t="array" ref="S118">IF(T118="", "", IFERROR(MAX(--_xlfn.TEXTSPLIT(T118,"+")), T118))</f>
        <v/>
      </c>
      <c r="W118" s="7" t="str">
        <f>_xlfn.XLOOKUP(C118,Sheet1!A:A,Sheet1!B:B, "Other")</f>
        <v>Asia</v>
      </c>
      <c r="X118" s="222" t="str">
        <f>_xlfn.XLOOKUP(D118,Sheet1!D:D,Sheet1!E:E,"Other")</f>
        <v>Other</v>
      </c>
    </row>
    <row r="119" spans="1:24">
      <c r="A119" s="7" t="s">
        <v>4905</v>
      </c>
      <c r="B119" s="7">
        <v>117</v>
      </c>
      <c r="C119" s="7" t="s">
        <v>114</v>
      </c>
      <c r="D119" s="109" t="s">
        <v>3498</v>
      </c>
      <c r="M119" s="7" t="str" cm="1">
        <f t="array" ref="M119">IF(N119="", "", IFERROR(MAX(--_xlfn.TEXTSPLIT(N119,"+")), N119))</f>
        <v/>
      </c>
      <c r="Q119" s="7" t="s">
        <v>4172</v>
      </c>
      <c r="R119" s="7" t="s">
        <v>4904</v>
      </c>
      <c r="S119" s="7" cm="1">
        <f t="array" ref="S119">IF(T119="", "", IFERROR(MAX(--_xlfn.TEXTSPLIT(T119,"+")), T119))</f>
        <v>2040</v>
      </c>
      <c r="T119" s="7">
        <v>2040</v>
      </c>
      <c r="U119" s="7">
        <v>2021</v>
      </c>
      <c r="V119" s="109" t="s">
        <v>4903</v>
      </c>
      <c r="W119" s="7" t="str">
        <f>_xlfn.XLOOKUP(C119,Sheet1!A:A,Sheet1!B:B, "Other")</f>
        <v>Asia</v>
      </c>
      <c r="X119" s="222" t="str">
        <f>_xlfn.XLOOKUP(D119,Sheet1!D:D,Sheet1!E:E,"Other")</f>
        <v>Other</v>
      </c>
    </row>
    <row r="120" spans="1:24">
      <c r="A120" s="7" t="s">
        <v>1595</v>
      </c>
      <c r="B120" s="7">
        <v>118</v>
      </c>
      <c r="C120" s="7" t="s">
        <v>972</v>
      </c>
      <c r="D120" s="109" t="s">
        <v>3498</v>
      </c>
      <c r="M120" s="7" t="str" cm="1">
        <f t="array" ref="M120">IF(N120="", "", IFERROR(MAX(--_xlfn.TEXTSPLIT(N120,"+")), N120))</f>
        <v/>
      </c>
      <c r="Q120" s="7" t="s">
        <v>1957</v>
      </c>
      <c r="R120" s="7" t="s">
        <v>4518</v>
      </c>
      <c r="S120" s="7" cm="1">
        <f t="array" ref="S120">IF(T120="", "", IFERROR(MAX(--_xlfn.TEXTSPLIT(T120,"+")), T120))</f>
        <v>2050</v>
      </c>
      <c r="T120" s="7">
        <v>2050</v>
      </c>
      <c r="U120" s="7">
        <v>2021</v>
      </c>
      <c r="V120" s="109" t="s">
        <v>4902</v>
      </c>
      <c r="W120" s="7" t="str">
        <f>_xlfn.XLOOKUP(C120,Sheet1!A:A,Sheet1!B:B, "Other")</f>
        <v>Europe</v>
      </c>
      <c r="X120" s="222" t="str">
        <f>_xlfn.XLOOKUP(D120,Sheet1!D:D,Sheet1!E:E,"Other")</f>
        <v>Other</v>
      </c>
    </row>
    <row r="121" spans="1:24">
      <c r="A121" s="7" t="s">
        <v>1615</v>
      </c>
      <c r="B121" s="7">
        <v>119</v>
      </c>
      <c r="C121" s="7" t="s">
        <v>63</v>
      </c>
      <c r="D121" s="109" t="s">
        <v>4467</v>
      </c>
      <c r="H121" s="7" t="s">
        <v>4183</v>
      </c>
      <c r="I121" s="7">
        <v>2030</v>
      </c>
      <c r="J121" s="109">
        <v>2020</v>
      </c>
      <c r="K121" s="7" t="s">
        <v>1957</v>
      </c>
      <c r="L121" s="7" t="s">
        <v>2425</v>
      </c>
      <c r="M121" s="7" cm="1">
        <f t="array" ref="M121">IF(N121="", "", IFERROR(MAX(--_xlfn.TEXTSPLIT(N121,"+")), N121))</f>
        <v>2040</v>
      </c>
      <c r="N121" s="7">
        <v>2040</v>
      </c>
      <c r="O121" s="7">
        <v>2021</v>
      </c>
      <c r="P121" s="109" t="s">
        <v>4901</v>
      </c>
      <c r="S121" s="7" t="str" cm="1">
        <f t="array" ref="S121">IF(T121="", "", IFERROR(MAX(--_xlfn.TEXTSPLIT(T121,"+")), T121))</f>
        <v/>
      </c>
      <c r="W121" s="7" t="str">
        <f>_xlfn.XLOOKUP(C121,Sheet1!A:A,Sheet1!B:B, "Other")</f>
        <v>Europe</v>
      </c>
      <c r="X121" s="222" t="str">
        <f>_xlfn.XLOOKUP(D121,Sheet1!D:D,Sheet1!E:E,"Other")</f>
        <v>Retail</v>
      </c>
    </row>
    <row r="122" spans="1:24">
      <c r="A122" s="7" t="s">
        <v>991</v>
      </c>
      <c r="B122" s="7">
        <v>120</v>
      </c>
      <c r="C122" s="7" t="s">
        <v>73</v>
      </c>
      <c r="D122" s="109" t="s">
        <v>4465</v>
      </c>
      <c r="M122" s="7" t="str" cm="1">
        <f t="array" ref="M122">IF(N122="", "", IFERROR(MAX(--_xlfn.TEXTSPLIT(N122,"+")), N122))</f>
        <v/>
      </c>
      <c r="S122" s="7" t="str" cm="1">
        <f t="array" ref="S122">IF(T122="", "", IFERROR(MAX(--_xlfn.TEXTSPLIT(T122,"+")), T122))</f>
        <v/>
      </c>
      <c r="W122" s="7" t="str">
        <f>_xlfn.XLOOKUP(C122,Sheet1!A:A,Sheet1!B:B, "Other")</f>
        <v>Asia</v>
      </c>
      <c r="X122" s="222" t="str">
        <f>_xlfn.XLOOKUP(D122,Sheet1!D:D,Sheet1!E:E,"Other")</f>
        <v>Other</v>
      </c>
    </row>
    <row r="123" spans="1:24">
      <c r="A123" s="7" t="s">
        <v>1031</v>
      </c>
      <c r="B123" s="7">
        <v>121</v>
      </c>
      <c r="C123" s="7" t="s">
        <v>73</v>
      </c>
      <c r="D123" s="109" t="s">
        <v>186</v>
      </c>
      <c r="H123" s="7" t="s">
        <v>1957</v>
      </c>
      <c r="I123" s="7">
        <v>2030</v>
      </c>
      <c r="J123" s="109">
        <v>2022</v>
      </c>
      <c r="K123" s="7" t="s">
        <v>4172</v>
      </c>
      <c r="L123" s="7" t="s">
        <v>4900</v>
      </c>
      <c r="M123" s="7" cm="1">
        <f t="array" ref="M123">IF(N123="", "", IFERROR(MAX(--_xlfn.TEXTSPLIT(N123,"+")), N123))</f>
        <v>2030</v>
      </c>
      <c r="N123" s="7">
        <v>2030</v>
      </c>
      <c r="O123" s="7">
        <v>2020</v>
      </c>
      <c r="P123" s="109" t="s">
        <v>4899</v>
      </c>
      <c r="S123" s="7" t="str" cm="1">
        <f t="array" ref="S123">IF(T123="", "", IFERROR(MAX(--_xlfn.TEXTSPLIT(T123,"+")), T123))</f>
        <v/>
      </c>
      <c r="W123" s="7" t="str">
        <f>_xlfn.XLOOKUP(C123,Sheet1!A:A,Sheet1!B:B, "Other")</f>
        <v>Asia</v>
      </c>
      <c r="X123" s="222" t="str">
        <f>_xlfn.XLOOKUP(D123,Sheet1!D:D,Sheet1!E:E,"Other")</f>
        <v>Technology</v>
      </c>
    </row>
    <row r="124" spans="1:24">
      <c r="A124" s="7" t="s">
        <v>1614</v>
      </c>
      <c r="B124" s="7">
        <v>122</v>
      </c>
      <c r="C124" s="7" t="s">
        <v>73</v>
      </c>
      <c r="D124" s="109" t="s">
        <v>4476</v>
      </c>
      <c r="K124" s="7" t="s">
        <v>4519</v>
      </c>
      <c r="L124" s="7" t="s">
        <v>4518</v>
      </c>
      <c r="M124" s="7" cm="1">
        <f t="array" ref="M124">IF(N124="", "", IFERROR(MAX(--_xlfn.TEXTSPLIT(N124,"+")), N124))</f>
        <v>2060</v>
      </c>
      <c r="N124" s="7">
        <v>2060</v>
      </c>
      <c r="S124" s="7" t="str" cm="1">
        <f t="array" ref="S124">IF(T124="", "", IFERROR(MAX(--_xlfn.TEXTSPLIT(T124,"+")), T124))</f>
        <v/>
      </c>
      <c r="W124" s="7" t="str">
        <f>_xlfn.XLOOKUP(C124,Sheet1!A:A,Sheet1!B:B, "Other")</f>
        <v>Asia</v>
      </c>
      <c r="X124" s="222" t="str">
        <f>_xlfn.XLOOKUP(D124,Sheet1!D:D,Sheet1!E:E,"Other")</f>
        <v>Other</v>
      </c>
    </row>
    <row r="125" spans="1:24">
      <c r="A125" s="7" t="s">
        <v>1510</v>
      </c>
      <c r="B125" s="7">
        <v>123</v>
      </c>
      <c r="C125" s="7" t="s">
        <v>63</v>
      </c>
      <c r="D125" s="109" t="s">
        <v>4465</v>
      </c>
      <c r="H125" s="7" t="s">
        <v>1957</v>
      </c>
      <c r="I125" s="7">
        <v>2030</v>
      </c>
      <c r="J125" s="109">
        <v>2016</v>
      </c>
      <c r="K125" s="7" t="s">
        <v>1957</v>
      </c>
      <c r="L125" s="7" t="s">
        <v>4898</v>
      </c>
      <c r="M125" s="7" cm="1">
        <f t="array" ref="M125">IF(N125="", "", IFERROR(MAX(--_xlfn.TEXTSPLIT(N125,"+")), N125))</f>
        <v>2017</v>
      </c>
      <c r="N125" s="7">
        <v>2017</v>
      </c>
      <c r="O125" s="7">
        <v>2017</v>
      </c>
      <c r="P125" s="109" t="s">
        <v>3803</v>
      </c>
      <c r="Q125" s="7" t="s">
        <v>4172</v>
      </c>
      <c r="R125" s="7" t="s">
        <v>4897</v>
      </c>
      <c r="S125" s="7" cm="1">
        <f t="array" ref="S125">IF(T125="", "", IFERROR(MAX(--_xlfn.TEXTSPLIT(T125,"+")), T125))</f>
        <v>2050</v>
      </c>
      <c r="T125" s="7">
        <v>2050</v>
      </c>
      <c r="U125" s="7">
        <v>2021</v>
      </c>
      <c r="V125" s="109" t="s">
        <v>4896</v>
      </c>
      <c r="W125" s="7" t="str">
        <f>_xlfn.XLOOKUP(C125,Sheet1!A:A,Sheet1!B:B, "Other")</f>
        <v>Europe</v>
      </c>
      <c r="X125" s="222" t="str">
        <f>_xlfn.XLOOKUP(D125,Sheet1!D:D,Sheet1!E:E,"Other")</f>
        <v>Other</v>
      </c>
    </row>
    <row r="126" spans="1:24">
      <c r="A126" s="7" t="s">
        <v>1307</v>
      </c>
      <c r="B126" s="7">
        <v>124</v>
      </c>
      <c r="C126" s="7" t="s">
        <v>4457</v>
      </c>
      <c r="D126" s="109" t="s">
        <v>4455</v>
      </c>
      <c r="M126" s="7" t="str" cm="1">
        <f t="array" ref="M126">IF(N126="", "", IFERROR(MAX(--_xlfn.TEXTSPLIT(N126,"+")), N126))</f>
        <v/>
      </c>
      <c r="S126" s="7" t="str" cm="1">
        <f t="array" ref="S126">IF(T126="", "", IFERROR(MAX(--_xlfn.TEXTSPLIT(T126,"+")), T126))</f>
        <v/>
      </c>
      <c r="W126" s="7" t="str">
        <f>_xlfn.XLOOKUP(C126,Sheet1!A:A,Sheet1!B:B, "Other")</f>
        <v>North America</v>
      </c>
      <c r="X126" s="222" t="str">
        <f>_xlfn.XLOOKUP(D126,Sheet1!D:D,Sheet1!E:E,"Other")</f>
        <v>Other</v>
      </c>
    </row>
    <row r="127" spans="1:24">
      <c r="A127" s="7" t="s">
        <v>1153</v>
      </c>
      <c r="B127" s="7">
        <v>125</v>
      </c>
      <c r="C127" s="7" t="s">
        <v>73</v>
      </c>
      <c r="D127" s="109" t="s">
        <v>976</v>
      </c>
      <c r="M127" s="7" t="str" cm="1">
        <f t="array" ref="M127">IF(N127="", "", IFERROR(MAX(--_xlfn.TEXTSPLIT(N127,"+")), N127))</f>
        <v/>
      </c>
      <c r="S127" s="7" t="str" cm="1">
        <f t="array" ref="S127">IF(T127="", "", IFERROR(MAX(--_xlfn.TEXTSPLIT(T127,"+")), T127))</f>
        <v/>
      </c>
      <c r="W127" s="7" t="str">
        <f>_xlfn.XLOOKUP(C127,Sheet1!A:A,Sheet1!B:B, "Other")</f>
        <v>Asia</v>
      </c>
      <c r="X127" s="222" t="str">
        <f>_xlfn.XLOOKUP(D127,Sheet1!D:D,Sheet1!E:E,"Other")</f>
        <v>Real estate</v>
      </c>
    </row>
    <row r="128" spans="1:24">
      <c r="A128" s="7" t="s">
        <v>1517</v>
      </c>
      <c r="B128" s="7">
        <v>126</v>
      </c>
      <c r="C128" s="7" t="s">
        <v>4195</v>
      </c>
      <c r="D128" s="109" t="s">
        <v>4467</v>
      </c>
      <c r="E128" s="7" t="s">
        <v>4174</v>
      </c>
      <c r="F128" s="7">
        <v>2030</v>
      </c>
      <c r="G128" s="109">
        <v>2017</v>
      </c>
      <c r="H128" s="7" t="s">
        <v>4183</v>
      </c>
      <c r="I128" s="7">
        <v>2025</v>
      </c>
      <c r="J128" s="109">
        <v>2017</v>
      </c>
      <c r="M128" s="7" t="str" cm="1">
        <f t="array" ref="M128">IF(N128="", "", IFERROR(MAX(--_xlfn.TEXTSPLIT(N128,"+")), N128))</f>
        <v/>
      </c>
      <c r="Q128" s="7" t="s">
        <v>4504</v>
      </c>
      <c r="R128" s="7" t="s">
        <v>4895</v>
      </c>
      <c r="S128" s="7" cm="1">
        <f t="array" ref="S128">IF(T128="", "", IFERROR(MAX(--_xlfn.TEXTSPLIT(T128,"+")), T128))</f>
        <v>2050</v>
      </c>
      <c r="T128" s="7" t="s">
        <v>4894</v>
      </c>
      <c r="U128" s="7" t="s">
        <v>4501</v>
      </c>
      <c r="V128" s="109" t="s">
        <v>4893</v>
      </c>
      <c r="W128" s="7" t="str">
        <f>_xlfn.XLOOKUP(C128,Sheet1!A:A,Sheet1!B:B, "Other")</f>
        <v>Europe</v>
      </c>
      <c r="X128" s="222" t="str">
        <f>_xlfn.XLOOKUP(D128,Sheet1!D:D,Sheet1!E:E,"Other")</f>
        <v>Retail</v>
      </c>
    </row>
    <row r="129" spans="1:24">
      <c r="A129" s="7" t="s">
        <v>4892</v>
      </c>
      <c r="B129" s="7">
        <v>127</v>
      </c>
      <c r="C129" s="7" t="s">
        <v>73</v>
      </c>
      <c r="D129" s="109" t="s">
        <v>4179</v>
      </c>
      <c r="K129" s="7" t="s">
        <v>4519</v>
      </c>
      <c r="L129" s="7" t="s">
        <v>4518</v>
      </c>
      <c r="M129" s="7" cm="1">
        <f t="array" ref="M129">IF(N129="", "", IFERROR(MAX(--_xlfn.TEXTSPLIT(N129,"+")), N129))</f>
        <v>2060</v>
      </c>
      <c r="N129" s="7">
        <v>2060</v>
      </c>
      <c r="O129" s="7">
        <v>2020</v>
      </c>
      <c r="P129" s="109" t="s">
        <v>4891</v>
      </c>
      <c r="S129" s="7" t="str" cm="1">
        <f t="array" ref="S129">IF(T129="", "", IFERROR(MAX(--_xlfn.TEXTSPLIT(T129,"+")), T129))</f>
        <v/>
      </c>
      <c r="W129" s="7" t="str">
        <f>_xlfn.XLOOKUP(C129,Sheet1!A:A,Sheet1!B:B, "Other")</f>
        <v>Asia</v>
      </c>
      <c r="X129" s="222" t="str">
        <f>_xlfn.XLOOKUP(D129,Sheet1!D:D,Sheet1!E:E,"Other")</f>
        <v>Other</v>
      </c>
    </row>
    <row r="130" spans="1:24">
      <c r="A130" s="7" t="s">
        <v>1645</v>
      </c>
      <c r="B130" s="7">
        <v>128</v>
      </c>
      <c r="C130" s="7" t="s">
        <v>68</v>
      </c>
      <c r="D130" s="109" t="s">
        <v>3498</v>
      </c>
      <c r="M130" s="7" t="str" cm="1">
        <f t="array" ref="M130">IF(N130="", "", IFERROR(MAX(--_xlfn.TEXTSPLIT(N130,"+")), N130))</f>
        <v/>
      </c>
      <c r="Q130" s="7" t="s">
        <v>1957</v>
      </c>
      <c r="R130" s="7" t="s">
        <v>4890</v>
      </c>
      <c r="S130" s="7" cm="1">
        <f t="array" ref="S130">IF(T130="", "", IFERROR(MAX(--_xlfn.TEXTSPLIT(T130,"+")), T130))</f>
        <v>2050</v>
      </c>
      <c r="T130" s="7">
        <v>2050</v>
      </c>
      <c r="U130" s="7">
        <v>2021</v>
      </c>
      <c r="V130" s="109" t="s">
        <v>4889</v>
      </c>
      <c r="W130" s="7" t="str">
        <f>_xlfn.XLOOKUP(C130,Sheet1!A:A,Sheet1!B:B, "Other")</f>
        <v>Other</v>
      </c>
      <c r="X130" s="222" t="str">
        <f>_xlfn.XLOOKUP(D130,Sheet1!D:D,Sheet1!E:E,"Other")</f>
        <v>Other</v>
      </c>
    </row>
    <row r="131" spans="1:24">
      <c r="A131" s="7" t="s">
        <v>1319</v>
      </c>
      <c r="B131" s="7">
        <v>129</v>
      </c>
      <c r="C131" s="7" t="s">
        <v>4457</v>
      </c>
      <c r="D131" s="109" t="s">
        <v>4179</v>
      </c>
      <c r="K131" s="7" t="s">
        <v>1957</v>
      </c>
      <c r="L131" s="7" t="s">
        <v>4888</v>
      </c>
      <c r="M131" s="7" cm="1">
        <f t="array" ref="M131">IF(N131="", "", IFERROR(MAX(--_xlfn.TEXTSPLIT(N131,"+")), N131))</f>
        <v>2040</v>
      </c>
      <c r="N131" s="7">
        <v>2040</v>
      </c>
      <c r="O131" s="7">
        <v>2020</v>
      </c>
      <c r="P131" s="109" t="s">
        <v>4887</v>
      </c>
      <c r="S131" s="7" t="str" cm="1">
        <f t="array" ref="S131">IF(T131="", "", IFERROR(MAX(--_xlfn.TEXTSPLIT(T131,"+")), T131))</f>
        <v/>
      </c>
      <c r="W131" s="7" t="str">
        <f>_xlfn.XLOOKUP(C131,Sheet1!A:A,Sheet1!B:B, "Other")</f>
        <v>North America</v>
      </c>
      <c r="X131" s="222" t="str">
        <f>_xlfn.XLOOKUP(D131,Sheet1!D:D,Sheet1!E:E,"Other")</f>
        <v>Other</v>
      </c>
    </row>
    <row r="132" spans="1:24">
      <c r="A132" s="7" t="s">
        <v>1416</v>
      </c>
      <c r="B132" s="7">
        <v>130</v>
      </c>
      <c r="C132" s="7" t="s">
        <v>63</v>
      </c>
      <c r="D132" s="109" t="s">
        <v>4199</v>
      </c>
      <c r="H132" s="7" t="s">
        <v>4183</v>
      </c>
      <c r="I132" s="7">
        <v>2030</v>
      </c>
      <c r="J132" s="109">
        <v>2020</v>
      </c>
      <c r="M132" s="7" t="str" cm="1">
        <f t="array" ref="M132">IF(N132="", "", IFERROR(MAX(--_xlfn.TEXTSPLIT(N132,"+")), N132))</f>
        <v/>
      </c>
      <c r="Q132" s="7" t="s">
        <v>4172</v>
      </c>
      <c r="R132" s="7" t="s">
        <v>4532</v>
      </c>
      <c r="S132" s="7" cm="1">
        <f t="array" ref="S132">IF(T132="", "", IFERROR(MAX(--_xlfn.TEXTSPLIT(T132,"+")), T132))</f>
        <v>2045</v>
      </c>
      <c r="T132" s="7">
        <v>2045</v>
      </c>
      <c r="U132" s="7">
        <v>2021</v>
      </c>
      <c r="V132" s="109" t="s">
        <v>4886</v>
      </c>
      <c r="W132" s="7" t="str">
        <f>_xlfn.XLOOKUP(C132,Sheet1!A:A,Sheet1!B:B, "Other")</f>
        <v>Europe</v>
      </c>
      <c r="X132" s="222" t="str">
        <f>_xlfn.XLOOKUP(D132,Sheet1!D:D,Sheet1!E:E,"Other")</f>
        <v>Other</v>
      </c>
    </row>
    <row r="133" spans="1:24">
      <c r="A133" s="7" t="s">
        <v>1362</v>
      </c>
      <c r="B133" s="7">
        <v>131</v>
      </c>
      <c r="C133" s="7" t="s">
        <v>73</v>
      </c>
      <c r="D133" s="109" t="s">
        <v>4190</v>
      </c>
      <c r="K133" s="7" t="s">
        <v>4519</v>
      </c>
      <c r="L133" s="7" t="s">
        <v>4518</v>
      </c>
      <c r="M133" s="7" cm="1">
        <f t="array" ref="M133">IF(N133="", "", IFERROR(MAX(--_xlfn.TEXTSPLIT(N133,"+")), N133))</f>
        <v>2060</v>
      </c>
      <c r="N133" s="7">
        <v>2060</v>
      </c>
      <c r="O133" s="7">
        <v>2020</v>
      </c>
      <c r="P133" s="109" t="s">
        <v>4885</v>
      </c>
      <c r="S133" s="7" t="str" cm="1">
        <f t="array" ref="S133">IF(T133="", "", IFERROR(MAX(--_xlfn.TEXTSPLIT(T133,"+")), T133))</f>
        <v/>
      </c>
      <c r="W133" s="7" t="str">
        <f>_xlfn.XLOOKUP(C133,Sheet1!A:A,Sheet1!B:B, "Other")</f>
        <v>Asia</v>
      </c>
      <c r="X133" s="222" t="str">
        <f>_xlfn.XLOOKUP(D133,Sheet1!D:D,Sheet1!E:E,"Other")</f>
        <v>Other</v>
      </c>
    </row>
    <row r="134" spans="1:24">
      <c r="A134" s="7" t="s">
        <v>1227</v>
      </c>
      <c r="B134" s="7">
        <v>132</v>
      </c>
      <c r="C134" s="7" t="s">
        <v>4457</v>
      </c>
      <c r="D134" s="109" t="s">
        <v>4201</v>
      </c>
      <c r="H134" s="7" t="s">
        <v>1957</v>
      </c>
      <c r="I134" s="7">
        <v>2030</v>
      </c>
      <c r="J134" s="109">
        <v>2021</v>
      </c>
      <c r="M134" s="7" t="str" cm="1">
        <f t="array" ref="M134">IF(N134="", "", IFERROR(MAX(--_xlfn.TEXTSPLIT(N134,"+")), N134))</f>
        <v/>
      </c>
      <c r="S134" s="7" t="str" cm="1">
        <f t="array" ref="S134">IF(T134="", "", IFERROR(MAX(--_xlfn.TEXTSPLIT(T134,"+")), T134))</f>
        <v/>
      </c>
      <c r="W134" s="7" t="str">
        <f>_xlfn.XLOOKUP(C134,Sheet1!A:A,Sheet1!B:B, "Other")</f>
        <v>North America</v>
      </c>
      <c r="X134" s="222" t="str">
        <f>_xlfn.XLOOKUP(D134,Sheet1!D:D,Sheet1!E:E,"Other")</f>
        <v>Other</v>
      </c>
    </row>
    <row r="135" spans="1:24">
      <c r="A135" s="7" t="s">
        <v>1351</v>
      </c>
      <c r="B135" s="7">
        <v>133</v>
      </c>
      <c r="C135" s="7" t="s">
        <v>146</v>
      </c>
      <c r="D135" s="109" t="s">
        <v>4465</v>
      </c>
      <c r="K135" s="7" t="s">
        <v>1957</v>
      </c>
      <c r="L135" s="7" t="s">
        <v>1659</v>
      </c>
      <c r="M135" s="7" cm="1">
        <f t="array" ref="M135">IF(N135="", "", IFERROR(MAX(--_xlfn.TEXTSPLIT(N135,"+")), N135))</f>
        <v>2015</v>
      </c>
      <c r="N135" s="7">
        <v>2015</v>
      </c>
      <c r="O135" s="7">
        <v>2015</v>
      </c>
      <c r="P135" s="109" t="s">
        <v>4883</v>
      </c>
      <c r="Q135" s="7" t="s">
        <v>4504</v>
      </c>
      <c r="R135" s="7" t="s">
        <v>4884</v>
      </c>
      <c r="S135" s="7" cm="1">
        <f t="array" ref="S135">IF(T135="", "", IFERROR(MAX(--_xlfn.TEXTSPLIT(T135,"+")), T135))</f>
        <v>2050</v>
      </c>
      <c r="T135" s="7" t="s">
        <v>4502</v>
      </c>
      <c r="U135" s="7" t="s">
        <v>4606</v>
      </c>
      <c r="V135" s="109" t="s">
        <v>4883</v>
      </c>
      <c r="W135" s="7" t="str">
        <f>_xlfn.XLOOKUP(C135,Sheet1!A:A,Sheet1!B:B, "Other")</f>
        <v>Europe</v>
      </c>
      <c r="X135" s="222" t="str">
        <f>_xlfn.XLOOKUP(D135,Sheet1!D:D,Sheet1!E:E,"Other")</f>
        <v>Other</v>
      </c>
    </row>
    <row r="136" spans="1:24">
      <c r="A136" s="7" t="s">
        <v>1661</v>
      </c>
      <c r="B136" s="7">
        <v>134</v>
      </c>
      <c r="C136" s="7" t="s">
        <v>4457</v>
      </c>
      <c r="D136" s="109" t="s">
        <v>4465</v>
      </c>
      <c r="E136" s="7" t="s">
        <v>4174</v>
      </c>
      <c r="F136" s="7">
        <v>2020</v>
      </c>
      <c r="G136" s="109">
        <v>2016</v>
      </c>
      <c r="K136" s="7" t="s">
        <v>1957</v>
      </c>
      <c r="L136" s="7" t="s">
        <v>2425</v>
      </c>
      <c r="M136" s="7" cm="1">
        <f t="array" ref="M136">IF(N136="", "", IFERROR(MAX(--_xlfn.TEXTSPLIT(N136,"+")), N136))</f>
        <v>2019</v>
      </c>
      <c r="N136" s="7">
        <v>2019</v>
      </c>
      <c r="O136" s="7">
        <v>2019</v>
      </c>
      <c r="P136" s="109" t="s">
        <v>4882</v>
      </c>
      <c r="Q136" s="7" t="s">
        <v>4172</v>
      </c>
      <c r="R136" s="7" t="s">
        <v>4881</v>
      </c>
      <c r="S136" s="7" cm="1">
        <f t="array" ref="S136">IF(T136="", "", IFERROR(MAX(--_xlfn.TEXTSPLIT(T136,"+")), T136))</f>
        <v>2050</v>
      </c>
      <c r="T136" s="7">
        <v>2050</v>
      </c>
      <c r="U136" s="7">
        <v>2021</v>
      </c>
      <c r="V136" s="109" t="s">
        <v>4880</v>
      </c>
      <c r="W136" s="7" t="str">
        <f>_xlfn.XLOOKUP(C136,Sheet1!A:A,Sheet1!B:B, "Other")</f>
        <v>North America</v>
      </c>
      <c r="X136" s="222" t="str">
        <f>_xlfn.XLOOKUP(D136,Sheet1!D:D,Sheet1!E:E,"Other")</f>
        <v>Other</v>
      </c>
    </row>
    <row r="137" spans="1:24">
      <c r="A137" s="7" t="s">
        <v>2369</v>
      </c>
      <c r="B137" s="7">
        <v>135</v>
      </c>
      <c r="C137" s="7" t="s">
        <v>4457</v>
      </c>
      <c r="D137" s="109" t="s">
        <v>4465</v>
      </c>
      <c r="M137" s="7" t="str" cm="1">
        <f t="array" ref="M137">IF(N137="", "", IFERROR(MAX(--_xlfn.TEXTSPLIT(N137,"+")), N137))</f>
        <v/>
      </c>
      <c r="S137" s="7" t="str" cm="1">
        <f t="array" ref="S137">IF(T137="", "", IFERROR(MAX(--_xlfn.TEXTSPLIT(T137,"+")), T137))</f>
        <v/>
      </c>
      <c r="W137" s="7" t="str">
        <f>_xlfn.XLOOKUP(C137,Sheet1!A:A,Sheet1!B:B, "Other")</f>
        <v>North America</v>
      </c>
      <c r="X137" s="222" t="str">
        <f>_xlfn.XLOOKUP(D137,Sheet1!D:D,Sheet1!E:E,"Other")</f>
        <v>Other</v>
      </c>
    </row>
    <row r="138" spans="1:24">
      <c r="A138" s="7" t="s">
        <v>1366</v>
      </c>
      <c r="B138" s="7">
        <v>136</v>
      </c>
      <c r="C138" s="7" t="s">
        <v>73</v>
      </c>
      <c r="D138" s="109" t="s">
        <v>4260</v>
      </c>
      <c r="M138" s="7" t="str" cm="1">
        <f t="array" ref="M138">IF(N138="", "", IFERROR(MAX(--_xlfn.TEXTSPLIT(N138,"+")), N138))</f>
        <v/>
      </c>
      <c r="S138" s="7" t="str" cm="1">
        <f t="array" ref="S138">IF(T138="", "", IFERROR(MAX(--_xlfn.TEXTSPLIT(T138,"+")), T138))</f>
        <v/>
      </c>
      <c r="W138" s="7" t="str">
        <f>_xlfn.XLOOKUP(C138,Sheet1!A:A,Sheet1!B:B, "Other")</f>
        <v>Asia</v>
      </c>
      <c r="X138" s="222" t="str">
        <f>_xlfn.XLOOKUP(D138,Sheet1!D:D,Sheet1!E:E,"Other")</f>
        <v>Other</v>
      </c>
    </row>
    <row r="139" spans="1:24">
      <c r="A139" s="7" t="s">
        <v>1171</v>
      </c>
      <c r="B139" s="7">
        <v>137</v>
      </c>
      <c r="C139" s="7" t="s">
        <v>4457</v>
      </c>
      <c r="D139" s="109" t="s">
        <v>4201</v>
      </c>
      <c r="H139" s="7" t="s">
        <v>4183</v>
      </c>
      <c r="I139" s="7">
        <v>2025</v>
      </c>
      <c r="J139" s="109">
        <v>2021</v>
      </c>
      <c r="K139" s="7" t="s">
        <v>1957</v>
      </c>
      <c r="L139" s="7" t="s">
        <v>1659</v>
      </c>
      <c r="M139" s="7" cm="1">
        <f t="array" ref="M139">IF(N139="", "", IFERROR(MAX(--_xlfn.TEXTSPLIT(N139,"+")), N139))</f>
        <v>2030</v>
      </c>
      <c r="N139" s="7">
        <v>2030</v>
      </c>
      <c r="O139" s="7">
        <v>2020</v>
      </c>
      <c r="P139" s="109" t="s">
        <v>4879</v>
      </c>
      <c r="Q139" s="7" t="s">
        <v>4172</v>
      </c>
      <c r="R139" s="7" t="s">
        <v>4332</v>
      </c>
      <c r="S139" s="7" cm="1">
        <f t="array" ref="S139">IF(T139="", "", IFERROR(MAX(--_xlfn.TEXTSPLIT(T139,"+")), T139))</f>
        <v>2040</v>
      </c>
      <c r="T139" s="7">
        <v>2040</v>
      </c>
      <c r="U139" s="7">
        <v>2022</v>
      </c>
      <c r="V139" s="109" t="s">
        <v>4878</v>
      </c>
      <c r="W139" s="7" t="str">
        <f>_xlfn.XLOOKUP(C139,Sheet1!A:A,Sheet1!B:B, "Other")</f>
        <v>North America</v>
      </c>
      <c r="X139" s="222" t="str">
        <f>_xlfn.XLOOKUP(D139,Sheet1!D:D,Sheet1!E:E,"Other")</f>
        <v>Other</v>
      </c>
    </row>
    <row r="140" spans="1:24">
      <c r="A140" s="7" t="s">
        <v>1232</v>
      </c>
      <c r="B140" s="7">
        <v>138</v>
      </c>
      <c r="C140" s="7" t="s">
        <v>73</v>
      </c>
      <c r="D140" s="109" t="s">
        <v>976</v>
      </c>
      <c r="K140" s="7" t="s">
        <v>4519</v>
      </c>
      <c r="L140" s="7" t="s">
        <v>4518</v>
      </c>
      <c r="M140" s="7" cm="1">
        <f t="array" ref="M140">IF(N140="", "", IFERROR(MAX(--_xlfn.TEXTSPLIT(N140,"+")), N140))</f>
        <v>2060</v>
      </c>
      <c r="N140" s="7">
        <v>2060</v>
      </c>
      <c r="O140" s="7">
        <v>2020</v>
      </c>
      <c r="P140" s="109" t="s">
        <v>4877</v>
      </c>
      <c r="S140" s="7" t="str" cm="1">
        <f t="array" ref="S140">IF(T140="", "", IFERROR(MAX(--_xlfn.TEXTSPLIT(T140,"+")), T140))</f>
        <v/>
      </c>
      <c r="W140" s="7" t="str">
        <f>_xlfn.XLOOKUP(C140,Sheet1!A:A,Sheet1!B:B, "Other")</f>
        <v>Asia</v>
      </c>
      <c r="X140" s="222" t="str">
        <f>_xlfn.XLOOKUP(D140,Sheet1!D:D,Sheet1!E:E,"Other")</f>
        <v>Real estate</v>
      </c>
    </row>
    <row r="141" spans="1:24">
      <c r="A141" s="7" t="s">
        <v>987</v>
      </c>
      <c r="B141" s="7">
        <v>139</v>
      </c>
      <c r="C141" s="7" t="s">
        <v>73</v>
      </c>
      <c r="D141" s="109" t="s">
        <v>4494</v>
      </c>
      <c r="M141" s="7" t="str" cm="1">
        <f t="array" ref="M141">IF(N141="", "", IFERROR(MAX(--_xlfn.TEXTSPLIT(N141,"+")), N141))</f>
        <v/>
      </c>
      <c r="S141" s="7" t="str" cm="1">
        <f t="array" ref="S141">IF(T141="", "", IFERROR(MAX(--_xlfn.TEXTSPLIT(T141,"+")), T141))</f>
        <v/>
      </c>
      <c r="W141" s="7" t="str">
        <f>_xlfn.XLOOKUP(C141,Sheet1!A:A,Sheet1!B:B, "Other")</f>
        <v>Asia</v>
      </c>
      <c r="X141" s="222" t="str">
        <f>_xlfn.XLOOKUP(D141,Sheet1!D:D,Sheet1!E:E,"Other")</f>
        <v>Other</v>
      </c>
    </row>
    <row r="142" spans="1:24">
      <c r="A142" s="7" t="s">
        <v>3346</v>
      </c>
      <c r="B142" s="7">
        <v>140</v>
      </c>
      <c r="C142" s="7" t="s">
        <v>207</v>
      </c>
      <c r="D142" s="109" t="s">
        <v>3498</v>
      </c>
      <c r="K142" s="7" t="s">
        <v>1957</v>
      </c>
      <c r="L142" s="7" t="s">
        <v>2425</v>
      </c>
      <c r="M142" s="7" cm="1">
        <f t="array" ref="M142">IF(N142="", "", IFERROR(MAX(--_xlfn.TEXTSPLIT(N142,"+")), N142))</f>
        <v>2040</v>
      </c>
      <c r="N142" s="7">
        <v>2040</v>
      </c>
      <c r="O142" s="7">
        <v>2020</v>
      </c>
      <c r="P142" s="109" t="s">
        <v>4876</v>
      </c>
      <c r="S142" s="7" t="str" cm="1">
        <f t="array" ref="S142">IF(T142="", "", IFERROR(MAX(--_xlfn.TEXTSPLIT(T142,"+")), T142))</f>
        <v/>
      </c>
      <c r="W142" s="7" t="str">
        <f>_xlfn.XLOOKUP(C142,Sheet1!A:A,Sheet1!B:B, "Other")</f>
        <v>Asia</v>
      </c>
      <c r="X142" s="222" t="str">
        <f>_xlfn.XLOOKUP(D142,Sheet1!D:D,Sheet1!E:E,"Other")</f>
        <v>Other</v>
      </c>
    </row>
    <row r="143" spans="1:24">
      <c r="A143" s="7" t="s">
        <v>1653</v>
      </c>
      <c r="B143" s="7">
        <v>141</v>
      </c>
      <c r="C143" s="7" t="s">
        <v>4457</v>
      </c>
      <c r="D143" s="109" t="s">
        <v>4465</v>
      </c>
      <c r="E143" s="7" t="s">
        <v>4174</v>
      </c>
      <c r="F143" s="7">
        <v>2020</v>
      </c>
      <c r="G143" s="109">
        <v>2017</v>
      </c>
      <c r="M143" s="7" t="str" cm="1">
        <f t="array" ref="M143">IF(N143="", "", IFERROR(MAX(--_xlfn.TEXTSPLIT(N143,"+")), N143))</f>
        <v/>
      </c>
      <c r="Q143" s="7" t="s">
        <v>4504</v>
      </c>
      <c r="R143" s="7" t="s">
        <v>4513</v>
      </c>
      <c r="S143" s="7" cm="1">
        <f t="array" ref="S143">IF(T143="", "", IFERROR(MAX(--_xlfn.TEXTSPLIT(T143,"+")), T143))</f>
        <v>2050</v>
      </c>
      <c r="T143" s="7" t="s">
        <v>4502</v>
      </c>
      <c r="U143" s="7" t="s">
        <v>4501</v>
      </c>
      <c r="V143" s="109" t="s">
        <v>4875</v>
      </c>
      <c r="W143" s="7" t="str">
        <f>_xlfn.XLOOKUP(C143,Sheet1!A:A,Sheet1!B:B, "Other")</f>
        <v>North America</v>
      </c>
      <c r="X143" s="222" t="str">
        <f>_xlfn.XLOOKUP(D143,Sheet1!D:D,Sheet1!E:E,"Other")</f>
        <v>Other</v>
      </c>
    </row>
    <row r="144" spans="1:24">
      <c r="A144" s="7" t="s">
        <v>1457</v>
      </c>
      <c r="B144" s="7">
        <v>142</v>
      </c>
      <c r="C144" s="7" t="s">
        <v>87</v>
      </c>
      <c r="D144" s="109" t="s">
        <v>3498</v>
      </c>
      <c r="M144" s="7" t="str" cm="1">
        <f t="array" ref="M144">IF(N144="", "", IFERROR(MAX(--_xlfn.TEXTSPLIT(N144,"+")), N144))</f>
        <v/>
      </c>
      <c r="O144" s="7" t="s">
        <v>4615</v>
      </c>
      <c r="R144" s="7" t="s">
        <v>4615</v>
      </c>
      <c r="S144" s="7" t="str" cm="1">
        <f t="array" ref="S144">IF(T144="", "", IFERROR(MAX(--_xlfn.TEXTSPLIT(T144,"+")), T144))</f>
        <v/>
      </c>
      <c r="U144" s="7" t="s">
        <v>4615</v>
      </c>
      <c r="W144" s="7" t="str">
        <f>_xlfn.XLOOKUP(C144,Sheet1!A:A,Sheet1!B:B, "Other")</f>
        <v>Asia</v>
      </c>
      <c r="X144" s="222" t="str">
        <f>_xlfn.XLOOKUP(D144,Sheet1!D:D,Sheet1!E:E,"Other")</f>
        <v>Other</v>
      </c>
    </row>
    <row r="145" spans="1:24">
      <c r="A145" s="7" t="s">
        <v>1312</v>
      </c>
      <c r="B145" s="7">
        <v>143</v>
      </c>
      <c r="C145" s="7" t="s">
        <v>4457</v>
      </c>
      <c r="D145" s="109" t="s">
        <v>4455</v>
      </c>
      <c r="E145" s="7" t="s">
        <v>4174</v>
      </c>
      <c r="F145" s="7">
        <v>2030</v>
      </c>
      <c r="G145" s="109">
        <v>2020</v>
      </c>
      <c r="H145" s="7" t="s">
        <v>4183</v>
      </c>
      <c r="I145" s="7">
        <v>2030</v>
      </c>
      <c r="J145" s="109">
        <v>2021</v>
      </c>
      <c r="M145" s="7" t="str" cm="1">
        <f t="array" ref="M145">IF(N145="", "", IFERROR(MAX(--_xlfn.TEXTSPLIT(N145,"+")), N145))</f>
        <v/>
      </c>
      <c r="Q145" s="7" t="s">
        <v>1957</v>
      </c>
      <c r="R145" s="7" t="s">
        <v>4874</v>
      </c>
      <c r="S145" s="7" cm="1">
        <f t="array" ref="S145">IF(T145="", "", IFERROR(MAX(--_xlfn.TEXTSPLIT(T145,"+")), T145))</f>
        <v>2040</v>
      </c>
      <c r="T145" s="7">
        <v>2040</v>
      </c>
      <c r="U145" s="7">
        <v>2021</v>
      </c>
      <c r="V145" s="109" t="s">
        <v>4873</v>
      </c>
      <c r="W145" s="7" t="str">
        <f>_xlfn.XLOOKUP(C145,Sheet1!A:A,Sheet1!B:B, "Other")</f>
        <v>North America</v>
      </c>
      <c r="X145" s="222" t="str">
        <f>_xlfn.XLOOKUP(D145,Sheet1!D:D,Sheet1!E:E,"Other")</f>
        <v>Other</v>
      </c>
    </row>
    <row r="146" spans="1:24">
      <c r="A146" s="7" t="s">
        <v>1325</v>
      </c>
      <c r="B146" s="7">
        <v>144</v>
      </c>
      <c r="C146" s="7" t="s">
        <v>73</v>
      </c>
      <c r="D146" s="109" t="s">
        <v>4260</v>
      </c>
      <c r="M146" s="7" t="str" cm="1">
        <f t="array" ref="M146">IF(N146="", "", IFERROR(MAX(--_xlfn.TEXTSPLIT(N146,"+")), N146))</f>
        <v/>
      </c>
      <c r="Q146" s="7" t="s">
        <v>1957</v>
      </c>
      <c r="R146" s="7" t="s">
        <v>4518</v>
      </c>
      <c r="S146" s="7" cm="1">
        <f t="array" ref="S146">IF(T146="", "", IFERROR(MAX(--_xlfn.TEXTSPLIT(T146,"+")), T146))</f>
        <v>2050</v>
      </c>
      <c r="T146" s="7">
        <v>2050</v>
      </c>
      <c r="U146" s="7">
        <v>2021</v>
      </c>
      <c r="V146" s="109" t="s">
        <v>4872</v>
      </c>
      <c r="W146" s="7" t="str">
        <f>_xlfn.XLOOKUP(C146,Sheet1!A:A,Sheet1!B:B, "Other")</f>
        <v>Asia</v>
      </c>
      <c r="X146" s="222" t="str">
        <f>_xlfn.XLOOKUP(D146,Sheet1!D:D,Sheet1!E:E,"Other")</f>
        <v>Other</v>
      </c>
    </row>
    <row r="147" spans="1:24">
      <c r="A147" s="7" t="s">
        <v>1394</v>
      </c>
      <c r="B147" s="7">
        <v>145</v>
      </c>
      <c r="C147" s="7" t="s">
        <v>4457</v>
      </c>
      <c r="D147" s="109" t="s">
        <v>4459</v>
      </c>
      <c r="E147" s="7" t="s">
        <v>4174</v>
      </c>
      <c r="F147" s="7">
        <v>2030</v>
      </c>
      <c r="G147" s="109">
        <v>2020</v>
      </c>
      <c r="M147" s="7" t="str" cm="1">
        <f t="array" ref="M147">IF(N147="", "", IFERROR(MAX(--_xlfn.TEXTSPLIT(N147,"+")), N147))</f>
        <v/>
      </c>
      <c r="Q147" s="7" t="s">
        <v>1957</v>
      </c>
      <c r="R147" s="7" t="s">
        <v>2425</v>
      </c>
      <c r="S147" s="7" cm="1">
        <f t="array" ref="S147">IF(T147="", "", IFERROR(MAX(--_xlfn.TEXTSPLIT(T147,"+")), T147))</f>
        <v>2040</v>
      </c>
      <c r="T147" s="7">
        <v>2040</v>
      </c>
      <c r="U147" s="7">
        <v>2022</v>
      </c>
      <c r="V147" s="109" t="s">
        <v>4871</v>
      </c>
      <c r="W147" s="7" t="str">
        <f>_xlfn.XLOOKUP(C147,Sheet1!A:A,Sheet1!B:B, "Other")</f>
        <v>North America</v>
      </c>
      <c r="X147" s="222" t="str">
        <f>_xlfn.XLOOKUP(D147,Sheet1!D:D,Sheet1!E:E,"Other")</f>
        <v>Other</v>
      </c>
    </row>
    <row r="148" spans="1:24">
      <c r="A148" s="7" t="s">
        <v>1597</v>
      </c>
      <c r="B148" s="7">
        <v>146</v>
      </c>
      <c r="C148" s="7" t="s">
        <v>267</v>
      </c>
      <c r="D148" s="109" t="s">
        <v>4465</v>
      </c>
      <c r="K148" s="7" t="s">
        <v>1957</v>
      </c>
      <c r="L148" s="7" t="s">
        <v>1659</v>
      </c>
      <c r="M148" s="7" cm="1">
        <f t="array" ref="M148">IF(N148="", "", IFERROR(MAX(--_xlfn.TEXTSPLIT(N148,"+")), N148))</f>
        <v>2020</v>
      </c>
      <c r="N148" s="7">
        <v>2020</v>
      </c>
      <c r="O148" s="7">
        <v>2019</v>
      </c>
      <c r="P148" s="109" t="s">
        <v>4869</v>
      </c>
      <c r="Q148" s="7" t="s">
        <v>4172</v>
      </c>
      <c r="R148" s="7" t="s">
        <v>4870</v>
      </c>
      <c r="S148" s="7" cm="1">
        <f t="array" ref="S148">IF(T148="", "", IFERROR(MAX(--_xlfn.TEXTSPLIT(T148,"+")), T148))</f>
        <v>2050</v>
      </c>
      <c r="T148" s="7">
        <v>2050</v>
      </c>
      <c r="U148" s="7">
        <v>2021</v>
      </c>
      <c r="V148" s="109" t="s">
        <v>4869</v>
      </c>
      <c r="W148" s="7" t="str">
        <f>_xlfn.XLOOKUP(C148,Sheet1!A:A,Sheet1!B:B, "Other")</f>
        <v>Europe</v>
      </c>
      <c r="X148" s="222" t="str">
        <f>_xlfn.XLOOKUP(D148,Sheet1!D:D,Sheet1!E:E,"Other")</f>
        <v>Other</v>
      </c>
    </row>
    <row r="149" spans="1:24">
      <c r="A149" s="7" t="s">
        <v>1298</v>
      </c>
      <c r="B149" s="7">
        <v>147</v>
      </c>
      <c r="C149" s="7" t="s">
        <v>207</v>
      </c>
      <c r="D149" s="109" t="s">
        <v>4467</v>
      </c>
      <c r="E149" s="7" t="s">
        <v>4174</v>
      </c>
      <c r="F149" s="7">
        <v>2050</v>
      </c>
      <c r="G149" s="109">
        <v>2020</v>
      </c>
      <c r="H149" s="7" t="s">
        <v>1957</v>
      </c>
      <c r="I149" s="7">
        <v>2031</v>
      </c>
      <c r="J149" s="109">
        <v>2021</v>
      </c>
      <c r="M149" s="7" t="str" cm="1">
        <f t="array" ref="M149">IF(N149="", "", IFERROR(MAX(--_xlfn.TEXTSPLIT(N149,"+")), N149))</f>
        <v/>
      </c>
      <c r="Q149" s="7" t="s">
        <v>1957</v>
      </c>
      <c r="R149" s="7" t="s">
        <v>4248</v>
      </c>
      <c r="S149" s="7" cm="1">
        <f t="array" ref="S149">IF(T149="", "", IFERROR(MAX(--_xlfn.TEXTSPLIT(T149,"+")), T149))</f>
        <v>2050</v>
      </c>
      <c r="T149" s="7">
        <v>2050</v>
      </c>
      <c r="U149" s="7">
        <v>2019</v>
      </c>
      <c r="V149" s="109" t="s">
        <v>4868</v>
      </c>
      <c r="W149" s="7" t="str">
        <f>_xlfn.XLOOKUP(C149,Sheet1!A:A,Sheet1!B:B, "Other")</f>
        <v>Asia</v>
      </c>
      <c r="X149" s="222" t="str">
        <f>_xlfn.XLOOKUP(D149,Sheet1!D:D,Sheet1!E:E,"Other")</f>
        <v>Retail</v>
      </c>
    </row>
    <row r="150" spans="1:24">
      <c r="A150" s="7" t="s">
        <v>1453</v>
      </c>
      <c r="B150" s="7">
        <v>148</v>
      </c>
      <c r="C150" s="7" t="s">
        <v>207</v>
      </c>
      <c r="D150" s="109" t="s">
        <v>4467</v>
      </c>
      <c r="E150" s="7" t="s">
        <v>4174</v>
      </c>
      <c r="F150" s="7">
        <v>2030</v>
      </c>
      <c r="G150" s="109">
        <v>2018</v>
      </c>
      <c r="H150" s="7" t="s">
        <v>4183</v>
      </c>
      <c r="I150" s="7">
        <v>2030</v>
      </c>
      <c r="J150" s="109">
        <v>2021</v>
      </c>
      <c r="M150" s="7" t="str" cm="1">
        <f t="array" ref="M150">IF(N150="", "", IFERROR(MAX(--_xlfn.TEXTSPLIT(N150,"+")), N150))</f>
        <v/>
      </c>
      <c r="Q150" s="7" t="s">
        <v>1957</v>
      </c>
      <c r="R150" s="7" t="s">
        <v>4867</v>
      </c>
      <c r="S150" s="7" cm="1">
        <f t="array" ref="S150">IF(T150="", "", IFERROR(MAX(--_xlfn.TEXTSPLIT(T150,"+")), T150))</f>
        <v>2040</v>
      </c>
      <c r="T150" s="7">
        <v>2040</v>
      </c>
      <c r="U150" s="7">
        <v>2021</v>
      </c>
      <c r="V150" s="109" t="s">
        <v>4866</v>
      </c>
      <c r="W150" s="7" t="str">
        <f>_xlfn.XLOOKUP(C150,Sheet1!A:A,Sheet1!B:B, "Other")</f>
        <v>Asia</v>
      </c>
      <c r="X150" s="222" t="str">
        <f>_xlfn.XLOOKUP(D150,Sheet1!D:D,Sheet1!E:E,"Other")</f>
        <v>Retail</v>
      </c>
    </row>
    <row r="151" spans="1:24">
      <c r="A151" s="7" t="s">
        <v>1542</v>
      </c>
      <c r="B151" s="7">
        <v>149</v>
      </c>
      <c r="C151" s="7" t="s">
        <v>4195</v>
      </c>
      <c r="D151" s="109" t="s">
        <v>4465</v>
      </c>
      <c r="E151" s="7" t="s">
        <v>4174</v>
      </c>
      <c r="F151" s="7">
        <v>2030</v>
      </c>
      <c r="G151" s="109">
        <v>2017</v>
      </c>
      <c r="H151" s="7" t="s">
        <v>1957</v>
      </c>
      <c r="I151" s="7">
        <v>2030</v>
      </c>
      <c r="J151" s="109">
        <v>2016</v>
      </c>
      <c r="M151" s="7" t="str" cm="1">
        <f t="array" ref="M151">IF(N151="", "", IFERROR(MAX(--_xlfn.TEXTSPLIT(N151,"+")), N151))</f>
        <v/>
      </c>
      <c r="Q151" s="7" t="s">
        <v>4504</v>
      </c>
      <c r="R151" s="7" t="s">
        <v>4865</v>
      </c>
      <c r="S151" s="7" cm="1">
        <f t="array" ref="S151">IF(T151="", "", IFERROR(MAX(--_xlfn.TEXTSPLIT(T151,"+")), T151))</f>
        <v>2050</v>
      </c>
      <c r="T151" s="7" t="s">
        <v>4502</v>
      </c>
      <c r="U151" s="7" t="s">
        <v>4606</v>
      </c>
      <c r="V151" s="109" t="s">
        <v>4864</v>
      </c>
      <c r="W151" s="7" t="str">
        <f>_xlfn.XLOOKUP(C151,Sheet1!A:A,Sheet1!B:B, "Other")</f>
        <v>Europe</v>
      </c>
      <c r="X151" s="222" t="str">
        <f>_xlfn.XLOOKUP(D151,Sheet1!D:D,Sheet1!E:E,"Other")</f>
        <v>Other</v>
      </c>
    </row>
    <row r="152" spans="1:24">
      <c r="A152" s="7" t="s">
        <v>1550</v>
      </c>
      <c r="B152" s="7">
        <v>150</v>
      </c>
      <c r="C152" s="7" t="s">
        <v>73</v>
      </c>
      <c r="D152" s="109" t="s">
        <v>4197</v>
      </c>
      <c r="M152" s="7" t="str" cm="1">
        <f t="array" ref="M152">IF(N152="", "", IFERROR(MAX(--_xlfn.TEXTSPLIT(N152,"+")), N152))</f>
        <v/>
      </c>
      <c r="S152" s="7" t="str" cm="1">
        <f t="array" ref="S152">IF(T152="", "", IFERROR(MAX(--_xlfn.TEXTSPLIT(T152,"+")), T152))</f>
        <v/>
      </c>
      <c r="W152" s="7" t="str">
        <f>_xlfn.XLOOKUP(C152,Sheet1!A:A,Sheet1!B:B, "Other")</f>
        <v>Asia</v>
      </c>
      <c r="X152" s="222" t="str">
        <f>_xlfn.XLOOKUP(D152,Sheet1!D:D,Sheet1!E:E,"Other")</f>
        <v>Other</v>
      </c>
    </row>
    <row r="153" spans="1:24">
      <c r="A153" s="7" t="s">
        <v>1375</v>
      </c>
      <c r="B153" s="7">
        <v>151</v>
      </c>
      <c r="C153" s="7" t="s">
        <v>4457</v>
      </c>
      <c r="D153" s="109" t="s">
        <v>4179</v>
      </c>
      <c r="M153" s="7" t="str" cm="1">
        <f t="array" ref="M153">IF(N153="", "", IFERROR(MAX(--_xlfn.TEXTSPLIT(N153,"+")), N153))</f>
        <v/>
      </c>
      <c r="S153" s="7" t="str" cm="1">
        <f t="array" ref="S153">IF(T153="", "", IFERROR(MAX(--_xlfn.TEXTSPLIT(T153,"+")), T153))</f>
        <v/>
      </c>
      <c r="W153" s="7" t="str">
        <f>_xlfn.XLOOKUP(C153,Sheet1!A:A,Sheet1!B:B, "Other")</f>
        <v>North America</v>
      </c>
      <c r="X153" s="222" t="str">
        <f>_xlfn.XLOOKUP(D153,Sheet1!D:D,Sheet1!E:E,"Other")</f>
        <v>Other</v>
      </c>
    </row>
    <row r="154" spans="1:24">
      <c r="A154" s="7" t="s">
        <v>1010</v>
      </c>
      <c r="B154" s="7">
        <v>152</v>
      </c>
      <c r="C154" s="7" t="s">
        <v>73</v>
      </c>
      <c r="D154" s="109" t="s">
        <v>4179</v>
      </c>
      <c r="M154" s="7" t="str" cm="1">
        <f t="array" ref="M154">IF(N154="", "", IFERROR(MAX(--_xlfn.TEXTSPLIT(N154,"+")), N154))</f>
        <v/>
      </c>
      <c r="S154" s="7" t="str" cm="1">
        <f t="array" ref="S154">IF(T154="", "", IFERROR(MAX(--_xlfn.TEXTSPLIT(T154,"+")), T154))</f>
        <v/>
      </c>
      <c r="W154" s="7" t="str">
        <f>_xlfn.XLOOKUP(C154,Sheet1!A:A,Sheet1!B:B, "Other")</f>
        <v>Asia</v>
      </c>
      <c r="X154" s="222" t="str">
        <f>_xlfn.XLOOKUP(D154,Sheet1!D:D,Sheet1!E:E,"Other")</f>
        <v>Other</v>
      </c>
    </row>
    <row r="155" spans="1:24">
      <c r="A155" s="7" t="s">
        <v>1445</v>
      </c>
      <c r="B155" s="7">
        <v>153</v>
      </c>
      <c r="C155" s="7" t="s">
        <v>1443</v>
      </c>
      <c r="D155" s="109" t="s">
        <v>4494</v>
      </c>
      <c r="M155" s="7" t="str" cm="1">
        <f t="array" ref="M155">IF(N155="", "", IFERROR(MAX(--_xlfn.TEXTSPLIT(N155,"+")), N155))</f>
        <v/>
      </c>
      <c r="Q155" s="7" t="s">
        <v>4172</v>
      </c>
      <c r="R155" s="7" t="s">
        <v>4863</v>
      </c>
      <c r="S155" s="7" cm="1">
        <f t="array" ref="S155">IF(T155="", "", IFERROR(MAX(--_xlfn.TEXTSPLIT(T155,"+")), T155))</f>
        <v>2050</v>
      </c>
      <c r="T155" s="7">
        <v>2050</v>
      </c>
      <c r="U155" s="7">
        <v>2020</v>
      </c>
      <c r="V155" s="109" t="s">
        <v>4862</v>
      </c>
      <c r="W155" s="7" t="str">
        <f>_xlfn.XLOOKUP(C155,Sheet1!A:A,Sheet1!B:B, "Other")</f>
        <v>Other</v>
      </c>
      <c r="X155" s="222" t="str">
        <f>_xlfn.XLOOKUP(D155,Sheet1!D:D,Sheet1!E:E,"Other")</f>
        <v>Other</v>
      </c>
    </row>
    <row r="156" spans="1:24">
      <c r="A156" s="7" t="s">
        <v>1339</v>
      </c>
      <c r="B156" s="7">
        <v>154</v>
      </c>
      <c r="C156" s="7" t="s">
        <v>4457</v>
      </c>
      <c r="D156" s="109" t="s">
        <v>4643</v>
      </c>
      <c r="E156" s="7" t="s">
        <v>4174</v>
      </c>
      <c r="F156" s="7">
        <v>2030</v>
      </c>
      <c r="G156" s="109">
        <v>2015</v>
      </c>
      <c r="H156" s="7" t="s">
        <v>4183</v>
      </c>
      <c r="I156" s="7">
        <v>2030</v>
      </c>
      <c r="J156" s="109">
        <v>2018</v>
      </c>
      <c r="K156" s="7" t="s">
        <v>1957</v>
      </c>
      <c r="L156" s="7" t="s">
        <v>4223</v>
      </c>
      <c r="M156" s="7" cm="1">
        <f t="array" ref="M156">IF(N156="", "", IFERROR(MAX(--_xlfn.TEXTSPLIT(N156,"+")), N156))</f>
        <v>2030</v>
      </c>
      <c r="N156" s="7">
        <v>2030</v>
      </c>
      <c r="O156" s="7">
        <v>2020</v>
      </c>
      <c r="P156" s="109" t="s">
        <v>4861</v>
      </c>
      <c r="Q156" s="7" t="s">
        <v>4172</v>
      </c>
      <c r="R156" s="7" t="s">
        <v>4667</v>
      </c>
      <c r="S156" s="7" cm="1">
        <f t="array" ref="S156">IF(T156="", "", IFERROR(MAX(--_xlfn.TEXTSPLIT(T156,"+")), T156))</f>
        <v>2040</v>
      </c>
      <c r="T156" s="7">
        <v>2040</v>
      </c>
      <c r="U156" s="7">
        <v>2021</v>
      </c>
      <c r="V156" s="109" t="s">
        <v>4860</v>
      </c>
      <c r="W156" s="7" t="str">
        <f>_xlfn.XLOOKUP(C156,Sheet1!A:A,Sheet1!B:B, "Other")</f>
        <v>North America</v>
      </c>
      <c r="X156" s="222" t="str">
        <f>_xlfn.XLOOKUP(D156,Sheet1!D:D,Sheet1!E:E,"Other")</f>
        <v>Other</v>
      </c>
    </row>
    <row r="157" spans="1:24">
      <c r="A157" s="7" t="s">
        <v>1327</v>
      </c>
      <c r="B157" s="7">
        <v>155</v>
      </c>
      <c r="C157" s="7" t="s">
        <v>73</v>
      </c>
      <c r="D157" s="109" t="s">
        <v>4465</v>
      </c>
      <c r="K157" s="7" t="s">
        <v>4519</v>
      </c>
      <c r="L157" s="7" t="s">
        <v>4518</v>
      </c>
      <c r="M157" s="7" cm="1">
        <f t="array" ref="M157">IF(N157="", "", IFERROR(MAX(--_xlfn.TEXTSPLIT(N157,"+")), N157))</f>
        <v>2060</v>
      </c>
      <c r="N157" s="7">
        <v>2060</v>
      </c>
      <c r="O157" s="7">
        <v>2020</v>
      </c>
      <c r="P157" s="109" t="s">
        <v>4859</v>
      </c>
      <c r="S157" s="7" t="str" cm="1">
        <f t="array" ref="S157">IF(T157="", "", IFERROR(MAX(--_xlfn.TEXTSPLIT(T157,"+")), T157))</f>
        <v/>
      </c>
      <c r="W157" s="7" t="str">
        <f>_xlfn.XLOOKUP(C157,Sheet1!A:A,Sheet1!B:B, "Other")</f>
        <v>Asia</v>
      </c>
      <c r="X157" s="222" t="str">
        <f>_xlfn.XLOOKUP(D157,Sheet1!D:D,Sheet1!E:E,"Other")</f>
        <v>Other</v>
      </c>
    </row>
    <row r="158" spans="1:24">
      <c r="A158" s="7" t="s">
        <v>1203</v>
      </c>
      <c r="B158" s="7">
        <v>156</v>
      </c>
      <c r="C158" s="7" t="s">
        <v>63</v>
      </c>
      <c r="D158" s="109" t="s">
        <v>4643</v>
      </c>
      <c r="L158" s="7" t="s">
        <v>4615</v>
      </c>
      <c r="M158" s="7" t="str" cm="1">
        <f t="array" ref="M158">IF(N158="", "", IFERROR(MAX(--_xlfn.TEXTSPLIT(N158,"+")), N158))</f>
        <v/>
      </c>
      <c r="O158" s="7" t="s">
        <v>4615</v>
      </c>
      <c r="P158" s="109" t="s">
        <v>4615</v>
      </c>
      <c r="R158" s="7" t="s">
        <v>4615</v>
      </c>
      <c r="S158" s="7" t="str" cm="1">
        <f t="array" ref="S158">IF(T158="", "", IFERROR(MAX(--_xlfn.TEXTSPLIT(T158,"+")), T158))</f>
        <v/>
      </c>
      <c r="U158" s="7" t="s">
        <v>4615</v>
      </c>
      <c r="W158" s="7" t="str">
        <f>_xlfn.XLOOKUP(C158,Sheet1!A:A,Sheet1!B:B, "Other")</f>
        <v>Europe</v>
      </c>
      <c r="X158" s="222" t="str">
        <f>_xlfn.XLOOKUP(D158,Sheet1!D:D,Sheet1!E:E,"Other")</f>
        <v>Other</v>
      </c>
    </row>
    <row r="159" spans="1:24">
      <c r="A159" s="7" t="s">
        <v>1335</v>
      </c>
      <c r="B159" s="7">
        <v>157</v>
      </c>
      <c r="C159" s="7" t="s">
        <v>207</v>
      </c>
      <c r="D159" s="109" t="s">
        <v>4465</v>
      </c>
      <c r="M159" s="7" t="str" cm="1">
        <f t="array" ref="M159">IF(N159="", "", IFERROR(MAX(--_xlfn.TEXTSPLIT(N159,"+")), N159))</f>
        <v/>
      </c>
      <c r="Q159" s="7" t="s">
        <v>4172</v>
      </c>
      <c r="R159" s="7" t="s">
        <v>4858</v>
      </c>
      <c r="S159" s="7" cm="1">
        <f t="array" ref="S159">IF(T159="", "", IFERROR(MAX(--_xlfn.TEXTSPLIT(T159,"+")), T159))</f>
        <v>2050</v>
      </c>
      <c r="T159" s="7">
        <v>2050</v>
      </c>
      <c r="U159" s="7">
        <v>2021</v>
      </c>
      <c r="V159" s="109" t="s">
        <v>4857</v>
      </c>
      <c r="W159" s="7" t="str">
        <f>_xlfn.XLOOKUP(C159,Sheet1!A:A,Sheet1!B:B, "Other")</f>
        <v>Asia</v>
      </c>
      <c r="X159" s="222" t="str">
        <f>_xlfn.XLOOKUP(D159,Sheet1!D:D,Sheet1!E:E,"Other")</f>
        <v>Other</v>
      </c>
    </row>
    <row r="160" spans="1:24">
      <c r="A160" s="7" t="s">
        <v>1225</v>
      </c>
      <c r="B160" s="7">
        <v>158</v>
      </c>
      <c r="C160" s="7" t="s">
        <v>78</v>
      </c>
      <c r="D160" s="109" t="s">
        <v>4465</v>
      </c>
      <c r="M160" s="7" t="str" cm="1">
        <f t="array" ref="M160">IF(N160="", "", IFERROR(MAX(--_xlfn.TEXTSPLIT(N160,"+")), N160))</f>
        <v/>
      </c>
      <c r="Q160" s="7" t="s">
        <v>4172</v>
      </c>
      <c r="R160" s="7" t="s">
        <v>4856</v>
      </c>
      <c r="S160" s="7" cm="1">
        <f t="array" ref="S160">IF(T160="", "", IFERROR(MAX(--_xlfn.TEXTSPLIT(T160,"+")), T160))</f>
        <v>2050</v>
      </c>
      <c r="T160" s="7">
        <v>2050</v>
      </c>
      <c r="U160" s="7">
        <v>2022</v>
      </c>
      <c r="V160" s="109" t="s">
        <v>4855</v>
      </c>
      <c r="W160" s="7" t="str">
        <f>_xlfn.XLOOKUP(C160,Sheet1!A:A,Sheet1!B:B, "Other")</f>
        <v>North America</v>
      </c>
      <c r="X160" s="222" t="str">
        <f>_xlfn.XLOOKUP(D160,Sheet1!D:D,Sheet1!E:E,"Other")</f>
        <v>Other</v>
      </c>
    </row>
    <row r="161" spans="1:24">
      <c r="A161" s="7" t="s">
        <v>1656</v>
      </c>
      <c r="B161" s="7">
        <v>159</v>
      </c>
      <c r="C161" s="7" t="s">
        <v>146</v>
      </c>
      <c r="D161" s="109" t="s">
        <v>4459</v>
      </c>
      <c r="E161" s="7" t="s">
        <v>4174</v>
      </c>
      <c r="F161" s="7">
        <v>2030</v>
      </c>
      <c r="G161" s="109">
        <v>2021</v>
      </c>
      <c r="H161" s="7" t="s">
        <v>4183</v>
      </c>
      <c r="I161" s="7">
        <v>2030</v>
      </c>
      <c r="J161" s="109">
        <v>2021</v>
      </c>
      <c r="K161" s="7" t="s">
        <v>1957</v>
      </c>
      <c r="L161" s="7" t="s">
        <v>1659</v>
      </c>
      <c r="M161" s="7" cm="1">
        <f t="array" ref="M161">IF(N161="", "", IFERROR(MAX(--_xlfn.TEXTSPLIT(N161,"+")), N161))</f>
        <v>2030</v>
      </c>
      <c r="N161" s="7">
        <v>2030</v>
      </c>
      <c r="O161" s="7">
        <v>2015</v>
      </c>
      <c r="P161" s="109" t="s">
        <v>4563</v>
      </c>
      <c r="Q161" s="7" t="s">
        <v>1957</v>
      </c>
      <c r="R161" s="7" t="s">
        <v>418</v>
      </c>
      <c r="S161" s="7" cm="1">
        <f t="array" ref="S161">IF(T161="", "", IFERROR(MAX(--_xlfn.TEXTSPLIT(T161,"+")), T161))</f>
        <v>2040</v>
      </c>
      <c r="T161" s="7">
        <v>2040</v>
      </c>
      <c r="U161" s="7">
        <v>2019</v>
      </c>
      <c r="V161" s="109" t="s">
        <v>4563</v>
      </c>
      <c r="W161" s="7" t="str">
        <f>_xlfn.XLOOKUP(C161,Sheet1!A:A,Sheet1!B:B, "Other")</f>
        <v>Europe</v>
      </c>
      <c r="X161" s="222" t="str">
        <f>_xlfn.XLOOKUP(D161,Sheet1!D:D,Sheet1!E:E,"Other")</f>
        <v>Other</v>
      </c>
    </row>
    <row r="162" spans="1:24">
      <c r="A162" s="7" t="s">
        <v>702</v>
      </c>
      <c r="B162" s="7">
        <v>160</v>
      </c>
      <c r="C162" s="7" t="s">
        <v>73</v>
      </c>
      <c r="D162" s="109" t="s">
        <v>4465</v>
      </c>
      <c r="M162" s="7" t="str" cm="1">
        <f t="array" ref="M162">IF(N162="", "", IFERROR(MAX(--_xlfn.TEXTSPLIT(N162,"+")), N162))</f>
        <v/>
      </c>
      <c r="S162" s="7" t="str" cm="1">
        <f t="array" ref="S162">IF(T162="", "", IFERROR(MAX(--_xlfn.TEXTSPLIT(T162,"+")), T162))</f>
        <v/>
      </c>
      <c r="W162" s="7" t="str">
        <f>_xlfn.XLOOKUP(C162,Sheet1!A:A,Sheet1!B:B, "Other")</f>
        <v>Asia</v>
      </c>
      <c r="X162" s="222" t="str">
        <f>_xlfn.XLOOKUP(D162,Sheet1!D:D,Sheet1!E:E,"Other")</f>
        <v>Other</v>
      </c>
    </row>
    <row r="163" spans="1:24">
      <c r="A163" s="7" t="s">
        <v>1671</v>
      </c>
      <c r="B163" s="7">
        <v>161</v>
      </c>
      <c r="C163" s="7" t="s">
        <v>207</v>
      </c>
      <c r="D163" s="109" t="s">
        <v>4476</v>
      </c>
      <c r="H163" s="7" t="s">
        <v>4183</v>
      </c>
      <c r="I163" s="7">
        <v>2030</v>
      </c>
      <c r="J163" s="109">
        <v>2021</v>
      </c>
      <c r="K163" s="7" t="s">
        <v>4172</v>
      </c>
      <c r="L163" s="7" t="s">
        <v>4854</v>
      </c>
      <c r="M163" s="7" cm="1">
        <f t="array" ref="M163">IF(N163="", "", IFERROR(MAX(--_xlfn.TEXTSPLIT(N163,"+")), N163))</f>
        <v>2050</v>
      </c>
      <c r="N163" s="7">
        <v>2050</v>
      </c>
      <c r="O163" s="7">
        <v>2021</v>
      </c>
      <c r="P163" s="109" t="s">
        <v>4853</v>
      </c>
      <c r="S163" s="7" t="str" cm="1">
        <f t="array" ref="S163">IF(T163="", "", IFERROR(MAX(--_xlfn.TEXTSPLIT(T163,"+")), T163))</f>
        <v/>
      </c>
      <c r="W163" s="7" t="str">
        <f>_xlfn.XLOOKUP(C163,Sheet1!A:A,Sheet1!B:B, "Other")</f>
        <v>Asia</v>
      </c>
      <c r="X163" s="222" t="str">
        <f>_xlfn.XLOOKUP(D163,Sheet1!D:D,Sheet1!E:E,"Other")</f>
        <v>Other</v>
      </c>
    </row>
    <row r="164" spans="1:24">
      <c r="A164" s="7" t="s">
        <v>1410</v>
      </c>
      <c r="B164" s="7">
        <v>162</v>
      </c>
      <c r="C164" s="7" t="s">
        <v>73</v>
      </c>
      <c r="D164" s="109" t="s">
        <v>4476</v>
      </c>
      <c r="K164" s="7" t="s">
        <v>4172</v>
      </c>
      <c r="L164" s="7" t="s">
        <v>4852</v>
      </c>
      <c r="M164" s="7" cm="1">
        <f t="array" ref="M164">IF(N164="", "", IFERROR(MAX(--_xlfn.TEXTSPLIT(N164,"+")), N164))</f>
        <v>2050</v>
      </c>
      <c r="N164" s="7">
        <v>2050</v>
      </c>
      <c r="O164" s="7">
        <v>2022</v>
      </c>
      <c r="P164" s="109" t="s">
        <v>4851</v>
      </c>
      <c r="S164" s="7" t="str" cm="1">
        <f t="array" ref="S164">IF(T164="", "", IFERROR(MAX(--_xlfn.TEXTSPLIT(T164,"+")), T164))</f>
        <v/>
      </c>
      <c r="W164" s="7" t="str">
        <f>_xlfn.XLOOKUP(C164,Sheet1!A:A,Sheet1!B:B, "Other")</f>
        <v>Asia</v>
      </c>
      <c r="X164" s="222" t="str">
        <f>_xlfn.XLOOKUP(D164,Sheet1!D:D,Sheet1!E:E,"Other")</f>
        <v>Other</v>
      </c>
    </row>
    <row r="165" spans="1:24">
      <c r="A165" s="7" t="s">
        <v>4311</v>
      </c>
      <c r="B165" s="7">
        <v>163</v>
      </c>
      <c r="C165" s="7" t="s">
        <v>73</v>
      </c>
      <c r="D165" s="109" t="s">
        <v>4494</v>
      </c>
      <c r="M165" s="7" t="str" cm="1">
        <f t="array" ref="M165">IF(N165="", "", IFERROR(MAX(--_xlfn.TEXTSPLIT(N165,"+")), N165))</f>
        <v/>
      </c>
      <c r="S165" s="7" t="str" cm="1">
        <f t="array" ref="S165">IF(T165="", "", IFERROR(MAX(--_xlfn.TEXTSPLIT(T165,"+")), T165))</f>
        <v/>
      </c>
      <c r="W165" s="7" t="str">
        <f>_xlfn.XLOOKUP(C165,Sheet1!A:A,Sheet1!B:B, "Other")</f>
        <v>Asia</v>
      </c>
      <c r="X165" s="222" t="str">
        <f>_xlfn.XLOOKUP(D165,Sheet1!D:D,Sheet1!E:E,"Other")</f>
        <v>Other</v>
      </c>
    </row>
    <row r="166" spans="1:24">
      <c r="A166" s="7" t="s">
        <v>1421</v>
      </c>
      <c r="B166" s="7">
        <v>164</v>
      </c>
      <c r="C166" s="7" t="s">
        <v>207</v>
      </c>
      <c r="D166" s="109" t="s">
        <v>4465</v>
      </c>
      <c r="M166" s="7" t="str" cm="1">
        <f t="array" ref="M166">IF(N166="", "", IFERROR(MAX(--_xlfn.TEXTSPLIT(N166,"+")), N166))</f>
        <v/>
      </c>
      <c r="Q166" s="7" t="s">
        <v>4172</v>
      </c>
      <c r="R166" s="7" t="s">
        <v>4850</v>
      </c>
      <c r="S166" s="7" cm="1">
        <f t="array" ref="S166">IF(T166="", "", IFERROR(MAX(--_xlfn.TEXTSPLIT(T166,"+")), T166))</f>
        <v>2050</v>
      </c>
      <c r="T166" s="7">
        <v>2050</v>
      </c>
      <c r="U166" s="7">
        <v>2021</v>
      </c>
      <c r="V166" s="109" t="s">
        <v>4849</v>
      </c>
      <c r="W166" s="7" t="str">
        <f>_xlfn.XLOOKUP(C166,Sheet1!A:A,Sheet1!B:B, "Other")</f>
        <v>Asia</v>
      </c>
      <c r="X166" s="222" t="str">
        <f>_xlfn.XLOOKUP(D166,Sheet1!D:D,Sheet1!E:E,"Other")</f>
        <v>Other</v>
      </c>
    </row>
    <row r="167" spans="1:24">
      <c r="A167" s="7" t="s">
        <v>1720</v>
      </c>
      <c r="B167" s="7">
        <v>165</v>
      </c>
      <c r="C167" s="7" t="s">
        <v>4457</v>
      </c>
      <c r="D167" s="109" t="s">
        <v>4459</v>
      </c>
      <c r="K167" s="7" t="s">
        <v>1957</v>
      </c>
      <c r="L167" s="7" t="s">
        <v>2425</v>
      </c>
      <c r="M167" s="7" cm="1">
        <f t="array" ref="M167">IF(N167="", "", IFERROR(MAX(--_xlfn.TEXTSPLIT(N167,"+")), N167))</f>
        <v>2030</v>
      </c>
      <c r="N167" s="7">
        <v>2030</v>
      </c>
      <c r="O167" s="7">
        <v>2020</v>
      </c>
      <c r="P167" s="109" t="s">
        <v>4848</v>
      </c>
      <c r="Q167" s="7" t="s">
        <v>4172</v>
      </c>
      <c r="R167" s="7" t="s">
        <v>4532</v>
      </c>
      <c r="S167" s="7" cm="1">
        <f t="array" ref="S167">IF(T167="", "", IFERROR(MAX(--_xlfn.TEXTSPLIT(T167,"+")), T167))</f>
        <v>2050</v>
      </c>
      <c r="T167" s="7">
        <v>2050</v>
      </c>
      <c r="U167" s="7">
        <v>2021</v>
      </c>
      <c r="V167" s="109" t="s">
        <v>4847</v>
      </c>
      <c r="W167" s="7" t="str">
        <f>_xlfn.XLOOKUP(C167,Sheet1!A:A,Sheet1!B:B, "Other")</f>
        <v>North America</v>
      </c>
      <c r="X167" s="222" t="str">
        <f>_xlfn.XLOOKUP(D167,Sheet1!D:D,Sheet1!E:E,"Other")</f>
        <v>Other</v>
      </c>
    </row>
    <row r="168" spans="1:24">
      <c r="A168" s="7" t="s">
        <v>1556</v>
      </c>
      <c r="B168" s="7">
        <v>166</v>
      </c>
      <c r="C168" s="7" t="s">
        <v>121</v>
      </c>
      <c r="D168" s="109" t="s">
        <v>4494</v>
      </c>
      <c r="M168" s="7" t="str" cm="1">
        <f t="array" ref="M168">IF(N168="", "", IFERROR(MAX(--_xlfn.TEXTSPLIT(N168,"+")), N168))</f>
        <v/>
      </c>
      <c r="S168" s="7" t="str" cm="1">
        <f t="array" ref="S168">IF(T168="", "", IFERROR(MAX(--_xlfn.TEXTSPLIT(T168,"+")), T168))</f>
        <v/>
      </c>
      <c r="W168" s="7" t="str">
        <f>_xlfn.XLOOKUP(C168,Sheet1!A:A,Sheet1!B:B, "Other")</f>
        <v>North America</v>
      </c>
      <c r="X168" s="222" t="str">
        <f>_xlfn.XLOOKUP(D168,Sheet1!D:D,Sheet1!E:E,"Other")</f>
        <v>Other</v>
      </c>
    </row>
    <row r="169" spans="1:24">
      <c r="A169" s="7" t="s">
        <v>1318</v>
      </c>
      <c r="B169" s="7">
        <v>167</v>
      </c>
      <c r="C169" s="7" t="s">
        <v>207</v>
      </c>
      <c r="D169" s="109" t="s">
        <v>4465</v>
      </c>
      <c r="M169" s="7" t="str" cm="1">
        <f t="array" ref="M169">IF(N169="", "", IFERROR(MAX(--_xlfn.TEXTSPLIT(N169,"+")), N169))</f>
        <v/>
      </c>
      <c r="Q169" s="7" t="s">
        <v>4172</v>
      </c>
      <c r="R169" s="7" t="s">
        <v>4846</v>
      </c>
      <c r="S169" s="7" cm="1">
        <f t="array" ref="S169">IF(T169="", "", IFERROR(MAX(--_xlfn.TEXTSPLIT(T169,"+")), T169))</f>
        <v>2050</v>
      </c>
      <c r="T169" s="7">
        <v>2050</v>
      </c>
      <c r="U169" s="7">
        <v>2021</v>
      </c>
      <c r="V169" s="109" t="s">
        <v>4845</v>
      </c>
      <c r="W169" s="7" t="str">
        <f>_xlfn.XLOOKUP(C169,Sheet1!A:A,Sheet1!B:B, "Other")</f>
        <v>Asia</v>
      </c>
      <c r="X169" s="222" t="str">
        <f>_xlfn.XLOOKUP(D169,Sheet1!D:D,Sheet1!E:E,"Other")</f>
        <v>Other</v>
      </c>
    </row>
    <row r="170" spans="1:24">
      <c r="A170" s="7" t="s">
        <v>1477</v>
      </c>
      <c r="B170" s="7">
        <v>168</v>
      </c>
      <c r="C170" s="7" t="s">
        <v>4457</v>
      </c>
      <c r="D170" s="109" t="s">
        <v>186</v>
      </c>
      <c r="M170" s="7" t="str" cm="1">
        <f t="array" ref="M170">IF(N170="", "", IFERROR(MAX(--_xlfn.TEXTSPLIT(N170,"+")), N170))</f>
        <v/>
      </c>
      <c r="Q170" s="7" t="s">
        <v>1957</v>
      </c>
      <c r="R170" s="7" t="s">
        <v>3131</v>
      </c>
      <c r="S170" s="7" cm="1">
        <f t="array" ref="S170">IF(T170="", "", IFERROR(MAX(--_xlfn.TEXTSPLIT(T170,"+")), T170))</f>
        <v>2030</v>
      </c>
      <c r="T170" s="7">
        <v>2030</v>
      </c>
      <c r="U170" s="7">
        <v>2021</v>
      </c>
      <c r="V170" s="109" t="s">
        <v>4844</v>
      </c>
      <c r="W170" s="7" t="str">
        <f>_xlfn.XLOOKUP(C170,Sheet1!A:A,Sheet1!B:B, "Other")</f>
        <v>North America</v>
      </c>
      <c r="X170" s="222" t="str">
        <f>_xlfn.XLOOKUP(D170,Sheet1!D:D,Sheet1!E:E,"Other")</f>
        <v>Technology</v>
      </c>
    </row>
    <row r="171" spans="1:24">
      <c r="A171" s="7" t="s">
        <v>1285</v>
      </c>
      <c r="B171" s="7">
        <v>169</v>
      </c>
      <c r="C171" s="7" t="s">
        <v>287</v>
      </c>
      <c r="D171" s="109" t="s">
        <v>4201</v>
      </c>
      <c r="M171" s="7" t="str" cm="1">
        <f t="array" ref="M171">IF(N171="", "", IFERROR(MAX(--_xlfn.TEXTSPLIT(N171,"+")), N171))</f>
        <v/>
      </c>
      <c r="Q171" s="7" t="s">
        <v>1957</v>
      </c>
      <c r="R171" s="7" t="s">
        <v>4255</v>
      </c>
      <c r="S171" s="7" cm="1">
        <f t="array" ref="S171">IF(T171="", "", IFERROR(MAX(--_xlfn.TEXTSPLIT(T171,"+")), T171))</f>
        <v>2050</v>
      </c>
      <c r="T171" s="7">
        <v>2050</v>
      </c>
      <c r="U171" s="7">
        <v>2018</v>
      </c>
      <c r="V171" s="109" t="s">
        <v>4843</v>
      </c>
      <c r="W171" s="7" t="str">
        <f>_xlfn.XLOOKUP(C171,Sheet1!A:A,Sheet1!B:B, "Other")</f>
        <v>Europe</v>
      </c>
      <c r="X171" s="222" t="str">
        <f>_xlfn.XLOOKUP(D171,Sheet1!D:D,Sheet1!E:E,"Other")</f>
        <v>Other</v>
      </c>
    </row>
    <row r="172" spans="1:24">
      <c r="A172" s="7" t="s">
        <v>4032</v>
      </c>
      <c r="B172" s="7">
        <v>170</v>
      </c>
      <c r="C172" s="7" t="s">
        <v>4457</v>
      </c>
      <c r="D172" s="109" t="s">
        <v>4467</v>
      </c>
      <c r="H172" s="7" t="s">
        <v>4183</v>
      </c>
      <c r="I172" s="7">
        <v>2030</v>
      </c>
      <c r="J172" s="109">
        <v>2022</v>
      </c>
      <c r="M172" s="7" t="str" cm="1">
        <f t="array" ref="M172">IF(N172="", "", IFERROR(MAX(--_xlfn.TEXTSPLIT(N172,"+")), N172))</f>
        <v/>
      </c>
      <c r="S172" s="7" t="str" cm="1">
        <f t="array" ref="S172">IF(T172="", "", IFERROR(MAX(--_xlfn.TEXTSPLIT(T172,"+")), T172))</f>
        <v/>
      </c>
      <c r="W172" s="7" t="str">
        <f>_xlfn.XLOOKUP(C172,Sheet1!A:A,Sheet1!B:B, "Other")</f>
        <v>North America</v>
      </c>
      <c r="X172" s="222" t="str">
        <f>_xlfn.XLOOKUP(D172,Sheet1!D:D,Sheet1!E:E,"Other")</f>
        <v>Retail</v>
      </c>
    </row>
    <row r="173" spans="1:24">
      <c r="A173" s="7" t="s">
        <v>1123</v>
      </c>
      <c r="B173" s="7">
        <v>171</v>
      </c>
      <c r="C173" s="7" t="s">
        <v>73</v>
      </c>
      <c r="D173" s="109" t="s">
        <v>186</v>
      </c>
      <c r="H173" s="7" t="s">
        <v>4183</v>
      </c>
      <c r="I173" s="7">
        <v>2030</v>
      </c>
      <c r="J173" s="109">
        <v>2020</v>
      </c>
      <c r="M173" s="7" t="str" cm="1">
        <f t="array" ref="M173">IF(N173="", "", IFERROR(MAX(--_xlfn.TEXTSPLIT(N173,"+")), N173))</f>
        <v/>
      </c>
      <c r="Q173" s="7" t="s">
        <v>4172</v>
      </c>
      <c r="R173" s="7" t="s">
        <v>2760</v>
      </c>
      <c r="S173" s="7" cm="1">
        <f t="array" ref="S173">IF(T173="", "", IFERROR(MAX(--_xlfn.TEXTSPLIT(T173,"+")), T173))</f>
        <v>2050</v>
      </c>
      <c r="T173" s="7">
        <v>2050</v>
      </c>
      <c r="U173" s="7">
        <v>2022</v>
      </c>
      <c r="V173" s="109" t="s">
        <v>4842</v>
      </c>
      <c r="W173" s="7" t="str">
        <f>_xlfn.XLOOKUP(C173,Sheet1!A:A,Sheet1!B:B, "Other")</f>
        <v>Asia</v>
      </c>
      <c r="X173" s="222" t="str">
        <f>_xlfn.XLOOKUP(D173,Sheet1!D:D,Sheet1!E:E,"Other")</f>
        <v>Technology</v>
      </c>
    </row>
    <row r="174" spans="1:24">
      <c r="A174" s="7" t="s">
        <v>1289</v>
      </c>
      <c r="B174" s="7">
        <v>172</v>
      </c>
      <c r="C174" s="7" t="s">
        <v>207</v>
      </c>
      <c r="D174" s="109" t="s">
        <v>4465</v>
      </c>
      <c r="K174" s="7" t="s">
        <v>1957</v>
      </c>
      <c r="L174" s="7" t="s">
        <v>2425</v>
      </c>
      <c r="M174" s="7" cm="1">
        <f t="array" ref="M174">IF(N174="", "", IFERROR(MAX(--_xlfn.TEXTSPLIT(N174,"+")), N174))</f>
        <v>2050</v>
      </c>
      <c r="N174" s="7">
        <v>2050</v>
      </c>
      <c r="O174" s="7">
        <v>2021</v>
      </c>
      <c r="P174" s="109" t="s">
        <v>4841</v>
      </c>
      <c r="S174" s="7" t="str" cm="1">
        <f t="array" ref="S174">IF(T174="", "", IFERROR(MAX(--_xlfn.TEXTSPLIT(T174,"+")), T174))</f>
        <v/>
      </c>
      <c r="W174" s="7" t="str">
        <f>_xlfn.XLOOKUP(C174,Sheet1!A:A,Sheet1!B:B, "Other")</f>
        <v>Asia</v>
      </c>
      <c r="X174" s="222" t="str">
        <f>_xlfn.XLOOKUP(D174,Sheet1!D:D,Sheet1!E:E,"Other")</f>
        <v>Other</v>
      </c>
    </row>
    <row r="175" spans="1:24">
      <c r="A175" s="7" t="s">
        <v>1358</v>
      </c>
      <c r="B175" s="7">
        <v>173</v>
      </c>
      <c r="C175" s="7" t="s">
        <v>4457</v>
      </c>
      <c r="D175" s="109" t="s">
        <v>4465</v>
      </c>
      <c r="H175" s="7" t="s">
        <v>1957</v>
      </c>
      <c r="I175" s="7">
        <v>2030</v>
      </c>
      <c r="J175" s="109">
        <v>2016</v>
      </c>
      <c r="K175" s="7" t="s">
        <v>1957</v>
      </c>
      <c r="L175" s="7" t="s">
        <v>2425</v>
      </c>
      <c r="M175" s="7" cm="1">
        <f t="array" ref="M175">IF(N175="", "", IFERROR(MAX(--_xlfn.TEXTSPLIT(N175,"+")), N175))</f>
        <v>2016</v>
      </c>
      <c r="N175" s="7">
        <v>2016</v>
      </c>
      <c r="O175" s="7">
        <v>2015</v>
      </c>
      <c r="P175" s="109" t="s">
        <v>2860</v>
      </c>
      <c r="Q175" s="7" t="s">
        <v>4172</v>
      </c>
      <c r="R175" s="7" t="s">
        <v>4840</v>
      </c>
      <c r="S175" s="7" cm="1">
        <f t="array" ref="S175">IF(T175="", "", IFERROR(MAX(--_xlfn.TEXTSPLIT(T175,"+")), T175))</f>
        <v>2050</v>
      </c>
      <c r="T175" s="7">
        <v>2050</v>
      </c>
      <c r="U175" s="7">
        <v>2022</v>
      </c>
      <c r="V175" s="109" t="s">
        <v>4839</v>
      </c>
      <c r="W175" s="7" t="str">
        <f>_xlfn.XLOOKUP(C175,Sheet1!A:A,Sheet1!B:B, "Other")</f>
        <v>North America</v>
      </c>
      <c r="X175" s="222" t="str">
        <f>_xlfn.XLOOKUP(D175,Sheet1!D:D,Sheet1!E:E,"Other")</f>
        <v>Other</v>
      </c>
    </row>
    <row r="176" spans="1:24">
      <c r="A176" s="7" t="s">
        <v>1201</v>
      </c>
      <c r="B176" s="7">
        <v>174</v>
      </c>
      <c r="C176" s="7" t="s">
        <v>73</v>
      </c>
      <c r="D176" s="109" t="s">
        <v>4465</v>
      </c>
      <c r="K176" s="7" t="s">
        <v>4519</v>
      </c>
      <c r="L176" s="7" t="s">
        <v>4518</v>
      </c>
      <c r="M176" s="7" cm="1">
        <f t="array" ref="M176">IF(N176="", "", IFERROR(MAX(--_xlfn.TEXTSPLIT(N176,"+")), N176))</f>
        <v>2060</v>
      </c>
      <c r="N176" s="7">
        <v>2060</v>
      </c>
      <c r="O176" s="7">
        <v>2021</v>
      </c>
      <c r="P176" s="109" t="s">
        <v>4838</v>
      </c>
      <c r="S176" s="7" t="str" cm="1">
        <f t="array" ref="S176">IF(T176="", "", IFERROR(MAX(--_xlfn.TEXTSPLIT(T176,"+")), T176))</f>
        <v/>
      </c>
      <c r="W176" s="7" t="str">
        <f>_xlfn.XLOOKUP(C176,Sheet1!A:A,Sheet1!B:B, "Other")</f>
        <v>Asia</v>
      </c>
      <c r="X176" s="222" t="str">
        <f>_xlfn.XLOOKUP(D176,Sheet1!D:D,Sheet1!E:E,"Other")</f>
        <v>Other</v>
      </c>
    </row>
    <row r="177" spans="1:24">
      <c r="A177" s="7" t="s">
        <v>1305</v>
      </c>
      <c r="B177" s="7">
        <v>175</v>
      </c>
      <c r="C177" s="7" t="s">
        <v>4457</v>
      </c>
      <c r="D177" s="109" t="s">
        <v>4465</v>
      </c>
      <c r="M177" s="7" t="str" cm="1">
        <f t="array" ref="M177">IF(N177="", "", IFERROR(MAX(--_xlfn.TEXTSPLIT(N177,"+")), N177))</f>
        <v/>
      </c>
      <c r="S177" s="7" t="str" cm="1">
        <f t="array" ref="S177">IF(T177="", "", IFERROR(MAX(--_xlfn.TEXTSPLIT(T177,"+")), T177))</f>
        <v/>
      </c>
      <c r="W177" s="7" t="str">
        <f>_xlfn.XLOOKUP(C177,Sheet1!A:A,Sheet1!B:B, "Other")</f>
        <v>North America</v>
      </c>
      <c r="X177" s="222" t="str">
        <f>_xlfn.XLOOKUP(D177,Sheet1!D:D,Sheet1!E:E,"Other")</f>
        <v>Other</v>
      </c>
    </row>
    <row r="178" spans="1:24">
      <c r="A178" s="7" t="s">
        <v>640</v>
      </c>
      <c r="B178" s="7">
        <v>176</v>
      </c>
      <c r="C178" s="7" t="s">
        <v>73</v>
      </c>
      <c r="D178" s="109" t="s">
        <v>4494</v>
      </c>
      <c r="K178" s="7" t="s">
        <v>4519</v>
      </c>
      <c r="L178" s="7" t="s">
        <v>4518</v>
      </c>
      <c r="M178" s="7" cm="1">
        <f t="array" ref="M178">IF(N178="", "", IFERROR(MAX(--_xlfn.TEXTSPLIT(N178,"+")), N178))</f>
        <v>2060</v>
      </c>
      <c r="N178" s="7">
        <v>2060</v>
      </c>
      <c r="O178" s="7">
        <v>2021</v>
      </c>
      <c r="P178" s="109" t="s">
        <v>4837</v>
      </c>
      <c r="S178" s="7" t="str" cm="1">
        <f t="array" ref="S178">IF(T178="", "", IFERROR(MAX(--_xlfn.TEXTSPLIT(T178,"+")), T178))</f>
        <v/>
      </c>
      <c r="W178" s="7" t="str">
        <f>_xlfn.XLOOKUP(C178,Sheet1!A:A,Sheet1!B:B, "Other")</f>
        <v>Asia</v>
      </c>
      <c r="X178" s="222" t="str">
        <f>_xlfn.XLOOKUP(D178,Sheet1!D:D,Sheet1!E:E,"Other")</f>
        <v>Other</v>
      </c>
    </row>
    <row r="179" spans="1:24">
      <c r="A179" s="7" t="s">
        <v>1405</v>
      </c>
      <c r="B179" s="7">
        <v>177</v>
      </c>
      <c r="C179" s="7" t="s">
        <v>1408</v>
      </c>
      <c r="D179" s="109" t="s">
        <v>3498</v>
      </c>
      <c r="M179" s="7" t="str" cm="1">
        <f t="array" ref="M179">IF(N179="", "", IFERROR(MAX(--_xlfn.TEXTSPLIT(N179,"+")), N179))</f>
        <v/>
      </c>
      <c r="Q179" s="7" t="s">
        <v>1957</v>
      </c>
      <c r="R179" s="7" t="s">
        <v>2425</v>
      </c>
      <c r="S179" s="7" cm="1">
        <f t="array" ref="S179">IF(T179="", "", IFERROR(MAX(--_xlfn.TEXTSPLIT(T179,"+")), T179))</f>
        <v>2050</v>
      </c>
      <c r="T179" s="7">
        <v>2050</v>
      </c>
      <c r="U179" s="7">
        <v>2022</v>
      </c>
      <c r="V179" s="109" t="s">
        <v>4836</v>
      </c>
      <c r="W179" s="7" t="str">
        <f>_xlfn.XLOOKUP(C179,Sheet1!A:A,Sheet1!B:B, "Other")</f>
        <v>Asia</v>
      </c>
      <c r="X179" s="222" t="str">
        <f>_xlfn.XLOOKUP(D179,Sheet1!D:D,Sheet1!E:E,"Other")</f>
        <v>Other</v>
      </c>
    </row>
    <row r="180" spans="1:24">
      <c r="A180" s="7" t="s">
        <v>974</v>
      </c>
      <c r="B180" s="7">
        <v>178</v>
      </c>
      <c r="C180" s="7" t="s">
        <v>73</v>
      </c>
      <c r="D180" s="109" t="s">
        <v>976</v>
      </c>
      <c r="M180" s="7" t="str" cm="1">
        <f t="array" ref="M180">IF(N180="", "", IFERROR(MAX(--_xlfn.TEXTSPLIT(N180,"+")), N180))</f>
        <v/>
      </c>
      <c r="S180" s="7" t="str" cm="1">
        <f t="array" ref="S180">IF(T180="", "", IFERROR(MAX(--_xlfn.TEXTSPLIT(T180,"+")), T180))</f>
        <v/>
      </c>
      <c r="W180" s="7" t="str">
        <f>_xlfn.XLOOKUP(C180,Sheet1!A:A,Sheet1!B:B, "Other")</f>
        <v>Asia</v>
      </c>
      <c r="X180" s="222" t="str">
        <f>_xlfn.XLOOKUP(D180,Sheet1!D:D,Sheet1!E:E,"Other")</f>
        <v>Real estate</v>
      </c>
    </row>
    <row r="181" spans="1:24">
      <c r="A181" s="7" t="s">
        <v>1027</v>
      </c>
      <c r="B181" s="7">
        <v>179</v>
      </c>
      <c r="C181" s="7" t="s">
        <v>287</v>
      </c>
      <c r="D181" s="109" t="s">
        <v>4465</v>
      </c>
      <c r="E181" s="7" t="s">
        <v>4174</v>
      </c>
      <c r="F181" s="7">
        <v>2022</v>
      </c>
      <c r="G181" s="109">
        <v>2019</v>
      </c>
      <c r="H181" s="7" t="s">
        <v>1957</v>
      </c>
      <c r="I181" s="7">
        <v>2030</v>
      </c>
      <c r="J181" s="109">
        <v>2019</v>
      </c>
      <c r="K181" s="7" t="s">
        <v>1957</v>
      </c>
      <c r="L181" s="7" t="s">
        <v>4492</v>
      </c>
      <c r="M181" s="7" cm="1">
        <f t="array" ref="M181">IF(N181="", "", IFERROR(MAX(--_xlfn.TEXTSPLIT(N181,"+")), N181))</f>
        <v>2014</v>
      </c>
      <c r="N181" s="7">
        <v>2014</v>
      </c>
      <c r="O181" s="7">
        <v>2014</v>
      </c>
      <c r="P181" s="109" t="s">
        <v>4835</v>
      </c>
      <c r="Q181" s="7" t="s">
        <v>4504</v>
      </c>
      <c r="R181" s="7" t="s">
        <v>4569</v>
      </c>
      <c r="S181" s="7" cm="1">
        <f t="array" ref="S181">IF(T181="", "", IFERROR(MAX(--_xlfn.TEXTSPLIT(T181,"+")), T181))</f>
        <v>2050</v>
      </c>
      <c r="T181" s="7" t="s">
        <v>4502</v>
      </c>
      <c r="U181" s="7" t="s">
        <v>4834</v>
      </c>
      <c r="V181" s="109" t="s">
        <v>4833</v>
      </c>
      <c r="W181" s="7" t="str">
        <f>_xlfn.XLOOKUP(C181,Sheet1!A:A,Sheet1!B:B, "Other")</f>
        <v>Europe</v>
      </c>
      <c r="X181" s="222" t="str">
        <f>_xlfn.XLOOKUP(D181,Sheet1!D:D,Sheet1!E:E,"Other")</f>
        <v>Other</v>
      </c>
    </row>
    <row r="182" spans="1:24">
      <c r="A182" s="7" t="s">
        <v>4177</v>
      </c>
      <c r="B182" s="7">
        <v>180</v>
      </c>
      <c r="C182" s="7" t="s">
        <v>73</v>
      </c>
      <c r="D182" s="109" t="s">
        <v>66</v>
      </c>
      <c r="M182" s="7" t="str" cm="1">
        <f t="array" ref="M182">IF(N182="", "", IFERROR(MAX(--_xlfn.TEXTSPLIT(N182,"+")), N182))</f>
        <v/>
      </c>
      <c r="S182" s="7" t="str" cm="1">
        <f t="array" ref="S182">IF(T182="", "", IFERROR(MAX(--_xlfn.TEXTSPLIT(T182,"+")), T182))</f>
        <v/>
      </c>
      <c r="W182" s="7" t="str">
        <f>_xlfn.XLOOKUP(C182,Sheet1!A:A,Sheet1!B:B, "Other")</f>
        <v>Asia</v>
      </c>
      <c r="X182" s="222" t="str">
        <f>_xlfn.XLOOKUP(D182,Sheet1!D:D,Sheet1!E:E,"Other")</f>
        <v>Chemicals</v>
      </c>
    </row>
    <row r="183" spans="1:24">
      <c r="A183" s="7" t="s">
        <v>1014</v>
      </c>
      <c r="B183" s="7">
        <v>181</v>
      </c>
      <c r="C183" s="7" t="s">
        <v>73</v>
      </c>
      <c r="D183" s="109" t="s">
        <v>976</v>
      </c>
      <c r="M183" s="7" t="str" cm="1">
        <f t="array" ref="M183">IF(N183="", "", IFERROR(MAX(--_xlfn.TEXTSPLIT(N183,"+")), N183))</f>
        <v/>
      </c>
      <c r="S183" s="7" t="str" cm="1">
        <f t="array" ref="S183">IF(T183="", "", IFERROR(MAX(--_xlfn.TEXTSPLIT(T183,"+")), T183))</f>
        <v/>
      </c>
      <c r="W183" s="7" t="str">
        <f>_xlfn.XLOOKUP(C183,Sheet1!A:A,Sheet1!B:B, "Other")</f>
        <v>Asia</v>
      </c>
      <c r="X183" s="222" t="str">
        <f>_xlfn.XLOOKUP(D183,Sheet1!D:D,Sheet1!E:E,"Other")</f>
        <v>Real estate</v>
      </c>
    </row>
    <row r="184" spans="1:24">
      <c r="A184" s="7" t="s">
        <v>1170</v>
      </c>
      <c r="B184" s="7">
        <v>182</v>
      </c>
      <c r="C184" s="7" t="s">
        <v>73</v>
      </c>
      <c r="D184" s="109" t="s">
        <v>4465</v>
      </c>
      <c r="M184" s="7" t="str" cm="1">
        <f t="array" ref="M184">IF(N184="", "", IFERROR(MAX(--_xlfn.TEXTSPLIT(N184,"+")), N184))</f>
        <v/>
      </c>
      <c r="S184" s="7" t="str" cm="1">
        <f t="array" ref="S184">IF(T184="", "", IFERROR(MAX(--_xlfn.TEXTSPLIT(T184,"+")), T184))</f>
        <v/>
      </c>
      <c r="W184" s="7" t="str">
        <f>_xlfn.XLOOKUP(C184,Sheet1!A:A,Sheet1!B:B, "Other")</f>
        <v>Asia</v>
      </c>
      <c r="X184" s="222" t="str">
        <f>_xlfn.XLOOKUP(D184,Sheet1!D:D,Sheet1!E:E,"Other")</f>
        <v>Other</v>
      </c>
    </row>
    <row r="185" spans="1:24">
      <c r="A185" s="7" t="s">
        <v>1263</v>
      </c>
      <c r="B185" s="7">
        <v>183</v>
      </c>
      <c r="C185" s="7" t="s">
        <v>4457</v>
      </c>
      <c r="D185" s="109" t="s">
        <v>4190</v>
      </c>
      <c r="M185" s="7" t="str" cm="1">
        <f t="array" ref="M185">IF(N185="", "", IFERROR(MAX(--_xlfn.TEXTSPLIT(N185,"+")), N185))</f>
        <v/>
      </c>
      <c r="Q185" s="7" t="s">
        <v>1957</v>
      </c>
      <c r="R185" s="7" t="s">
        <v>4832</v>
      </c>
      <c r="S185" s="7" cm="1">
        <f t="array" ref="S185">IF(T185="", "", IFERROR(MAX(--_xlfn.TEXTSPLIT(T185,"+")), T185))</f>
        <v>2030</v>
      </c>
      <c r="T185" s="7">
        <v>2030</v>
      </c>
      <c r="U185" s="7">
        <v>2021</v>
      </c>
      <c r="V185" s="109" t="s">
        <v>4831</v>
      </c>
      <c r="W185" s="7" t="str">
        <f>_xlfn.XLOOKUP(C185,Sheet1!A:A,Sheet1!B:B, "Other")</f>
        <v>North America</v>
      </c>
      <c r="X185" s="222" t="str">
        <f>_xlfn.XLOOKUP(D185,Sheet1!D:D,Sheet1!E:E,"Other")</f>
        <v>Other</v>
      </c>
    </row>
    <row r="186" spans="1:24">
      <c r="A186" s="7" t="s">
        <v>1185</v>
      </c>
      <c r="B186" s="7">
        <v>184</v>
      </c>
      <c r="C186" s="7" t="s">
        <v>4457</v>
      </c>
      <c r="D186" s="109" t="s">
        <v>3498</v>
      </c>
      <c r="M186" s="7" t="str" cm="1">
        <f t="array" ref="M186">IF(N186="", "", IFERROR(MAX(--_xlfn.TEXTSPLIT(N186,"+")), N186))</f>
        <v/>
      </c>
      <c r="S186" s="7" t="str" cm="1">
        <f t="array" ref="S186">IF(T186="", "", IFERROR(MAX(--_xlfn.TEXTSPLIT(T186,"+")), T186))</f>
        <v/>
      </c>
      <c r="W186" s="7" t="str">
        <f>_xlfn.XLOOKUP(C186,Sheet1!A:A,Sheet1!B:B, "Other")</f>
        <v>North America</v>
      </c>
      <c r="X186" s="222" t="str">
        <f>_xlfn.XLOOKUP(D186,Sheet1!D:D,Sheet1!E:E,"Other")</f>
        <v>Other</v>
      </c>
    </row>
    <row r="187" spans="1:24">
      <c r="A187" s="7" t="s">
        <v>1176</v>
      </c>
      <c r="B187" s="7">
        <v>185</v>
      </c>
      <c r="C187" s="7" t="s">
        <v>4457</v>
      </c>
      <c r="D187" s="109" t="s">
        <v>4260</v>
      </c>
      <c r="M187" s="7" t="str" cm="1">
        <f t="array" ref="M187">IF(N187="", "", IFERROR(MAX(--_xlfn.TEXTSPLIT(N187,"+")), N187))</f>
        <v/>
      </c>
      <c r="S187" s="7" t="str" cm="1">
        <f t="array" ref="S187">IF(T187="", "", IFERROR(MAX(--_xlfn.TEXTSPLIT(T187,"+")), T187))</f>
        <v/>
      </c>
      <c r="W187" s="7" t="str">
        <f>_xlfn.XLOOKUP(C187,Sheet1!A:A,Sheet1!B:B, "Other")</f>
        <v>North America</v>
      </c>
      <c r="X187" s="222" t="str">
        <f>_xlfn.XLOOKUP(D187,Sheet1!D:D,Sheet1!E:E,"Other")</f>
        <v>Other</v>
      </c>
    </row>
    <row r="188" spans="1:24">
      <c r="A188" s="7" t="s">
        <v>1199</v>
      </c>
      <c r="B188" s="7">
        <v>186</v>
      </c>
      <c r="C188" s="7" t="s">
        <v>73</v>
      </c>
      <c r="D188" s="109" t="s">
        <v>4476</v>
      </c>
      <c r="K188" s="7" t="s">
        <v>4519</v>
      </c>
      <c r="L188" s="7" t="s">
        <v>4492</v>
      </c>
      <c r="M188" s="7" cm="1">
        <f t="array" ref="M188">IF(N188="", "", IFERROR(MAX(--_xlfn.TEXTSPLIT(N188,"+")), N188))</f>
        <v>2060</v>
      </c>
      <c r="N188" s="7">
        <v>2060</v>
      </c>
      <c r="O188" s="7">
        <v>2019</v>
      </c>
      <c r="S188" s="7" t="str" cm="1">
        <f t="array" ref="S188">IF(T188="", "", IFERROR(MAX(--_xlfn.TEXTSPLIT(T188,"+")), T188))</f>
        <v/>
      </c>
      <c r="W188" s="7" t="str">
        <f>_xlfn.XLOOKUP(C188,Sheet1!A:A,Sheet1!B:B, "Other")</f>
        <v>Asia</v>
      </c>
      <c r="X188" s="222" t="str">
        <f>_xlfn.XLOOKUP(D188,Sheet1!D:D,Sheet1!E:E,"Other")</f>
        <v>Other</v>
      </c>
    </row>
    <row r="189" spans="1:24">
      <c r="A189" s="7" t="s">
        <v>1208</v>
      </c>
      <c r="B189" s="7">
        <v>187</v>
      </c>
      <c r="C189" s="7" t="s">
        <v>114</v>
      </c>
      <c r="D189" s="109" t="s">
        <v>4459</v>
      </c>
      <c r="H189" s="7" t="s">
        <v>4183</v>
      </c>
      <c r="I189" s="7">
        <v>2030</v>
      </c>
      <c r="J189" s="109">
        <v>2021</v>
      </c>
      <c r="K189" s="7" t="s">
        <v>1957</v>
      </c>
      <c r="L189" s="7" t="s">
        <v>4830</v>
      </c>
      <c r="M189" s="7" cm="1">
        <f t="array" ref="M189">IF(N189="", "", IFERROR(MAX(--_xlfn.TEXTSPLIT(N189,"+")), N189))</f>
        <v>2030</v>
      </c>
      <c r="N189" s="7">
        <v>2030</v>
      </c>
      <c r="O189" s="7">
        <v>2019</v>
      </c>
      <c r="P189" s="109" t="s">
        <v>4829</v>
      </c>
      <c r="S189" s="7" t="str" cm="1">
        <f t="array" ref="S189">IF(T189="", "", IFERROR(MAX(--_xlfn.TEXTSPLIT(T189,"+")), T189))</f>
        <v/>
      </c>
      <c r="W189" s="7" t="str">
        <f>_xlfn.XLOOKUP(C189,Sheet1!A:A,Sheet1!B:B, "Other")</f>
        <v>Asia</v>
      </c>
      <c r="X189" s="222" t="str">
        <f>_xlfn.XLOOKUP(D189,Sheet1!D:D,Sheet1!E:E,"Other")</f>
        <v>Other</v>
      </c>
    </row>
    <row r="190" spans="1:24">
      <c r="A190" s="7" t="s">
        <v>1261</v>
      </c>
      <c r="B190" s="7">
        <v>188</v>
      </c>
      <c r="C190" s="7" t="s">
        <v>114</v>
      </c>
      <c r="D190" s="109" t="s">
        <v>4494</v>
      </c>
      <c r="K190" s="7" t="s">
        <v>1957</v>
      </c>
      <c r="L190" s="7" t="s">
        <v>2425</v>
      </c>
      <c r="M190" s="7" cm="1">
        <f t="array" ref="M190">IF(N190="", "", IFERROR(MAX(--_xlfn.TEXTSPLIT(N190,"+")), N190))</f>
        <v>2050</v>
      </c>
      <c r="N190" s="7">
        <v>2050</v>
      </c>
      <c r="O190" s="7">
        <v>2020</v>
      </c>
      <c r="P190" s="109" t="s">
        <v>4828</v>
      </c>
      <c r="S190" s="7" t="str" cm="1">
        <f t="array" ref="S190">IF(T190="", "", IFERROR(MAX(--_xlfn.TEXTSPLIT(T190,"+")), T190))</f>
        <v/>
      </c>
      <c r="W190" s="7" t="str">
        <f>_xlfn.XLOOKUP(C190,Sheet1!A:A,Sheet1!B:B, "Other")</f>
        <v>Asia</v>
      </c>
      <c r="X190" s="222" t="str">
        <f>_xlfn.XLOOKUP(D190,Sheet1!D:D,Sheet1!E:E,"Other")</f>
        <v>Other</v>
      </c>
    </row>
    <row r="191" spans="1:24">
      <c r="A191" s="7" t="s">
        <v>1119</v>
      </c>
      <c r="B191" s="7">
        <v>189</v>
      </c>
      <c r="C191" s="7" t="s">
        <v>73</v>
      </c>
      <c r="D191" s="109" t="s">
        <v>4494</v>
      </c>
      <c r="K191" s="7" t="s">
        <v>1957</v>
      </c>
      <c r="L191" s="7" t="s">
        <v>4518</v>
      </c>
      <c r="M191" s="7" cm="1">
        <f t="array" ref="M191">IF(N191="", "", IFERROR(MAX(--_xlfn.TEXTSPLIT(N191,"+")), N191))</f>
        <v>2050</v>
      </c>
      <c r="N191" s="7">
        <v>2050</v>
      </c>
      <c r="O191" s="7">
        <v>2021</v>
      </c>
      <c r="P191" s="109" t="s">
        <v>4827</v>
      </c>
      <c r="S191" s="7" t="str" cm="1">
        <f t="array" ref="S191">IF(T191="", "", IFERROR(MAX(--_xlfn.TEXTSPLIT(T191,"+")), T191))</f>
        <v/>
      </c>
      <c r="W191" s="7" t="str">
        <f>_xlfn.XLOOKUP(C191,Sheet1!A:A,Sheet1!B:B, "Other")</f>
        <v>Asia</v>
      </c>
      <c r="X191" s="222" t="str">
        <f>_xlfn.XLOOKUP(D191,Sheet1!D:D,Sheet1!E:E,"Other")</f>
        <v>Other</v>
      </c>
    </row>
    <row r="192" spans="1:24">
      <c r="A192" s="7" t="s">
        <v>1296</v>
      </c>
      <c r="B192" s="7">
        <v>190</v>
      </c>
      <c r="C192" s="7" t="s">
        <v>87</v>
      </c>
      <c r="D192" s="109" t="s">
        <v>4494</v>
      </c>
      <c r="K192" s="7" t="s">
        <v>1957</v>
      </c>
      <c r="L192" s="7" t="s">
        <v>1659</v>
      </c>
      <c r="M192" s="7" cm="1">
        <f t="array" ref="M192">IF(N192="", "", IFERROR(MAX(--_xlfn.TEXTSPLIT(N192,"+")), N192))</f>
        <v>2040</v>
      </c>
      <c r="N192" s="7">
        <v>2040</v>
      </c>
      <c r="O192" s="7">
        <v>2022</v>
      </c>
      <c r="P192" s="109" t="s">
        <v>4826</v>
      </c>
      <c r="S192" s="7" t="str" cm="1">
        <f t="array" ref="S192">IF(T192="", "", IFERROR(MAX(--_xlfn.TEXTSPLIT(T192,"+")), T192))</f>
        <v/>
      </c>
      <c r="W192" s="7" t="str">
        <f>_xlfn.XLOOKUP(C192,Sheet1!A:A,Sheet1!B:B, "Other")</f>
        <v>Asia</v>
      </c>
      <c r="X192" s="222" t="str">
        <f>_xlfn.XLOOKUP(D192,Sheet1!D:D,Sheet1!E:E,"Other")</f>
        <v>Other</v>
      </c>
    </row>
    <row r="193" spans="1:24">
      <c r="A193" s="7" t="s">
        <v>1412</v>
      </c>
      <c r="B193" s="7">
        <v>191</v>
      </c>
      <c r="C193" s="7" t="s">
        <v>4457</v>
      </c>
      <c r="D193" s="109" t="s">
        <v>4465</v>
      </c>
      <c r="M193" s="7" t="str" cm="1">
        <f t="array" ref="M193">IF(N193="", "", IFERROR(MAX(--_xlfn.TEXTSPLIT(N193,"+")), N193))</f>
        <v/>
      </c>
      <c r="S193" s="7" t="str" cm="1">
        <f t="array" ref="S193">IF(T193="", "", IFERROR(MAX(--_xlfn.TEXTSPLIT(T193,"+")), T193))</f>
        <v/>
      </c>
      <c r="W193" s="7" t="str">
        <f>_xlfn.XLOOKUP(C193,Sheet1!A:A,Sheet1!B:B, "Other")</f>
        <v>North America</v>
      </c>
      <c r="X193" s="222" t="str">
        <f>_xlfn.XLOOKUP(D193,Sheet1!D:D,Sheet1!E:E,"Other")</f>
        <v>Other</v>
      </c>
    </row>
    <row r="194" spans="1:24">
      <c r="A194" s="7" t="s">
        <v>962</v>
      </c>
      <c r="B194" s="7">
        <v>192</v>
      </c>
      <c r="C194" s="7" t="s">
        <v>183</v>
      </c>
      <c r="D194" s="109" t="s">
        <v>4455</v>
      </c>
      <c r="M194" s="7" t="str" cm="1">
        <f t="array" ref="M194">IF(N194="", "", IFERROR(MAX(--_xlfn.TEXTSPLIT(N194,"+")), N194))</f>
        <v/>
      </c>
      <c r="S194" s="7" t="str" cm="1">
        <f t="array" ref="S194">IF(T194="", "", IFERROR(MAX(--_xlfn.TEXTSPLIT(T194,"+")), T194))</f>
        <v/>
      </c>
      <c r="W194" s="7" t="str">
        <f>_xlfn.XLOOKUP(C194,Sheet1!A:A,Sheet1!B:B, "Other")</f>
        <v>Asia</v>
      </c>
      <c r="X194" s="222" t="str">
        <f>_xlfn.XLOOKUP(D194,Sheet1!D:D,Sheet1!E:E,"Other")</f>
        <v>Other</v>
      </c>
    </row>
    <row r="195" spans="1:24">
      <c r="A195" s="7" t="s">
        <v>4825</v>
      </c>
      <c r="B195" s="7">
        <v>193</v>
      </c>
      <c r="C195" s="7" t="s">
        <v>207</v>
      </c>
      <c r="D195" s="109" t="s">
        <v>4459</v>
      </c>
      <c r="E195" s="7" t="s">
        <v>4174</v>
      </c>
      <c r="F195" s="7">
        <v>2050</v>
      </c>
      <c r="G195" s="109">
        <v>2019</v>
      </c>
      <c r="H195" s="7" t="s">
        <v>4183</v>
      </c>
      <c r="I195" s="7">
        <v>2030</v>
      </c>
      <c r="J195" s="109">
        <v>2017</v>
      </c>
      <c r="K195" s="7" t="s">
        <v>4172</v>
      </c>
      <c r="L195" s="7" t="s">
        <v>4532</v>
      </c>
      <c r="M195" s="7" cm="1">
        <f t="array" ref="M195">IF(N195="", "", IFERROR(MAX(--_xlfn.TEXTSPLIT(N195,"+")), N195))</f>
        <v>2050</v>
      </c>
      <c r="N195" s="7">
        <v>2050</v>
      </c>
      <c r="O195" s="7">
        <v>2020</v>
      </c>
      <c r="P195" s="109" t="s">
        <v>4824</v>
      </c>
      <c r="S195" s="7" t="str" cm="1">
        <f t="array" ref="S195">IF(T195="", "", IFERROR(MAX(--_xlfn.TEXTSPLIT(T195,"+")), T195))</f>
        <v/>
      </c>
      <c r="W195" s="7" t="str">
        <f>_xlfn.XLOOKUP(C195,Sheet1!A:A,Sheet1!B:B, "Other")</f>
        <v>Asia</v>
      </c>
      <c r="X195" s="222" t="str">
        <f>_xlfn.XLOOKUP(D195,Sheet1!D:D,Sheet1!E:E,"Other")</f>
        <v>Other</v>
      </c>
    </row>
    <row r="196" spans="1:24">
      <c r="A196" s="7" t="s">
        <v>1104</v>
      </c>
      <c r="B196" s="7">
        <v>194</v>
      </c>
      <c r="C196" s="7" t="s">
        <v>68</v>
      </c>
      <c r="D196" s="109" t="s">
        <v>4455</v>
      </c>
      <c r="H196" s="7" t="s">
        <v>1957</v>
      </c>
      <c r="I196" s="7">
        <v>2030</v>
      </c>
      <c r="J196" s="109">
        <v>2021</v>
      </c>
      <c r="M196" s="7" t="str" cm="1">
        <f t="array" ref="M196">IF(N196="", "", IFERROR(MAX(--_xlfn.TEXTSPLIT(N196,"+")), N196))</f>
        <v/>
      </c>
      <c r="Q196" s="7" t="s">
        <v>1957</v>
      </c>
      <c r="R196" s="7" t="s">
        <v>2425</v>
      </c>
      <c r="S196" s="7" cm="1">
        <f t="array" ref="S196">IF(T196="", "", IFERROR(MAX(--_xlfn.TEXTSPLIT(T196,"+")), T196))</f>
        <v>2040</v>
      </c>
      <c r="T196" s="7">
        <v>2040</v>
      </c>
      <c r="U196" s="7">
        <v>2021</v>
      </c>
      <c r="V196" s="109" t="s">
        <v>4823</v>
      </c>
      <c r="W196" s="7" t="str">
        <f>_xlfn.XLOOKUP(C196,Sheet1!A:A,Sheet1!B:B, "Other")</f>
        <v>Other</v>
      </c>
      <c r="X196" s="222" t="str">
        <f>_xlfn.XLOOKUP(D196,Sheet1!D:D,Sheet1!E:E,"Other")</f>
        <v>Other</v>
      </c>
    </row>
    <row r="197" spans="1:24">
      <c r="A197" s="7" t="s">
        <v>1146</v>
      </c>
      <c r="B197" s="7">
        <v>195</v>
      </c>
      <c r="C197" s="7" t="s">
        <v>4457</v>
      </c>
      <c r="D197" s="109" t="s">
        <v>4465</v>
      </c>
      <c r="E197" s="7" t="s">
        <v>4174</v>
      </c>
      <c r="F197" s="7">
        <v>2020</v>
      </c>
      <c r="G197" s="109">
        <v>2015</v>
      </c>
      <c r="K197" s="7" t="s">
        <v>1957</v>
      </c>
      <c r="L197" s="7" t="s">
        <v>4344</v>
      </c>
      <c r="M197" s="7" cm="1">
        <f t="array" ref="M197">IF(N197="", "", IFERROR(MAX(--_xlfn.TEXTSPLIT(N197,"+")), N197))</f>
        <v>2015</v>
      </c>
      <c r="N197" s="7">
        <v>2015</v>
      </c>
      <c r="O197" s="7">
        <v>2015</v>
      </c>
      <c r="P197" s="109" t="s">
        <v>4822</v>
      </c>
      <c r="Q197" s="7" t="s">
        <v>4172</v>
      </c>
      <c r="R197" s="7" t="s">
        <v>4667</v>
      </c>
      <c r="S197" s="7" cm="1">
        <f t="array" ref="S197">IF(T197="", "", IFERROR(MAX(--_xlfn.TEXTSPLIT(T197,"+")), T197))</f>
        <v>2030</v>
      </c>
      <c r="T197" s="7">
        <v>2030</v>
      </c>
      <c r="U197" s="7">
        <v>2021</v>
      </c>
      <c r="V197" s="109" t="s">
        <v>4821</v>
      </c>
      <c r="W197" s="7" t="str">
        <f>_xlfn.XLOOKUP(C197,Sheet1!A:A,Sheet1!B:B, "Other")</f>
        <v>North America</v>
      </c>
      <c r="X197" s="222" t="str">
        <f>_xlfn.XLOOKUP(D197,Sheet1!D:D,Sheet1!E:E,"Other")</f>
        <v>Other</v>
      </c>
    </row>
    <row r="198" spans="1:24">
      <c r="A198" s="7" t="s">
        <v>1151</v>
      </c>
      <c r="B198" s="7">
        <v>196</v>
      </c>
      <c r="C198" s="7" t="s">
        <v>73</v>
      </c>
      <c r="D198" s="109" t="s">
        <v>4459</v>
      </c>
      <c r="M198" s="7" t="str" cm="1">
        <f t="array" ref="M198">IF(N198="", "", IFERROR(MAX(--_xlfn.TEXTSPLIT(N198,"+")), N198))</f>
        <v/>
      </c>
      <c r="S198" s="7" t="str" cm="1">
        <f t="array" ref="S198">IF(T198="", "", IFERROR(MAX(--_xlfn.TEXTSPLIT(T198,"+")), T198))</f>
        <v/>
      </c>
      <c r="W198" s="7" t="str">
        <f>_xlfn.XLOOKUP(C198,Sheet1!A:A,Sheet1!B:B, "Other")</f>
        <v>Asia</v>
      </c>
      <c r="X198" s="222" t="str">
        <f>_xlfn.XLOOKUP(D198,Sheet1!D:D,Sheet1!E:E,"Other")</f>
        <v>Other</v>
      </c>
    </row>
    <row r="199" spans="1:24">
      <c r="A199" s="7" t="s">
        <v>2576</v>
      </c>
      <c r="B199" s="7">
        <v>197</v>
      </c>
      <c r="C199" s="7" t="s">
        <v>4457</v>
      </c>
      <c r="D199" s="109" t="s">
        <v>4260</v>
      </c>
      <c r="M199" s="7" t="str" cm="1">
        <f t="array" ref="M199">IF(N199="", "", IFERROR(MAX(--_xlfn.TEXTSPLIT(N199,"+")), N199))</f>
        <v/>
      </c>
      <c r="S199" s="7" t="str" cm="1">
        <f t="array" ref="S199">IF(T199="", "", IFERROR(MAX(--_xlfn.TEXTSPLIT(T199,"+")), T199))</f>
        <v/>
      </c>
      <c r="W199" s="7" t="str">
        <f>_xlfn.XLOOKUP(C199,Sheet1!A:A,Sheet1!B:B, "Other")</f>
        <v>North America</v>
      </c>
      <c r="X199" s="222" t="str">
        <f>_xlfn.XLOOKUP(D199,Sheet1!D:D,Sheet1!E:E,"Other")</f>
        <v>Other</v>
      </c>
    </row>
    <row r="200" spans="1:24">
      <c r="A200" s="7" t="s">
        <v>3912</v>
      </c>
      <c r="B200" s="7">
        <v>198</v>
      </c>
      <c r="C200" s="7" t="s">
        <v>4195</v>
      </c>
      <c r="D200" s="109" t="s">
        <v>4465</v>
      </c>
      <c r="E200" s="7" t="s">
        <v>4174</v>
      </c>
      <c r="F200" s="7">
        <v>2025</v>
      </c>
      <c r="G200" s="109">
        <v>2015</v>
      </c>
      <c r="H200" s="7" t="s">
        <v>1957</v>
      </c>
      <c r="I200" s="7">
        <v>2030</v>
      </c>
      <c r="J200" s="109">
        <v>2021</v>
      </c>
      <c r="K200" s="7" t="s">
        <v>1957</v>
      </c>
      <c r="L200" s="7" t="s">
        <v>1659</v>
      </c>
      <c r="M200" s="7" cm="1">
        <f t="array" ref="M200">IF(N200="", "", IFERROR(MAX(--_xlfn.TEXTSPLIT(N200,"+")), N200))</f>
        <v>2006</v>
      </c>
      <c r="N200" s="7">
        <v>2006</v>
      </c>
      <c r="O200" s="7">
        <v>2006</v>
      </c>
      <c r="P200" s="109" t="s">
        <v>4820</v>
      </c>
      <c r="Q200" s="7" t="s">
        <v>4172</v>
      </c>
      <c r="R200" s="7" t="s">
        <v>4532</v>
      </c>
      <c r="S200" s="7" cm="1">
        <f t="array" ref="S200">IF(T200="", "", IFERROR(MAX(--_xlfn.TEXTSPLIT(T200,"+")), T200))</f>
        <v>2040</v>
      </c>
      <c r="T200" s="7">
        <v>2040</v>
      </c>
      <c r="U200" s="7">
        <v>2021</v>
      </c>
      <c r="V200" s="109" t="s">
        <v>4820</v>
      </c>
      <c r="W200" s="7" t="str">
        <f>_xlfn.XLOOKUP(C200,Sheet1!A:A,Sheet1!B:B, "Other")</f>
        <v>Europe</v>
      </c>
      <c r="X200" s="222" t="str">
        <f>_xlfn.XLOOKUP(D200,Sheet1!D:D,Sheet1!E:E,"Other")</f>
        <v>Other</v>
      </c>
    </row>
    <row r="201" spans="1:24">
      <c r="A201" s="7" t="s">
        <v>926</v>
      </c>
      <c r="B201" s="7">
        <v>199</v>
      </c>
      <c r="C201" s="7" t="s">
        <v>73</v>
      </c>
      <c r="D201" s="109" t="s">
        <v>4643</v>
      </c>
      <c r="M201" s="7" t="str" cm="1">
        <f t="array" ref="M201">IF(N201="", "", IFERROR(MAX(--_xlfn.TEXTSPLIT(N201,"+")), N201))</f>
        <v/>
      </c>
      <c r="S201" s="7" t="str" cm="1">
        <f t="array" ref="S201">IF(T201="", "", IFERROR(MAX(--_xlfn.TEXTSPLIT(T201,"+")), T201))</f>
        <v/>
      </c>
      <c r="W201" s="7" t="str">
        <f>_xlfn.XLOOKUP(C201,Sheet1!A:A,Sheet1!B:B, "Other")</f>
        <v>Asia</v>
      </c>
      <c r="X201" s="222" t="str">
        <f>_xlfn.XLOOKUP(D201,Sheet1!D:D,Sheet1!E:E,"Other")</f>
        <v>Other</v>
      </c>
    </row>
    <row r="202" spans="1:24">
      <c r="A202" s="7" t="s">
        <v>4068</v>
      </c>
      <c r="B202" s="7">
        <v>200</v>
      </c>
      <c r="C202" s="7" t="s">
        <v>96</v>
      </c>
      <c r="D202" s="109" t="s">
        <v>4465</v>
      </c>
      <c r="H202" s="7" t="s">
        <v>1957</v>
      </c>
      <c r="I202" s="7">
        <v>2025</v>
      </c>
      <c r="J202" s="109">
        <v>2022</v>
      </c>
      <c r="K202" s="7" t="s">
        <v>1957</v>
      </c>
      <c r="L202" s="7" t="s">
        <v>1659</v>
      </c>
      <c r="M202" s="7" cm="1">
        <f t="array" ref="M202">IF(N202="", "", IFERROR(MAX(--_xlfn.TEXTSPLIT(N202,"+")), N202))</f>
        <v>2019</v>
      </c>
      <c r="N202" s="7">
        <v>2019</v>
      </c>
      <c r="O202" s="7">
        <v>2019</v>
      </c>
      <c r="P202" s="109" t="s">
        <v>4819</v>
      </c>
      <c r="Q202" s="7" t="s">
        <v>4172</v>
      </c>
      <c r="R202" s="7" t="s">
        <v>4818</v>
      </c>
      <c r="S202" s="7" cm="1">
        <f t="array" ref="S202">IF(T202="", "", IFERROR(MAX(--_xlfn.TEXTSPLIT(T202,"+")), T202))</f>
        <v>2050</v>
      </c>
      <c r="T202" s="7">
        <v>2050</v>
      </c>
      <c r="U202" s="7">
        <v>2021</v>
      </c>
      <c r="V202" s="109" t="s">
        <v>4817</v>
      </c>
      <c r="W202" s="7" t="str">
        <f>_xlfn.XLOOKUP(C202,Sheet1!A:A,Sheet1!B:B, "Other")</f>
        <v>Europe</v>
      </c>
      <c r="X202" s="222" t="str">
        <f>_xlfn.XLOOKUP(D202,Sheet1!D:D,Sheet1!E:E,"Other")</f>
        <v>Other</v>
      </c>
    </row>
    <row r="203" spans="1:24">
      <c r="A203" s="7" t="s">
        <v>819</v>
      </c>
      <c r="B203" s="7">
        <v>201</v>
      </c>
      <c r="C203" s="7" t="s">
        <v>4195</v>
      </c>
      <c r="D203" s="109" t="s">
        <v>4494</v>
      </c>
      <c r="M203" s="7" t="str" cm="1">
        <f t="array" ref="M203">IF(N203="", "", IFERROR(MAX(--_xlfn.TEXTSPLIT(N203,"+")), N203))</f>
        <v/>
      </c>
      <c r="Q203" s="7" t="s">
        <v>1957</v>
      </c>
      <c r="R203" s="7" t="s">
        <v>2425</v>
      </c>
      <c r="S203" s="7" cm="1">
        <f t="array" ref="S203">IF(T203="", "", IFERROR(MAX(--_xlfn.TEXTSPLIT(T203,"+")), T203))</f>
        <v>2050</v>
      </c>
      <c r="T203" s="7">
        <v>2050</v>
      </c>
      <c r="U203" s="7">
        <v>2020</v>
      </c>
      <c r="V203" s="109" t="s">
        <v>4816</v>
      </c>
      <c r="W203" s="7" t="str">
        <f>_xlfn.XLOOKUP(C203,Sheet1!A:A,Sheet1!B:B, "Other")</f>
        <v>Europe</v>
      </c>
      <c r="X203" s="222" t="str">
        <f>_xlfn.XLOOKUP(D203,Sheet1!D:D,Sheet1!E:E,"Other")</f>
        <v>Other</v>
      </c>
    </row>
    <row r="204" spans="1:24">
      <c r="A204" s="7" t="s">
        <v>1252</v>
      </c>
      <c r="B204" s="7">
        <v>202</v>
      </c>
      <c r="C204" s="7" t="s">
        <v>4457</v>
      </c>
      <c r="D204" s="109" t="s">
        <v>186</v>
      </c>
      <c r="E204" s="7" t="s">
        <v>4174</v>
      </c>
      <c r="F204" s="7">
        <v>2025</v>
      </c>
      <c r="G204" s="109">
        <v>2016</v>
      </c>
      <c r="H204" s="7" t="s">
        <v>4183</v>
      </c>
      <c r="I204" s="7">
        <v>2025</v>
      </c>
      <c r="J204" s="109">
        <v>2017</v>
      </c>
      <c r="K204" s="7" t="s">
        <v>1957</v>
      </c>
      <c r="L204" s="7" t="s">
        <v>1659</v>
      </c>
      <c r="M204" s="7" cm="1">
        <f t="array" ref="M204">IF(N204="", "", IFERROR(MAX(--_xlfn.TEXTSPLIT(N204,"+")), N204))</f>
        <v>2025</v>
      </c>
      <c r="N204" s="7">
        <v>2025</v>
      </c>
      <c r="O204" s="7">
        <v>2021</v>
      </c>
      <c r="P204" s="109" t="s">
        <v>4815</v>
      </c>
      <c r="Q204" s="7" t="s">
        <v>4172</v>
      </c>
      <c r="R204" s="7" t="s">
        <v>42</v>
      </c>
      <c r="S204" s="7" cm="1">
        <f t="array" ref="S204">IF(T204="", "", IFERROR(MAX(--_xlfn.TEXTSPLIT(T204,"+")), T204))</f>
        <v>2040</v>
      </c>
      <c r="T204" s="7">
        <v>2040</v>
      </c>
      <c r="U204" s="7">
        <v>2020</v>
      </c>
      <c r="V204" s="109" t="s">
        <v>4814</v>
      </c>
      <c r="W204" s="7" t="str">
        <f>_xlfn.XLOOKUP(C204,Sheet1!A:A,Sheet1!B:B, "Other")</f>
        <v>North America</v>
      </c>
      <c r="X204" s="222" t="str">
        <f>_xlfn.XLOOKUP(D204,Sheet1!D:D,Sheet1!E:E,"Other")</f>
        <v>Technology</v>
      </c>
    </row>
    <row r="205" spans="1:24">
      <c r="A205" s="7" t="s">
        <v>2987</v>
      </c>
      <c r="B205" s="7">
        <v>203</v>
      </c>
      <c r="C205" s="7" t="s">
        <v>4195</v>
      </c>
      <c r="D205" s="109" t="s">
        <v>4465</v>
      </c>
      <c r="H205" s="7" t="s">
        <v>1957</v>
      </c>
      <c r="I205" s="7">
        <v>2030</v>
      </c>
      <c r="J205" s="109">
        <v>2021</v>
      </c>
      <c r="M205" s="7" t="str" cm="1">
        <f t="array" ref="M205">IF(N205="", "", IFERROR(MAX(--_xlfn.TEXTSPLIT(N205,"+")), N205))</f>
        <v/>
      </c>
      <c r="Q205" s="7" t="s">
        <v>4504</v>
      </c>
      <c r="R205" s="7" t="s">
        <v>4813</v>
      </c>
      <c r="S205" s="7" cm="1">
        <f t="array" ref="S205">IF(T205="", "", IFERROR(MAX(--_xlfn.TEXTSPLIT(T205,"+")), T205))</f>
        <v>2050</v>
      </c>
      <c r="T205" s="7" t="s">
        <v>4502</v>
      </c>
      <c r="U205" s="7" t="s">
        <v>4606</v>
      </c>
      <c r="V205" s="109" t="s">
        <v>4812</v>
      </c>
      <c r="W205" s="7" t="str">
        <f>_xlfn.XLOOKUP(C205,Sheet1!A:A,Sheet1!B:B, "Other")</f>
        <v>Europe</v>
      </c>
      <c r="X205" s="222" t="str">
        <f>_xlfn.XLOOKUP(D205,Sheet1!D:D,Sheet1!E:E,"Other")</f>
        <v>Other</v>
      </c>
    </row>
    <row r="206" spans="1:24">
      <c r="A206" s="7" t="s">
        <v>1664</v>
      </c>
      <c r="B206" s="7">
        <v>204</v>
      </c>
      <c r="C206" s="7" t="s">
        <v>4457</v>
      </c>
      <c r="D206" s="109" t="s">
        <v>4260</v>
      </c>
      <c r="M206" s="7" t="str" cm="1">
        <f t="array" ref="M206">IF(N206="", "", IFERROR(MAX(--_xlfn.TEXTSPLIT(N206,"+")), N206))</f>
        <v/>
      </c>
      <c r="Q206" s="7" t="s">
        <v>1957</v>
      </c>
      <c r="R206" s="7" t="s">
        <v>1659</v>
      </c>
      <c r="S206" s="7" cm="1">
        <f t="array" ref="S206">IF(T206="", "", IFERROR(MAX(--_xlfn.TEXTSPLIT(T206,"+")), T206))</f>
        <v>2020</v>
      </c>
      <c r="T206" s="7">
        <v>2020</v>
      </c>
      <c r="U206" s="7">
        <v>2020</v>
      </c>
      <c r="V206" s="109" t="s">
        <v>4811</v>
      </c>
      <c r="W206" s="7" t="str">
        <f>_xlfn.XLOOKUP(C206,Sheet1!A:A,Sheet1!B:B, "Other")</f>
        <v>North America</v>
      </c>
      <c r="X206" s="222" t="str">
        <f>_xlfn.XLOOKUP(D206,Sheet1!D:D,Sheet1!E:E,"Other")</f>
        <v>Other</v>
      </c>
    </row>
    <row r="207" spans="1:24">
      <c r="A207" s="7" t="s">
        <v>1273</v>
      </c>
      <c r="B207" s="7">
        <v>205</v>
      </c>
      <c r="C207" s="7" t="s">
        <v>4195</v>
      </c>
      <c r="D207" s="109" t="s">
        <v>4643</v>
      </c>
      <c r="E207" s="7" t="s">
        <v>4174</v>
      </c>
      <c r="F207" s="7">
        <v>2020</v>
      </c>
      <c r="G207" s="109">
        <v>2015</v>
      </c>
      <c r="H207" s="7" t="s">
        <v>4183</v>
      </c>
      <c r="I207" s="7">
        <v>2030</v>
      </c>
      <c r="J207" s="109">
        <v>2017</v>
      </c>
      <c r="M207" s="7" t="str" cm="1">
        <f t="array" ref="M207">IF(N207="", "", IFERROR(MAX(--_xlfn.TEXTSPLIT(N207,"+")), N207))</f>
        <v/>
      </c>
      <c r="Q207" s="7" t="s">
        <v>4172</v>
      </c>
      <c r="R207" s="7" t="s">
        <v>4532</v>
      </c>
      <c r="S207" s="7" cm="1">
        <f t="array" ref="S207">IF(T207="", "", IFERROR(MAX(--_xlfn.TEXTSPLIT(T207,"+")), T207))</f>
        <v>2039</v>
      </c>
      <c r="T207" s="7">
        <v>2039</v>
      </c>
      <c r="U207" s="7">
        <v>2021</v>
      </c>
      <c r="V207" s="109" t="s">
        <v>4810</v>
      </c>
      <c r="W207" s="7" t="str">
        <f>_xlfn.XLOOKUP(C207,Sheet1!A:A,Sheet1!B:B, "Other")</f>
        <v>Europe</v>
      </c>
      <c r="X207" s="222" t="str">
        <f>_xlfn.XLOOKUP(D207,Sheet1!D:D,Sheet1!E:E,"Other")</f>
        <v>Other</v>
      </c>
    </row>
    <row r="208" spans="1:24">
      <c r="A208" s="7" t="s">
        <v>854</v>
      </c>
      <c r="B208" s="7">
        <v>206</v>
      </c>
      <c r="C208" s="7" t="s">
        <v>858</v>
      </c>
      <c r="D208" s="109" t="s">
        <v>4179</v>
      </c>
      <c r="H208" s="7" t="s">
        <v>1957</v>
      </c>
      <c r="I208" s="7">
        <v>2030</v>
      </c>
      <c r="J208" s="109">
        <v>2019</v>
      </c>
      <c r="M208" s="7" t="str" cm="1">
        <f t="array" ref="M208">IF(N208="", "", IFERROR(MAX(--_xlfn.TEXTSPLIT(N208,"+")), N208))</f>
        <v/>
      </c>
      <c r="Q208" s="7" t="s">
        <v>4172</v>
      </c>
      <c r="R208" s="7" t="s">
        <v>2760</v>
      </c>
      <c r="S208" s="7" cm="1">
        <f t="array" ref="S208">IF(T208="", "", IFERROR(MAX(--_xlfn.TEXTSPLIT(T208,"+")), T208))</f>
        <v>2040</v>
      </c>
      <c r="T208" s="7">
        <v>2040</v>
      </c>
      <c r="U208" s="7">
        <v>2022</v>
      </c>
      <c r="V208" s="109" t="s">
        <v>4809</v>
      </c>
      <c r="W208" s="7" t="str">
        <f>_xlfn.XLOOKUP(C208,Sheet1!A:A,Sheet1!B:B, "Other")</f>
        <v>Europe</v>
      </c>
      <c r="X208" s="222" t="str">
        <f>_xlfn.XLOOKUP(D208,Sheet1!D:D,Sheet1!E:E,"Other")</f>
        <v>Other</v>
      </c>
    </row>
    <row r="209" spans="1:24">
      <c r="A209" s="7" t="s">
        <v>1431</v>
      </c>
      <c r="B209" s="7">
        <v>207</v>
      </c>
      <c r="C209" s="7" t="s">
        <v>96</v>
      </c>
      <c r="D209" s="109" t="s">
        <v>4260</v>
      </c>
      <c r="H209" s="7" t="s">
        <v>1957</v>
      </c>
      <c r="I209" s="7">
        <v>2030</v>
      </c>
      <c r="J209" s="109">
        <v>2022</v>
      </c>
      <c r="M209" s="7" t="str" cm="1">
        <f t="array" ref="M209">IF(N209="", "", IFERROR(MAX(--_xlfn.TEXTSPLIT(N209,"+")), N209))</f>
        <v/>
      </c>
      <c r="Q209" s="7" t="s">
        <v>1957</v>
      </c>
      <c r="R209" s="7" t="s">
        <v>4808</v>
      </c>
      <c r="S209" s="7" cm="1">
        <f t="array" ref="S209">IF(T209="", "", IFERROR(MAX(--_xlfn.TEXTSPLIT(T209,"+")), T209))</f>
        <v>2030</v>
      </c>
      <c r="T209" s="7">
        <v>2030</v>
      </c>
      <c r="U209" s="7">
        <v>2021</v>
      </c>
      <c r="V209" s="109" t="s">
        <v>4807</v>
      </c>
      <c r="W209" s="7" t="str">
        <f>_xlfn.XLOOKUP(C209,Sheet1!A:A,Sheet1!B:B, "Other")</f>
        <v>Europe</v>
      </c>
      <c r="X209" s="222" t="str">
        <f>_xlfn.XLOOKUP(D209,Sheet1!D:D,Sheet1!E:E,"Other")</f>
        <v>Other</v>
      </c>
    </row>
    <row r="210" spans="1:24">
      <c r="A210" s="7" t="s">
        <v>1121</v>
      </c>
      <c r="B210" s="7">
        <v>208</v>
      </c>
      <c r="C210" s="7" t="s">
        <v>73</v>
      </c>
      <c r="D210" s="109" t="s">
        <v>4465</v>
      </c>
      <c r="K210" s="7" t="s">
        <v>4519</v>
      </c>
      <c r="L210" s="7" t="s">
        <v>4806</v>
      </c>
      <c r="M210" s="7" cm="1">
        <f t="array" ref="M210">IF(N210="", "", IFERROR(MAX(--_xlfn.TEXTSPLIT(N210,"+")), N210))</f>
        <v>2060</v>
      </c>
      <c r="N210" s="7">
        <v>2060</v>
      </c>
      <c r="O210" s="7">
        <v>2021</v>
      </c>
      <c r="P210" s="109" t="s">
        <v>4805</v>
      </c>
      <c r="S210" s="7" t="str" cm="1">
        <f t="array" ref="S210">IF(T210="", "", IFERROR(MAX(--_xlfn.TEXTSPLIT(T210,"+")), T210))</f>
        <v/>
      </c>
      <c r="W210" s="7" t="str">
        <f>_xlfn.XLOOKUP(C210,Sheet1!A:A,Sheet1!B:B, "Other")</f>
        <v>Asia</v>
      </c>
      <c r="X210" s="222" t="str">
        <f>_xlfn.XLOOKUP(D210,Sheet1!D:D,Sheet1!E:E,"Other")</f>
        <v>Other</v>
      </c>
    </row>
    <row r="211" spans="1:24">
      <c r="A211" s="7" t="s">
        <v>902</v>
      </c>
      <c r="B211" s="7">
        <v>209</v>
      </c>
      <c r="C211" s="7" t="s">
        <v>73</v>
      </c>
      <c r="D211" s="109" t="s">
        <v>4494</v>
      </c>
      <c r="M211" s="7" t="str" cm="1">
        <f t="array" ref="M211">IF(N211="", "", IFERROR(MAX(--_xlfn.TEXTSPLIT(N211,"+")), N211))</f>
        <v/>
      </c>
      <c r="S211" s="7" t="str" cm="1">
        <f t="array" ref="S211">IF(T211="", "", IFERROR(MAX(--_xlfn.TEXTSPLIT(T211,"+")), T211))</f>
        <v/>
      </c>
      <c r="W211" s="7" t="str">
        <f>_xlfn.XLOOKUP(C211,Sheet1!A:A,Sheet1!B:B, "Other")</f>
        <v>Asia</v>
      </c>
      <c r="X211" s="222" t="str">
        <f>_xlfn.XLOOKUP(D211,Sheet1!D:D,Sheet1!E:E,"Other")</f>
        <v>Other</v>
      </c>
    </row>
    <row r="212" spans="1:24">
      <c r="A212" s="7" t="s">
        <v>878</v>
      </c>
      <c r="B212" s="7">
        <v>210</v>
      </c>
      <c r="C212" s="7" t="s">
        <v>73</v>
      </c>
      <c r="D212" s="109" t="s">
        <v>4465</v>
      </c>
      <c r="K212" s="7" t="s">
        <v>1957</v>
      </c>
      <c r="L212" s="7" t="s">
        <v>4804</v>
      </c>
      <c r="M212" s="7" cm="1">
        <f t="array" ref="M212">IF(N212="", "", IFERROR(MAX(--_xlfn.TEXTSPLIT(N212,"+")), N212))</f>
        <v>2022</v>
      </c>
      <c r="N212" s="7">
        <v>2022</v>
      </c>
      <c r="O212" s="7">
        <v>2021</v>
      </c>
      <c r="P212" s="109" t="s">
        <v>4803</v>
      </c>
      <c r="S212" s="7" t="str" cm="1">
        <f t="array" ref="S212">IF(T212="", "", IFERROR(MAX(--_xlfn.TEXTSPLIT(T212,"+")), T212))</f>
        <v/>
      </c>
      <c r="W212" s="7" t="str">
        <f>_xlfn.XLOOKUP(C212,Sheet1!A:A,Sheet1!B:B, "Other")</f>
        <v>Asia</v>
      </c>
      <c r="X212" s="222" t="str">
        <f>_xlfn.XLOOKUP(D212,Sheet1!D:D,Sheet1!E:E,"Other")</f>
        <v>Other</v>
      </c>
    </row>
    <row r="213" spans="1:24">
      <c r="A213" s="7" t="s">
        <v>1106</v>
      </c>
      <c r="B213" s="7">
        <v>211</v>
      </c>
      <c r="C213" s="7" t="s">
        <v>4457</v>
      </c>
      <c r="D213" s="109" t="s">
        <v>4465</v>
      </c>
      <c r="E213" s="7" t="s">
        <v>4174</v>
      </c>
      <c r="F213" s="7">
        <v>2022</v>
      </c>
      <c r="G213" s="109">
        <v>2017</v>
      </c>
      <c r="K213" s="7" t="s">
        <v>1957</v>
      </c>
      <c r="L213" s="7" t="s">
        <v>2610</v>
      </c>
      <c r="M213" s="7" cm="1">
        <f t="array" ref="M213">IF(N213="", "", IFERROR(MAX(--_xlfn.TEXTSPLIT(N213,"+")), N213))</f>
        <v>2022</v>
      </c>
      <c r="N213" s="7">
        <v>2022</v>
      </c>
      <c r="O213" s="7">
        <v>2018</v>
      </c>
      <c r="P213" s="109" t="s">
        <v>4802</v>
      </c>
      <c r="Q213" s="7" t="s">
        <v>4172</v>
      </c>
      <c r="R213" s="7" t="s">
        <v>4532</v>
      </c>
      <c r="S213" s="7" cm="1">
        <f t="array" ref="S213">IF(T213="", "", IFERROR(MAX(--_xlfn.TEXTSPLIT(T213,"+")), T213))</f>
        <v>2050</v>
      </c>
      <c r="T213" s="7">
        <v>2050</v>
      </c>
      <c r="U213" s="7">
        <v>2021</v>
      </c>
      <c r="V213" s="109" t="s">
        <v>4801</v>
      </c>
      <c r="W213" s="7" t="str">
        <f>_xlfn.XLOOKUP(C213,Sheet1!A:A,Sheet1!B:B, "Other")</f>
        <v>North America</v>
      </c>
      <c r="X213" s="222" t="str">
        <f>_xlfn.XLOOKUP(D213,Sheet1!D:D,Sheet1!E:E,"Other")</f>
        <v>Other</v>
      </c>
    </row>
    <row r="214" spans="1:24">
      <c r="A214" s="7" t="s">
        <v>4308</v>
      </c>
      <c r="B214" s="7">
        <v>212</v>
      </c>
      <c r="C214" s="7" t="s">
        <v>114</v>
      </c>
      <c r="D214" s="109" t="s">
        <v>4476</v>
      </c>
      <c r="E214" s="7" t="s">
        <v>4174</v>
      </c>
      <c r="F214" s="7">
        <v>2040</v>
      </c>
      <c r="G214" s="109">
        <v>2022</v>
      </c>
      <c r="K214" s="7" t="s">
        <v>4172</v>
      </c>
      <c r="L214" s="7" t="s">
        <v>42</v>
      </c>
      <c r="M214" s="7" cm="1">
        <f t="array" ref="M214">IF(N214="", "", IFERROR(MAX(--_xlfn.TEXTSPLIT(N214,"+")), N214))</f>
        <v>2045</v>
      </c>
      <c r="N214" s="7">
        <v>2045</v>
      </c>
      <c r="O214" s="7">
        <v>2021</v>
      </c>
      <c r="P214" s="109" t="s">
        <v>4800</v>
      </c>
      <c r="S214" s="7" t="str" cm="1">
        <f t="array" ref="S214">IF(T214="", "", IFERROR(MAX(--_xlfn.TEXTSPLIT(T214,"+")), T214))</f>
        <v/>
      </c>
      <c r="W214" s="7" t="str">
        <f>_xlfn.XLOOKUP(C214,Sheet1!A:A,Sheet1!B:B, "Other")</f>
        <v>Asia</v>
      </c>
      <c r="X214" s="222" t="str">
        <f>_xlfn.XLOOKUP(D214,Sheet1!D:D,Sheet1!E:E,"Other")</f>
        <v>Other</v>
      </c>
    </row>
    <row r="215" spans="1:24">
      <c r="A215" s="7" t="s">
        <v>1005</v>
      </c>
      <c r="B215" s="7">
        <v>213</v>
      </c>
      <c r="C215" s="7" t="s">
        <v>161</v>
      </c>
      <c r="D215" s="109" t="s">
        <v>4494</v>
      </c>
      <c r="M215" s="7" t="str" cm="1">
        <f t="array" ref="M215">IF(N215="", "", IFERROR(MAX(--_xlfn.TEXTSPLIT(N215,"+")), N215))</f>
        <v/>
      </c>
      <c r="Q215" s="7" t="s">
        <v>1957</v>
      </c>
      <c r="R215" s="7" t="s">
        <v>4799</v>
      </c>
      <c r="S215" s="7" cm="1">
        <f t="array" ref="S215">IF(T215="", "", IFERROR(MAX(--_xlfn.TEXTSPLIT(T215,"+")), T215))</f>
        <v>2050</v>
      </c>
      <c r="T215" s="7">
        <v>2050</v>
      </c>
      <c r="U215" s="7">
        <v>2020</v>
      </c>
      <c r="V215" s="109" t="s">
        <v>4798</v>
      </c>
      <c r="W215" s="7" t="str">
        <f>_xlfn.XLOOKUP(C215,Sheet1!A:A,Sheet1!B:B, "Other")</f>
        <v>Other</v>
      </c>
      <c r="X215" s="222" t="str">
        <f>_xlfn.XLOOKUP(D215,Sheet1!D:D,Sheet1!E:E,"Other")</f>
        <v>Other</v>
      </c>
    </row>
    <row r="216" spans="1:24">
      <c r="A216" s="7" t="s">
        <v>1207</v>
      </c>
      <c r="B216" s="7">
        <v>214</v>
      </c>
      <c r="C216" s="7" t="s">
        <v>207</v>
      </c>
      <c r="D216" s="109" t="s">
        <v>4494</v>
      </c>
      <c r="K216" s="7" t="s">
        <v>4172</v>
      </c>
      <c r="L216" s="7" t="s">
        <v>4797</v>
      </c>
      <c r="M216" s="7" cm="1">
        <f t="array" ref="M216">IF(N216="", "", IFERROR(MAX(--_xlfn.TEXTSPLIT(N216,"+")), N216))</f>
        <v>2050</v>
      </c>
      <c r="N216" s="7">
        <v>2050</v>
      </c>
      <c r="O216" s="7">
        <v>2021</v>
      </c>
      <c r="P216" s="109" t="s">
        <v>4796</v>
      </c>
      <c r="S216" s="7" t="str" cm="1">
        <f t="array" ref="S216">IF(T216="", "", IFERROR(MAX(--_xlfn.TEXTSPLIT(T216,"+")), T216))</f>
        <v/>
      </c>
      <c r="W216" s="7" t="str">
        <f>_xlfn.XLOOKUP(C216,Sheet1!A:A,Sheet1!B:B, "Other")</f>
        <v>Asia</v>
      </c>
      <c r="X216" s="222" t="str">
        <f>_xlfn.XLOOKUP(D216,Sheet1!D:D,Sheet1!E:E,"Other")</f>
        <v>Other</v>
      </c>
    </row>
    <row r="217" spans="1:24">
      <c r="A217" s="7" t="s">
        <v>885</v>
      </c>
      <c r="B217" s="7">
        <v>215</v>
      </c>
      <c r="C217" s="7" t="s">
        <v>73</v>
      </c>
      <c r="D217" s="109" t="s">
        <v>4199</v>
      </c>
      <c r="M217" s="7" t="str" cm="1">
        <f t="array" ref="M217">IF(N217="", "", IFERROR(MAX(--_xlfn.TEXTSPLIT(N217,"+")), N217))</f>
        <v/>
      </c>
      <c r="S217" s="7" t="str" cm="1">
        <f t="array" ref="S217">IF(T217="", "", IFERROR(MAX(--_xlfn.TEXTSPLIT(T217,"+")), T217))</f>
        <v/>
      </c>
      <c r="W217" s="7" t="str">
        <f>_xlfn.XLOOKUP(C217,Sheet1!A:A,Sheet1!B:B, "Other")</f>
        <v>Asia</v>
      </c>
      <c r="X217" s="222" t="str">
        <f>_xlfn.XLOOKUP(D217,Sheet1!D:D,Sheet1!E:E,"Other")</f>
        <v>Other</v>
      </c>
    </row>
    <row r="218" spans="1:24">
      <c r="A218" s="7" t="s">
        <v>1300</v>
      </c>
      <c r="B218" s="7">
        <v>216</v>
      </c>
      <c r="C218" s="7" t="s">
        <v>1301</v>
      </c>
      <c r="D218" s="109" t="s">
        <v>3498</v>
      </c>
      <c r="M218" s="7" t="str" cm="1">
        <f t="array" ref="M218">IF(N218="", "", IFERROR(MAX(--_xlfn.TEXTSPLIT(N218,"+")), N218))</f>
        <v/>
      </c>
      <c r="Q218" s="7" t="s">
        <v>1957</v>
      </c>
      <c r="R218" s="7" t="s">
        <v>2425</v>
      </c>
      <c r="S218" s="7" cm="1">
        <f t="array" ref="S218">IF(T218="", "", IFERROR(MAX(--_xlfn.TEXTSPLIT(T218,"+")), T218))</f>
        <v>2050</v>
      </c>
      <c r="T218" s="7">
        <v>2050</v>
      </c>
      <c r="U218" s="7">
        <v>2020</v>
      </c>
      <c r="V218" s="109" t="s">
        <v>4795</v>
      </c>
      <c r="W218" s="7" t="str">
        <f>_xlfn.XLOOKUP(C218,Sheet1!A:A,Sheet1!B:B, "Other")</f>
        <v>Asia</v>
      </c>
      <c r="X218" s="222" t="str">
        <f>_xlfn.XLOOKUP(D218,Sheet1!D:D,Sheet1!E:E,"Other")</f>
        <v>Other</v>
      </c>
    </row>
    <row r="219" spans="1:24">
      <c r="A219" s="7" t="s">
        <v>549</v>
      </c>
      <c r="B219" s="7">
        <v>217</v>
      </c>
      <c r="C219" s="7" t="s">
        <v>73</v>
      </c>
      <c r="D219" s="109" t="s">
        <v>4494</v>
      </c>
      <c r="K219" s="7" t="s">
        <v>4519</v>
      </c>
      <c r="L219" s="7" t="s">
        <v>4518</v>
      </c>
      <c r="M219" s="7" cm="1">
        <f t="array" ref="M219">IF(N219="", "", IFERROR(MAX(--_xlfn.TEXTSPLIT(N219,"+")), N219))</f>
        <v>2060</v>
      </c>
      <c r="N219" s="7">
        <v>2060</v>
      </c>
      <c r="O219" s="7">
        <v>2021</v>
      </c>
      <c r="P219" s="109" t="s">
        <v>4794</v>
      </c>
      <c r="S219" s="7" t="str" cm="1">
        <f t="array" ref="S219">IF(T219="", "", IFERROR(MAX(--_xlfn.TEXTSPLIT(T219,"+")), T219))</f>
        <v/>
      </c>
      <c r="W219" s="7" t="str">
        <f>_xlfn.XLOOKUP(C219,Sheet1!A:A,Sheet1!B:B, "Other")</f>
        <v>Asia</v>
      </c>
      <c r="X219" s="222" t="str">
        <f>_xlfn.XLOOKUP(D219,Sheet1!D:D,Sheet1!E:E,"Other")</f>
        <v>Other</v>
      </c>
    </row>
    <row r="220" spans="1:24">
      <c r="A220" s="7" t="s">
        <v>1141</v>
      </c>
      <c r="B220" s="7">
        <v>218</v>
      </c>
      <c r="C220" s="7" t="s">
        <v>63</v>
      </c>
      <c r="D220" s="109" t="s">
        <v>4197</v>
      </c>
      <c r="H220" s="7" t="s">
        <v>4183</v>
      </c>
      <c r="I220" s="7">
        <v>2030</v>
      </c>
      <c r="J220" s="109">
        <v>2022</v>
      </c>
      <c r="K220" s="7" t="s">
        <v>1957</v>
      </c>
      <c r="L220" s="7" t="s">
        <v>4793</v>
      </c>
      <c r="M220" s="7" cm="1">
        <f t="array" ref="M220">IF(N220="", "", IFERROR(MAX(--_xlfn.TEXTSPLIT(N220,"+")), N220))</f>
        <v>2050</v>
      </c>
      <c r="N220" s="7">
        <v>2050</v>
      </c>
      <c r="O220" s="7">
        <v>2020</v>
      </c>
      <c r="P220" s="109" t="s">
        <v>4792</v>
      </c>
      <c r="S220" s="7" t="str" cm="1">
        <f t="array" ref="S220">IF(T220="", "", IFERROR(MAX(--_xlfn.TEXTSPLIT(T220,"+")), T220))</f>
        <v/>
      </c>
      <c r="W220" s="7" t="str">
        <f>_xlfn.XLOOKUP(C220,Sheet1!A:A,Sheet1!B:B, "Other")</f>
        <v>Europe</v>
      </c>
      <c r="X220" s="222" t="str">
        <f>_xlfn.XLOOKUP(D220,Sheet1!D:D,Sheet1!E:E,"Other")</f>
        <v>Other</v>
      </c>
    </row>
    <row r="221" spans="1:24">
      <c r="A221" s="7" t="s">
        <v>995</v>
      </c>
      <c r="B221" s="7">
        <v>219</v>
      </c>
      <c r="C221" s="7" t="s">
        <v>4457</v>
      </c>
      <c r="D221" s="109" t="s">
        <v>4455</v>
      </c>
      <c r="M221" s="7" t="str" cm="1">
        <f t="array" ref="M221">IF(N221="", "", IFERROR(MAX(--_xlfn.TEXTSPLIT(N221,"+")), N221))</f>
        <v/>
      </c>
      <c r="S221" s="7" t="str" cm="1">
        <f t="array" ref="S221">IF(T221="", "", IFERROR(MAX(--_xlfn.TEXTSPLIT(T221,"+")), T221))</f>
        <v/>
      </c>
      <c r="W221" s="7" t="str">
        <f>_xlfn.XLOOKUP(C221,Sheet1!A:A,Sheet1!B:B, "Other")</f>
        <v>North America</v>
      </c>
      <c r="X221" s="222" t="str">
        <f>_xlfn.XLOOKUP(D221,Sheet1!D:D,Sheet1!E:E,"Other")</f>
        <v>Other</v>
      </c>
    </row>
    <row r="222" spans="1:24">
      <c r="A222" s="7" t="s">
        <v>1249</v>
      </c>
      <c r="B222" s="7">
        <v>220</v>
      </c>
      <c r="C222" s="7" t="s">
        <v>63</v>
      </c>
      <c r="D222" s="109" t="s">
        <v>4465</v>
      </c>
      <c r="H222" s="7" t="s">
        <v>1957</v>
      </c>
      <c r="I222" s="7">
        <v>2030</v>
      </c>
      <c r="J222" s="109">
        <v>2016</v>
      </c>
      <c r="K222" s="7" t="s">
        <v>4172</v>
      </c>
      <c r="L222" s="7" t="s">
        <v>4243</v>
      </c>
      <c r="M222" s="7" cm="1">
        <f t="array" ref="M222">IF(N222="", "", IFERROR(MAX(--_xlfn.TEXTSPLIT(N222,"+")), N222))</f>
        <v>2050</v>
      </c>
      <c r="N222" s="7">
        <v>2050</v>
      </c>
      <c r="O222" s="7">
        <v>2021</v>
      </c>
      <c r="P222" s="109" t="s">
        <v>4791</v>
      </c>
      <c r="S222" s="7" t="str" cm="1">
        <f t="array" ref="S222">IF(T222="", "", IFERROR(MAX(--_xlfn.TEXTSPLIT(T222,"+")), T222))</f>
        <v/>
      </c>
      <c r="W222" s="7" t="str">
        <f>_xlfn.XLOOKUP(C222,Sheet1!A:A,Sheet1!B:B, "Other")</f>
        <v>Europe</v>
      </c>
      <c r="X222" s="222" t="str">
        <f>_xlfn.XLOOKUP(D222,Sheet1!D:D,Sheet1!E:E,"Other")</f>
        <v>Other</v>
      </c>
    </row>
    <row r="223" spans="1:24">
      <c r="A223" s="7" t="s">
        <v>1018</v>
      </c>
      <c r="B223" s="7">
        <v>221</v>
      </c>
      <c r="C223" s="7" t="s">
        <v>4457</v>
      </c>
      <c r="D223" s="109" t="s">
        <v>4201</v>
      </c>
      <c r="M223" s="7" t="str" cm="1">
        <f t="array" ref="M223">IF(N223="", "", IFERROR(MAX(--_xlfn.TEXTSPLIT(N223,"+")), N223))</f>
        <v/>
      </c>
      <c r="S223" s="7" t="str" cm="1">
        <f t="array" ref="S223">IF(T223="", "", IFERROR(MAX(--_xlfn.TEXTSPLIT(T223,"+")), T223))</f>
        <v/>
      </c>
      <c r="W223" s="7" t="str">
        <f>_xlfn.XLOOKUP(C223,Sheet1!A:A,Sheet1!B:B, "Other")</f>
        <v>North America</v>
      </c>
      <c r="X223" s="222" t="str">
        <f>_xlfn.XLOOKUP(D223,Sheet1!D:D,Sheet1!E:E,"Other")</f>
        <v>Other</v>
      </c>
    </row>
    <row r="224" spans="1:24">
      <c r="A224" s="7" t="s">
        <v>651</v>
      </c>
      <c r="B224" s="7">
        <v>222</v>
      </c>
      <c r="C224" s="7" t="s">
        <v>4195</v>
      </c>
      <c r="D224" s="109" t="s">
        <v>4465</v>
      </c>
      <c r="E224" s="7" t="s">
        <v>4174</v>
      </c>
      <c r="F224" s="7">
        <v>2020</v>
      </c>
      <c r="G224" s="109">
        <v>2019</v>
      </c>
      <c r="M224" s="7" t="str" cm="1">
        <f t="array" ref="M224">IF(N224="", "", IFERROR(MAX(--_xlfn.TEXTSPLIT(N224,"+")), N224))</f>
        <v/>
      </c>
      <c r="Q224" s="7" t="s">
        <v>4172</v>
      </c>
      <c r="R224" s="7" t="s">
        <v>4790</v>
      </c>
      <c r="S224" s="7" cm="1">
        <f t="array" ref="S224">IF(T224="", "", IFERROR(MAX(--_xlfn.TEXTSPLIT(T224,"+")), T224))</f>
        <v>2050</v>
      </c>
      <c r="T224" s="7">
        <v>2050</v>
      </c>
      <c r="U224" s="7">
        <v>2021</v>
      </c>
      <c r="V224" s="109" t="s">
        <v>4789</v>
      </c>
      <c r="W224" s="7" t="str">
        <f>_xlfn.XLOOKUP(C224,Sheet1!A:A,Sheet1!B:B, "Other")</f>
        <v>Europe</v>
      </c>
      <c r="X224" s="222" t="str">
        <f>_xlfn.XLOOKUP(D224,Sheet1!D:D,Sheet1!E:E,"Other")</f>
        <v>Other</v>
      </c>
    </row>
    <row r="225" spans="1:24">
      <c r="A225" s="7" t="s">
        <v>1241</v>
      </c>
      <c r="B225" s="7">
        <v>223</v>
      </c>
      <c r="C225" s="7" t="s">
        <v>1242</v>
      </c>
      <c r="D225" s="109" t="s">
        <v>3498</v>
      </c>
      <c r="M225" s="7" t="str" cm="1">
        <f t="array" ref="M225">IF(N225="", "", IFERROR(MAX(--_xlfn.TEXTSPLIT(N225,"+")), N225))</f>
        <v/>
      </c>
      <c r="S225" s="7" t="str" cm="1">
        <f t="array" ref="S225">IF(T225="", "", IFERROR(MAX(--_xlfn.TEXTSPLIT(T225,"+")), T225))</f>
        <v/>
      </c>
      <c r="W225" s="7" t="str">
        <f>_xlfn.XLOOKUP(C225,Sheet1!A:A,Sheet1!B:B, "Other")</f>
        <v>Asia</v>
      </c>
      <c r="X225" s="222" t="str">
        <f>_xlfn.XLOOKUP(D225,Sheet1!D:D,Sheet1!E:E,"Other")</f>
        <v>Other</v>
      </c>
    </row>
    <row r="226" spans="1:24">
      <c r="A226" s="7" t="s">
        <v>989</v>
      </c>
      <c r="B226" s="7">
        <v>224</v>
      </c>
      <c r="C226" s="7" t="s">
        <v>73</v>
      </c>
      <c r="D226" s="109" t="s">
        <v>4459</v>
      </c>
      <c r="K226" s="7" t="s">
        <v>4519</v>
      </c>
      <c r="L226" s="7" t="s">
        <v>4518</v>
      </c>
      <c r="M226" s="7" cm="1">
        <f t="array" ref="M226">IF(N226="", "", IFERROR(MAX(--_xlfn.TEXTSPLIT(N226,"+")), N226))</f>
        <v>2060</v>
      </c>
      <c r="N226" s="7">
        <v>2060</v>
      </c>
      <c r="P226" s="109" t="s">
        <v>4788</v>
      </c>
      <c r="S226" s="7" t="str" cm="1">
        <f t="array" ref="S226">IF(T226="", "", IFERROR(MAX(--_xlfn.TEXTSPLIT(T226,"+")), T226))</f>
        <v/>
      </c>
      <c r="W226" s="7" t="str">
        <f>_xlfn.XLOOKUP(C226,Sheet1!A:A,Sheet1!B:B, "Other")</f>
        <v>Asia</v>
      </c>
      <c r="X226" s="222" t="str">
        <f>_xlfn.XLOOKUP(D226,Sheet1!D:D,Sheet1!E:E,"Other")</f>
        <v>Other</v>
      </c>
    </row>
    <row r="227" spans="1:24">
      <c r="A227" s="7" t="s">
        <v>626</v>
      </c>
      <c r="B227" s="7">
        <v>225</v>
      </c>
      <c r="C227" s="7" t="s">
        <v>3277</v>
      </c>
      <c r="D227" s="109" t="s">
        <v>4459</v>
      </c>
      <c r="E227" s="7" t="s">
        <v>4174</v>
      </c>
      <c r="F227" s="7">
        <v>2050</v>
      </c>
      <c r="G227" s="109">
        <v>2020</v>
      </c>
      <c r="M227" s="7" t="str" cm="1">
        <f t="array" ref="M227">IF(N227="", "", IFERROR(MAX(--_xlfn.TEXTSPLIT(N227,"+")), N227))</f>
        <v/>
      </c>
      <c r="S227" s="7" t="str" cm="1">
        <f t="array" ref="S227">IF(T227="", "", IFERROR(MAX(--_xlfn.TEXTSPLIT(T227,"+")), T227))</f>
        <v/>
      </c>
      <c r="W227" s="7" t="str">
        <f>_xlfn.XLOOKUP(C227,Sheet1!A:A,Sheet1!B:B, "Other")</f>
        <v>Asia</v>
      </c>
      <c r="X227" s="222" t="str">
        <f>_xlfn.XLOOKUP(D227,Sheet1!D:D,Sheet1!E:E,"Other")</f>
        <v>Other</v>
      </c>
    </row>
    <row r="228" spans="1:24">
      <c r="A228" s="7" t="s">
        <v>1116</v>
      </c>
      <c r="B228" s="7">
        <v>226</v>
      </c>
      <c r="C228" s="7" t="s">
        <v>73</v>
      </c>
      <c r="D228" s="109" t="s">
        <v>4465</v>
      </c>
      <c r="M228" s="7" t="str" cm="1">
        <f t="array" ref="M228">IF(N228="", "", IFERROR(MAX(--_xlfn.TEXTSPLIT(N228,"+")), N228))</f>
        <v/>
      </c>
      <c r="S228" s="7" t="str" cm="1">
        <f t="array" ref="S228">IF(T228="", "", IFERROR(MAX(--_xlfn.TEXTSPLIT(T228,"+")), T228))</f>
        <v/>
      </c>
      <c r="W228" s="7" t="str">
        <f>_xlfn.XLOOKUP(C228,Sheet1!A:A,Sheet1!B:B, "Other")</f>
        <v>Asia</v>
      </c>
      <c r="X228" s="222" t="str">
        <f>_xlfn.XLOOKUP(D228,Sheet1!D:D,Sheet1!E:E,"Other")</f>
        <v>Other</v>
      </c>
    </row>
    <row r="229" spans="1:24">
      <c r="A229" s="7" t="s">
        <v>566</v>
      </c>
      <c r="B229" s="7">
        <v>227</v>
      </c>
      <c r="C229" s="7" t="s">
        <v>4457</v>
      </c>
      <c r="D229" s="109" t="s">
        <v>4201</v>
      </c>
      <c r="H229" s="7" t="s">
        <v>1957</v>
      </c>
      <c r="I229" s="7">
        <v>2030</v>
      </c>
      <c r="J229" s="109">
        <v>2021</v>
      </c>
      <c r="M229" s="7" t="str" cm="1">
        <f t="array" ref="M229">IF(N229="", "", IFERROR(MAX(--_xlfn.TEXTSPLIT(N229,"+")), N229))</f>
        <v/>
      </c>
      <c r="S229" s="7" t="str" cm="1">
        <f t="array" ref="S229">IF(T229="", "", IFERROR(MAX(--_xlfn.TEXTSPLIT(T229,"+")), T229))</f>
        <v/>
      </c>
      <c r="W229" s="7" t="str">
        <f>_xlfn.XLOOKUP(C229,Sheet1!A:A,Sheet1!B:B, "Other")</f>
        <v>North America</v>
      </c>
      <c r="X229" s="222" t="str">
        <f>_xlfn.XLOOKUP(D229,Sheet1!D:D,Sheet1!E:E,"Other")</f>
        <v>Other</v>
      </c>
    </row>
    <row r="230" spans="1:24">
      <c r="A230" s="7" t="s">
        <v>3555</v>
      </c>
      <c r="B230" s="7">
        <v>228</v>
      </c>
      <c r="C230" s="7" t="s">
        <v>63</v>
      </c>
      <c r="D230" s="109" t="s">
        <v>4179</v>
      </c>
      <c r="M230" s="7" t="str" cm="1">
        <f t="array" ref="M230">IF(N230="", "", IFERROR(MAX(--_xlfn.TEXTSPLIT(N230,"+")), N230))</f>
        <v/>
      </c>
      <c r="Q230" s="7" t="s">
        <v>4172</v>
      </c>
      <c r="R230" s="7" t="s">
        <v>4532</v>
      </c>
      <c r="S230" s="7" cm="1">
        <f t="array" ref="S230">IF(T230="", "", IFERROR(MAX(--_xlfn.TEXTSPLIT(T230,"+")), T230))</f>
        <v>2050</v>
      </c>
      <c r="T230" s="7">
        <v>2050</v>
      </c>
      <c r="U230" s="7">
        <v>2021</v>
      </c>
      <c r="V230" s="109" t="s">
        <v>4787</v>
      </c>
      <c r="W230" s="7" t="str">
        <f>_xlfn.XLOOKUP(C230,Sheet1!A:A,Sheet1!B:B, "Other")</f>
        <v>Europe</v>
      </c>
      <c r="X230" s="222" t="str">
        <f>_xlfn.XLOOKUP(D230,Sheet1!D:D,Sheet1!E:E,"Other")</f>
        <v>Other</v>
      </c>
    </row>
    <row r="231" spans="1:24">
      <c r="A231" s="7" t="s">
        <v>1102</v>
      </c>
      <c r="B231" s="7">
        <v>229</v>
      </c>
      <c r="C231" s="7" t="s">
        <v>73</v>
      </c>
      <c r="D231" s="109" t="s">
        <v>4476</v>
      </c>
      <c r="K231" s="7" t="s">
        <v>4172</v>
      </c>
      <c r="L231" s="7" t="s">
        <v>2760</v>
      </c>
      <c r="M231" s="7" cm="1">
        <f t="array" ref="M231">IF(N231="", "", IFERROR(MAX(--_xlfn.TEXTSPLIT(N231,"+")), N231))</f>
        <v>2045</v>
      </c>
      <c r="N231" s="7">
        <v>2045</v>
      </c>
      <c r="O231" s="7">
        <v>2021</v>
      </c>
      <c r="P231" s="109" t="s">
        <v>4786</v>
      </c>
      <c r="S231" s="7" t="str" cm="1">
        <f t="array" ref="S231">IF(T231="", "", IFERROR(MAX(--_xlfn.TEXTSPLIT(T231,"+")), T231))</f>
        <v/>
      </c>
      <c r="W231" s="7" t="str">
        <f>_xlfn.XLOOKUP(C231,Sheet1!A:A,Sheet1!B:B, "Other")</f>
        <v>Asia</v>
      </c>
      <c r="X231" s="222" t="str">
        <f>_xlfn.XLOOKUP(D231,Sheet1!D:D,Sheet1!E:E,"Other")</f>
        <v>Other</v>
      </c>
    </row>
    <row r="232" spans="1:24">
      <c r="A232" s="7" t="s">
        <v>1134</v>
      </c>
      <c r="B232" s="7">
        <v>230</v>
      </c>
      <c r="C232" s="7" t="s">
        <v>146</v>
      </c>
      <c r="D232" s="109" t="s">
        <v>4179</v>
      </c>
      <c r="H232" s="7" t="s">
        <v>4183</v>
      </c>
      <c r="I232" s="7">
        <v>2030</v>
      </c>
      <c r="J232" s="109">
        <v>2020</v>
      </c>
      <c r="K232" s="7" t="s">
        <v>1957</v>
      </c>
      <c r="L232" s="7" t="s">
        <v>2425</v>
      </c>
      <c r="M232" s="7" cm="1">
        <f t="array" ref="M232">IF(N232="", "", IFERROR(MAX(--_xlfn.TEXTSPLIT(N232,"+")), N232))</f>
        <v>2040</v>
      </c>
      <c r="N232" s="7">
        <v>2040</v>
      </c>
      <c r="O232" s="7">
        <v>2021</v>
      </c>
      <c r="P232" s="109" t="s">
        <v>4785</v>
      </c>
      <c r="S232" s="7" t="str" cm="1">
        <f t="array" ref="S232">IF(T232="", "", IFERROR(MAX(--_xlfn.TEXTSPLIT(T232,"+")), T232))</f>
        <v/>
      </c>
      <c r="W232" s="7" t="str">
        <f>_xlfn.XLOOKUP(C232,Sheet1!A:A,Sheet1!B:B, "Other")</f>
        <v>Europe</v>
      </c>
      <c r="X232" s="222" t="str">
        <f>_xlfn.XLOOKUP(D232,Sheet1!D:D,Sheet1!E:E,"Other")</f>
        <v>Other</v>
      </c>
    </row>
    <row r="233" spans="1:24">
      <c r="A233" s="7" t="s">
        <v>705</v>
      </c>
      <c r="B233" s="7">
        <v>231</v>
      </c>
      <c r="C233" s="7" t="s">
        <v>68</v>
      </c>
      <c r="D233" s="109" t="s">
        <v>4494</v>
      </c>
      <c r="H233" s="7" t="s">
        <v>1957</v>
      </c>
      <c r="I233" s="7">
        <v>2030</v>
      </c>
      <c r="J233" s="109">
        <v>2019</v>
      </c>
      <c r="M233" s="7" t="str" cm="1">
        <f t="array" ref="M233">IF(N233="", "", IFERROR(MAX(--_xlfn.TEXTSPLIT(N233,"+")), N233))</f>
        <v/>
      </c>
      <c r="Q233" s="7" t="s">
        <v>4172</v>
      </c>
      <c r="R233" s="7" t="s">
        <v>4532</v>
      </c>
      <c r="S233" s="7" cm="1">
        <f t="array" ref="S233">IF(T233="", "", IFERROR(MAX(--_xlfn.TEXTSPLIT(T233,"+")), T233))</f>
        <v>2050</v>
      </c>
      <c r="T233" s="7">
        <v>2050</v>
      </c>
      <c r="U233" s="7">
        <v>2019</v>
      </c>
      <c r="V233" s="109" t="s">
        <v>4784</v>
      </c>
      <c r="W233" s="7" t="str">
        <f>_xlfn.XLOOKUP(C233,Sheet1!A:A,Sheet1!B:B, "Other")</f>
        <v>Other</v>
      </c>
      <c r="X233" s="222" t="str">
        <f>_xlfn.XLOOKUP(D233,Sheet1!D:D,Sheet1!E:E,"Other")</f>
        <v>Other</v>
      </c>
    </row>
    <row r="234" spans="1:24">
      <c r="A234" s="7" t="s">
        <v>723</v>
      </c>
      <c r="B234" s="7">
        <v>232</v>
      </c>
      <c r="C234" s="7" t="s">
        <v>78</v>
      </c>
      <c r="D234" s="109" t="s">
        <v>4465</v>
      </c>
      <c r="M234" s="7" t="str" cm="1">
        <f t="array" ref="M234">IF(N234="", "", IFERROR(MAX(--_xlfn.TEXTSPLIT(N234,"+")), N234))</f>
        <v/>
      </c>
      <c r="S234" s="7" t="str" cm="1">
        <f t="array" ref="S234">IF(T234="", "", IFERROR(MAX(--_xlfn.TEXTSPLIT(T234,"+")), T234))</f>
        <v/>
      </c>
      <c r="W234" s="7" t="str">
        <f>_xlfn.XLOOKUP(C234,Sheet1!A:A,Sheet1!B:B, "Other")</f>
        <v>North America</v>
      </c>
      <c r="X234" s="222" t="str">
        <f>_xlfn.XLOOKUP(D234,Sheet1!D:D,Sheet1!E:E,"Other")</f>
        <v>Other</v>
      </c>
    </row>
    <row r="235" spans="1:24">
      <c r="A235" s="7" t="s">
        <v>611</v>
      </c>
      <c r="B235" s="7">
        <v>233</v>
      </c>
      <c r="C235" s="7" t="s">
        <v>73</v>
      </c>
      <c r="D235" s="109" t="s">
        <v>4260</v>
      </c>
      <c r="M235" s="7" t="str" cm="1">
        <f t="array" ref="M235">IF(N235="", "", IFERROR(MAX(--_xlfn.TEXTSPLIT(N235,"+")), N235))</f>
        <v/>
      </c>
      <c r="S235" s="7" t="str" cm="1">
        <f t="array" ref="S235">IF(T235="", "", IFERROR(MAX(--_xlfn.TEXTSPLIT(T235,"+")), T235))</f>
        <v/>
      </c>
      <c r="W235" s="7" t="str">
        <f>_xlfn.XLOOKUP(C235,Sheet1!A:A,Sheet1!B:B, "Other")</f>
        <v>Asia</v>
      </c>
      <c r="X235" s="222" t="str">
        <f>_xlfn.XLOOKUP(D235,Sheet1!D:D,Sheet1!E:E,"Other")</f>
        <v>Other</v>
      </c>
    </row>
    <row r="236" spans="1:24">
      <c r="A236" s="7" t="s">
        <v>1548</v>
      </c>
      <c r="B236" s="7">
        <v>234</v>
      </c>
      <c r="C236" s="7" t="s">
        <v>207</v>
      </c>
      <c r="D236" s="109" t="s">
        <v>4190</v>
      </c>
      <c r="H236" s="7" t="s">
        <v>4183</v>
      </c>
      <c r="I236" s="7">
        <v>2031</v>
      </c>
      <c r="J236" s="109">
        <v>2021</v>
      </c>
      <c r="K236" s="7" t="s">
        <v>1957</v>
      </c>
      <c r="L236" s="7" t="s">
        <v>2236</v>
      </c>
      <c r="M236" s="7" cm="1">
        <f t="array" ref="M236">IF(N236="", "", IFERROR(MAX(--_xlfn.TEXTSPLIT(N236,"+")), N236))</f>
        <v>2021</v>
      </c>
      <c r="N236" s="7">
        <v>2021</v>
      </c>
      <c r="O236" s="7">
        <v>2021</v>
      </c>
      <c r="P236" s="109" t="s">
        <v>4783</v>
      </c>
      <c r="S236" s="7" t="str" cm="1">
        <f t="array" ref="S236">IF(T236="", "", IFERROR(MAX(--_xlfn.TEXTSPLIT(T236,"+")), T236))</f>
        <v/>
      </c>
      <c r="W236" s="7" t="str">
        <f>_xlfn.XLOOKUP(C236,Sheet1!A:A,Sheet1!B:B, "Other")</f>
        <v>Asia</v>
      </c>
      <c r="X236" s="222" t="str">
        <f>_xlfn.XLOOKUP(D236,Sheet1!D:D,Sheet1!E:E,"Other")</f>
        <v>Other</v>
      </c>
    </row>
    <row r="237" spans="1:24">
      <c r="A237" s="7" t="s">
        <v>3385</v>
      </c>
      <c r="B237" s="7">
        <v>235</v>
      </c>
      <c r="C237" s="7" t="s">
        <v>4457</v>
      </c>
      <c r="D237" s="109" t="s">
        <v>66</v>
      </c>
      <c r="K237" s="7" t="s">
        <v>4172</v>
      </c>
      <c r="L237" s="7" t="s">
        <v>4532</v>
      </c>
      <c r="M237" s="7" cm="1">
        <f t="array" ref="M237">IF(N237="", "", IFERROR(MAX(--_xlfn.TEXTSPLIT(N237,"+")), N237))</f>
        <v>2050</v>
      </c>
      <c r="N237" s="7">
        <v>2050</v>
      </c>
      <c r="O237" s="7">
        <v>2020</v>
      </c>
      <c r="P237" s="109" t="s">
        <v>4782</v>
      </c>
      <c r="R237" s="7" t="s">
        <v>4615</v>
      </c>
      <c r="S237" s="7" t="str" cm="1">
        <f t="array" ref="S237">IF(T237="", "", IFERROR(MAX(--_xlfn.TEXTSPLIT(T237,"+")), T237))</f>
        <v/>
      </c>
      <c r="U237" s="7" t="s">
        <v>4615</v>
      </c>
      <c r="W237" s="7" t="str">
        <f>_xlfn.XLOOKUP(C237,Sheet1!A:A,Sheet1!B:B, "Other")</f>
        <v>North America</v>
      </c>
      <c r="X237" s="222" t="str">
        <f>_xlfn.XLOOKUP(D237,Sheet1!D:D,Sheet1!E:E,"Other")</f>
        <v>Chemicals</v>
      </c>
    </row>
    <row r="238" spans="1:24">
      <c r="A238" s="7" t="s">
        <v>1033</v>
      </c>
      <c r="B238" s="7">
        <v>236</v>
      </c>
      <c r="C238" s="7" t="s">
        <v>87</v>
      </c>
      <c r="D238" s="109" t="s">
        <v>4465</v>
      </c>
      <c r="K238" s="7" t="s">
        <v>1957</v>
      </c>
      <c r="L238" s="7" t="s">
        <v>4781</v>
      </c>
      <c r="M238" s="7" cm="1">
        <f t="array" ref="M238">IF(N238="", "", IFERROR(MAX(--_xlfn.TEXTSPLIT(N238,"+")), N238))</f>
        <v>2030</v>
      </c>
      <c r="N238" s="7">
        <v>2030</v>
      </c>
      <c r="O238" s="7">
        <v>2018</v>
      </c>
      <c r="P238" s="109" t="s">
        <v>4780</v>
      </c>
      <c r="S238" s="7" t="str" cm="1">
        <f t="array" ref="S238">IF(T238="", "", IFERROR(MAX(--_xlfn.TEXTSPLIT(T238,"+")), T238))</f>
        <v/>
      </c>
      <c r="W238" s="7" t="str">
        <f>_xlfn.XLOOKUP(C238,Sheet1!A:A,Sheet1!B:B, "Other")</f>
        <v>Asia</v>
      </c>
      <c r="X238" s="222" t="str">
        <f>_xlfn.XLOOKUP(D238,Sheet1!D:D,Sheet1!E:E,"Other")</f>
        <v>Other</v>
      </c>
    </row>
    <row r="239" spans="1:24">
      <c r="A239" s="7" t="s">
        <v>1354</v>
      </c>
      <c r="B239" s="7">
        <v>237</v>
      </c>
      <c r="C239" s="7" t="s">
        <v>63</v>
      </c>
      <c r="D239" s="109" t="s">
        <v>4476</v>
      </c>
      <c r="H239" s="7" t="s">
        <v>4183</v>
      </c>
      <c r="I239" s="7">
        <v>2030</v>
      </c>
      <c r="J239" s="109">
        <v>2019</v>
      </c>
      <c r="K239" s="7" t="s">
        <v>4172</v>
      </c>
      <c r="L239" s="7" t="s">
        <v>25</v>
      </c>
      <c r="M239" s="7" cm="1">
        <f t="array" ref="M239">IF(N239="", "", IFERROR(MAX(--_xlfn.TEXTSPLIT(N239,"+")), N239))</f>
        <v>2050</v>
      </c>
      <c r="N239" s="7">
        <v>2050</v>
      </c>
      <c r="O239" s="7">
        <v>2019</v>
      </c>
      <c r="P239" s="109" t="s">
        <v>4779</v>
      </c>
      <c r="S239" s="7" t="str" cm="1">
        <f t="array" ref="S239">IF(T239="", "", IFERROR(MAX(--_xlfn.TEXTSPLIT(T239,"+")), T239))</f>
        <v/>
      </c>
      <c r="W239" s="7" t="str">
        <f>_xlfn.XLOOKUP(C239,Sheet1!A:A,Sheet1!B:B, "Other")</f>
        <v>Europe</v>
      </c>
      <c r="X239" s="222" t="str">
        <f>_xlfn.XLOOKUP(D239,Sheet1!D:D,Sheet1!E:E,"Other")</f>
        <v>Other</v>
      </c>
    </row>
    <row r="240" spans="1:24">
      <c r="A240" s="7" t="s">
        <v>632</v>
      </c>
      <c r="B240" s="7">
        <v>238</v>
      </c>
      <c r="C240" s="7" t="s">
        <v>73</v>
      </c>
      <c r="D240" s="109" t="s">
        <v>4494</v>
      </c>
      <c r="M240" s="7" t="str" cm="1">
        <f t="array" ref="M240">IF(N240="", "", IFERROR(MAX(--_xlfn.TEXTSPLIT(N240,"+")), N240))</f>
        <v/>
      </c>
      <c r="S240" s="7" t="str" cm="1">
        <f t="array" ref="S240">IF(T240="", "", IFERROR(MAX(--_xlfn.TEXTSPLIT(T240,"+")), T240))</f>
        <v/>
      </c>
      <c r="W240" s="7" t="str">
        <f>_xlfn.XLOOKUP(C240,Sheet1!A:A,Sheet1!B:B, "Other")</f>
        <v>Asia</v>
      </c>
      <c r="X240" s="222" t="str">
        <f>_xlfn.XLOOKUP(D240,Sheet1!D:D,Sheet1!E:E,"Other")</f>
        <v>Other</v>
      </c>
    </row>
    <row r="241" spans="1:24">
      <c r="A241" s="7" t="s">
        <v>1188</v>
      </c>
      <c r="B241" s="7">
        <v>239</v>
      </c>
      <c r="C241" s="7" t="s">
        <v>1192</v>
      </c>
      <c r="D241" s="109" t="s">
        <v>4455</v>
      </c>
      <c r="E241" s="7" t="s">
        <v>4174</v>
      </c>
      <c r="F241" s="7">
        <v>2025</v>
      </c>
      <c r="G241" s="109">
        <v>2017</v>
      </c>
      <c r="H241" s="7" t="s">
        <v>4183</v>
      </c>
      <c r="I241" s="7">
        <v>2025</v>
      </c>
      <c r="J241" s="109">
        <v>2018</v>
      </c>
      <c r="M241" s="7" t="str" cm="1">
        <f t="array" ref="M241">IF(N241="", "", IFERROR(MAX(--_xlfn.TEXTSPLIT(N241,"+")), N241))</f>
        <v/>
      </c>
      <c r="Q241" s="7" t="s">
        <v>4172</v>
      </c>
      <c r="R241" s="7" t="s">
        <v>4332</v>
      </c>
      <c r="S241" s="7" cm="1">
        <f t="array" ref="S241">IF(T241="", "", IFERROR(MAX(--_xlfn.TEXTSPLIT(T241,"+")), T241))</f>
        <v>2040</v>
      </c>
      <c r="T241" s="7">
        <v>2040</v>
      </c>
      <c r="U241" s="7">
        <v>2021</v>
      </c>
      <c r="V241" s="109" t="s">
        <v>4778</v>
      </c>
      <c r="W241" s="7" t="str">
        <f>_xlfn.XLOOKUP(C241,Sheet1!A:A,Sheet1!B:B, "Other")</f>
        <v>Other</v>
      </c>
      <c r="X241" s="222" t="str">
        <f>_xlfn.XLOOKUP(D241,Sheet1!D:D,Sheet1!E:E,"Other")</f>
        <v>Other</v>
      </c>
    </row>
    <row r="242" spans="1:24">
      <c r="A242" s="7" t="s">
        <v>1279</v>
      </c>
      <c r="B242" s="7">
        <v>240</v>
      </c>
      <c r="C242" s="7" t="s">
        <v>207</v>
      </c>
      <c r="D242" s="109" t="s">
        <v>4465</v>
      </c>
      <c r="M242" s="7" t="str" cm="1">
        <f t="array" ref="M242">IF(N242="", "", IFERROR(MAX(--_xlfn.TEXTSPLIT(N242,"+")), N242))</f>
        <v/>
      </c>
      <c r="Q242" s="7" t="s">
        <v>4504</v>
      </c>
      <c r="R242" s="7" t="s">
        <v>4777</v>
      </c>
      <c r="S242" s="7" cm="1">
        <f t="array" ref="S242">IF(T242="", "", IFERROR(MAX(--_xlfn.TEXTSPLIT(T242,"+")), T242))</f>
        <v>2050</v>
      </c>
      <c r="T242" s="7" t="s">
        <v>4502</v>
      </c>
      <c r="U242" s="7" t="s">
        <v>4501</v>
      </c>
      <c r="V242" s="109" t="s">
        <v>4776</v>
      </c>
      <c r="W242" s="7" t="str">
        <f>_xlfn.XLOOKUP(C242,Sheet1!A:A,Sheet1!B:B, "Other")</f>
        <v>Asia</v>
      </c>
      <c r="X242" s="222" t="str">
        <f>_xlfn.XLOOKUP(D242,Sheet1!D:D,Sheet1!E:E,"Other")</f>
        <v>Other</v>
      </c>
    </row>
    <row r="243" spans="1:24">
      <c r="A243" s="7" t="s">
        <v>2434</v>
      </c>
      <c r="B243" s="7">
        <v>241</v>
      </c>
      <c r="C243" s="7" t="s">
        <v>73</v>
      </c>
      <c r="D243" s="109" t="s">
        <v>66</v>
      </c>
      <c r="M243" s="7" t="str" cm="1">
        <f t="array" ref="M243">IF(N243="", "", IFERROR(MAX(--_xlfn.TEXTSPLIT(N243,"+")), N243))</f>
        <v/>
      </c>
      <c r="S243" s="7" t="str" cm="1">
        <f t="array" ref="S243">IF(T243="", "", IFERROR(MAX(--_xlfn.TEXTSPLIT(T243,"+")), T243))</f>
        <v/>
      </c>
      <c r="W243" s="7" t="str">
        <f>_xlfn.XLOOKUP(C243,Sheet1!A:A,Sheet1!B:B, "Other")</f>
        <v>Asia</v>
      </c>
      <c r="X243" s="222" t="str">
        <f>_xlfn.XLOOKUP(D243,Sheet1!D:D,Sheet1!E:E,"Other")</f>
        <v>Chemicals</v>
      </c>
    </row>
    <row r="244" spans="1:24">
      <c r="A244" s="7" t="s">
        <v>4222</v>
      </c>
      <c r="B244" s="7">
        <v>242</v>
      </c>
      <c r="C244" s="7" t="s">
        <v>4457</v>
      </c>
      <c r="D244" s="109" t="s">
        <v>4476</v>
      </c>
      <c r="H244" s="7" t="s">
        <v>1957</v>
      </c>
      <c r="I244" s="7">
        <v>2030</v>
      </c>
      <c r="J244" s="109">
        <v>2021</v>
      </c>
      <c r="M244" s="7" t="str" cm="1">
        <f t="array" ref="M244">IF(N244="", "", IFERROR(MAX(--_xlfn.TEXTSPLIT(N244,"+")), N244))</f>
        <v/>
      </c>
      <c r="S244" s="7" t="str" cm="1">
        <f t="array" ref="S244">IF(T244="", "", IFERROR(MAX(--_xlfn.TEXTSPLIT(T244,"+")), T244))</f>
        <v/>
      </c>
      <c r="W244" s="7" t="str">
        <f>_xlfn.XLOOKUP(C244,Sheet1!A:A,Sheet1!B:B, "Other")</f>
        <v>North America</v>
      </c>
      <c r="X244" s="222" t="str">
        <f>_xlfn.XLOOKUP(D244,Sheet1!D:D,Sheet1!E:E,"Other")</f>
        <v>Other</v>
      </c>
    </row>
    <row r="245" spans="1:24">
      <c r="A245" s="7" t="s">
        <v>4392</v>
      </c>
      <c r="B245" s="7">
        <v>243</v>
      </c>
      <c r="C245" s="7" t="s">
        <v>73</v>
      </c>
      <c r="D245" s="109" t="s">
        <v>4179</v>
      </c>
      <c r="M245" s="7" t="str" cm="1">
        <f t="array" ref="M245">IF(N245="", "", IFERROR(MAX(--_xlfn.TEXTSPLIT(N245,"+")), N245))</f>
        <v/>
      </c>
      <c r="S245" s="7" t="str" cm="1">
        <f t="array" ref="S245">IF(T245="", "", IFERROR(MAX(--_xlfn.TEXTSPLIT(T245,"+")), T245))</f>
        <v/>
      </c>
      <c r="W245" s="7" t="str">
        <f>_xlfn.XLOOKUP(C245,Sheet1!A:A,Sheet1!B:B, "Other")</f>
        <v>Asia</v>
      </c>
      <c r="X245" s="222" t="str">
        <f>_xlfn.XLOOKUP(D245,Sheet1!D:D,Sheet1!E:E,"Other")</f>
        <v>Other</v>
      </c>
    </row>
    <row r="246" spans="1:24">
      <c r="A246" s="7" t="s">
        <v>900</v>
      </c>
      <c r="B246" s="7">
        <v>244</v>
      </c>
      <c r="C246" s="7" t="s">
        <v>146</v>
      </c>
      <c r="D246" s="109" t="s">
        <v>4465</v>
      </c>
      <c r="M246" s="7" t="str" cm="1">
        <f t="array" ref="M246">IF(N246="", "", IFERROR(MAX(--_xlfn.TEXTSPLIT(N246,"+")), N246))</f>
        <v/>
      </c>
      <c r="Q246" s="7" t="s">
        <v>4504</v>
      </c>
      <c r="R246" s="7" t="s">
        <v>4775</v>
      </c>
      <c r="S246" s="7" cm="1">
        <f t="array" ref="S246">IF(T246="", "", IFERROR(MAX(--_xlfn.TEXTSPLIT(T246,"+")), T246))</f>
        <v>2050</v>
      </c>
      <c r="T246" s="7" t="s">
        <v>4502</v>
      </c>
      <c r="U246" s="7" t="s">
        <v>4501</v>
      </c>
      <c r="V246" s="109" t="s">
        <v>4774</v>
      </c>
      <c r="W246" s="7" t="str">
        <f>_xlfn.XLOOKUP(C246,Sheet1!A:A,Sheet1!B:B, "Other")</f>
        <v>Europe</v>
      </c>
      <c r="X246" s="222" t="str">
        <f>_xlfn.XLOOKUP(D246,Sheet1!D:D,Sheet1!E:E,"Other")</f>
        <v>Other</v>
      </c>
    </row>
    <row r="247" spans="1:24">
      <c r="A247" s="7" t="s">
        <v>780</v>
      </c>
      <c r="B247" s="7">
        <v>245</v>
      </c>
      <c r="C247" s="7" t="s">
        <v>73</v>
      </c>
      <c r="D247" s="109" t="s">
        <v>4459</v>
      </c>
      <c r="K247" s="7" t="s">
        <v>4519</v>
      </c>
      <c r="L247" s="7" t="s">
        <v>2760</v>
      </c>
      <c r="M247" s="7" cm="1">
        <f t="array" ref="M247">IF(N247="", "", IFERROR(MAX(--_xlfn.TEXTSPLIT(N247,"+")), N247))</f>
        <v>2060</v>
      </c>
      <c r="N247" s="7">
        <v>2060</v>
      </c>
      <c r="O247" s="7">
        <v>2021</v>
      </c>
      <c r="P247" s="109" t="s">
        <v>4773</v>
      </c>
      <c r="S247" s="7" t="str" cm="1">
        <f t="array" ref="S247">IF(T247="", "", IFERROR(MAX(--_xlfn.TEXTSPLIT(T247,"+")), T247))</f>
        <v/>
      </c>
      <c r="W247" s="7" t="str">
        <f>_xlfn.XLOOKUP(C247,Sheet1!A:A,Sheet1!B:B, "Other")</f>
        <v>Asia</v>
      </c>
      <c r="X247" s="222" t="str">
        <f>_xlfn.XLOOKUP(D247,Sheet1!D:D,Sheet1!E:E,"Other")</f>
        <v>Other</v>
      </c>
    </row>
    <row r="248" spans="1:24">
      <c r="A248" s="7" t="s">
        <v>798</v>
      </c>
      <c r="B248" s="7">
        <v>246</v>
      </c>
      <c r="C248" s="7" t="s">
        <v>4457</v>
      </c>
      <c r="D248" s="109" t="s">
        <v>4465</v>
      </c>
      <c r="M248" s="7" t="str" cm="1">
        <f t="array" ref="M248">IF(N248="", "", IFERROR(MAX(--_xlfn.TEXTSPLIT(N248,"+")), N248))</f>
        <v/>
      </c>
      <c r="S248" s="7" t="str" cm="1">
        <f t="array" ref="S248">IF(T248="", "", IFERROR(MAX(--_xlfn.TEXTSPLIT(T248,"+")), T248))</f>
        <v/>
      </c>
      <c r="W248" s="7" t="str">
        <f>_xlfn.XLOOKUP(C248,Sheet1!A:A,Sheet1!B:B, "Other")</f>
        <v>North America</v>
      </c>
      <c r="X248" s="222" t="str">
        <f>_xlfn.XLOOKUP(D248,Sheet1!D:D,Sheet1!E:E,"Other")</f>
        <v>Other</v>
      </c>
    </row>
    <row r="249" spans="1:24">
      <c r="A249" s="7" t="s">
        <v>1111</v>
      </c>
      <c r="B249" s="7">
        <v>247</v>
      </c>
      <c r="C249" s="7" t="s">
        <v>4195</v>
      </c>
      <c r="D249" s="109" t="s">
        <v>4190</v>
      </c>
      <c r="E249" s="7" t="s">
        <v>4174</v>
      </c>
      <c r="F249" s="7">
        <v>2025</v>
      </c>
      <c r="G249" s="109">
        <v>2018</v>
      </c>
      <c r="H249" s="7" t="s">
        <v>4183</v>
      </c>
      <c r="I249" s="7">
        <v>2025</v>
      </c>
      <c r="J249" s="109">
        <v>2020</v>
      </c>
      <c r="M249" s="7" t="str" cm="1">
        <f t="array" ref="M249">IF(N249="", "", IFERROR(MAX(--_xlfn.TEXTSPLIT(N249,"+")), N249))</f>
        <v/>
      </c>
      <c r="Q249" s="7" t="s">
        <v>1957</v>
      </c>
      <c r="R249" s="7" t="s">
        <v>2425</v>
      </c>
      <c r="S249" s="7" cm="1">
        <f t="array" ref="S249">IF(T249="", "", IFERROR(MAX(--_xlfn.TEXTSPLIT(T249,"+")), T249))</f>
        <v>2040</v>
      </c>
      <c r="T249" s="7">
        <v>2040</v>
      </c>
      <c r="U249" s="7">
        <v>2019</v>
      </c>
      <c r="V249" s="109" t="s">
        <v>4772</v>
      </c>
      <c r="W249" s="7" t="str">
        <f>_xlfn.XLOOKUP(C249,Sheet1!A:A,Sheet1!B:B, "Other")</f>
        <v>Europe</v>
      </c>
      <c r="X249" s="222" t="str">
        <f>_xlfn.XLOOKUP(D249,Sheet1!D:D,Sheet1!E:E,"Other")</f>
        <v>Other</v>
      </c>
    </row>
    <row r="250" spans="1:24">
      <c r="A250" s="7" t="s">
        <v>1155</v>
      </c>
      <c r="B250" s="7">
        <v>248</v>
      </c>
      <c r="C250" s="7" t="s">
        <v>287</v>
      </c>
      <c r="D250" s="109" t="s">
        <v>4201</v>
      </c>
      <c r="E250" s="7" t="s">
        <v>4174</v>
      </c>
      <c r="F250" s="7">
        <v>2025</v>
      </c>
      <c r="G250" s="109">
        <v>2021</v>
      </c>
      <c r="H250" s="7" t="s">
        <v>4183</v>
      </c>
      <c r="I250" s="7">
        <v>2030</v>
      </c>
      <c r="J250" s="109">
        <v>2022</v>
      </c>
      <c r="K250" s="7" t="s">
        <v>4573</v>
      </c>
      <c r="L250" s="7" t="s">
        <v>4771</v>
      </c>
      <c r="M250" s="7" cm="1">
        <f t="array" ref="M250">IF(N250="", "", IFERROR(MAX(--_xlfn.TEXTSPLIT(N250,"+")), N250))</f>
        <v>2030</v>
      </c>
      <c r="N250" s="7" t="s">
        <v>4622</v>
      </c>
      <c r="O250" s="7" t="s">
        <v>4606</v>
      </c>
      <c r="P250" s="109" t="s">
        <v>4770</v>
      </c>
      <c r="Q250" s="7" t="s">
        <v>4172</v>
      </c>
      <c r="R250" s="7" t="s">
        <v>2760</v>
      </c>
      <c r="S250" s="7" cm="1">
        <f t="array" ref="S250">IF(T250="", "", IFERROR(MAX(--_xlfn.TEXTSPLIT(T250,"+")), T250))</f>
        <v>2040</v>
      </c>
      <c r="T250" s="7">
        <v>2040</v>
      </c>
      <c r="U250" s="7">
        <v>2021</v>
      </c>
      <c r="V250" s="109" t="s">
        <v>4770</v>
      </c>
      <c r="W250" s="7" t="str">
        <f>_xlfn.XLOOKUP(C250,Sheet1!A:A,Sheet1!B:B, "Other")</f>
        <v>Europe</v>
      </c>
      <c r="X250" s="222" t="str">
        <f>_xlfn.XLOOKUP(D250,Sheet1!D:D,Sheet1!E:E,"Other")</f>
        <v>Other</v>
      </c>
    </row>
    <row r="251" spans="1:24">
      <c r="A251" s="7" t="s">
        <v>1186</v>
      </c>
      <c r="B251" s="7">
        <v>249</v>
      </c>
      <c r="C251" s="7" t="s">
        <v>114</v>
      </c>
      <c r="D251" s="109" t="s">
        <v>4199</v>
      </c>
      <c r="K251" s="7" t="s">
        <v>4172</v>
      </c>
      <c r="L251" s="7" t="s">
        <v>4769</v>
      </c>
      <c r="M251" s="7" cm="1">
        <f t="array" ref="M251">IF(N251="", "", IFERROR(MAX(--_xlfn.TEXTSPLIT(N251,"+")), N251))</f>
        <v>2050</v>
      </c>
      <c r="N251" s="7">
        <v>2050</v>
      </c>
      <c r="O251" s="7">
        <v>2021</v>
      </c>
      <c r="P251" s="109" t="s">
        <v>4768</v>
      </c>
      <c r="S251" s="7" t="str" cm="1">
        <f t="array" ref="S251">IF(T251="", "", IFERROR(MAX(--_xlfn.TEXTSPLIT(T251,"+")), T251))</f>
        <v/>
      </c>
      <c r="W251" s="7" t="str">
        <f>_xlfn.XLOOKUP(C251,Sheet1!A:A,Sheet1!B:B, "Other")</f>
        <v>Asia</v>
      </c>
      <c r="X251" s="222" t="str">
        <f>_xlfn.XLOOKUP(D251,Sheet1!D:D,Sheet1!E:E,"Other")</f>
        <v>Other</v>
      </c>
    </row>
    <row r="252" spans="1:24">
      <c r="A252" s="7" t="s">
        <v>649</v>
      </c>
      <c r="B252" s="7">
        <v>250</v>
      </c>
      <c r="C252" s="7" t="s">
        <v>207</v>
      </c>
      <c r="D252" s="109" t="s">
        <v>3498</v>
      </c>
      <c r="K252" s="7" t="s">
        <v>4172</v>
      </c>
      <c r="L252" s="7" t="s">
        <v>1435</v>
      </c>
      <c r="M252" s="7" cm="1">
        <f t="array" ref="M252">IF(N252="", "", IFERROR(MAX(--_xlfn.TEXTSPLIT(N252,"+")), N252))</f>
        <v>2050</v>
      </c>
      <c r="N252" s="7">
        <v>2050</v>
      </c>
      <c r="O252" s="7">
        <v>2021</v>
      </c>
      <c r="P252" s="109" t="s">
        <v>4767</v>
      </c>
      <c r="R252" s="7" t="s">
        <v>4615</v>
      </c>
      <c r="S252" s="7" t="str" cm="1">
        <f t="array" ref="S252">IF(T252="", "", IFERROR(MAX(--_xlfn.TEXTSPLIT(T252,"+")), T252))</f>
        <v/>
      </c>
      <c r="U252" s="7" t="s">
        <v>4615</v>
      </c>
      <c r="W252" s="7" t="str">
        <f>_xlfn.XLOOKUP(C252,Sheet1!A:A,Sheet1!B:B, "Other")</f>
        <v>Asia</v>
      </c>
      <c r="X252" s="222" t="str">
        <f>_xlfn.XLOOKUP(D252,Sheet1!D:D,Sheet1!E:E,"Other")</f>
        <v>Other</v>
      </c>
    </row>
    <row r="253" spans="1:24">
      <c r="A253" s="7" t="s">
        <v>1161</v>
      </c>
      <c r="B253" s="7">
        <v>251</v>
      </c>
      <c r="C253" s="7" t="s">
        <v>267</v>
      </c>
      <c r="D253" s="109" t="s">
        <v>3498</v>
      </c>
      <c r="M253" s="7" t="str" cm="1">
        <f t="array" ref="M253">IF(N253="", "", IFERROR(MAX(--_xlfn.TEXTSPLIT(N253,"+")), N253))</f>
        <v/>
      </c>
      <c r="Q253" s="7" t="s">
        <v>4172</v>
      </c>
      <c r="R253" s="7" t="s">
        <v>4532</v>
      </c>
      <c r="S253" s="7" cm="1">
        <f t="array" ref="S253">IF(T253="", "", IFERROR(MAX(--_xlfn.TEXTSPLIT(T253,"+")), T253))</f>
        <v>2050</v>
      </c>
      <c r="T253" s="7">
        <v>2050</v>
      </c>
      <c r="U253" s="7">
        <v>2021</v>
      </c>
      <c r="V253" s="109" t="s">
        <v>4766</v>
      </c>
      <c r="W253" s="7" t="str">
        <f>_xlfn.XLOOKUP(C253,Sheet1!A:A,Sheet1!B:B, "Other")</f>
        <v>Europe</v>
      </c>
      <c r="X253" s="222" t="str">
        <f>_xlfn.XLOOKUP(D253,Sheet1!D:D,Sheet1!E:E,"Other")</f>
        <v>Other</v>
      </c>
    </row>
    <row r="254" spans="1:24">
      <c r="A254" s="7" t="s">
        <v>1074</v>
      </c>
      <c r="B254" s="7">
        <v>252</v>
      </c>
      <c r="C254" s="7" t="s">
        <v>63</v>
      </c>
      <c r="D254" s="109" t="s">
        <v>4459</v>
      </c>
      <c r="H254" s="7" t="s">
        <v>4183</v>
      </c>
      <c r="I254" s="7">
        <v>2030</v>
      </c>
      <c r="J254" s="109">
        <v>2020</v>
      </c>
      <c r="M254" s="7" t="str" cm="1">
        <f t="array" ref="M254">IF(N254="", "", IFERROR(MAX(--_xlfn.TEXTSPLIT(N254,"+")), N254))</f>
        <v/>
      </c>
      <c r="Q254" s="7" t="s">
        <v>4516</v>
      </c>
      <c r="R254" s="7" t="s">
        <v>4765</v>
      </c>
      <c r="S254" s="7" cm="1">
        <f t="array" ref="S254">IF(T254="", "", IFERROR(MAX(--_xlfn.TEXTSPLIT(T254,"+")), T254))</f>
        <v>2050</v>
      </c>
      <c r="T254" s="7">
        <v>2050</v>
      </c>
      <c r="U254" s="7">
        <v>2019</v>
      </c>
      <c r="V254" s="109" t="s">
        <v>4764</v>
      </c>
      <c r="W254" s="7" t="str">
        <f>_xlfn.XLOOKUP(C254,Sheet1!A:A,Sheet1!B:B, "Other")</f>
        <v>Europe</v>
      </c>
      <c r="X254" s="222" t="str">
        <f>_xlfn.XLOOKUP(D254,Sheet1!D:D,Sheet1!E:E,"Other")</f>
        <v>Other</v>
      </c>
    </row>
    <row r="255" spans="1:24">
      <c r="A255" s="7" t="s">
        <v>1085</v>
      </c>
      <c r="B255" s="7">
        <v>253</v>
      </c>
      <c r="C255" s="7" t="s">
        <v>207</v>
      </c>
      <c r="D255" s="109" t="s">
        <v>4465</v>
      </c>
      <c r="H255" s="7" t="s">
        <v>1957</v>
      </c>
      <c r="I255" s="7">
        <v>2030</v>
      </c>
      <c r="J255" s="109">
        <v>2018</v>
      </c>
      <c r="K255" s="7" t="s">
        <v>1957</v>
      </c>
      <c r="L255" s="7" t="s">
        <v>4596</v>
      </c>
      <c r="M255" s="7" cm="1">
        <f t="array" ref="M255">IF(N255="", "", IFERROR(MAX(--_xlfn.TEXTSPLIT(N255,"+")), N255))</f>
        <v>2013</v>
      </c>
      <c r="N255" s="7">
        <v>2013</v>
      </c>
      <c r="O255" s="7">
        <v>2013</v>
      </c>
      <c r="P255" s="109" t="s">
        <v>4763</v>
      </c>
      <c r="Q255" s="7" t="s">
        <v>4172</v>
      </c>
      <c r="R255" s="7" t="s">
        <v>4762</v>
      </c>
      <c r="S255" s="7" cm="1">
        <f t="array" ref="S255">IF(T255="", "", IFERROR(MAX(--_xlfn.TEXTSPLIT(T255,"+")), T255))</f>
        <v>2050</v>
      </c>
      <c r="T255" s="7">
        <v>2050</v>
      </c>
      <c r="U255" s="7">
        <v>2022</v>
      </c>
      <c r="V255" s="109" t="s">
        <v>4761</v>
      </c>
      <c r="W255" s="7" t="str">
        <f>_xlfn.XLOOKUP(C255,Sheet1!A:A,Sheet1!B:B, "Other")</f>
        <v>Asia</v>
      </c>
      <c r="X255" s="222" t="str">
        <f>_xlfn.XLOOKUP(D255,Sheet1!D:D,Sheet1!E:E,"Other")</f>
        <v>Other</v>
      </c>
    </row>
    <row r="256" spans="1:24">
      <c r="A256" s="7" t="s">
        <v>1019</v>
      </c>
      <c r="B256" s="7">
        <v>254</v>
      </c>
      <c r="C256" s="7" t="s">
        <v>146</v>
      </c>
      <c r="D256" s="109" t="s">
        <v>4201</v>
      </c>
      <c r="H256" s="7" t="s">
        <v>4183</v>
      </c>
      <c r="I256" s="7">
        <v>2029</v>
      </c>
      <c r="J256" s="109">
        <v>2020</v>
      </c>
      <c r="K256" s="7" t="s">
        <v>1957</v>
      </c>
      <c r="L256" s="7" t="s">
        <v>4223</v>
      </c>
      <c r="M256" s="7" cm="1">
        <f t="array" ref="M256">IF(N256="", "", IFERROR(MAX(--_xlfn.TEXTSPLIT(N256,"+")), N256))</f>
        <v>2030</v>
      </c>
      <c r="N256" s="7">
        <v>2030</v>
      </c>
      <c r="O256" s="7">
        <v>2019</v>
      </c>
      <c r="P256" s="109" t="s">
        <v>4760</v>
      </c>
      <c r="Q256" s="7" t="s">
        <v>4172</v>
      </c>
      <c r="R256" s="7" t="s">
        <v>4411</v>
      </c>
      <c r="S256" s="7" cm="1">
        <f t="array" ref="S256">IF(T256="", "", IFERROR(MAX(--_xlfn.TEXTSPLIT(T256,"+")), T256))</f>
        <v>2050</v>
      </c>
      <c r="T256" s="7">
        <v>2050</v>
      </c>
      <c r="U256" s="7">
        <v>2020</v>
      </c>
      <c r="V256" s="109" t="s">
        <v>4759</v>
      </c>
      <c r="W256" s="7" t="str">
        <f>_xlfn.XLOOKUP(C256,Sheet1!A:A,Sheet1!B:B, "Other")</f>
        <v>Europe</v>
      </c>
      <c r="X256" s="222" t="str">
        <f>_xlfn.XLOOKUP(D256,Sheet1!D:D,Sheet1!E:E,"Other")</f>
        <v>Other</v>
      </c>
    </row>
    <row r="257" spans="1:24">
      <c r="A257" s="7" t="s">
        <v>1041</v>
      </c>
      <c r="B257" s="7">
        <v>255</v>
      </c>
      <c r="C257" s="7" t="s">
        <v>4457</v>
      </c>
      <c r="D257" s="109" t="s">
        <v>4465</v>
      </c>
      <c r="M257" s="7" t="str" cm="1">
        <f t="array" ref="M257">IF(N257="", "", IFERROR(MAX(--_xlfn.TEXTSPLIT(N257,"+")), N257))</f>
        <v/>
      </c>
      <c r="Q257" s="7" t="s">
        <v>4172</v>
      </c>
      <c r="R257" s="7" t="s">
        <v>4758</v>
      </c>
      <c r="S257" s="7" cm="1">
        <f t="array" ref="S257">IF(T257="", "", IFERROR(MAX(--_xlfn.TEXTSPLIT(T257,"+")), T257))</f>
        <v>2050</v>
      </c>
      <c r="T257" s="7">
        <v>2050</v>
      </c>
      <c r="U257" s="7">
        <v>2021</v>
      </c>
      <c r="V257" s="109" t="s">
        <v>4757</v>
      </c>
      <c r="W257" s="7" t="str">
        <f>_xlfn.XLOOKUP(C257,Sheet1!A:A,Sheet1!B:B, "Other")</f>
        <v>North America</v>
      </c>
      <c r="X257" s="222" t="str">
        <f>_xlfn.XLOOKUP(D257,Sheet1!D:D,Sheet1!E:E,"Other")</f>
        <v>Other</v>
      </c>
    </row>
    <row r="258" spans="1:24">
      <c r="A258" s="7" t="s">
        <v>814</v>
      </c>
      <c r="B258" s="7">
        <v>256</v>
      </c>
      <c r="C258" s="7" t="s">
        <v>146</v>
      </c>
      <c r="D258" s="109" t="s">
        <v>4467</v>
      </c>
      <c r="H258" s="7" t="s">
        <v>1957</v>
      </c>
      <c r="I258" s="7">
        <v>2030</v>
      </c>
      <c r="J258" s="109">
        <v>2022</v>
      </c>
      <c r="M258" s="7" t="str" cm="1">
        <f t="array" ref="M258">IF(N258="", "", IFERROR(MAX(--_xlfn.TEXTSPLIT(N258,"+")), N258))</f>
        <v/>
      </c>
      <c r="S258" s="7" t="str" cm="1">
        <f t="array" ref="S258">IF(T258="", "", IFERROR(MAX(--_xlfn.TEXTSPLIT(T258,"+")), T258))</f>
        <v/>
      </c>
      <c r="W258" s="7" t="str">
        <f>_xlfn.XLOOKUP(C258,Sheet1!A:A,Sheet1!B:B, "Other")</f>
        <v>Europe</v>
      </c>
      <c r="X258" s="222" t="str">
        <f>_xlfn.XLOOKUP(D258,Sheet1!D:D,Sheet1!E:E,"Other")</f>
        <v>Retail</v>
      </c>
    </row>
    <row r="259" spans="1:24">
      <c r="A259" s="7" t="s">
        <v>952</v>
      </c>
      <c r="B259" s="7">
        <v>257</v>
      </c>
      <c r="C259" s="7" t="s">
        <v>73</v>
      </c>
      <c r="D259" s="109" t="s">
        <v>4494</v>
      </c>
      <c r="M259" s="7" t="str" cm="1">
        <f t="array" ref="M259">IF(N259="", "", IFERROR(MAX(--_xlfn.TEXTSPLIT(N259,"+")), N259))</f>
        <v/>
      </c>
      <c r="S259" s="7" t="str" cm="1">
        <f t="array" ref="S259">IF(T259="", "", IFERROR(MAX(--_xlfn.TEXTSPLIT(T259,"+")), T259))</f>
        <v/>
      </c>
      <c r="W259" s="7" t="str">
        <f>_xlfn.XLOOKUP(C259,Sheet1!A:A,Sheet1!B:B, "Other")</f>
        <v>Asia</v>
      </c>
      <c r="X259" s="222" t="str">
        <f>_xlfn.XLOOKUP(D259,Sheet1!D:D,Sheet1!E:E,"Other")</f>
        <v>Other</v>
      </c>
    </row>
    <row r="260" spans="1:24">
      <c r="A260" s="7" t="s">
        <v>913</v>
      </c>
      <c r="B260" s="7">
        <v>258</v>
      </c>
      <c r="C260" s="7" t="s">
        <v>4457</v>
      </c>
      <c r="D260" s="109" t="s">
        <v>4467</v>
      </c>
      <c r="H260" s="7" t="s">
        <v>4183</v>
      </c>
      <c r="I260" s="7">
        <v>2030</v>
      </c>
      <c r="J260" s="109">
        <v>2019</v>
      </c>
      <c r="K260" s="7" t="s">
        <v>1957</v>
      </c>
      <c r="L260" s="7" t="s">
        <v>4492</v>
      </c>
      <c r="M260" s="7" cm="1">
        <f t="array" ref="M260">IF(N260="", "", IFERROR(MAX(--_xlfn.TEXTSPLIT(N260,"+")), N260))</f>
        <v>2040</v>
      </c>
      <c r="N260" s="7">
        <v>2040</v>
      </c>
      <c r="O260" s="7">
        <v>2020</v>
      </c>
      <c r="P260" s="109" t="s">
        <v>4756</v>
      </c>
      <c r="S260" s="7" t="str" cm="1">
        <f t="array" ref="S260">IF(T260="", "", IFERROR(MAX(--_xlfn.TEXTSPLIT(T260,"+")), T260))</f>
        <v/>
      </c>
      <c r="W260" s="7" t="str">
        <f>_xlfn.XLOOKUP(C260,Sheet1!A:A,Sheet1!B:B, "Other")</f>
        <v>North America</v>
      </c>
      <c r="X260" s="222" t="str">
        <f>_xlfn.XLOOKUP(D260,Sheet1!D:D,Sheet1!E:E,"Other")</f>
        <v>Retail</v>
      </c>
    </row>
    <row r="261" spans="1:24">
      <c r="A261" s="7" t="s">
        <v>950</v>
      </c>
      <c r="B261" s="7">
        <v>259</v>
      </c>
      <c r="C261" s="7" t="s">
        <v>4457</v>
      </c>
      <c r="D261" s="109" t="s">
        <v>4190</v>
      </c>
      <c r="K261" s="7" t="s">
        <v>1957</v>
      </c>
      <c r="L261" s="7" t="s">
        <v>1659</v>
      </c>
      <c r="M261" s="7" cm="1">
        <f t="array" ref="M261">IF(N261="", "", IFERROR(MAX(--_xlfn.TEXTSPLIT(N261,"+")), N261))</f>
        <v>2035</v>
      </c>
      <c r="N261" s="7">
        <v>2035</v>
      </c>
      <c r="O261" s="7">
        <v>2021</v>
      </c>
      <c r="P261" s="109" t="s">
        <v>4755</v>
      </c>
      <c r="S261" s="7" t="str" cm="1">
        <f t="array" ref="S261">IF(T261="", "", IFERROR(MAX(--_xlfn.TEXTSPLIT(T261,"+")), T261))</f>
        <v/>
      </c>
      <c r="W261" s="7" t="str">
        <f>_xlfn.XLOOKUP(C261,Sheet1!A:A,Sheet1!B:B, "Other")</f>
        <v>North America</v>
      </c>
      <c r="X261" s="222" t="str">
        <f>_xlfn.XLOOKUP(D261,Sheet1!D:D,Sheet1!E:E,"Other")</f>
        <v>Other</v>
      </c>
    </row>
    <row r="262" spans="1:24">
      <c r="A262" s="7" t="s">
        <v>630</v>
      </c>
      <c r="B262" s="7">
        <v>260</v>
      </c>
      <c r="C262" s="7" t="s">
        <v>73</v>
      </c>
      <c r="D262" s="109" t="s">
        <v>4199</v>
      </c>
      <c r="K262" s="7" t="s">
        <v>1957</v>
      </c>
      <c r="L262" s="7" t="s">
        <v>4754</v>
      </c>
      <c r="M262" s="7" cm="1">
        <f t="array" ref="M262">IF(N262="", "", IFERROR(MAX(--_xlfn.TEXTSPLIT(N262,"+")), N262))</f>
        <v>2060</v>
      </c>
      <c r="N262" s="7">
        <v>2060</v>
      </c>
      <c r="O262" s="7">
        <v>2021</v>
      </c>
      <c r="P262" s="109" t="s">
        <v>4753</v>
      </c>
      <c r="S262" s="7" t="str" cm="1">
        <f t="array" ref="S262">IF(T262="", "", IFERROR(MAX(--_xlfn.TEXTSPLIT(T262,"+")), T262))</f>
        <v/>
      </c>
      <c r="W262" s="7" t="str">
        <f>_xlfn.XLOOKUP(C262,Sheet1!A:A,Sheet1!B:B, "Other")</f>
        <v>Asia</v>
      </c>
      <c r="X262" s="222" t="str">
        <f>_xlfn.XLOOKUP(D262,Sheet1!D:D,Sheet1!E:E,"Other")</f>
        <v>Other</v>
      </c>
    </row>
    <row r="263" spans="1:24">
      <c r="A263" s="7" t="s">
        <v>1259</v>
      </c>
      <c r="B263" s="7">
        <v>261</v>
      </c>
      <c r="C263" s="7" t="s">
        <v>4457</v>
      </c>
      <c r="D263" s="109" t="s">
        <v>4467</v>
      </c>
      <c r="M263" s="7" t="str" cm="1">
        <f t="array" ref="M263">IF(N263="", "", IFERROR(MAX(--_xlfn.TEXTSPLIT(N263,"+")), N263))</f>
        <v/>
      </c>
      <c r="S263" s="7" t="str" cm="1">
        <f t="array" ref="S263">IF(T263="", "", IFERROR(MAX(--_xlfn.TEXTSPLIT(T263,"+")), T263))</f>
        <v/>
      </c>
      <c r="W263" s="7" t="str">
        <f>_xlfn.XLOOKUP(C263,Sheet1!A:A,Sheet1!B:B, "Other")</f>
        <v>North America</v>
      </c>
      <c r="X263" s="222" t="str">
        <f>_xlfn.XLOOKUP(D263,Sheet1!D:D,Sheet1!E:E,"Other")</f>
        <v>Retail</v>
      </c>
    </row>
    <row r="264" spans="1:24">
      <c r="A264" s="7" t="s">
        <v>887</v>
      </c>
      <c r="B264" s="7">
        <v>262</v>
      </c>
      <c r="C264" s="7" t="s">
        <v>4457</v>
      </c>
      <c r="D264" s="109" t="s">
        <v>4201</v>
      </c>
      <c r="H264" s="7" t="s">
        <v>4183</v>
      </c>
      <c r="I264" s="7">
        <v>2030</v>
      </c>
      <c r="J264" s="109">
        <v>2021</v>
      </c>
      <c r="K264" s="7" t="s">
        <v>1957</v>
      </c>
      <c r="L264" s="7" t="s">
        <v>4511</v>
      </c>
      <c r="M264" s="7" cm="1">
        <f t="array" ref="M264">IF(N264="", "", IFERROR(MAX(--_xlfn.TEXTSPLIT(N264,"+")), N264))</f>
        <v>2025</v>
      </c>
      <c r="N264" s="7">
        <v>2025</v>
      </c>
      <c r="O264" s="7">
        <v>2021</v>
      </c>
      <c r="P264" s="109" t="s">
        <v>4752</v>
      </c>
      <c r="S264" s="7" t="str" cm="1">
        <f t="array" ref="S264">IF(T264="", "", IFERROR(MAX(--_xlfn.TEXTSPLIT(T264,"+")), T264))</f>
        <v/>
      </c>
      <c r="W264" s="7" t="str">
        <f>_xlfn.XLOOKUP(C264,Sheet1!A:A,Sheet1!B:B, "Other")</f>
        <v>North America</v>
      </c>
      <c r="X264" s="222" t="str">
        <f>_xlfn.XLOOKUP(D264,Sheet1!D:D,Sheet1!E:E,"Other")</f>
        <v>Other</v>
      </c>
    </row>
    <row r="265" spans="1:24">
      <c r="A265" s="7" t="s">
        <v>938</v>
      </c>
      <c r="B265" s="7">
        <v>263</v>
      </c>
      <c r="C265" s="7" t="s">
        <v>4457</v>
      </c>
      <c r="D265" s="109" t="s">
        <v>4465</v>
      </c>
      <c r="M265" s="7" t="str" cm="1">
        <f t="array" ref="M265">IF(N265="", "", IFERROR(MAX(--_xlfn.TEXTSPLIT(N265,"+")), N265))</f>
        <v/>
      </c>
      <c r="S265" s="7" t="str" cm="1">
        <f t="array" ref="S265">IF(T265="", "", IFERROR(MAX(--_xlfn.TEXTSPLIT(T265,"+")), T265))</f>
        <v/>
      </c>
      <c r="W265" s="7" t="str">
        <f>_xlfn.XLOOKUP(C265,Sheet1!A:A,Sheet1!B:B, "Other")</f>
        <v>North America</v>
      </c>
      <c r="X265" s="222" t="str">
        <f>_xlfn.XLOOKUP(D265,Sheet1!D:D,Sheet1!E:E,"Other")</f>
        <v>Other</v>
      </c>
    </row>
    <row r="266" spans="1:24">
      <c r="A266" s="7" t="s">
        <v>4178</v>
      </c>
      <c r="B266" s="7">
        <v>264</v>
      </c>
      <c r="C266" s="7" t="s">
        <v>73</v>
      </c>
      <c r="D266" s="109" t="s">
        <v>66</v>
      </c>
      <c r="K266" s="7" t="s">
        <v>4519</v>
      </c>
      <c r="L266" s="7" t="s">
        <v>4518</v>
      </c>
      <c r="M266" s="7" cm="1">
        <f t="array" ref="M266">IF(N266="", "", IFERROR(MAX(--_xlfn.TEXTSPLIT(N266,"+")), N266))</f>
        <v>2060</v>
      </c>
      <c r="N266" s="7">
        <v>2060</v>
      </c>
      <c r="O266" s="7">
        <v>2021</v>
      </c>
      <c r="P266" s="109" t="s">
        <v>4751</v>
      </c>
      <c r="S266" s="7" t="str" cm="1">
        <f t="array" ref="S266">IF(T266="", "", IFERROR(MAX(--_xlfn.TEXTSPLIT(T266,"+")), T266))</f>
        <v/>
      </c>
      <c r="W266" s="7" t="str">
        <f>_xlfn.XLOOKUP(C266,Sheet1!A:A,Sheet1!B:B, "Other")</f>
        <v>Asia</v>
      </c>
      <c r="X266" s="222" t="str">
        <f>_xlfn.XLOOKUP(D266,Sheet1!D:D,Sheet1!E:E,"Other")</f>
        <v>Chemicals</v>
      </c>
    </row>
    <row r="267" spans="1:24">
      <c r="A267" s="7" t="s">
        <v>1197</v>
      </c>
      <c r="B267" s="7">
        <v>265</v>
      </c>
      <c r="C267" s="7" t="s">
        <v>4457</v>
      </c>
      <c r="D267" s="109" t="s">
        <v>4459</v>
      </c>
      <c r="M267" s="7" t="str" cm="1">
        <f t="array" ref="M267">IF(N267="", "", IFERROR(MAX(--_xlfn.TEXTSPLIT(N267,"+")), N267))</f>
        <v/>
      </c>
      <c r="S267" s="7" t="str" cm="1">
        <f t="array" ref="S267">IF(T267="", "", IFERROR(MAX(--_xlfn.TEXTSPLIT(T267,"+")), T267))</f>
        <v/>
      </c>
      <c r="W267" s="7" t="str">
        <f>_xlfn.XLOOKUP(C267,Sheet1!A:A,Sheet1!B:B, "Other")</f>
        <v>North America</v>
      </c>
      <c r="X267" s="222" t="str">
        <f>_xlfn.XLOOKUP(D267,Sheet1!D:D,Sheet1!E:E,"Other")</f>
        <v>Other</v>
      </c>
    </row>
    <row r="268" spans="1:24">
      <c r="A268" s="7" t="s">
        <v>213</v>
      </c>
      <c r="B268" s="7">
        <v>266</v>
      </c>
      <c r="C268" s="7" t="s">
        <v>73</v>
      </c>
      <c r="D268" s="109" t="s">
        <v>4459</v>
      </c>
      <c r="M268" s="7" t="str" cm="1">
        <f t="array" ref="M268">IF(N268="", "", IFERROR(MAX(--_xlfn.TEXTSPLIT(N268,"+")), N268))</f>
        <v/>
      </c>
      <c r="S268" s="7" t="str" cm="1">
        <f t="array" ref="S268">IF(T268="", "", IFERROR(MAX(--_xlfn.TEXTSPLIT(T268,"+")), T268))</f>
        <v/>
      </c>
      <c r="W268" s="7" t="str">
        <f>_xlfn.XLOOKUP(C268,Sheet1!A:A,Sheet1!B:B, "Other")</f>
        <v>Asia</v>
      </c>
      <c r="X268" s="222" t="str">
        <f>_xlfn.XLOOKUP(D268,Sheet1!D:D,Sheet1!E:E,"Other")</f>
        <v>Other</v>
      </c>
    </row>
    <row r="269" spans="1:24">
      <c r="A269" s="7" t="s">
        <v>954</v>
      </c>
      <c r="B269" s="7">
        <v>267</v>
      </c>
      <c r="C269" s="7" t="s">
        <v>73</v>
      </c>
      <c r="D269" s="109" t="s">
        <v>4190</v>
      </c>
      <c r="M269" s="7" t="str" cm="1">
        <f t="array" ref="M269">IF(N269="", "", IFERROR(MAX(--_xlfn.TEXTSPLIT(N269,"+")), N269))</f>
        <v/>
      </c>
      <c r="S269" s="7" t="str" cm="1">
        <f t="array" ref="S269">IF(T269="", "", IFERROR(MAX(--_xlfn.TEXTSPLIT(T269,"+")), T269))</f>
        <v/>
      </c>
      <c r="W269" s="7" t="str">
        <f>_xlfn.XLOOKUP(C269,Sheet1!A:A,Sheet1!B:B, "Other")</f>
        <v>Asia</v>
      </c>
      <c r="X269" s="222" t="str">
        <f>_xlfn.XLOOKUP(D269,Sheet1!D:D,Sheet1!E:E,"Other")</f>
        <v>Other</v>
      </c>
    </row>
    <row r="270" spans="1:24">
      <c r="A270" s="7" t="s">
        <v>830</v>
      </c>
      <c r="B270" s="7">
        <v>268</v>
      </c>
      <c r="C270" s="7" t="s">
        <v>400</v>
      </c>
      <c r="D270" s="109" t="s">
        <v>4465</v>
      </c>
      <c r="E270" s="7" t="s">
        <v>4174</v>
      </c>
      <c r="F270" s="7">
        <v>2023</v>
      </c>
      <c r="G270" s="109">
        <v>2019</v>
      </c>
      <c r="H270" s="7" t="s">
        <v>4183</v>
      </c>
      <c r="I270" s="7">
        <v>2025</v>
      </c>
      <c r="J270" s="109">
        <v>2018</v>
      </c>
      <c r="M270" s="7" t="str" cm="1">
        <f t="array" ref="M270">IF(N270="", "", IFERROR(MAX(--_xlfn.TEXTSPLIT(N270,"+")), N270))</f>
        <v/>
      </c>
      <c r="Q270" s="7" t="s">
        <v>4172</v>
      </c>
      <c r="R270" s="7" t="s">
        <v>4750</v>
      </c>
      <c r="S270" s="7" cm="1">
        <f t="array" ref="S270">IF(T270="", "", IFERROR(MAX(--_xlfn.TEXTSPLIT(T270,"+")), T270))</f>
        <v>2025</v>
      </c>
      <c r="T270" s="7">
        <v>2025</v>
      </c>
      <c r="U270" s="7">
        <v>2020</v>
      </c>
      <c r="V270" s="109" t="s">
        <v>4749</v>
      </c>
      <c r="W270" s="7" t="str">
        <f>_xlfn.XLOOKUP(C270,Sheet1!A:A,Sheet1!B:B, "Other")</f>
        <v>Europe</v>
      </c>
      <c r="X270" s="222" t="str">
        <f>_xlfn.XLOOKUP(D270,Sheet1!D:D,Sheet1!E:E,"Other")</f>
        <v>Other</v>
      </c>
    </row>
    <row r="271" spans="1:24">
      <c r="A271" s="7" t="s">
        <v>624</v>
      </c>
      <c r="B271" s="7">
        <v>269</v>
      </c>
      <c r="C271" s="7" t="s">
        <v>73</v>
      </c>
      <c r="D271" s="109" t="s">
        <v>4197</v>
      </c>
      <c r="L271" s="7" t="s">
        <v>4615</v>
      </c>
      <c r="M271" s="7" t="str" cm="1">
        <f t="array" ref="M271">IF(N271="", "", IFERROR(MAX(--_xlfn.TEXTSPLIT(N271,"+")), N271))</f>
        <v/>
      </c>
      <c r="O271" s="7" t="s">
        <v>4615</v>
      </c>
      <c r="R271" s="7" t="s">
        <v>4615</v>
      </c>
      <c r="S271" s="7" t="str" cm="1">
        <f t="array" ref="S271">IF(T271="", "", IFERROR(MAX(--_xlfn.TEXTSPLIT(T271,"+")), T271))</f>
        <v/>
      </c>
      <c r="U271" s="7" t="s">
        <v>4615</v>
      </c>
      <c r="W271" s="7" t="str">
        <f>_xlfn.XLOOKUP(C271,Sheet1!A:A,Sheet1!B:B, "Other")</f>
        <v>Asia</v>
      </c>
      <c r="X271" s="222" t="str">
        <f>_xlfn.XLOOKUP(D271,Sheet1!D:D,Sheet1!E:E,"Other")</f>
        <v>Other</v>
      </c>
    </row>
    <row r="272" spans="1:24">
      <c r="A272" s="7" t="s">
        <v>971</v>
      </c>
      <c r="B272" s="7">
        <v>270</v>
      </c>
      <c r="C272" s="7" t="s">
        <v>972</v>
      </c>
      <c r="D272" s="109" t="s">
        <v>4465</v>
      </c>
      <c r="K272" s="7" t="s">
        <v>1957</v>
      </c>
      <c r="L272" s="7" t="s">
        <v>1659</v>
      </c>
      <c r="M272" s="7" cm="1">
        <f t="array" ref="M272">IF(N272="", "", IFERROR(MAX(--_xlfn.TEXTSPLIT(N272,"+")), N272))</f>
        <v>2030</v>
      </c>
      <c r="N272" s="7">
        <v>2030</v>
      </c>
      <c r="O272" s="7">
        <v>2021</v>
      </c>
      <c r="P272" s="109" t="s">
        <v>4748</v>
      </c>
      <c r="S272" s="7" t="str" cm="1">
        <f t="array" ref="S272">IF(T272="", "", IFERROR(MAX(--_xlfn.TEXTSPLIT(T272,"+")), T272))</f>
        <v/>
      </c>
      <c r="W272" s="7" t="str">
        <f>_xlfn.XLOOKUP(C272,Sheet1!A:A,Sheet1!B:B, "Other")</f>
        <v>Europe</v>
      </c>
      <c r="X272" s="222" t="str">
        <f>_xlfn.XLOOKUP(D272,Sheet1!D:D,Sheet1!E:E,"Other")</f>
        <v>Other</v>
      </c>
    </row>
    <row r="273" spans="1:24">
      <c r="A273" s="7" t="s">
        <v>1069</v>
      </c>
      <c r="B273" s="7">
        <v>271</v>
      </c>
      <c r="C273" s="7" t="s">
        <v>63</v>
      </c>
      <c r="D273" s="109" t="s">
        <v>4190</v>
      </c>
      <c r="H273" s="7" t="s">
        <v>4183</v>
      </c>
      <c r="I273" s="7">
        <v>2025</v>
      </c>
      <c r="J273" s="109">
        <v>2021</v>
      </c>
      <c r="M273" s="7" t="str" cm="1">
        <f t="array" ref="M273">IF(N273="", "", IFERROR(MAX(--_xlfn.TEXTSPLIT(N273,"+")), N273))</f>
        <v/>
      </c>
      <c r="Q273" s="7" t="s">
        <v>4172</v>
      </c>
      <c r="R273" s="7" t="s">
        <v>4532</v>
      </c>
      <c r="S273" s="7" cm="1">
        <f t="array" ref="S273">IF(T273="", "", IFERROR(MAX(--_xlfn.TEXTSPLIT(T273,"+")), T273))</f>
        <v>2040</v>
      </c>
      <c r="T273" s="7">
        <v>2040</v>
      </c>
      <c r="U273" s="7">
        <v>2017</v>
      </c>
      <c r="V273" s="109" t="s">
        <v>4747</v>
      </c>
      <c r="W273" s="7" t="str">
        <f>_xlfn.XLOOKUP(C273,Sheet1!A:A,Sheet1!B:B, "Other")</f>
        <v>Europe</v>
      </c>
      <c r="X273" s="222" t="str">
        <f>_xlfn.XLOOKUP(D273,Sheet1!D:D,Sheet1!E:E,"Other")</f>
        <v>Other</v>
      </c>
    </row>
    <row r="274" spans="1:24">
      <c r="A274" s="7" t="s">
        <v>1051</v>
      </c>
      <c r="B274" s="7">
        <v>272</v>
      </c>
      <c r="C274" s="7" t="s">
        <v>161</v>
      </c>
      <c r="D274" s="109" t="s">
        <v>4467</v>
      </c>
      <c r="E274" s="7" t="s">
        <v>4174</v>
      </c>
      <c r="F274" s="7">
        <v>2025</v>
      </c>
      <c r="G274" s="109">
        <v>2020</v>
      </c>
      <c r="H274" s="7" t="s">
        <v>4183</v>
      </c>
      <c r="I274" s="7">
        <v>2030</v>
      </c>
      <c r="J274" s="109">
        <v>2020</v>
      </c>
      <c r="M274" s="7" t="str" cm="1">
        <f t="array" ref="M274">IF(N274="", "", IFERROR(MAX(--_xlfn.TEXTSPLIT(N274,"+")), N274))</f>
        <v/>
      </c>
      <c r="Q274" s="7" t="s">
        <v>1957</v>
      </c>
      <c r="R274" s="7" t="s">
        <v>3793</v>
      </c>
      <c r="S274" s="7" cm="1">
        <f t="array" ref="S274">IF(T274="", "", IFERROR(MAX(--_xlfn.TEXTSPLIT(T274,"+")), T274))</f>
        <v>2050</v>
      </c>
      <c r="T274" s="7">
        <v>2050</v>
      </c>
      <c r="U274" s="7">
        <v>2020</v>
      </c>
      <c r="V274" s="109" t="s">
        <v>4746</v>
      </c>
      <c r="W274" s="7" t="str">
        <f>_xlfn.XLOOKUP(C274,Sheet1!A:A,Sheet1!B:B, "Other")</f>
        <v>Other</v>
      </c>
      <c r="X274" s="222" t="str">
        <f>_xlfn.XLOOKUP(D274,Sheet1!D:D,Sheet1!E:E,"Other")</f>
        <v>Retail</v>
      </c>
    </row>
    <row r="275" spans="1:24">
      <c r="A275" s="7" t="s">
        <v>1052</v>
      </c>
      <c r="B275" s="7">
        <v>273</v>
      </c>
      <c r="C275" s="7" t="s">
        <v>73</v>
      </c>
      <c r="D275" s="109" t="s">
        <v>4465</v>
      </c>
      <c r="K275" s="7" t="s">
        <v>4519</v>
      </c>
      <c r="L275" s="7" t="s">
        <v>4518</v>
      </c>
      <c r="M275" s="7" cm="1">
        <f t="array" ref="M275">IF(N275="", "", IFERROR(MAX(--_xlfn.TEXTSPLIT(N275,"+")), N275))</f>
        <v>2060</v>
      </c>
      <c r="N275" s="7">
        <v>2060</v>
      </c>
      <c r="O275" s="7">
        <v>2020</v>
      </c>
      <c r="P275" s="109" t="s">
        <v>4745</v>
      </c>
      <c r="S275" s="7" t="str" cm="1">
        <f t="array" ref="S275">IF(T275="", "", IFERROR(MAX(--_xlfn.TEXTSPLIT(T275,"+")), T275))</f>
        <v/>
      </c>
      <c r="W275" s="7" t="str">
        <f>_xlfn.XLOOKUP(C275,Sheet1!A:A,Sheet1!B:B, "Other")</f>
        <v>Asia</v>
      </c>
      <c r="X275" s="222" t="str">
        <f>_xlfn.XLOOKUP(D275,Sheet1!D:D,Sheet1!E:E,"Other")</f>
        <v>Other</v>
      </c>
    </row>
    <row r="276" spans="1:24">
      <c r="A276" s="7" t="s">
        <v>1078</v>
      </c>
      <c r="B276" s="7">
        <v>274</v>
      </c>
      <c r="C276" s="7" t="s">
        <v>4457</v>
      </c>
      <c r="D276" s="109" t="s">
        <v>4190</v>
      </c>
      <c r="H276" s="7" t="s">
        <v>4183</v>
      </c>
      <c r="I276" s="7">
        <v>2022</v>
      </c>
      <c r="J276" s="109">
        <v>2018</v>
      </c>
      <c r="M276" s="7" t="str" cm="1">
        <f t="array" ref="M276">IF(N276="", "", IFERROR(MAX(--_xlfn.TEXTSPLIT(N276,"+")), N276))</f>
        <v/>
      </c>
      <c r="Q276" s="7" t="s">
        <v>4516</v>
      </c>
      <c r="R276" s="7" t="s">
        <v>4532</v>
      </c>
      <c r="S276" s="7" cm="1">
        <f t="array" ref="S276">IF(T276="", "", IFERROR(MAX(--_xlfn.TEXTSPLIT(T276,"+")), T276))</f>
        <v>2040</v>
      </c>
      <c r="T276" s="7">
        <v>2040</v>
      </c>
      <c r="U276" s="7">
        <v>2021</v>
      </c>
      <c r="V276" s="109" t="s">
        <v>4744</v>
      </c>
      <c r="W276" s="7" t="str">
        <f>_xlfn.XLOOKUP(C276,Sheet1!A:A,Sheet1!B:B, "Other")</f>
        <v>North America</v>
      </c>
      <c r="X276" s="222" t="str">
        <f>_xlfn.XLOOKUP(D276,Sheet1!D:D,Sheet1!E:E,"Other")</f>
        <v>Other</v>
      </c>
    </row>
    <row r="277" spans="1:24">
      <c r="A277" s="7" t="s">
        <v>1180</v>
      </c>
      <c r="B277" s="7">
        <v>275</v>
      </c>
      <c r="C277" s="7" t="s">
        <v>4457</v>
      </c>
      <c r="D277" s="109" t="s">
        <v>4190</v>
      </c>
      <c r="H277" s="7" t="s">
        <v>4183</v>
      </c>
      <c r="I277" s="7">
        <v>2030</v>
      </c>
      <c r="J277" s="109">
        <v>2020</v>
      </c>
      <c r="M277" s="7" t="str" cm="1">
        <f t="array" ref="M277">IF(N277="", "", IFERROR(MAX(--_xlfn.TEXTSPLIT(N277,"+")), N277))</f>
        <v/>
      </c>
      <c r="Q277" s="7" t="s">
        <v>4172</v>
      </c>
      <c r="R277" s="7" t="s">
        <v>4532</v>
      </c>
      <c r="S277" s="7" cm="1">
        <f t="array" ref="S277">IF(T277="", "", IFERROR(MAX(--_xlfn.TEXTSPLIT(T277,"+")), T277))</f>
        <v>2050</v>
      </c>
      <c r="T277" s="7">
        <v>2050</v>
      </c>
      <c r="U277" s="7">
        <v>2020</v>
      </c>
      <c r="V277" s="109" t="s">
        <v>4743</v>
      </c>
      <c r="W277" s="7" t="str">
        <f>_xlfn.XLOOKUP(C277,Sheet1!A:A,Sheet1!B:B, "Other")</f>
        <v>North America</v>
      </c>
      <c r="X277" s="222" t="str">
        <f>_xlfn.XLOOKUP(D277,Sheet1!D:D,Sheet1!E:E,"Other")</f>
        <v>Other</v>
      </c>
    </row>
    <row r="278" spans="1:24">
      <c r="A278" s="7" t="s">
        <v>823</v>
      </c>
      <c r="B278" s="7">
        <v>276</v>
      </c>
      <c r="C278" s="7" t="s">
        <v>96</v>
      </c>
      <c r="D278" s="109" t="s">
        <v>4455</v>
      </c>
      <c r="M278" s="7" t="str" cm="1">
        <f t="array" ref="M278">IF(N278="", "", IFERROR(MAX(--_xlfn.TEXTSPLIT(N278,"+")), N278))</f>
        <v/>
      </c>
      <c r="S278" s="7" t="str" cm="1">
        <f t="array" ref="S278">IF(T278="", "", IFERROR(MAX(--_xlfn.TEXTSPLIT(T278,"+")), T278))</f>
        <v/>
      </c>
      <c r="W278" s="7" t="str">
        <f>_xlfn.XLOOKUP(C278,Sheet1!A:A,Sheet1!B:B, "Other")</f>
        <v>Europe</v>
      </c>
      <c r="X278" s="222" t="str">
        <f>_xlfn.XLOOKUP(D278,Sheet1!D:D,Sheet1!E:E,"Other")</f>
        <v>Other</v>
      </c>
    </row>
    <row r="279" spans="1:24">
      <c r="A279" s="7" t="s">
        <v>403</v>
      </c>
      <c r="B279" s="7">
        <v>277</v>
      </c>
      <c r="C279" s="7" t="s">
        <v>78</v>
      </c>
      <c r="D279" s="109" t="s">
        <v>4465</v>
      </c>
      <c r="H279" s="7" t="s">
        <v>1957</v>
      </c>
      <c r="I279" s="7">
        <v>2030</v>
      </c>
      <c r="J279" s="109">
        <v>2021</v>
      </c>
      <c r="M279" s="7" t="str" cm="1">
        <f t="array" ref="M279">IF(N279="", "", IFERROR(MAX(--_xlfn.TEXTSPLIT(N279,"+")), N279))</f>
        <v/>
      </c>
      <c r="Q279" s="7" t="s">
        <v>4504</v>
      </c>
      <c r="R279" s="7" t="s">
        <v>4263</v>
      </c>
      <c r="S279" s="7" cm="1">
        <f t="array" ref="S279">IF(T279="", "", IFERROR(MAX(--_xlfn.TEXTSPLIT(T279,"+")), T279))</f>
        <v>2050</v>
      </c>
      <c r="T279" s="7" t="s">
        <v>4742</v>
      </c>
      <c r="U279" s="7" t="s">
        <v>4606</v>
      </c>
      <c r="V279" s="109" t="s">
        <v>4741</v>
      </c>
      <c r="W279" s="7" t="str">
        <f>_xlfn.XLOOKUP(C279,Sheet1!A:A,Sheet1!B:B, "Other")</f>
        <v>North America</v>
      </c>
      <c r="X279" s="222" t="str">
        <f>_xlfn.XLOOKUP(D279,Sheet1!D:D,Sheet1!E:E,"Other")</f>
        <v>Other</v>
      </c>
    </row>
    <row r="280" spans="1:24">
      <c r="A280" s="7" t="s">
        <v>1060</v>
      </c>
      <c r="B280" s="7">
        <v>278</v>
      </c>
      <c r="C280" s="7" t="s">
        <v>207</v>
      </c>
      <c r="D280" s="109" t="s">
        <v>4476</v>
      </c>
      <c r="K280" s="7" t="s">
        <v>1957</v>
      </c>
      <c r="L280" s="7" t="s">
        <v>1659</v>
      </c>
      <c r="M280" s="7" cm="1">
        <f t="array" ref="M280">IF(N280="", "", IFERROR(MAX(--_xlfn.TEXTSPLIT(N280,"+")), N280))</f>
        <v>2035</v>
      </c>
      <c r="N280" s="7">
        <v>2035</v>
      </c>
      <c r="O280" s="7">
        <v>2021</v>
      </c>
      <c r="P280" s="109" t="s">
        <v>4740</v>
      </c>
      <c r="S280" s="7" t="str" cm="1">
        <f t="array" ref="S280">IF(T280="", "", IFERROR(MAX(--_xlfn.TEXTSPLIT(T280,"+")), T280))</f>
        <v/>
      </c>
      <c r="W280" s="7" t="str">
        <f>_xlfn.XLOOKUP(C280,Sheet1!A:A,Sheet1!B:B, "Other")</f>
        <v>Asia</v>
      </c>
      <c r="X280" s="222" t="str">
        <f>_xlfn.XLOOKUP(D280,Sheet1!D:D,Sheet1!E:E,"Other")</f>
        <v>Other</v>
      </c>
    </row>
    <row r="281" spans="1:24">
      <c r="A281" s="7" t="s">
        <v>1054</v>
      </c>
      <c r="B281" s="7">
        <v>279</v>
      </c>
      <c r="C281" s="7" t="s">
        <v>207</v>
      </c>
      <c r="D281" s="109" t="s">
        <v>4465</v>
      </c>
      <c r="K281" s="7" t="s">
        <v>1957</v>
      </c>
      <c r="L281" s="7" t="s">
        <v>2236</v>
      </c>
      <c r="M281" s="7" cm="1">
        <f t="array" ref="M281">IF(N281="", "", IFERROR(MAX(--_xlfn.TEXTSPLIT(N281,"+")), N281))</f>
        <v>2050</v>
      </c>
      <c r="N281" s="7">
        <v>2050</v>
      </c>
      <c r="O281" s="7">
        <v>2019</v>
      </c>
      <c r="P281" s="109" t="s">
        <v>4739</v>
      </c>
      <c r="S281" s="7" t="str" cm="1">
        <f t="array" ref="S281">IF(T281="", "", IFERROR(MAX(--_xlfn.TEXTSPLIT(T281,"+")), T281))</f>
        <v/>
      </c>
      <c r="W281" s="7" t="str">
        <f>_xlfn.XLOOKUP(C281,Sheet1!A:A,Sheet1!B:B, "Other")</f>
        <v>Asia</v>
      </c>
      <c r="X281" s="222" t="str">
        <f>_xlfn.XLOOKUP(D281,Sheet1!D:D,Sheet1!E:E,"Other")</f>
        <v>Other</v>
      </c>
    </row>
    <row r="282" spans="1:24">
      <c r="A282" s="7" t="s">
        <v>768</v>
      </c>
      <c r="B282" s="7">
        <v>280</v>
      </c>
      <c r="C282" s="7" t="s">
        <v>4457</v>
      </c>
      <c r="D282" s="109" t="s">
        <v>4467</v>
      </c>
      <c r="M282" s="7" t="str" cm="1">
        <f t="array" ref="M282">IF(N282="", "", IFERROR(MAX(--_xlfn.TEXTSPLIT(N282,"+")), N282))</f>
        <v/>
      </c>
      <c r="Q282" s="7" t="s">
        <v>1957</v>
      </c>
      <c r="R282" s="7" t="s">
        <v>4738</v>
      </c>
      <c r="S282" s="7" cm="1">
        <f t="array" ref="S282">IF(T282="", "", IFERROR(MAX(--_xlfn.TEXTSPLIT(T282,"+")), T282))</f>
        <v>2040</v>
      </c>
      <c r="T282" s="7">
        <v>2040</v>
      </c>
      <c r="U282" s="7">
        <v>2022</v>
      </c>
      <c r="V282" s="109" t="s">
        <v>2240</v>
      </c>
      <c r="W282" s="7" t="str">
        <f>_xlfn.XLOOKUP(C282,Sheet1!A:A,Sheet1!B:B, "Other")</f>
        <v>North America</v>
      </c>
      <c r="X282" s="222" t="str">
        <f>_xlfn.XLOOKUP(D282,Sheet1!D:D,Sheet1!E:E,"Other")</f>
        <v>Retail</v>
      </c>
    </row>
    <row r="283" spans="1:24">
      <c r="A283" s="7" t="s">
        <v>1006</v>
      </c>
      <c r="B283" s="7">
        <v>281</v>
      </c>
      <c r="C283" s="7" t="s">
        <v>207</v>
      </c>
      <c r="D283" s="109" t="s">
        <v>4190</v>
      </c>
      <c r="H283" s="7" t="s">
        <v>4183</v>
      </c>
      <c r="I283" s="7">
        <v>2031</v>
      </c>
      <c r="J283" s="109">
        <v>2022</v>
      </c>
      <c r="M283" s="7" t="str" cm="1">
        <f t="array" ref="M283">IF(N283="", "", IFERROR(MAX(--_xlfn.TEXTSPLIT(N283,"+")), N283))</f>
        <v/>
      </c>
      <c r="Q283" s="7" t="s">
        <v>4172</v>
      </c>
      <c r="R283" s="7" t="s">
        <v>2236</v>
      </c>
      <c r="S283" s="7" cm="1">
        <f t="array" ref="S283">IF(T283="", "", IFERROR(MAX(--_xlfn.TEXTSPLIT(T283,"+")), T283))</f>
        <v>2031</v>
      </c>
      <c r="T283" s="7">
        <v>2031</v>
      </c>
      <c r="U283" s="7">
        <v>2022</v>
      </c>
      <c r="V283" s="109" t="s">
        <v>4737</v>
      </c>
      <c r="W283" s="7" t="str">
        <f>_xlfn.XLOOKUP(C283,Sheet1!A:A,Sheet1!B:B, "Other")</f>
        <v>Asia</v>
      </c>
      <c r="X283" s="222" t="str">
        <f>_xlfn.XLOOKUP(D283,Sheet1!D:D,Sheet1!E:E,"Other")</f>
        <v>Other</v>
      </c>
    </row>
    <row r="284" spans="1:24">
      <c r="A284" s="7" t="s">
        <v>1091</v>
      </c>
      <c r="B284" s="7">
        <v>282</v>
      </c>
      <c r="C284" s="7" t="s">
        <v>63</v>
      </c>
      <c r="D284" s="109" t="s">
        <v>4465</v>
      </c>
      <c r="M284" s="7" t="str" cm="1">
        <f t="array" ref="M284">IF(N284="", "", IFERROR(MAX(--_xlfn.TEXTSPLIT(N284,"+")), N284))</f>
        <v/>
      </c>
      <c r="Q284" s="7" t="s">
        <v>4172</v>
      </c>
      <c r="R284" s="7" t="s">
        <v>4736</v>
      </c>
      <c r="S284" s="7" cm="1">
        <f t="array" ref="S284">IF(T284="", "", IFERROR(MAX(--_xlfn.TEXTSPLIT(T284,"+")), T284))</f>
        <v>2050</v>
      </c>
      <c r="T284" s="7">
        <v>2050</v>
      </c>
      <c r="U284" s="7">
        <v>2021</v>
      </c>
      <c r="V284" s="109" t="s">
        <v>4735</v>
      </c>
      <c r="W284" s="7" t="str">
        <f>_xlfn.XLOOKUP(C284,Sheet1!A:A,Sheet1!B:B, "Other")</f>
        <v>Europe</v>
      </c>
      <c r="X284" s="222" t="str">
        <f>_xlfn.XLOOKUP(D284,Sheet1!D:D,Sheet1!E:E,"Other")</f>
        <v>Other</v>
      </c>
    </row>
    <row r="285" spans="1:24">
      <c r="A285" s="7" t="s">
        <v>690</v>
      </c>
      <c r="B285" s="7">
        <v>283</v>
      </c>
      <c r="C285" s="7" t="s">
        <v>4457</v>
      </c>
      <c r="D285" s="109" t="s">
        <v>4467</v>
      </c>
      <c r="M285" s="7" t="str" cm="1">
        <f t="array" ref="M285">IF(N285="", "", IFERROR(MAX(--_xlfn.TEXTSPLIT(N285,"+")), N285))</f>
        <v/>
      </c>
      <c r="S285" s="7" t="str" cm="1">
        <f t="array" ref="S285">IF(T285="", "", IFERROR(MAX(--_xlfn.TEXTSPLIT(T285,"+")), T285))</f>
        <v/>
      </c>
      <c r="W285" s="7" t="str">
        <f>_xlfn.XLOOKUP(C285,Sheet1!A:A,Sheet1!B:B, "Other")</f>
        <v>North America</v>
      </c>
      <c r="X285" s="222" t="str">
        <f>_xlfn.XLOOKUP(D285,Sheet1!D:D,Sheet1!E:E,"Other")</f>
        <v>Retail</v>
      </c>
    </row>
    <row r="286" spans="1:24">
      <c r="A286" s="7" t="s">
        <v>761</v>
      </c>
      <c r="B286" s="7">
        <v>284</v>
      </c>
      <c r="C286" s="7" t="s">
        <v>4457</v>
      </c>
      <c r="D286" s="109" t="s">
        <v>4494</v>
      </c>
      <c r="M286" s="7" t="str" cm="1">
        <f t="array" ref="M286">IF(N286="", "", IFERROR(MAX(--_xlfn.TEXTSPLIT(N286,"+")), N286))</f>
        <v/>
      </c>
      <c r="Q286" s="7" t="s">
        <v>1957</v>
      </c>
      <c r="R286" s="7" t="s">
        <v>4734</v>
      </c>
      <c r="S286" s="7" cm="1">
        <f t="array" ref="S286">IF(T286="", "", IFERROR(MAX(--_xlfn.TEXTSPLIT(T286,"+")), T286))</f>
        <v>2050</v>
      </c>
      <c r="T286" s="7">
        <v>2050</v>
      </c>
      <c r="U286" s="7">
        <v>2020</v>
      </c>
      <c r="V286" s="109" t="s">
        <v>4733</v>
      </c>
      <c r="W286" s="7" t="str">
        <f>_xlfn.XLOOKUP(C286,Sheet1!A:A,Sheet1!B:B, "Other")</f>
        <v>North America</v>
      </c>
      <c r="X286" s="222" t="str">
        <f>_xlfn.XLOOKUP(D286,Sheet1!D:D,Sheet1!E:E,"Other")</f>
        <v>Other</v>
      </c>
    </row>
    <row r="287" spans="1:24">
      <c r="A287" s="7" t="s">
        <v>908</v>
      </c>
      <c r="B287" s="7">
        <v>285</v>
      </c>
      <c r="C287" s="7" t="s">
        <v>4457</v>
      </c>
      <c r="D287" s="109" t="s">
        <v>4465</v>
      </c>
      <c r="M287" s="7" t="str" cm="1">
        <f t="array" ref="M287">IF(N287="", "", IFERROR(MAX(--_xlfn.TEXTSPLIT(N287,"+")), N287))</f>
        <v/>
      </c>
      <c r="S287" s="7" t="str" cm="1">
        <f t="array" ref="S287">IF(T287="", "", IFERROR(MAX(--_xlfn.TEXTSPLIT(T287,"+")), T287))</f>
        <v/>
      </c>
      <c r="W287" s="7" t="str">
        <f>_xlfn.XLOOKUP(C287,Sheet1!A:A,Sheet1!B:B, "Other")</f>
        <v>North America</v>
      </c>
      <c r="X287" s="222" t="str">
        <f>_xlfn.XLOOKUP(D287,Sheet1!D:D,Sheet1!E:E,"Other")</f>
        <v>Other</v>
      </c>
    </row>
    <row r="288" spans="1:24">
      <c r="A288" s="7" t="s">
        <v>526</v>
      </c>
      <c r="B288" s="7">
        <v>286</v>
      </c>
      <c r="C288" s="7" t="s">
        <v>4457</v>
      </c>
      <c r="D288" s="109" t="s">
        <v>4465</v>
      </c>
      <c r="M288" s="7" t="str" cm="1">
        <f t="array" ref="M288">IF(N288="", "", IFERROR(MAX(--_xlfn.TEXTSPLIT(N288,"+")), N288))</f>
        <v/>
      </c>
      <c r="S288" s="7" t="str" cm="1">
        <f t="array" ref="S288">IF(T288="", "", IFERROR(MAX(--_xlfn.TEXTSPLIT(T288,"+")), T288))</f>
        <v/>
      </c>
      <c r="W288" s="7" t="str">
        <f>_xlfn.XLOOKUP(C288,Sheet1!A:A,Sheet1!B:B, "Other")</f>
        <v>North America</v>
      </c>
      <c r="X288" s="222" t="str">
        <f>_xlfn.XLOOKUP(D288,Sheet1!D:D,Sheet1!E:E,"Other")</f>
        <v>Other</v>
      </c>
    </row>
    <row r="289" spans="1:24">
      <c r="A289" s="7" t="s">
        <v>4323</v>
      </c>
      <c r="B289" s="7">
        <v>287</v>
      </c>
      <c r="C289" s="7" t="s">
        <v>96</v>
      </c>
      <c r="D289" s="109" t="s">
        <v>4467</v>
      </c>
      <c r="E289" s="7" t="s">
        <v>4174</v>
      </c>
      <c r="F289" s="7">
        <v>2025</v>
      </c>
      <c r="G289" s="109">
        <v>2014</v>
      </c>
      <c r="H289" s="7" t="s">
        <v>4183</v>
      </c>
      <c r="I289" s="7">
        <v>2030</v>
      </c>
      <c r="J289" s="109">
        <v>2020</v>
      </c>
      <c r="M289" s="7" t="str" cm="1">
        <f t="array" ref="M289">IF(N289="", "", IFERROR(MAX(--_xlfn.TEXTSPLIT(N289,"+")), N289))</f>
        <v/>
      </c>
      <c r="Q289" s="7" t="s">
        <v>4172</v>
      </c>
      <c r="R289" s="7" t="s">
        <v>2760</v>
      </c>
      <c r="S289" s="7" cm="1">
        <f t="array" ref="S289">IF(T289="", "", IFERROR(MAX(--_xlfn.TEXTSPLIT(T289,"+")), T289))</f>
        <v>2030</v>
      </c>
      <c r="T289" s="7">
        <v>2030</v>
      </c>
      <c r="U289" s="7">
        <v>2019</v>
      </c>
      <c r="V289" s="109" t="s">
        <v>4732</v>
      </c>
      <c r="W289" s="7" t="str">
        <f>_xlfn.XLOOKUP(C289,Sheet1!A:A,Sheet1!B:B, "Other")</f>
        <v>Europe</v>
      </c>
      <c r="X289" s="222" t="str">
        <f>_xlfn.XLOOKUP(D289,Sheet1!D:D,Sheet1!E:E,"Other")</f>
        <v>Retail</v>
      </c>
    </row>
    <row r="290" spans="1:24">
      <c r="A290" s="7" t="s">
        <v>539</v>
      </c>
      <c r="B290" s="7">
        <v>288</v>
      </c>
      <c r="C290" s="7" t="s">
        <v>73</v>
      </c>
      <c r="D290" s="109" t="s">
        <v>4465</v>
      </c>
      <c r="H290" s="7" t="s">
        <v>1957</v>
      </c>
      <c r="I290" s="7">
        <v>2030</v>
      </c>
      <c r="J290" s="109">
        <v>2021</v>
      </c>
      <c r="M290" s="7" t="str" cm="1">
        <f t="array" ref="M290">IF(N290="", "", IFERROR(MAX(--_xlfn.TEXTSPLIT(N290,"+")), N290))</f>
        <v/>
      </c>
      <c r="Q290" s="7" t="s">
        <v>4172</v>
      </c>
      <c r="R290" s="7" t="s">
        <v>4731</v>
      </c>
      <c r="S290" s="7" cm="1">
        <f t="array" ref="S290">IF(T290="", "", IFERROR(MAX(--_xlfn.TEXTSPLIT(T290,"+")), T290))</f>
        <v>2050</v>
      </c>
      <c r="T290" s="7">
        <v>2050</v>
      </c>
      <c r="U290" s="7">
        <v>2019</v>
      </c>
      <c r="V290" s="109" t="s">
        <v>4730</v>
      </c>
      <c r="W290" s="7" t="str">
        <f>_xlfn.XLOOKUP(C290,Sheet1!A:A,Sheet1!B:B, "Other")</f>
        <v>Asia</v>
      </c>
      <c r="X290" s="222" t="str">
        <f>_xlfn.XLOOKUP(D290,Sheet1!D:D,Sheet1!E:E,"Other")</f>
        <v>Other</v>
      </c>
    </row>
    <row r="291" spans="1:24">
      <c r="A291" s="7" t="s">
        <v>929</v>
      </c>
      <c r="B291" s="7">
        <v>289</v>
      </c>
      <c r="C291" s="7" t="s">
        <v>4457</v>
      </c>
      <c r="D291" s="109" t="s">
        <v>4465</v>
      </c>
      <c r="M291" s="7" t="str" cm="1">
        <f t="array" ref="M291">IF(N291="", "", IFERROR(MAX(--_xlfn.TEXTSPLIT(N291,"+")), N291))</f>
        <v/>
      </c>
      <c r="S291" s="7" t="str" cm="1">
        <f t="array" ref="S291">IF(T291="", "", IFERROR(MAX(--_xlfn.TEXTSPLIT(T291,"+")), T291))</f>
        <v/>
      </c>
      <c r="W291" s="7" t="str">
        <f>_xlfn.XLOOKUP(C291,Sheet1!A:A,Sheet1!B:B, "Other")</f>
        <v>North America</v>
      </c>
      <c r="X291" s="222" t="str">
        <f>_xlfn.XLOOKUP(D291,Sheet1!D:D,Sheet1!E:E,"Other")</f>
        <v>Other</v>
      </c>
    </row>
    <row r="292" spans="1:24">
      <c r="A292" s="7" t="s">
        <v>1229</v>
      </c>
      <c r="B292" s="7">
        <v>290</v>
      </c>
      <c r="C292" s="7" t="s">
        <v>207</v>
      </c>
      <c r="D292" s="109" t="s">
        <v>4199</v>
      </c>
      <c r="M292" s="7" t="str" cm="1">
        <f t="array" ref="M292">IF(N292="", "", IFERROR(MAX(--_xlfn.TEXTSPLIT(N292,"+")), N292))</f>
        <v/>
      </c>
      <c r="Q292" s="7" t="s">
        <v>4172</v>
      </c>
      <c r="R292" s="7" t="s">
        <v>4532</v>
      </c>
      <c r="S292" s="7" cm="1">
        <f t="array" ref="S292">IF(T292="", "", IFERROR(MAX(--_xlfn.TEXTSPLIT(T292,"+")), T292))</f>
        <v>2050</v>
      </c>
      <c r="T292" s="7">
        <v>2050</v>
      </c>
      <c r="U292" s="7">
        <v>2019</v>
      </c>
      <c r="V292" s="109" t="s">
        <v>4729</v>
      </c>
      <c r="W292" s="7" t="str">
        <f>_xlfn.XLOOKUP(C292,Sheet1!A:A,Sheet1!B:B, "Other")</f>
        <v>Asia</v>
      </c>
      <c r="X292" s="222" t="str">
        <f>_xlfn.XLOOKUP(D292,Sheet1!D:D,Sheet1!E:E,"Other")</f>
        <v>Other</v>
      </c>
    </row>
    <row r="293" spans="1:24">
      <c r="A293" s="7" t="s">
        <v>696</v>
      </c>
      <c r="B293" s="7">
        <v>291</v>
      </c>
      <c r="C293" s="7" t="s">
        <v>73</v>
      </c>
      <c r="D293" s="109" t="s">
        <v>4494</v>
      </c>
      <c r="K293" s="7" t="s">
        <v>4519</v>
      </c>
      <c r="L293" s="7" t="s">
        <v>4518</v>
      </c>
      <c r="M293" s="7" cm="1">
        <f t="array" ref="M293">IF(N293="", "", IFERROR(MAX(--_xlfn.TEXTSPLIT(N293,"+")), N293))</f>
        <v>2060</v>
      </c>
      <c r="N293" s="7">
        <v>2060</v>
      </c>
      <c r="O293" s="7">
        <v>2021</v>
      </c>
      <c r="S293" s="7" t="str" cm="1">
        <f t="array" ref="S293">IF(T293="", "", IFERROR(MAX(--_xlfn.TEXTSPLIT(T293,"+")), T293))</f>
        <v/>
      </c>
      <c r="W293" s="7" t="str">
        <f>_xlfn.XLOOKUP(C293,Sheet1!A:A,Sheet1!B:B, "Other")</f>
        <v>Asia</v>
      </c>
      <c r="X293" s="222" t="str">
        <f>_xlfn.XLOOKUP(D293,Sheet1!D:D,Sheet1!E:E,"Other")</f>
        <v>Other</v>
      </c>
    </row>
    <row r="294" spans="1:24">
      <c r="A294" s="7" t="s">
        <v>805</v>
      </c>
      <c r="B294" s="7">
        <v>292</v>
      </c>
      <c r="C294" s="7" t="s">
        <v>4457</v>
      </c>
      <c r="D294" s="109" t="s">
        <v>4455</v>
      </c>
      <c r="H294" s="7" t="s">
        <v>4183</v>
      </c>
      <c r="I294" s="7">
        <v>2030</v>
      </c>
      <c r="J294" s="109">
        <v>2018</v>
      </c>
      <c r="M294" s="7" t="str" cm="1">
        <f t="array" ref="M294">IF(N294="", "", IFERROR(MAX(--_xlfn.TEXTSPLIT(N294,"+")), N294))</f>
        <v/>
      </c>
      <c r="Q294" s="7" t="s">
        <v>4172</v>
      </c>
      <c r="R294" s="7" t="s">
        <v>4728</v>
      </c>
      <c r="S294" s="7" cm="1">
        <f t="array" ref="S294">IF(T294="", "", IFERROR(MAX(--_xlfn.TEXTSPLIT(T294,"+")), T294))</f>
        <v>2050</v>
      </c>
      <c r="T294" s="7">
        <v>2050</v>
      </c>
      <c r="U294" s="7">
        <v>2021</v>
      </c>
      <c r="V294" s="109" t="s">
        <v>4727</v>
      </c>
      <c r="W294" s="7" t="str">
        <f>_xlfn.XLOOKUP(C294,Sheet1!A:A,Sheet1!B:B, "Other")</f>
        <v>North America</v>
      </c>
      <c r="X294" s="222" t="str">
        <f>_xlfn.XLOOKUP(D294,Sheet1!D:D,Sheet1!E:E,"Other")</f>
        <v>Other</v>
      </c>
    </row>
    <row r="295" spans="1:24">
      <c r="A295" s="7" t="s">
        <v>1804</v>
      </c>
      <c r="B295" s="7">
        <v>293</v>
      </c>
      <c r="C295" s="7" t="s">
        <v>376</v>
      </c>
      <c r="D295" s="109" t="s">
        <v>4465</v>
      </c>
      <c r="K295" s="7" t="s">
        <v>1957</v>
      </c>
      <c r="L295" s="7" t="s">
        <v>2425</v>
      </c>
      <c r="M295" s="7" cm="1">
        <f t="array" ref="M295">IF(N295="", "", IFERROR(MAX(--_xlfn.TEXTSPLIT(N295,"+")), N295))</f>
        <v>2022</v>
      </c>
      <c r="N295" s="7">
        <v>2022</v>
      </c>
      <c r="O295" s="7">
        <v>2021</v>
      </c>
      <c r="P295" s="109" t="s">
        <v>4726</v>
      </c>
      <c r="Q295" s="7" t="s">
        <v>1957</v>
      </c>
      <c r="R295" s="7" t="s">
        <v>2425</v>
      </c>
      <c r="S295" s="7" cm="1">
        <f t="array" ref="S295">IF(T295="", "", IFERROR(MAX(--_xlfn.TEXTSPLIT(T295,"+")), T295))</f>
        <v>2025</v>
      </c>
      <c r="T295" s="7">
        <v>2025</v>
      </c>
      <c r="U295" s="7">
        <v>2021</v>
      </c>
      <c r="V295" s="109" t="s">
        <v>4726</v>
      </c>
      <c r="W295" s="7" t="str">
        <f>_xlfn.XLOOKUP(C295,Sheet1!A:A,Sheet1!B:B, "Other")</f>
        <v>Europe</v>
      </c>
      <c r="X295" s="222" t="str">
        <f>_xlfn.XLOOKUP(D295,Sheet1!D:D,Sheet1!E:E,"Other")</f>
        <v>Other</v>
      </c>
    </row>
    <row r="296" spans="1:24">
      <c r="A296" s="7" t="s">
        <v>4725</v>
      </c>
      <c r="B296" s="7">
        <v>294</v>
      </c>
      <c r="C296" s="7" t="s">
        <v>4195</v>
      </c>
      <c r="D296" s="109" t="s">
        <v>4201</v>
      </c>
      <c r="E296" s="7" t="s">
        <v>4174</v>
      </c>
      <c r="F296" s="7">
        <v>2025</v>
      </c>
      <c r="G296" s="109">
        <v>2020</v>
      </c>
      <c r="H296" s="7" t="s">
        <v>4183</v>
      </c>
      <c r="I296" s="7">
        <v>2025</v>
      </c>
      <c r="J296" s="109">
        <v>2019</v>
      </c>
      <c r="M296" s="7" t="str" cm="1">
        <f t="array" ref="M296">IF(N296="", "", IFERROR(MAX(--_xlfn.TEXTSPLIT(N296,"+")), N296))</f>
        <v/>
      </c>
      <c r="Q296" s="7" t="s">
        <v>4172</v>
      </c>
      <c r="R296" s="7" t="s">
        <v>4724</v>
      </c>
      <c r="S296" s="7" cm="1">
        <f t="array" ref="S296">IF(T296="", "", IFERROR(MAX(--_xlfn.TEXTSPLIT(T296,"+")), T296))</f>
        <v>2030</v>
      </c>
      <c r="T296" s="7">
        <v>2030</v>
      </c>
      <c r="U296" s="7">
        <v>2020</v>
      </c>
      <c r="V296" s="109" t="s">
        <v>4723</v>
      </c>
      <c r="W296" s="7" t="str">
        <f>_xlfn.XLOOKUP(C296,Sheet1!A:A,Sheet1!B:B, "Other")</f>
        <v>Europe</v>
      </c>
      <c r="X296" s="222" t="str">
        <f>_xlfn.XLOOKUP(D296,Sheet1!D:D,Sheet1!E:E,"Other")</f>
        <v>Other</v>
      </c>
    </row>
    <row r="297" spans="1:24">
      <c r="A297" s="7" t="s">
        <v>917</v>
      </c>
      <c r="B297" s="7">
        <v>295</v>
      </c>
      <c r="C297" s="7" t="s">
        <v>87</v>
      </c>
      <c r="D297" s="109" t="s">
        <v>3498</v>
      </c>
      <c r="M297" s="7" t="str" cm="1">
        <f t="array" ref="M297">IF(N297="", "", IFERROR(MAX(--_xlfn.TEXTSPLIT(N297,"+")), N297))</f>
        <v/>
      </c>
      <c r="Q297" s="7" t="s">
        <v>1957</v>
      </c>
      <c r="R297" s="7" t="s">
        <v>2425</v>
      </c>
      <c r="S297" s="7" cm="1">
        <f t="array" ref="S297">IF(T297="", "", IFERROR(MAX(--_xlfn.TEXTSPLIT(T297,"+")), T297))</f>
        <v>2040</v>
      </c>
      <c r="T297" s="7">
        <v>2040</v>
      </c>
      <c r="U297" s="7">
        <v>2021</v>
      </c>
      <c r="V297" s="109" t="s">
        <v>4722</v>
      </c>
      <c r="W297" s="7" t="str">
        <f>_xlfn.XLOOKUP(C297,Sheet1!A:A,Sheet1!B:B, "Other")</f>
        <v>Asia</v>
      </c>
      <c r="X297" s="222" t="str">
        <f>_xlfn.XLOOKUP(D297,Sheet1!D:D,Sheet1!E:E,"Other")</f>
        <v>Other</v>
      </c>
    </row>
    <row r="298" spans="1:24">
      <c r="A298" s="7" t="s">
        <v>717</v>
      </c>
      <c r="B298" s="7">
        <v>296</v>
      </c>
      <c r="C298" s="7" t="s">
        <v>287</v>
      </c>
      <c r="D298" s="109" t="s">
        <v>4465</v>
      </c>
      <c r="E298" s="7" t="s">
        <v>4174</v>
      </c>
      <c r="F298" s="7">
        <v>2020</v>
      </c>
      <c r="G298" s="109">
        <v>2014</v>
      </c>
      <c r="H298" s="7" t="s">
        <v>1957</v>
      </c>
      <c r="I298" s="7">
        <v>2030</v>
      </c>
      <c r="J298" s="109">
        <v>2019</v>
      </c>
      <c r="K298" s="7" t="s">
        <v>1957</v>
      </c>
      <c r="L298" s="7" t="s">
        <v>1659</v>
      </c>
      <c r="M298" s="7" cm="1">
        <f t="array" ref="M298">IF(N298="", "", IFERROR(MAX(--_xlfn.TEXTSPLIT(N298,"+")), N298))</f>
        <v>2003</v>
      </c>
      <c r="N298" s="7">
        <v>2003</v>
      </c>
      <c r="O298" s="7">
        <v>2003</v>
      </c>
      <c r="P298" s="109" t="s">
        <v>4721</v>
      </c>
      <c r="Q298" s="7" t="s">
        <v>4504</v>
      </c>
      <c r="R298" s="7" t="s">
        <v>4720</v>
      </c>
      <c r="S298" s="7" cm="1">
        <f t="array" ref="S298">IF(T298="", "", IFERROR(MAX(--_xlfn.TEXTSPLIT(T298,"+")), T298))</f>
        <v>2050</v>
      </c>
      <c r="T298" s="7" t="s">
        <v>4502</v>
      </c>
      <c r="U298" s="7" t="s">
        <v>4719</v>
      </c>
      <c r="V298" s="109" t="s">
        <v>4718</v>
      </c>
      <c r="W298" s="7" t="str">
        <f>_xlfn.XLOOKUP(C298,Sheet1!A:A,Sheet1!B:B, "Other")</f>
        <v>Europe</v>
      </c>
      <c r="X298" s="222" t="str">
        <f>_xlfn.XLOOKUP(D298,Sheet1!D:D,Sheet1!E:E,"Other")</f>
        <v>Other</v>
      </c>
    </row>
    <row r="299" spans="1:24">
      <c r="A299" s="7" t="s">
        <v>3638</v>
      </c>
      <c r="B299" s="7">
        <v>297</v>
      </c>
      <c r="C299" s="7" t="s">
        <v>73</v>
      </c>
      <c r="D299" s="109" t="s">
        <v>4494</v>
      </c>
      <c r="M299" s="7" t="str" cm="1">
        <f t="array" ref="M299">IF(N299="", "", IFERROR(MAX(--_xlfn.TEXTSPLIT(N299,"+")), N299))</f>
        <v/>
      </c>
      <c r="S299" s="7" t="str" cm="1">
        <f t="array" ref="S299">IF(T299="", "", IFERROR(MAX(--_xlfn.TEXTSPLIT(T299,"+")), T299))</f>
        <v/>
      </c>
      <c r="W299" s="7" t="str">
        <f>_xlfn.XLOOKUP(C299,Sheet1!A:A,Sheet1!B:B, "Other")</f>
        <v>Asia</v>
      </c>
      <c r="X299" s="222" t="str">
        <f>_xlfn.XLOOKUP(D299,Sheet1!D:D,Sheet1!E:E,"Other")</f>
        <v>Other</v>
      </c>
    </row>
    <row r="300" spans="1:24">
      <c r="A300" s="7" t="s">
        <v>773</v>
      </c>
      <c r="B300" s="7">
        <v>298</v>
      </c>
      <c r="C300" s="7" t="s">
        <v>376</v>
      </c>
      <c r="D300" s="109" t="s">
        <v>4465</v>
      </c>
      <c r="H300" s="7" t="s">
        <v>1957</v>
      </c>
      <c r="I300" s="7">
        <v>2030</v>
      </c>
      <c r="J300" s="109">
        <v>2022</v>
      </c>
      <c r="M300" s="7" t="str" cm="1">
        <f t="array" ref="M300">IF(N300="", "", IFERROR(MAX(--_xlfn.TEXTSPLIT(N300,"+")), N300))</f>
        <v/>
      </c>
      <c r="Q300" s="7" t="s">
        <v>4504</v>
      </c>
      <c r="R300" s="7" t="s">
        <v>4717</v>
      </c>
      <c r="S300" s="7" cm="1">
        <f t="array" ref="S300">IF(T300="", "", IFERROR(MAX(--_xlfn.TEXTSPLIT(T300,"+")), T300))</f>
        <v>2050</v>
      </c>
      <c r="T300" s="7" t="s">
        <v>4502</v>
      </c>
      <c r="U300" s="7" t="s">
        <v>4501</v>
      </c>
      <c r="V300" s="109" t="s">
        <v>3077</v>
      </c>
      <c r="W300" s="7" t="str">
        <f>_xlfn.XLOOKUP(C300,Sheet1!A:A,Sheet1!B:B, "Other")</f>
        <v>Europe</v>
      </c>
      <c r="X300" s="222" t="str">
        <f>_xlfn.XLOOKUP(D300,Sheet1!D:D,Sheet1!E:E,"Other")</f>
        <v>Other</v>
      </c>
    </row>
    <row r="301" spans="1:24">
      <c r="A301" s="7" t="s">
        <v>4716</v>
      </c>
      <c r="B301" s="7">
        <v>299</v>
      </c>
      <c r="C301" s="7" t="s">
        <v>73</v>
      </c>
      <c r="D301" s="109" t="s">
        <v>4197</v>
      </c>
      <c r="M301" s="7" t="str" cm="1">
        <f t="array" ref="M301">IF(N301="", "", IFERROR(MAX(--_xlfn.TEXTSPLIT(N301,"+")), N301))</f>
        <v/>
      </c>
      <c r="S301" s="7" t="str" cm="1">
        <f t="array" ref="S301">IF(T301="", "", IFERROR(MAX(--_xlfn.TEXTSPLIT(T301,"+")), T301))</f>
        <v/>
      </c>
      <c r="W301" s="7" t="str">
        <f>_xlfn.XLOOKUP(C301,Sheet1!A:A,Sheet1!B:B, "Other")</f>
        <v>Asia</v>
      </c>
      <c r="X301" s="222" t="str">
        <f>_xlfn.XLOOKUP(D301,Sheet1!D:D,Sheet1!E:E,"Other")</f>
        <v>Other</v>
      </c>
    </row>
    <row r="302" spans="1:24">
      <c r="A302" s="7" t="s">
        <v>1240</v>
      </c>
      <c r="B302" s="7">
        <v>300</v>
      </c>
      <c r="C302" s="7" t="s">
        <v>267</v>
      </c>
      <c r="D302" s="109" t="s">
        <v>4190</v>
      </c>
      <c r="E302" s="7" t="s">
        <v>4174</v>
      </c>
      <c r="F302" s="7">
        <v>2030</v>
      </c>
      <c r="G302" s="109">
        <v>2017</v>
      </c>
      <c r="H302" s="7" t="s">
        <v>4183</v>
      </c>
      <c r="I302" s="7">
        <v>2025</v>
      </c>
      <c r="J302" s="109">
        <v>2021</v>
      </c>
      <c r="M302" s="7" t="str" cm="1">
        <f t="array" ref="M302">IF(N302="", "", IFERROR(MAX(--_xlfn.TEXTSPLIT(N302,"+")), N302))</f>
        <v/>
      </c>
      <c r="Q302" s="7" t="s">
        <v>4570</v>
      </c>
      <c r="R302" s="7" t="s">
        <v>4715</v>
      </c>
      <c r="S302" s="7" cm="1">
        <f t="array" ref="S302">IF(T302="", "", IFERROR(MAX(--_xlfn.TEXTSPLIT(T302,"+")), T302))</f>
        <v>2040</v>
      </c>
      <c r="T302" s="7" t="s">
        <v>4571</v>
      </c>
      <c r="U302" s="7" t="s">
        <v>4606</v>
      </c>
      <c r="V302" s="109" t="s">
        <v>4714</v>
      </c>
      <c r="W302" s="7" t="str">
        <f>_xlfn.XLOOKUP(C302,Sheet1!A:A,Sheet1!B:B, "Other")</f>
        <v>Europe</v>
      </c>
      <c r="X302" s="222" t="str">
        <f>_xlfn.XLOOKUP(D302,Sheet1!D:D,Sheet1!E:E,"Other")</f>
        <v>Other</v>
      </c>
    </row>
    <row r="303" spans="1:24">
      <c r="A303" s="7" t="s">
        <v>3770</v>
      </c>
      <c r="B303" s="7">
        <v>301</v>
      </c>
      <c r="C303" s="7" t="s">
        <v>4457</v>
      </c>
      <c r="D303" s="109" t="s">
        <v>4201</v>
      </c>
      <c r="H303" s="7" t="s">
        <v>1957</v>
      </c>
      <c r="I303" s="7">
        <v>2030</v>
      </c>
      <c r="J303" s="109">
        <v>2022</v>
      </c>
      <c r="K303" s="7" t="s">
        <v>1957</v>
      </c>
      <c r="L303" s="7" t="s">
        <v>2425</v>
      </c>
      <c r="M303" s="7" cm="1">
        <f t="array" ref="M303">IF(N303="", "", IFERROR(MAX(--_xlfn.TEXTSPLIT(N303,"+")), N303))</f>
        <v>2040</v>
      </c>
      <c r="N303" s="7">
        <v>2040</v>
      </c>
      <c r="O303" s="7">
        <v>2020</v>
      </c>
      <c r="P303" s="109" t="s">
        <v>4713</v>
      </c>
      <c r="S303" s="7" t="str" cm="1">
        <f t="array" ref="S303">IF(T303="", "", IFERROR(MAX(--_xlfn.TEXTSPLIT(T303,"+")), T303))</f>
        <v/>
      </c>
      <c r="W303" s="7" t="str">
        <f>_xlfn.XLOOKUP(C303,Sheet1!A:A,Sheet1!B:B, "Other")</f>
        <v>North America</v>
      </c>
      <c r="X303" s="222" t="str">
        <f>_xlfn.XLOOKUP(D303,Sheet1!D:D,Sheet1!E:E,"Other")</f>
        <v>Other</v>
      </c>
    </row>
    <row r="304" spans="1:24">
      <c r="A304" s="7" t="s">
        <v>4180</v>
      </c>
      <c r="B304" s="7">
        <v>302</v>
      </c>
      <c r="C304" s="7" t="s">
        <v>73</v>
      </c>
      <c r="D304" s="109" t="s">
        <v>4179</v>
      </c>
      <c r="K304" s="7" t="s">
        <v>4519</v>
      </c>
      <c r="L304" s="7" t="s">
        <v>4518</v>
      </c>
      <c r="M304" s="7" cm="1">
        <f t="array" ref="M304">IF(N304="", "", IFERROR(MAX(--_xlfn.TEXTSPLIT(N304,"+")), N304))</f>
        <v>2060</v>
      </c>
      <c r="N304" s="7">
        <v>2060</v>
      </c>
      <c r="O304" s="7">
        <v>2022</v>
      </c>
      <c r="P304" s="109" t="s">
        <v>4712</v>
      </c>
      <c r="S304" s="7" t="str" cm="1">
        <f t="array" ref="S304">IF(T304="", "", IFERROR(MAX(--_xlfn.TEXTSPLIT(T304,"+")), T304))</f>
        <v/>
      </c>
      <c r="W304" s="7" t="str">
        <f>_xlfn.XLOOKUP(C304,Sheet1!A:A,Sheet1!B:B, "Other")</f>
        <v>Asia</v>
      </c>
      <c r="X304" s="222" t="str">
        <f>_xlfn.XLOOKUP(D304,Sheet1!D:D,Sheet1!E:E,"Other")</f>
        <v>Other</v>
      </c>
    </row>
    <row r="305" spans="1:24">
      <c r="A305" s="7" t="s">
        <v>880</v>
      </c>
      <c r="B305" s="7">
        <v>303</v>
      </c>
      <c r="C305" s="7" t="s">
        <v>63</v>
      </c>
      <c r="D305" s="109" t="s">
        <v>4201</v>
      </c>
      <c r="E305" s="7" t="s">
        <v>4174</v>
      </c>
      <c r="F305" s="7">
        <v>2030</v>
      </c>
      <c r="G305" s="109">
        <v>2020</v>
      </c>
      <c r="H305" s="7" t="s">
        <v>4183</v>
      </c>
      <c r="I305" s="7">
        <v>2030</v>
      </c>
      <c r="J305" s="109">
        <v>2020</v>
      </c>
      <c r="K305" s="7" t="s">
        <v>4172</v>
      </c>
      <c r="L305" s="7" t="s">
        <v>4532</v>
      </c>
      <c r="M305" s="7" cm="1">
        <f t="array" ref="M305">IF(N305="", "", IFERROR(MAX(--_xlfn.TEXTSPLIT(N305,"+")), N305))</f>
        <v>2030</v>
      </c>
      <c r="N305" s="7">
        <v>2030</v>
      </c>
      <c r="O305" s="7">
        <v>2020</v>
      </c>
      <c r="P305" s="109" t="s">
        <v>4711</v>
      </c>
      <c r="Q305" s="7" t="s">
        <v>4172</v>
      </c>
      <c r="R305" s="7" t="s">
        <v>4332</v>
      </c>
      <c r="S305" s="7" cm="1">
        <f t="array" ref="S305">IF(T305="", "", IFERROR(MAX(--_xlfn.TEXTSPLIT(T305,"+")), T305))</f>
        <v>2050</v>
      </c>
      <c r="T305" s="7">
        <v>2050</v>
      </c>
      <c r="U305" s="7">
        <v>2021</v>
      </c>
      <c r="V305" s="109" t="s">
        <v>4710</v>
      </c>
      <c r="W305" s="7" t="str">
        <f>_xlfn.XLOOKUP(C305,Sheet1!A:A,Sheet1!B:B, "Other")</f>
        <v>Europe</v>
      </c>
      <c r="X305" s="222" t="str">
        <f>_xlfn.XLOOKUP(D305,Sheet1!D:D,Sheet1!E:E,"Other")</f>
        <v>Other</v>
      </c>
    </row>
    <row r="306" spans="1:24">
      <c r="A306" s="7" t="s">
        <v>866</v>
      </c>
      <c r="B306" s="7">
        <v>304</v>
      </c>
      <c r="C306" s="7" t="s">
        <v>267</v>
      </c>
      <c r="D306" s="109" t="s">
        <v>4199</v>
      </c>
      <c r="H306" s="7" t="s">
        <v>4183</v>
      </c>
      <c r="I306" s="7">
        <v>2030</v>
      </c>
      <c r="J306" s="109">
        <v>2020</v>
      </c>
      <c r="K306" s="7" t="s">
        <v>4573</v>
      </c>
      <c r="L306" s="7" t="s">
        <v>4709</v>
      </c>
      <c r="M306" s="7" cm="1">
        <f t="array" ref="M306">IF(N306="", "", IFERROR(MAX(--_xlfn.TEXTSPLIT(N306,"+")), N306))</f>
        <v>2050</v>
      </c>
      <c r="N306" s="7" t="s">
        <v>4502</v>
      </c>
      <c r="O306" s="7" t="s">
        <v>4708</v>
      </c>
      <c r="P306" s="109" t="s">
        <v>4707</v>
      </c>
      <c r="R306" s="7" t="s">
        <v>4615</v>
      </c>
      <c r="S306" s="7" t="str" cm="1">
        <f t="array" ref="S306">IF(T306="", "", IFERROR(MAX(--_xlfn.TEXTSPLIT(T306,"+")), T306))</f>
        <v/>
      </c>
      <c r="U306" s="7" t="s">
        <v>4615</v>
      </c>
      <c r="W306" s="7" t="str">
        <f>_xlfn.XLOOKUP(C306,Sheet1!A:A,Sheet1!B:B, "Other")</f>
        <v>Europe</v>
      </c>
      <c r="X306" s="222" t="str">
        <f>_xlfn.XLOOKUP(D306,Sheet1!D:D,Sheet1!E:E,"Other")</f>
        <v>Other</v>
      </c>
    </row>
    <row r="307" spans="1:24">
      <c r="A307" s="7" t="s">
        <v>771</v>
      </c>
      <c r="B307" s="7">
        <v>305</v>
      </c>
      <c r="C307" s="7" t="s">
        <v>96</v>
      </c>
      <c r="D307" s="109" t="s">
        <v>66</v>
      </c>
      <c r="M307" s="7" t="str" cm="1">
        <f t="array" ref="M307">IF(N307="", "", IFERROR(MAX(--_xlfn.TEXTSPLIT(N307,"+")), N307))</f>
        <v/>
      </c>
      <c r="Q307" s="7" t="s">
        <v>1957</v>
      </c>
      <c r="R307" s="7" t="s">
        <v>2425</v>
      </c>
      <c r="S307" s="7" cm="1">
        <f t="array" ref="S307">IF(T307="", "", IFERROR(MAX(--_xlfn.TEXTSPLIT(T307,"+")), T307))</f>
        <v>2050</v>
      </c>
      <c r="T307" s="7">
        <v>2050</v>
      </c>
      <c r="U307" s="7">
        <v>2021</v>
      </c>
      <c r="V307" s="109" t="s">
        <v>4706</v>
      </c>
      <c r="W307" s="7" t="str">
        <f>_xlfn.XLOOKUP(C307,Sheet1!A:A,Sheet1!B:B, "Other")</f>
        <v>Europe</v>
      </c>
      <c r="X307" s="222" t="str">
        <f>_xlfn.XLOOKUP(D307,Sheet1!D:D,Sheet1!E:E,"Other")</f>
        <v>Chemicals</v>
      </c>
    </row>
    <row r="308" spans="1:24">
      <c r="A308" s="7" t="s">
        <v>956</v>
      </c>
      <c r="B308" s="7">
        <v>306</v>
      </c>
      <c r="C308" s="7" t="s">
        <v>114</v>
      </c>
      <c r="D308" s="109" t="s">
        <v>4465</v>
      </c>
      <c r="M308" s="7" t="str" cm="1">
        <f t="array" ref="M308">IF(N308="", "", IFERROR(MAX(--_xlfn.TEXTSPLIT(N308,"+")), N308))</f>
        <v/>
      </c>
      <c r="Q308" s="7" t="s">
        <v>4540</v>
      </c>
      <c r="R308" s="7" t="s">
        <v>4705</v>
      </c>
      <c r="S308" s="7" t="str" cm="1">
        <f t="array" ref="S308">IF(T308="", "", IFERROR(MAX(--_xlfn.TEXTSPLIT(T308,"+")), T308))</f>
        <v/>
      </c>
      <c r="V308" s="109" t="s">
        <v>4704</v>
      </c>
      <c r="W308" s="7" t="str">
        <f>_xlfn.XLOOKUP(C308,Sheet1!A:A,Sheet1!B:B, "Other")</f>
        <v>Asia</v>
      </c>
      <c r="X308" s="222" t="str">
        <f>_xlfn.XLOOKUP(D308,Sheet1!D:D,Sheet1!E:E,"Other")</f>
        <v>Other</v>
      </c>
    </row>
    <row r="309" spans="1:24">
      <c r="A309" s="7" t="s">
        <v>969</v>
      </c>
      <c r="B309" s="7">
        <v>307</v>
      </c>
      <c r="C309" s="7" t="s">
        <v>78</v>
      </c>
      <c r="D309" s="109" t="s">
        <v>4465</v>
      </c>
      <c r="K309" s="7" t="s">
        <v>1957</v>
      </c>
      <c r="L309" s="7" t="s">
        <v>1659</v>
      </c>
      <c r="M309" s="7" cm="1">
        <f t="array" ref="M309">IF(N309="", "", IFERROR(MAX(--_xlfn.TEXTSPLIT(N309,"+")), N309))</f>
        <v>2017</v>
      </c>
      <c r="N309" s="7">
        <v>2017</v>
      </c>
      <c r="O309" s="7">
        <v>2017</v>
      </c>
      <c r="P309" s="109" t="s">
        <v>2539</v>
      </c>
      <c r="Q309" s="7" t="s">
        <v>1957</v>
      </c>
      <c r="R309" s="7" t="s">
        <v>2425</v>
      </c>
      <c r="S309" s="7" cm="1">
        <f t="array" ref="S309">IF(T309="", "", IFERROR(MAX(--_xlfn.TEXTSPLIT(T309,"+")), T309))</f>
        <v>2050</v>
      </c>
      <c r="T309" s="7">
        <v>2050</v>
      </c>
      <c r="U309" s="7">
        <v>2021</v>
      </c>
      <c r="V309" s="109" t="s">
        <v>2540</v>
      </c>
      <c r="W309" s="7" t="str">
        <f>_xlfn.XLOOKUP(C309,Sheet1!A:A,Sheet1!B:B, "Other")</f>
        <v>North America</v>
      </c>
      <c r="X309" s="222" t="str">
        <f>_xlfn.XLOOKUP(D309,Sheet1!D:D,Sheet1!E:E,"Other")</f>
        <v>Other</v>
      </c>
    </row>
    <row r="310" spans="1:24">
      <c r="A310" s="7" t="s">
        <v>1130</v>
      </c>
      <c r="B310" s="7">
        <v>308</v>
      </c>
      <c r="C310" s="7" t="s">
        <v>78</v>
      </c>
      <c r="D310" s="109" t="s">
        <v>4467</v>
      </c>
      <c r="M310" s="7" t="str" cm="1">
        <f t="array" ref="M310">IF(N310="", "", IFERROR(MAX(--_xlfn.TEXTSPLIT(N310,"+")), N310))</f>
        <v/>
      </c>
      <c r="S310" s="7" t="str" cm="1">
        <f t="array" ref="S310">IF(T310="", "", IFERROR(MAX(--_xlfn.TEXTSPLIT(T310,"+")), T310))</f>
        <v/>
      </c>
      <c r="W310" s="7" t="str">
        <f>_xlfn.XLOOKUP(C310,Sheet1!A:A,Sheet1!B:B, "Other")</f>
        <v>North America</v>
      </c>
      <c r="X310" s="222" t="str">
        <f>_xlfn.XLOOKUP(D310,Sheet1!D:D,Sheet1!E:E,"Other")</f>
        <v>Retail</v>
      </c>
    </row>
    <row r="311" spans="1:24">
      <c r="A311" s="7" t="s">
        <v>1098</v>
      </c>
      <c r="B311" s="7">
        <v>309</v>
      </c>
      <c r="C311" s="7" t="s">
        <v>207</v>
      </c>
      <c r="D311" s="109" t="s">
        <v>4465</v>
      </c>
      <c r="H311" s="7" t="s">
        <v>1957</v>
      </c>
      <c r="I311" s="7">
        <v>2030</v>
      </c>
      <c r="J311" s="109">
        <v>2016</v>
      </c>
      <c r="M311" s="7" t="str" cm="1">
        <f t="array" ref="M311">IF(N311="", "", IFERROR(MAX(--_xlfn.TEXTSPLIT(N311,"+")), N311))</f>
        <v/>
      </c>
      <c r="Q311" s="7" t="s">
        <v>4172</v>
      </c>
      <c r="R311" s="7" t="s">
        <v>4532</v>
      </c>
      <c r="S311" s="7" cm="1">
        <f t="array" ref="S311">IF(T311="", "", IFERROR(MAX(--_xlfn.TEXTSPLIT(T311,"+")), T311))</f>
        <v>2050</v>
      </c>
      <c r="T311" s="7">
        <v>2050</v>
      </c>
      <c r="U311" s="7">
        <v>2019</v>
      </c>
      <c r="V311" s="109" t="s">
        <v>4703</v>
      </c>
      <c r="W311" s="7" t="str">
        <f>_xlfn.XLOOKUP(C311,Sheet1!A:A,Sheet1!B:B, "Other")</f>
        <v>Asia</v>
      </c>
      <c r="X311" s="222" t="str">
        <f>_xlfn.XLOOKUP(D311,Sheet1!D:D,Sheet1!E:E,"Other")</f>
        <v>Other</v>
      </c>
    </row>
    <row r="312" spans="1:24">
      <c r="A312" s="7" t="s">
        <v>944</v>
      </c>
      <c r="B312" s="7">
        <v>310</v>
      </c>
      <c r="C312" s="7" t="s">
        <v>146</v>
      </c>
      <c r="D312" s="109" t="s">
        <v>4476</v>
      </c>
      <c r="H312" s="7" t="s">
        <v>4183</v>
      </c>
      <c r="I312" s="7">
        <v>2030</v>
      </c>
      <c r="J312" s="109">
        <v>2022</v>
      </c>
      <c r="K312" s="7" t="s">
        <v>1957</v>
      </c>
      <c r="L312" s="7" t="s">
        <v>4702</v>
      </c>
      <c r="M312" s="7" cm="1">
        <f t="array" ref="M312">IF(N312="", "", IFERROR(MAX(--_xlfn.TEXTSPLIT(N312,"+")), N312))</f>
        <v>2040</v>
      </c>
      <c r="N312" s="7">
        <v>2040</v>
      </c>
      <c r="O312" s="7">
        <v>2019</v>
      </c>
      <c r="P312" s="109" t="s">
        <v>4701</v>
      </c>
      <c r="R312" s="7" t="s">
        <v>4615</v>
      </c>
      <c r="S312" s="7" t="str" cm="1">
        <f t="array" ref="S312">IF(T312="", "", IFERROR(MAX(--_xlfn.TEXTSPLIT(T312,"+")), T312))</f>
        <v/>
      </c>
      <c r="U312" s="7" t="s">
        <v>4615</v>
      </c>
      <c r="W312" s="7" t="str">
        <f>_xlfn.XLOOKUP(C312,Sheet1!A:A,Sheet1!B:B, "Other")</f>
        <v>Europe</v>
      </c>
      <c r="X312" s="222" t="str">
        <f>_xlfn.XLOOKUP(D312,Sheet1!D:D,Sheet1!E:E,"Other")</f>
        <v>Other</v>
      </c>
    </row>
    <row r="313" spans="1:24">
      <c r="A313" s="7" t="s">
        <v>960</v>
      </c>
      <c r="B313" s="7">
        <v>311</v>
      </c>
      <c r="C313" s="7" t="s">
        <v>3277</v>
      </c>
      <c r="D313" s="109" t="s">
        <v>4459</v>
      </c>
      <c r="M313" s="7" t="str" cm="1">
        <f t="array" ref="M313">IF(N313="", "", IFERROR(MAX(--_xlfn.TEXTSPLIT(N313,"+")), N313))</f>
        <v/>
      </c>
      <c r="S313" s="7" t="str" cm="1">
        <f t="array" ref="S313">IF(T313="", "", IFERROR(MAX(--_xlfn.TEXTSPLIT(T313,"+")), T313))</f>
        <v/>
      </c>
      <c r="W313" s="7" t="str">
        <f>_xlfn.XLOOKUP(C313,Sheet1!A:A,Sheet1!B:B, "Other")</f>
        <v>Asia</v>
      </c>
      <c r="X313" s="222" t="str">
        <f>_xlfn.XLOOKUP(D313,Sheet1!D:D,Sheet1!E:E,"Other")</f>
        <v>Other</v>
      </c>
    </row>
    <row r="314" spans="1:24">
      <c r="A314" s="7" t="s">
        <v>1143</v>
      </c>
      <c r="B314" s="7">
        <v>312</v>
      </c>
      <c r="C314" s="7" t="s">
        <v>146</v>
      </c>
      <c r="D314" s="109" t="s">
        <v>4476</v>
      </c>
      <c r="E314" s="7" t="s">
        <v>4174</v>
      </c>
      <c r="F314" s="7">
        <v>2040</v>
      </c>
      <c r="G314" s="109">
        <v>2020</v>
      </c>
      <c r="H314" s="7" t="s">
        <v>4183</v>
      </c>
      <c r="I314" s="7">
        <v>2030</v>
      </c>
      <c r="J314" s="109">
        <v>2020</v>
      </c>
      <c r="K314" s="7" t="s">
        <v>4573</v>
      </c>
      <c r="L314" s="7" t="s">
        <v>4700</v>
      </c>
      <c r="M314" s="7" cm="1">
        <f t="array" ref="M314">IF(N314="", "", IFERROR(MAX(--_xlfn.TEXTSPLIT(N314,"+")), N314))</f>
        <v>2050</v>
      </c>
      <c r="N314" s="7" t="s">
        <v>4670</v>
      </c>
      <c r="O314" s="7" t="s">
        <v>4606</v>
      </c>
      <c r="P314" s="109" t="s">
        <v>4699</v>
      </c>
      <c r="S314" s="7" t="str" cm="1">
        <f t="array" ref="S314">IF(T314="", "", IFERROR(MAX(--_xlfn.TEXTSPLIT(T314,"+")), T314))</f>
        <v/>
      </c>
      <c r="W314" s="7" t="str">
        <f>_xlfn.XLOOKUP(C314,Sheet1!A:A,Sheet1!B:B, "Other")</f>
        <v>Europe</v>
      </c>
      <c r="X314" s="222" t="str">
        <f>_xlfn.XLOOKUP(D314,Sheet1!D:D,Sheet1!E:E,"Other")</f>
        <v>Other</v>
      </c>
    </row>
    <row r="315" spans="1:24">
      <c r="A315" s="7" t="s">
        <v>693</v>
      </c>
      <c r="B315" s="7">
        <v>313</v>
      </c>
      <c r="C315" s="7" t="s">
        <v>4457</v>
      </c>
      <c r="D315" s="109" t="s">
        <v>4643</v>
      </c>
      <c r="E315" s="7" t="s">
        <v>4174</v>
      </c>
      <c r="F315" s="7">
        <v>2025</v>
      </c>
      <c r="G315" s="109">
        <v>2015</v>
      </c>
      <c r="H315" s="7" t="s">
        <v>4183</v>
      </c>
      <c r="I315" s="7">
        <v>2030</v>
      </c>
      <c r="J315" s="109">
        <v>2019</v>
      </c>
      <c r="L315" s="7" t="s">
        <v>4615</v>
      </c>
      <c r="M315" s="7" t="str" cm="1">
        <f t="array" ref="M315">IF(N315="", "", IFERROR(MAX(--_xlfn.TEXTSPLIT(N315,"+")), N315))</f>
        <v/>
      </c>
      <c r="O315" s="7" t="s">
        <v>4615</v>
      </c>
      <c r="R315" s="7" t="s">
        <v>4615</v>
      </c>
      <c r="S315" s="7" t="str" cm="1">
        <f t="array" ref="S315">IF(T315="", "", IFERROR(MAX(--_xlfn.TEXTSPLIT(T315,"+")), T315))</f>
        <v/>
      </c>
      <c r="U315" s="7" t="s">
        <v>4615</v>
      </c>
      <c r="W315" s="7" t="str">
        <f>_xlfn.XLOOKUP(C315,Sheet1!A:A,Sheet1!B:B, "Other")</f>
        <v>North America</v>
      </c>
      <c r="X315" s="222" t="str">
        <f>_xlfn.XLOOKUP(D315,Sheet1!D:D,Sheet1!E:E,"Other")</f>
        <v>Other</v>
      </c>
    </row>
    <row r="316" spans="1:24">
      <c r="A316" s="7" t="s">
        <v>883</v>
      </c>
      <c r="B316" s="7">
        <v>314</v>
      </c>
      <c r="C316" s="7" t="s">
        <v>63</v>
      </c>
      <c r="D316" s="109" t="s">
        <v>4197</v>
      </c>
      <c r="H316" s="7" t="s">
        <v>1957</v>
      </c>
      <c r="I316" s="7">
        <v>2030</v>
      </c>
      <c r="J316" s="109">
        <v>2022</v>
      </c>
      <c r="M316" s="7" t="str" cm="1">
        <f t="array" ref="M316">IF(N316="", "", IFERROR(MAX(--_xlfn.TEXTSPLIT(N316,"+")), N316))</f>
        <v/>
      </c>
      <c r="S316" s="7" t="str" cm="1">
        <f t="array" ref="S316">IF(T316="", "", IFERROR(MAX(--_xlfn.TEXTSPLIT(T316,"+")), T316))</f>
        <v/>
      </c>
      <c r="W316" s="7" t="str">
        <f>_xlfn.XLOOKUP(C316,Sheet1!A:A,Sheet1!B:B, "Other")</f>
        <v>Europe</v>
      </c>
      <c r="X316" s="222" t="str">
        <f>_xlfn.XLOOKUP(D316,Sheet1!D:D,Sheet1!E:E,"Other")</f>
        <v>Other</v>
      </c>
    </row>
    <row r="317" spans="1:24">
      <c r="A317" s="7" t="s">
        <v>617</v>
      </c>
      <c r="B317" s="7">
        <v>315</v>
      </c>
      <c r="C317" s="7" t="s">
        <v>73</v>
      </c>
      <c r="D317" s="109" t="s">
        <v>4260</v>
      </c>
      <c r="M317" s="7" t="str" cm="1">
        <f t="array" ref="M317">IF(N317="", "", IFERROR(MAX(--_xlfn.TEXTSPLIT(N317,"+")), N317))</f>
        <v/>
      </c>
      <c r="S317" s="7" t="str" cm="1">
        <f t="array" ref="S317">IF(T317="", "", IFERROR(MAX(--_xlfn.TEXTSPLIT(T317,"+")), T317))</f>
        <v/>
      </c>
      <c r="W317" s="7" t="str">
        <f>_xlfn.XLOOKUP(C317,Sheet1!A:A,Sheet1!B:B, "Other")</f>
        <v>Asia</v>
      </c>
      <c r="X317" s="222" t="str">
        <f>_xlfn.XLOOKUP(D317,Sheet1!D:D,Sheet1!E:E,"Other")</f>
        <v>Other</v>
      </c>
    </row>
    <row r="318" spans="1:24">
      <c r="A318" s="7" t="s">
        <v>777</v>
      </c>
      <c r="B318" s="7">
        <v>316</v>
      </c>
      <c r="C318" s="7" t="s">
        <v>146</v>
      </c>
      <c r="D318" s="109" t="s">
        <v>4201</v>
      </c>
      <c r="M318" s="7" t="str" cm="1">
        <f t="array" ref="M318">IF(N318="", "", IFERROR(MAX(--_xlfn.TEXTSPLIT(N318,"+")), N318))</f>
        <v/>
      </c>
      <c r="Q318" s="7" t="s">
        <v>1957</v>
      </c>
      <c r="R318" s="7" t="s">
        <v>2425</v>
      </c>
      <c r="S318" s="7" cm="1">
        <f t="array" ref="S318">IF(T318="", "", IFERROR(MAX(--_xlfn.TEXTSPLIT(T318,"+")), T318))</f>
        <v>2040</v>
      </c>
      <c r="T318" s="7">
        <v>2040</v>
      </c>
      <c r="U318" s="7">
        <v>2022</v>
      </c>
      <c r="V318" s="109" t="s">
        <v>4698</v>
      </c>
      <c r="W318" s="7" t="str">
        <f>_xlfn.XLOOKUP(C318,Sheet1!A:A,Sheet1!B:B, "Other")</f>
        <v>Europe</v>
      </c>
      <c r="X318" s="222" t="str">
        <f>_xlfn.XLOOKUP(D318,Sheet1!D:D,Sheet1!E:E,"Other")</f>
        <v>Other</v>
      </c>
    </row>
    <row r="319" spans="1:24">
      <c r="A319" s="7" t="s">
        <v>529</v>
      </c>
      <c r="B319" s="7">
        <v>317</v>
      </c>
      <c r="C319" s="7" t="s">
        <v>3277</v>
      </c>
      <c r="D319" s="109" t="s">
        <v>186</v>
      </c>
      <c r="H319" s="7" t="s">
        <v>1957</v>
      </c>
      <c r="I319" s="7">
        <v>2030</v>
      </c>
      <c r="J319" s="109">
        <v>2022</v>
      </c>
      <c r="M319" s="7" t="str" cm="1">
        <f t="array" ref="M319">IF(N319="", "", IFERROR(MAX(--_xlfn.TEXTSPLIT(N319,"+")), N319))</f>
        <v/>
      </c>
      <c r="Q319" s="7" t="s">
        <v>4172</v>
      </c>
      <c r="R319" s="7" t="s">
        <v>4697</v>
      </c>
      <c r="S319" s="7" cm="1">
        <f t="array" ref="S319">IF(T319="", "", IFERROR(MAX(--_xlfn.TEXTSPLIT(T319,"+")), T319))</f>
        <v>2050</v>
      </c>
      <c r="T319" s="7">
        <v>2050</v>
      </c>
      <c r="U319" s="7">
        <v>2022</v>
      </c>
      <c r="V319" s="109" t="s">
        <v>530</v>
      </c>
      <c r="W319" s="7" t="str">
        <f>_xlfn.XLOOKUP(C319,Sheet1!A:A,Sheet1!B:B, "Other")</f>
        <v>Asia</v>
      </c>
      <c r="X319" s="222" t="str">
        <f>_xlfn.XLOOKUP(D319,Sheet1!D:D,Sheet1!E:E,"Other")</f>
        <v>Technology</v>
      </c>
    </row>
    <row r="320" spans="1:24">
      <c r="A320" s="7" t="s">
        <v>727</v>
      </c>
      <c r="B320" s="7">
        <v>318</v>
      </c>
      <c r="C320" s="7" t="s">
        <v>4457</v>
      </c>
      <c r="D320" s="109" t="s">
        <v>4459</v>
      </c>
      <c r="H320" s="7" t="s">
        <v>1957</v>
      </c>
      <c r="I320" s="7">
        <v>2030</v>
      </c>
      <c r="J320" s="109">
        <v>2022</v>
      </c>
      <c r="M320" s="7" t="str" cm="1">
        <f t="array" ref="M320">IF(N320="", "", IFERROR(MAX(--_xlfn.TEXTSPLIT(N320,"+")), N320))</f>
        <v/>
      </c>
      <c r="S320" s="7" t="str" cm="1">
        <f t="array" ref="S320">IF(T320="", "", IFERROR(MAX(--_xlfn.TEXTSPLIT(T320,"+")), T320))</f>
        <v/>
      </c>
      <c r="W320" s="7" t="str">
        <f>_xlfn.XLOOKUP(C320,Sheet1!A:A,Sheet1!B:B, "Other")</f>
        <v>North America</v>
      </c>
      <c r="X320" s="222" t="str">
        <f>_xlfn.XLOOKUP(D320,Sheet1!D:D,Sheet1!E:E,"Other")</f>
        <v>Other</v>
      </c>
    </row>
    <row r="321" spans="1:24">
      <c r="A321" s="7" t="s">
        <v>745</v>
      </c>
      <c r="B321" s="7">
        <v>319</v>
      </c>
      <c r="C321" s="7" t="s">
        <v>78</v>
      </c>
      <c r="D321" s="109" t="s">
        <v>4467</v>
      </c>
      <c r="H321" s="7" t="s">
        <v>1957</v>
      </c>
      <c r="I321" s="7">
        <v>2030</v>
      </c>
      <c r="J321" s="109">
        <v>2022</v>
      </c>
      <c r="M321" s="7" t="str" cm="1">
        <f t="array" ref="M321">IF(N321="", "", IFERROR(MAX(--_xlfn.TEXTSPLIT(N321,"+")), N321))</f>
        <v/>
      </c>
      <c r="Q321" s="7" t="s">
        <v>4504</v>
      </c>
      <c r="R321" s="7" t="s">
        <v>4696</v>
      </c>
      <c r="S321" s="7" cm="1">
        <f t="array" ref="S321">IF(T321="", "", IFERROR(MAX(--_xlfn.TEXTSPLIT(T321,"+")), T321))</f>
        <v>2050</v>
      </c>
      <c r="T321" s="7" t="s">
        <v>4670</v>
      </c>
      <c r="U321" s="7" t="s">
        <v>4525</v>
      </c>
      <c r="V321" s="109" t="s">
        <v>4695</v>
      </c>
      <c r="W321" s="7" t="str">
        <f>_xlfn.XLOOKUP(C321,Sheet1!A:A,Sheet1!B:B, "Other")</f>
        <v>North America</v>
      </c>
      <c r="X321" s="222" t="str">
        <f>_xlfn.XLOOKUP(D321,Sheet1!D:D,Sheet1!E:E,"Other")</f>
        <v>Retail</v>
      </c>
    </row>
    <row r="322" spans="1:24">
      <c r="A322" s="7" t="s">
        <v>932</v>
      </c>
      <c r="B322" s="7">
        <v>320</v>
      </c>
      <c r="C322" s="7" t="s">
        <v>4457</v>
      </c>
      <c r="D322" s="109" t="s">
        <v>4465</v>
      </c>
      <c r="E322" s="7" t="s">
        <v>4174</v>
      </c>
      <c r="F322" s="7">
        <v>2018</v>
      </c>
      <c r="G322" s="109">
        <v>2020</v>
      </c>
      <c r="H322" s="7" t="s">
        <v>1957</v>
      </c>
      <c r="I322" s="7">
        <v>2030</v>
      </c>
      <c r="J322" s="109">
        <v>2021</v>
      </c>
      <c r="K322" s="7" t="s">
        <v>1957</v>
      </c>
      <c r="L322" s="7" t="s">
        <v>1659</v>
      </c>
      <c r="M322" s="7" cm="1">
        <f t="array" ref="M322">IF(N322="", "", IFERROR(MAX(--_xlfn.TEXTSPLIT(N322,"+")), N322))</f>
        <v>2018</v>
      </c>
      <c r="N322" s="7">
        <v>2018</v>
      </c>
      <c r="O322" s="7">
        <v>2018</v>
      </c>
      <c r="P322" s="109" t="s">
        <v>4693</v>
      </c>
      <c r="Q322" s="7" t="s">
        <v>4172</v>
      </c>
      <c r="R322" s="7" t="s">
        <v>4694</v>
      </c>
      <c r="S322" s="7" cm="1">
        <f t="array" ref="S322">IF(T322="", "", IFERROR(MAX(--_xlfn.TEXTSPLIT(T322,"+")), T322))</f>
        <v>2035</v>
      </c>
      <c r="T322" s="7">
        <v>2035</v>
      </c>
      <c r="U322" s="7">
        <v>2021</v>
      </c>
      <c r="V322" s="109" t="s">
        <v>4693</v>
      </c>
      <c r="W322" s="7" t="str">
        <f>_xlfn.XLOOKUP(C322,Sheet1!A:A,Sheet1!B:B, "Other")</f>
        <v>North America</v>
      </c>
      <c r="X322" s="222" t="str">
        <f>_xlfn.XLOOKUP(D322,Sheet1!D:D,Sheet1!E:E,"Other")</f>
        <v>Other</v>
      </c>
    </row>
    <row r="323" spans="1:24">
      <c r="A323" s="7" t="s">
        <v>2449</v>
      </c>
      <c r="B323" s="7">
        <v>321</v>
      </c>
      <c r="C323" s="7" t="s">
        <v>73</v>
      </c>
      <c r="D323" s="109" t="s">
        <v>4197</v>
      </c>
      <c r="M323" s="7" t="str" cm="1">
        <f t="array" ref="M323">IF(N323="", "", IFERROR(MAX(--_xlfn.TEXTSPLIT(N323,"+")), N323))</f>
        <v/>
      </c>
      <c r="S323" s="7" t="str" cm="1">
        <f t="array" ref="S323">IF(T323="", "", IFERROR(MAX(--_xlfn.TEXTSPLIT(T323,"+")), T323))</f>
        <v/>
      </c>
      <c r="W323" s="7" t="str">
        <f>_xlfn.XLOOKUP(C323,Sheet1!A:A,Sheet1!B:B, "Other")</f>
        <v>Asia</v>
      </c>
      <c r="X323" s="222" t="str">
        <f>_xlfn.XLOOKUP(D323,Sheet1!D:D,Sheet1!E:E,"Other")</f>
        <v>Other</v>
      </c>
    </row>
    <row r="324" spans="1:24">
      <c r="A324" s="7" t="s">
        <v>749</v>
      </c>
      <c r="B324" s="7">
        <v>322</v>
      </c>
      <c r="C324" s="7" t="s">
        <v>73</v>
      </c>
      <c r="D324" s="109" t="s">
        <v>4260</v>
      </c>
      <c r="M324" s="7" t="str" cm="1">
        <f t="array" ref="M324">IF(N324="", "", IFERROR(MAX(--_xlfn.TEXTSPLIT(N324,"+")), N324))</f>
        <v/>
      </c>
      <c r="S324" s="7" t="str" cm="1">
        <f t="array" ref="S324">IF(T324="", "", IFERROR(MAX(--_xlfn.TEXTSPLIT(T324,"+")), T324))</f>
        <v/>
      </c>
      <c r="W324" s="7" t="str">
        <f>_xlfn.XLOOKUP(C324,Sheet1!A:A,Sheet1!B:B, "Other")</f>
        <v>Asia</v>
      </c>
      <c r="X324" s="222" t="str">
        <f>_xlfn.XLOOKUP(D324,Sheet1!D:D,Sheet1!E:E,"Other")</f>
        <v>Other</v>
      </c>
    </row>
    <row r="325" spans="1:24">
      <c r="A325" s="7" t="s">
        <v>977</v>
      </c>
      <c r="B325" s="7">
        <v>323</v>
      </c>
      <c r="C325" s="7" t="s">
        <v>980</v>
      </c>
      <c r="D325" s="109" t="s">
        <v>4476</v>
      </c>
      <c r="H325" s="7" t="s">
        <v>4183</v>
      </c>
      <c r="I325" s="7">
        <v>2030</v>
      </c>
      <c r="J325" s="109">
        <v>2020</v>
      </c>
      <c r="K325" s="7" t="s">
        <v>1957</v>
      </c>
      <c r="L325" s="7" t="s">
        <v>4191</v>
      </c>
      <c r="M325" s="7" cm="1">
        <f t="array" ref="M325">IF(N325="", "", IFERROR(MAX(--_xlfn.TEXTSPLIT(N325,"+")), N325))</f>
        <v>2025</v>
      </c>
      <c r="N325" s="7">
        <v>2025</v>
      </c>
      <c r="O325" s="7">
        <v>2019</v>
      </c>
      <c r="P325" s="109" t="s">
        <v>2056</v>
      </c>
      <c r="Q325" s="7" t="s">
        <v>4172</v>
      </c>
      <c r="R325" s="7" t="s">
        <v>2760</v>
      </c>
      <c r="S325" s="7" cm="1">
        <f t="array" ref="S325">IF(T325="", "", IFERROR(MAX(--_xlfn.TEXTSPLIT(T325,"+")), T325))</f>
        <v>2040</v>
      </c>
      <c r="T325" s="7">
        <v>2040</v>
      </c>
      <c r="U325" s="7">
        <v>2021</v>
      </c>
      <c r="V325" s="109" t="s">
        <v>4692</v>
      </c>
      <c r="W325" s="7" t="str">
        <f>_xlfn.XLOOKUP(C325,Sheet1!A:A,Sheet1!B:B, "Other")</f>
        <v>Europe</v>
      </c>
      <c r="X325" s="222" t="str">
        <f>_xlfn.XLOOKUP(D325,Sheet1!D:D,Sheet1!E:E,"Other")</f>
        <v>Other</v>
      </c>
    </row>
    <row r="326" spans="1:24">
      <c r="A326" s="7" t="s">
        <v>589</v>
      </c>
      <c r="B326" s="7">
        <v>324</v>
      </c>
      <c r="C326" s="7" t="s">
        <v>73</v>
      </c>
      <c r="D326" s="109" t="s">
        <v>4459</v>
      </c>
      <c r="M326" s="7" t="str" cm="1">
        <f t="array" ref="M326">IF(N326="", "", IFERROR(MAX(--_xlfn.TEXTSPLIT(N326,"+")), N326))</f>
        <v/>
      </c>
      <c r="S326" s="7" t="str" cm="1">
        <f t="array" ref="S326">IF(T326="", "", IFERROR(MAX(--_xlfn.TEXTSPLIT(T326,"+")), T326))</f>
        <v/>
      </c>
      <c r="W326" s="7" t="str">
        <f>_xlfn.XLOOKUP(C326,Sheet1!A:A,Sheet1!B:B, "Other")</f>
        <v>Asia</v>
      </c>
      <c r="X326" s="222" t="str">
        <f>_xlfn.XLOOKUP(D326,Sheet1!D:D,Sheet1!E:E,"Other")</f>
        <v>Other</v>
      </c>
    </row>
    <row r="327" spans="1:24">
      <c r="A327" s="7" t="s">
        <v>443</v>
      </c>
      <c r="B327" s="7">
        <v>325</v>
      </c>
      <c r="C327" s="7" t="s">
        <v>4457</v>
      </c>
      <c r="D327" s="109" t="s">
        <v>4201</v>
      </c>
      <c r="H327" s="7" t="s">
        <v>1957</v>
      </c>
      <c r="I327" s="7">
        <v>2030</v>
      </c>
      <c r="J327" s="109">
        <v>2022</v>
      </c>
      <c r="M327" s="7" t="str" cm="1">
        <f t="array" ref="M327">IF(N327="", "", IFERROR(MAX(--_xlfn.TEXTSPLIT(N327,"+")), N327))</f>
        <v/>
      </c>
      <c r="S327" s="7" t="str" cm="1">
        <f t="array" ref="S327">IF(T327="", "", IFERROR(MAX(--_xlfn.TEXTSPLIT(T327,"+")), T327))</f>
        <v/>
      </c>
      <c r="W327" s="7" t="str">
        <f>_xlfn.XLOOKUP(C327,Sheet1!A:A,Sheet1!B:B, "Other")</f>
        <v>North America</v>
      </c>
      <c r="X327" s="222" t="str">
        <f>_xlfn.XLOOKUP(D327,Sheet1!D:D,Sheet1!E:E,"Other")</f>
        <v>Other</v>
      </c>
    </row>
    <row r="328" spans="1:24">
      <c r="A328" s="7" t="s">
        <v>547</v>
      </c>
      <c r="B328" s="7">
        <v>326</v>
      </c>
      <c r="C328" s="7" t="s">
        <v>73</v>
      </c>
      <c r="D328" s="109" t="s">
        <v>4199</v>
      </c>
      <c r="K328" s="7" t="s">
        <v>4519</v>
      </c>
      <c r="L328" s="7" t="s">
        <v>4518</v>
      </c>
      <c r="M328" s="7" cm="1">
        <f t="array" ref="M328">IF(N328="", "", IFERROR(MAX(--_xlfn.TEXTSPLIT(N328,"+")), N328))</f>
        <v>2060</v>
      </c>
      <c r="N328" s="7">
        <v>2060</v>
      </c>
      <c r="O328" s="7">
        <v>2019</v>
      </c>
      <c r="P328" s="109" t="s">
        <v>4691</v>
      </c>
      <c r="S328" s="7" t="str" cm="1">
        <f t="array" ref="S328">IF(T328="", "", IFERROR(MAX(--_xlfn.TEXTSPLIT(T328,"+")), T328))</f>
        <v/>
      </c>
      <c r="W328" s="7" t="str">
        <f>_xlfn.XLOOKUP(C328,Sheet1!A:A,Sheet1!B:B, "Other")</f>
        <v>Asia</v>
      </c>
      <c r="X328" s="222" t="str">
        <f>_xlfn.XLOOKUP(D328,Sheet1!D:D,Sheet1!E:E,"Other")</f>
        <v>Other</v>
      </c>
    </row>
    <row r="329" spans="1:24">
      <c r="A329" s="7" t="s">
        <v>4240</v>
      </c>
      <c r="B329" s="7">
        <v>327</v>
      </c>
      <c r="C329" s="7" t="s">
        <v>4457</v>
      </c>
      <c r="D329" s="109" t="s">
        <v>4465</v>
      </c>
      <c r="M329" s="7" t="str" cm="1">
        <f t="array" ref="M329">IF(N329="", "", IFERROR(MAX(--_xlfn.TEXTSPLIT(N329,"+")), N329))</f>
        <v/>
      </c>
      <c r="S329" s="7" t="str" cm="1">
        <f t="array" ref="S329">IF(T329="", "", IFERROR(MAX(--_xlfn.TEXTSPLIT(T329,"+")), T329))</f>
        <v/>
      </c>
      <c r="W329" s="7" t="str">
        <f>_xlfn.XLOOKUP(C329,Sheet1!A:A,Sheet1!B:B, "Other")</f>
        <v>North America</v>
      </c>
      <c r="X329" s="222" t="str">
        <f>_xlfn.XLOOKUP(D329,Sheet1!D:D,Sheet1!E:E,"Other")</f>
        <v>Other</v>
      </c>
    </row>
    <row r="330" spans="1:24">
      <c r="A330" s="7" t="s">
        <v>480</v>
      </c>
      <c r="B330" s="7">
        <v>328</v>
      </c>
      <c r="C330" s="7" t="s">
        <v>73</v>
      </c>
      <c r="D330" s="109" t="s">
        <v>4494</v>
      </c>
      <c r="K330" s="7" t="s">
        <v>4519</v>
      </c>
      <c r="L330" s="7" t="s">
        <v>4518</v>
      </c>
      <c r="M330" s="7" cm="1">
        <f t="array" ref="M330">IF(N330="", "", IFERROR(MAX(--_xlfn.TEXTSPLIT(N330,"+")), N330))</f>
        <v>2060</v>
      </c>
      <c r="N330" s="7">
        <v>2060</v>
      </c>
      <c r="O330" s="7">
        <v>2021</v>
      </c>
      <c r="P330" s="109" t="s">
        <v>4690</v>
      </c>
      <c r="S330" s="7" t="str" cm="1">
        <f t="array" ref="S330">IF(T330="", "", IFERROR(MAX(--_xlfn.TEXTSPLIT(T330,"+")), T330))</f>
        <v/>
      </c>
      <c r="W330" s="7" t="str">
        <f>_xlfn.XLOOKUP(C330,Sheet1!A:A,Sheet1!B:B, "Other")</f>
        <v>Asia</v>
      </c>
      <c r="X330" s="222" t="str">
        <f>_xlfn.XLOOKUP(D330,Sheet1!D:D,Sheet1!E:E,"Other")</f>
        <v>Other</v>
      </c>
    </row>
    <row r="331" spans="1:24">
      <c r="A331" s="7" t="s">
        <v>619</v>
      </c>
      <c r="B331" s="7">
        <v>329</v>
      </c>
      <c r="C331" s="7" t="s">
        <v>4457</v>
      </c>
      <c r="D331" s="109" t="s">
        <v>3498</v>
      </c>
      <c r="M331" s="7" t="str" cm="1">
        <f t="array" ref="M331">IF(N331="", "", IFERROR(MAX(--_xlfn.TEXTSPLIT(N331,"+")), N331))</f>
        <v/>
      </c>
      <c r="S331" s="7" t="str" cm="1">
        <f t="array" ref="S331">IF(T331="", "", IFERROR(MAX(--_xlfn.TEXTSPLIT(T331,"+")), T331))</f>
        <v/>
      </c>
      <c r="W331" s="7" t="str">
        <f>_xlfn.XLOOKUP(C331,Sheet1!A:A,Sheet1!B:B, "Other")</f>
        <v>North America</v>
      </c>
      <c r="X331" s="222" t="str">
        <f>_xlfn.XLOOKUP(D331,Sheet1!D:D,Sheet1!E:E,"Other")</f>
        <v>Other</v>
      </c>
    </row>
    <row r="332" spans="1:24">
      <c r="A332" s="7" t="s">
        <v>245</v>
      </c>
      <c r="B332" s="7">
        <v>330</v>
      </c>
      <c r="C332" s="7" t="s">
        <v>246</v>
      </c>
      <c r="D332" s="109" t="s">
        <v>3498</v>
      </c>
      <c r="M332" s="7" t="str" cm="1">
        <f t="array" ref="M332">IF(N332="", "", IFERROR(MAX(--_xlfn.TEXTSPLIT(N332,"+")), N332))</f>
        <v/>
      </c>
      <c r="Q332" s="7" t="s">
        <v>4172</v>
      </c>
      <c r="R332" s="7" t="s">
        <v>1435</v>
      </c>
      <c r="S332" s="7" cm="1">
        <f t="array" ref="S332">IF(T332="", "", IFERROR(MAX(--_xlfn.TEXTSPLIT(T332,"+")), T332))</f>
        <v>2050</v>
      </c>
      <c r="T332" s="7">
        <v>2050</v>
      </c>
      <c r="U332" s="7">
        <v>2022</v>
      </c>
      <c r="V332" s="109" t="s">
        <v>4689</v>
      </c>
      <c r="W332" s="7" t="str">
        <f>_xlfn.XLOOKUP(C332,Sheet1!A:A,Sheet1!B:B, "Other")</f>
        <v>Other</v>
      </c>
      <c r="X332" s="222" t="str">
        <f>_xlfn.XLOOKUP(D332,Sheet1!D:D,Sheet1!E:E,"Other")</f>
        <v>Other</v>
      </c>
    </row>
    <row r="333" spans="1:24">
      <c r="A333" s="7" t="s">
        <v>272</v>
      </c>
      <c r="B333" s="7">
        <v>331</v>
      </c>
      <c r="C333" s="7" t="s">
        <v>3965</v>
      </c>
      <c r="D333" s="109" t="s">
        <v>4494</v>
      </c>
      <c r="K333" s="7" t="s">
        <v>1957</v>
      </c>
      <c r="L333" s="7" t="s">
        <v>4187</v>
      </c>
      <c r="M333" s="7" cm="1">
        <f t="array" ref="M333">IF(N333="", "", IFERROR(MAX(--_xlfn.TEXTSPLIT(N333,"+")), N333))</f>
        <v>2040</v>
      </c>
      <c r="N333" s="7">
        <v>2040</v>
      </c>
      <c r="O333" s="7">
        <v>2020</v>
      </c>
      <c r="P333" s="109" t="s">
        <v>4688</v>
      </c>
      <c r="S333" s="7" t="str" cm="1">
        <f t="array" ref="S333">IF(T333="", "", IFERROR(MAX(--_xlfn.TEXTSPLIT(T333,"+")), T333))</f>
        <v/>
      </c>
      <c r="W333" s="7" t="str">
        <f>_xlfn.XLOOKUP(C333,Sheet1!A:A,Sheet1!B:B, "Other")</f>
        <v>Other</v>
      </c>
      <c r="X333" s="222" t="str">
        <f>_xlfn.XLOOKUP(D333,Sheet1!D:D,Sheet1!E:E,"Other")</f>
        <v>Other</v>
      </c>
    </row>
    <row r="334" spans="1:24">
      <c r="A334" s="7" t="s">
        <v>2454</v>
      </c>
      <c r="B334" s="7">
        <v>332</v>
      </c>
      <c r="C334" s="7" t="s">
        <v>73</v>
      </c>
      <c r="D334" s="109" t="s">
        <v>4494</v>
      </c>
      <c r="M334" s="7" t="str" cm="1">
        <f t="array" ref="M334">IF(N334="", "", IFERROR(MAX(--_xlfn.TEXTSPLIT(N334,"+")), N334))</f>
        <v/>
      </c>
      <c r="S334" s="7" t="str" cm="1">
        <f t="array" ref="S334">IF(T334="", "", IFERROR(MAX(--_xlfn.TEXTSPLIT(T334,"+")), T334))</f>
        <v/>
      </c>
      <c r="W334" s="7" t="str">
        <f>_xlfn.XLOOKUP(C334,Sheet1!A:A,Sheet1!B:B, "Other")</f>
        <v>Asia</v>
      </c>
      <c r="X334" s="222" t="str">
        <f>_xlfn.XLOOKUP(D334,Sheet1!D:D,Sheet1!E:E,"Other")</f>
        <v>Other</v>
      </c>
    </row>
    <row r="335" spans="1:24">
      <c r="A335" s="7" t="s">
        <v>1194</v>
      </c>
      <c r="B335" s="7">
        <v>333</v>
      </c>
      <c r="C335" s="7" t="s">
        <v>68</v>
      </c>
      <c r="D335" s="109" t="s">
        <v>4465</v>
      </c>
      <c r="K335" s="7" t="s">
        <v>1957</v>
      </c>
      <c r="L335" s="7" t="s">
        <v>2126</v>
      </c>
      <c r="M335" s="7" cm="1">
        <f t="array" ref="M335">IF(N335="", "", IFERROR(MAX(--_xlfn.TEXTSPLIT(N335,"+")), N335))</f>
        <v>2008</v>
      </c>
      <c r="N335" s="7">
        <v>2008</v>
      </c>
      <c r="O335" s="7">
        <v>2008</v>
      </c>
      <c r="P335" s="109" t="s">
        <v>4687</v>
      </c>
      <c r="Q335" s="7" t="s">
        <v>4172</v>
      </c>
      <c r="R335" s="7" t="s">
        <v>1435</v>
      </c>
      <c r="S335" s="7" cm="1">
        <f t="array" ref="S335">IF(T335="", "", IFERROR(MAX(--_xlfn.TEXTSPLIT(T335,"+")), T335))</f>
        <v>2050</v>
      </c>
      <c r="T335" s="7">
        <v>2050</v>
      </c>
      <c r="U335" s="7">
        <v>2021</v>
      </c>
      <c r="V335" s="109" t="s">
        <v>4686</v>
      </c>
      <c r="W335" s="7" t="str">
        <f>_xlfn.XLOOKUP(C335,Sheet1!A:A,Sheet1!B:B, "Other")</f>
        <v>Other</v>
      </c>
      <c r="X335" s="222" t="str">
        <f>_xlfn.XLOOKUP(D335,Sheet1!D:D,Sheet1!E:E,"Other")</f>
        <v>Other</v>
      </c>
    </row>
    <row r="336" spans="1:24">
      <c r="A336" s="7" t="s">
        <v>270</v>
      </c>
      <c r="B336" s="7">
        <v>334</v>
      </c>
      <c r="C336" s="7" t="s">
        <v>73</v>
      </c>
      <c r="D336" s="109" t="s">
        <v>4465</v>
      </c>
      <c r="M336" s="7" t="str" cm="1">
        <f t="array" ref="M336">IF(N336="", "", IFERROR(MAX(--_xlfn.TEXTSPLIT(N336,"+")), N336))</f>
        <v/>
      </c>
      <c r="S336" s="7" t="str" cm="1">
        <f t="array" ref="S336">IF(T336="", "", IFERROR(MAX(--_xlfn.TEXTSPLIT(T336,"+")), T336))</f>
        <v/>
      </c>
      <c r="W336" s="7" t="str">
        <f>_xlfn.XLOOKUP(C336,Sheet1!A:A,Sheet1!B:B, "Other")</f>
        <v>Asia</v>
      </c>
      <c r="X336" s="222" t="str">
        <f>_xlfn.XLOOKUP(D336,Sheet1!D:D,Sheet1!E:E,"Other")</f>
        <v>Other</v>
      </c>
    </row>
    <row r="337" spans="1:24">
      <c r="A337" s="7" t="s">
        <v>2407</v>
      </c>
      <c r="B337" s="7">
        <v>335</v>
      </c>
      <c r="C337" s="7" t="s">
        <v>63</v>
      </c>
      <c r="D337" s="109" t="s">
        <v>4179</v>
      </c>
      <c r="I337" s="7">
        <v>2030</v>
      </c>
      <c r="K337" s="7" t="s">
        <v>1957</v>
      </c>
      <c r="L337" s="7" t="s">
        <v>1659</v>
      </c>
      <c r="M337" s="7" cm="1">
        <f t="array" ref="M337">IF(N337="", "", IFERROR(MAX(--_xlfn.TEXTSPLIT(N337,"+")), N337))</f>
        <v>2050</v>
      </c>
      <c r="N337" s="7">
        <v>2050</v>
      </c>
      <c r="O337" s="7">
        <v>2019</v>
      </c>
      <c r="P337" s="109" t="s">
        <v>4685</v>
      </c>
      <c r="S337" s="7" t="str" cm="1">
        <f t="array" ref="S337">IF(T337="", "", IFERROR(MAX(--_xlfn.TEXTSPLIT(T337,"+")), T337))</f>
        <v/>
      </c>
      <c r="W337" s="7" t="str">
        <f>_xlfn.XLOOKUP(C337,Sheet1!A:A,Sheet1!B:B, "Other")</f>
        <v>Europe</v>
      </c>
      <c r="X337" s="222" t="str">
        <f>_xlfn.XLOOKUP(D337,Sheet1!D:D,Sheet1!E:E,"Other")</f>
        <v>Other</v>
      </c>
    </row>
    <row r="338" spans="1:24">
      <c r="A338" s="7" t="s">
        <v>4684</v>
      </c>
      <c r="B338" s="7">
        <v>336</v>
      </c>
      <c r="C338" s="7" t="s">
        <v>73</v>
      </c>
      <c r="D338" s="109" t="s">
        <v>4494</v>
      </c>
      <c r="M338" s="7" t="str" cm="1">
        <f t="array" ref="M338">IF(N338="", "", IFERROR(MAX(--_xlfn.TEXTSPLIT(N338,"+")), N338))</f>
        <v/>
      </c>
      <c r="S338" s="7" t="str" cm="1">
        <f t="array" ref="S338">IF(T338="", "", IFERROR(MAX(--_xlfn.TEXTSPLIT(T338,"+")), T338))</f>
        <v/>
      </c>
      <c r="W338" s="7" t="str">
        <f>_xlfn.XLOOKUP(C338,Sheet1!A:A,Sheet1!B:B, "Other")</f>
        <v>Asia</v>
      </c>
      <c r="X338" s="222" t="str">
        <f>_xlfn.XLOOKUP(D338,Sheet1!D:D,Sheet1!E:E,"Other")</f>
        <v>Other</v>
      </c>
    </row>
    <row r="339" spans="1:24">
      <c r="A339" s="7" t="s">
        <v>522</v>
      </c>
      <c r="B339" s="7">
        <v>337</v>
      </c>
      <c r="C339" s="7" t="s">
        <v>146</v>
      </c>
      <c r="D339" s="109" t="s">
        <v>4465</v>
      </c>
      <c r="M339" s="7" t="str" cm="1">
        <f t="array" ref="M339">IF(N339="", "", IFERROR(MAX(--_xlfn.TEXTSPLIT(N339,"+")), N339))</f>
        <v/>
      </c>
      <c r="Q339" s="7" t="s">
        <v>4540</v>
      </c>
      <c r="R339" s="7" t="s">
        <v>4683</v>
      </c>
      <c r="S339" s="7" t="str" cm="1">
        <f t="array" ref="S339">IF(T339="", "", IFERROR(MAX(--_xlfn.TEXTSPLIT(T339,"+")), T339))</f>
        <v/>
      </c>
      <c r="V339" s="109" t="s">
        <v>4682</v>
      </c>
      <c r="W339" s="7" t="str">
        <f>_xlfn.XLOOKUP(C339,Sheet1!A:A,Sheet1!B:B, "Other")</f>
        <v>Europe</v>
      </c>
      <c r="X339" s="222" t="str">
        <f>_xlfn.XLOOKUP(D339,Sheet1!D:D,Sheet1!E:E,"Other")</f>
        <v>Other</v>
      </c>
    </row>
    <row r="340" spans="1:24">
      <c r="A340" s="7" t="s">
        <v>561</v>
      </c>
      <c r="B340" s="7">
        <v>338</v>
      </c>
      <c r="C340" s="7" t="s">
        <v>287</v>
      </c>
      <c r="D340" s="109" t="s">
        <v>4465</v>
      </c>
      <c r="K340" s="7" t="s">
        <v>1957</v>
      </c>
      <c r="L340" s="7" t="s">
        <v>1659</v>
      </c>
      <c r="M340" s="7" cm="1">
        <f t="array" ref="M340">IF(N340="", "", IFERROR(MAX(--_xlfn.TEXTSPLIT(N340,"+")), N340))</f>
        <v>2022</v>
      </c>
      <c r="N340" s="7">
        <v>2022</v>
      </c>
      <c r="O340" s="7">
        <v>2021</v>
      </c>
      <c r="P340" s="109" t="s">
        <v>4681</v>
      </c>
      <c r="S340" s="7" t="str" cm="1">
        <f t="array" ref="S340">IF(T340="", "", IFERROR(MAX(--_xlfn.TEXTSPLIT(T340,"+")), T340))</f>
        <v/>
      </c>
      <c r="W340" s="7" t="str">
        <f>_xlfn.XLOOKUP(C340,Sheet1!A:A,Sheet1!B:B, "Other")</f>
        <v>Europe</v>
      </c>
      <c r="X340" s="222" t="str">
        <f>_xlfn.XLOOKUP(D340,Sheet1!D:D,Sheet1!E:E,"Other")</f>
        <v>Other</v>
      </c>
    </row>
    <row r="341" spans="1:24">
      <c r="A341" s="7" t="s">
        <v>613</v>
      </c>
      <c r="B341" s="7">
        <v>339</v>
      </c>
      <c r="C341" s="7" t="s">
        <v>73</v>
      </c>
      <c r="D341" s="109" t="s">
        <v>4494</v>
      </c>
      <c r="M341" s="7" t="str" cm="1">
        <f t="array" ref="M341">IF(N341="", "", IFERROR(MAX(--_xlfn.TEXTSPLIT(N341,"+")), N341))</f>
        <v/>
      </c>
      <c r="S341" s="7" t="str" cm="1">
        <f t="array" ref="S341">IF(T341="", "", IFERROR(MAX(--_xlfn.TEXTSPLIT(T341,"+")), T341))</f>
        <v/>
      </c>
      <c r="W341" s="7" t="str">
        <f>_xlfn.XLOOKUP(C341,Sheet1!A:A,Sheet1!B:B, "Other")</f>
        <v>Asia</v>
      </c>
      <c r="X341" s="222" t="str">
        <f>_xlfn.XLOOKUP(D341,Sheet1!D:D,Sheet1!E:E,"Other")</f>
        <v>Other</v>
      </c>
    </row>
    <row r="342" spans="1:24">
      <c r="A342" s="7" t="s">
        <v>353</v>
      </c>
      <c r="B342" s="7">
        <v>340</v>
      </c>
      <c r="C342" s="7" t="s">
        <v>63</v>
      </c>
      <c r="D342" s="109" t="s">
        <v>4179</v>
      </c>
      <c r="E342" s="7" t="s">
        <v>4174</v>
      </c>
      <c r="F342" s="7">
        <v>2025</v>
      </c>
      <c r="G342" s="109">
        <v>2015</v>
      </c>
      <c r="H342" s="7" t="s">
        <v>4183</v>
      </c>
      <c r="I342" s="7">
        <v>2025</v>
      </c>
      <c r="J342" s="109">
        <v>2019</v>
      </c>
      <c r="K342" s="7" t="s">
        <v>1957</v>
      </c>
      <c r="L342" s="7" t="s">
        <v>4680</v>
      </c>
      <c r="M342" s="7" cm="1">
        <f t="array" ref="M342">IF(N342="", "", IFERROR(MAX(--_xlfn.TEXTSPLIT(N342,"+")), N342))</f>
        <v>2019</v>
      </c>
      <c r="N342" s="7">
        <v>2019</v>
      </c>
      <c r="O342" s="7">
        <v>2012</v>
      </c>
      <c r="P342" s="109" t="s">
        <v>4679</v>
      </c>
      <c r="Q342" s="7" t="s">
        <v>1957</v>
      </c>
      <c r="R342" s="7" t="s">
        <v>4678</v>
      </c>
      <c r="S342" s="7" cm="1">
        <f t="array" ref="S342">IF(T342="", "", IFERROR(MAX(--_xlfn.TEXTSPLIT(T342,"+")), T342))</f>
        <v>2030</v>
      </c>
      <c r="T342" s="7">
        <v>2030</v>
      </c>
      <c r="U342" s="7">
        <v>2021</v>
      </c>
      <c r="V342" s="109" t="s">
        <v>4677</v>
      </c>
      <c r="W342" s="7" t="str">
        <f>_xlfn.XLOOKUP(C342,Sheet1!A:A,Sheet1!B:B, "Other")</f>
        <v>Europe</v>
      </c>
      <c r="X342" s="222" t="str">
        <f>_xlfn.XLOOKUP(D342,Sheet1!D:D,Sheet1!E:E,"Other")</f>
        <v>Other</v>
      </c>
    </row>
    <row r="343" spans="1:24">
      <c r="A343" s="7" t="s">
        <v>751</v>
      </c>
      <c r="B343" s="7">
        <v>341</v>
      </c>
      <c r="C343" s="7" t="s">
        <v>73</v>
      </c>
      <c r="D343" s="109" t="s">
        <v>4260</v>
      </c>
      <c r="L343" s="7" t="s">
        <v>4615</v>
      </c>
      <c r="M343" s="7" t="str" cm="1">
        <f t="array" ref="M343">IF(N343="", "", IFERROR(MAX(--_xlfn.TEXTSPLIT(N343,"+")), N343))</f>
        <v/>
      </c>
      <c r="O343" s="7" t="s">
        <v>4615</v>
      </c>
      <c r="R343" s="7" t="s">
        <v>4615</v>
      </c>
      <c r="S343" s="7" t="str" cm="1">
        <f t="array" ref="S343">IF(T343="", "", IFERROR(MAX(--_xlfn.TEXTSPLIT(T343,"+")), T343))</f>
        <v/>
      </c>
      <c r="U343" s="7" t="s">
        <v>4615</v>
      </c>
      <c r="W343" s="7" t="str">
        <f>_xlfn.XLOOKUP(C343,Sheet1!A:A,Sheet1!B:B, "Other")</f>
        <v>Asia</v>
      </c>
      <c r="X343" s="222" t="str">
        <f>_xlfn.XLOOKUP(D343,Sheet1!D:D,Sheet1!E:E,"Other")</f>
        <v>Other</v>
      </c>
    </row>
    <row r="344" spans="1:24">
      <c r="A344" s="7" t="s">
        <v>753</v>
      </c>
      <c r="B344" s="7">
        <v>342</v>
      </c>
      <c r="C344" s="7" t="s">
        <v>4195</v>
      </c>
      <c r="D344" s="109" t="s">
        <v>4467</v>
      </c>
      <c r="H344" s="7" t="s">
        <v>4183</v>
      </c>
      <c r="I344" s="7">
        <v>2030</v>
      </c>
      <c r="J344" s="109">
        <v>2020</v>
      </c>
      <c r="L344" s="7" t="s">
        <v>4615</v>
      </c>
      <c r="M344" s="7" t="str" cm="1">
        <f t="array" ref="M344">IF(N344="", "", IFERROR(MAX(--_xlfn.TEXTSPLIT(N344,"+")), N344))</f>
        <v/>
      </c>
      <c r="O344" s="7" t="s">
        <v>4615</v>
      </c>
      <c r="P344" s="109" t="s">
        <v>4615</v>
      </c>
      <c r="Q344" s="7" t="s">
        <v>1957</v>
      </c>
      <c r="R344" s="7" t="s">
        <v>4223</v>
      </c>
      <c r="S344" s="7" cm="1">
        <f t="array" ref="S344">IF(T344="", "", IFERROR(MAX(--_xlfn.TEXTSPLIT(T344,"+")), T344))</f>
        <v>2035</v>
      </c>
      <c r="T344" s="7">
        <v>2035</v>
      </c>
      <c r="U344" s="7">
        <v>2021</v>
      </c>
      <c r="V344" s="109" t="s">
        <v>4676</v>
      </c>
      <c r="W344" s="7" t="str">
        <f>_xlfn.XLOOKUP(C344,Sheet1!A:A,Sheet1!B:B, "Other")</f>
        <v>Europe</v>
      </c>
      <c r="X344" s="222" t="str">
        <f>_xlfn.XLOOKUP(D344,Sheet1!D:D,Sheet1!E:E,"Other")</f>
        <v>Retail</v>
      </c>
    </row>
    <row r="345" spans="1:24">
      <c r="A345" s="7" t="s">
        <v>703</v>
      </c>
      <c r="B345" s="7">
        <v>343</v>
      </c>
      <c r="C345" s="7" t="s">
        <v>4457</v>
      </c>
      <c r="D345" s="109" t="s">
        <v>3498</v>
      </c>
      <c r="M345" s="7" t="str" cm="1">
        <f t="array" ref="M345">IF(N345="", "", IFERROR(MAX(--_xlfn.TEXTSPLIT(N345,"+")), N345))</f>
        <v/>
      </c>
      <c r="S345" s="7" t="str" cm="1">
        <f t="array" ref="S345">IF(T345="", "", IFERROR(MAX(--_xlfn.TEXTSPLIT(T345,"+")), T345))</f>
        <v/>
      </c>
      <c r="W345" s="7" t="str">
        <f>_xlfn.XLOOKUP(C345,Sheet1!A:A,Sheet1!B:B, "Other")</f>
        <v>North America</v>
      </c>
      <c r="X345" s="222" t="str">
        <f>_xlfn.XLOOKUP(D345,Sheet1!D:D,Sheet1!E:E,"Other")</f>
        <v>Other</v>
      </c>
    </row>
    <row r="346" spans="1:24">
      <c r="A346" s="7" t="s">
        <v>1117</v>
      </c>
      <c r="B346" s="7">
        <v>344</v>
      </c>
      <c r="C346" s="7" t="s">
        <v>146</v>
      </c>
      <c r="D346" s="109" t="s">
        <v>4494</v>
      </c>
      <c r="H346" s="7" t="s">
        <v>4183</v>
      </c>
      <c r="I346" s="7">
        <v>2030</v>
      </c>
      <c r="J346" s="109">
        <v>2019</v>
      </c>
      <c r="K346" s="7" t="s">
        <v>4172</v>
      </c>
      <c r="L346" s="7" t="s">
        <v>4532</v>
      </c>
      <c r="M346" s="7" cm="1">
        <f t="array" ref="M346">IF(N346="", "", IFERROR(MAX(--_xlfn.TEXTSPLIT(N346,"+")), N346))</f>
        <v>2050</v>
      </c>
      <c r="N346" s="7">
        <v>2050</v>
      </c>
      <c r="O346" s="7">
        <v>2019</v>
      </c>
      <c r="P346" s="109" t="s">
        <v>4675</v>
      </c>
      <c r="S346" s="7" t="str" cm="1">
        <f t="array" ref="S346">IF(T346="", "", IFERROR(MAX(--_xlfn.TEXTSPLIT(T346,"+")), T346))</f>
        <v/>
      </c>
      <c r="W346" s="7" t="str">
        <f>_xlfn.XLOOKUP(C346,Sheet1!A:A,Sheet1!B:B, "Other")</f>
        <v>Europe</v>
      </c>
      <c r="X346" s="222" t="str">
        <f>_xlfn.XLOOKUP(D346,Sheet1!D:D,Sheet1!E:E,"Other")</f>
        <v>Other</v>
      </c>
    </row>
    <row r="347" spans="1:24">
      <c r="A347" s="7" t="s">
        <v>919</v>
      </c>
      <c r="B347" s="7">
        <v>345</v>
      </c>
      <c r="C347" s="7" t="s">
        <v>287</v>
      </c>
      <c r="D347" s="109" t="s">
        <v>4465</v>
      </c>
      <c r="E347" s="7" t="s">
        <v>4174</v>
      </c>
      <c r="F347" s="7">
        <v>2020</v>
      </c>
      <c r="G347" s="109">
        <v>2015</v>
      </c>
      <c r="K347" s="7" t="s">
        <v>1957</v>
      </c>
      <c r="L347" s="7" t="s">
        <v>4674</v>
      </c>
      <c r="M347" s="7" cm="1">
        <f t="array" ref="M347">IF(N347="", "", IFERROR(MAX(--_xlfn.TEXTSPLIT(N347,"+")), N347))</f>
        <v>2007</v>
      </c>
      <c r="N347" s="7">
        <v>2007</v>
      </c>
      <c r="O347" s="7">
        <v>2006</v>
      </c>
      <c r="P347" s="109" t="s">
        <v>4672</v>
      </c>
      <c r="Q347" s="7" t="s">
        <v>4504</v>
      </c>
      <c r="R347" s="7" t="s">
        <v>4673</v>
      </c>
      <c r="S347" s="7" cm="1">
        <f t="array" ref="S347">IF(T347="", "", IFERROR(MAX(--_xlfn.TEXTSPLIT(T347,"+")), T347))</f>
        <v>2050</v>
      </c>
      <c r="T347" s="7" t="s">
        <v>4555</v>
      </c>
      <c r="U347" s="7" t="s">
        <v>4501</v>
      </c>
      <c r="V347" s="109" t="s">
        <v>4672</v>
      </c>
      <c r="W347" s="7" t="str">
        <f>_xlfn.XLOOKUP(C347,Sheet1!A:A,Sheet1!B:B, "Other")</f>
        <v>Europe</v>
      </c>
      <c r="X347" s="222" t="str">
        <f>_xlfn.XLOOKUP(D347,Sheet1!D:D,Sheet1!E:E,"Other")</f>
        <v>Other</v>
      </c>
    </row>
    <row r="348" spans="1:24">
      <c r="A348" s="7" t="s">
        <v>72</v>
      </c>
      <c r="B348" s="7">
        <v>346</v>
      </c>
      <c r="C348" s="7" t="s">
        <v>73</v>
      </c>
      <c r="D348" s="109" t="s">
        <v>4465</v>
      </c>
      <c r="M348" s="7" t="str" cm="1">
        <f t="array" ref="M348">IF(N348="", "", IFERROR(MAX(--_xlfn.TEXTSPLIT(N348,"+")), N348))</f>
        <v/>
      </c>
      <c r="S348" s="7" t="str" cm="1">
        <f t="array" ref="S348">IF(T348="", "", IFERROR(MAX(--_xlfn.TEXTSPLIT(T348,"+")), T348))</f>
        <v/>
      </c>
      <c r="W348" s="7" t="str">
        <f>_xlfn.XLOOKUP(C348,Sheet1!A:A,Sheet1!B:B, "Other")</f>
        <v>Asia</v>
      </c>
      <c r="X348" s="222" t="str">
        <f>_xlfn.XLOOKUP(D348,Sheet1!D:D,Sheet1!E:E,"Other")</f>
        <v>Other</v>
      </c>
    </row>
    <row r="349" spans="1:24">
      <c r="A349" s="7" t="s">
        <v>838</v>
      </c>
      <c r="B349" s="7">
        <v>347</v>
      </c>
      <c r="C349" s="7" t="s">
        <v>4457</v>
      </c>
      <c r="D349" s="109" t="s">
        <v>4465</v>
      </c>
      <c r="M349" s="7" t="str" cm="1">
        <f t="array" ref="M349">IF(N349="", "", IFERROR(MAX(--_xlfn.TEXTSPLIT(N349,"+")), N349))</f>
        <v/>
      </c>
      <c r="Q349" s="7" t="s">
        <v>4504</v>
      </c>
      <c r="R349" s="7" t="s">
        <v>4671</v>
      </c>
      <c r="S349" s="7" cm="1">
        <f t="array" ref="S349">IF(T349="", "", IFERROR(MAX(--_xlfn.TEXTSPLIT(T349,"+")), T349))</f>
        <v>2050</v>
      </c>
      <c r="T349" s="7" t="s">
        <v>4670</v>
      </c>
      <c r="U349" s="7" t="s">
        <v>4501</v>
      </c>
      <c r="V349" s="109" t="s">
        <v>4669</v>
      </c>
      <c r="W349" s="7" t="str">
        <f>_xlfn.XLOOKUP(C349,Sheet1!A:A,Sheet1!B:B, "Other")</f>
        <v>North America</v>
      </c>
      <c r="X349" s="222" t="str">
        <f>_xlfn.XLOOKUP(D349,Sheet1!D:D,Sheet1!E:E,"Other")</f>
        <v>Other</v>
      </c>
    </row>
    <row r="350" spans="1:24">
      <c r="A350" s="7" t="s">
        <v>802</v>
      </c>
      <c r="B350" s="7">
        <v>348</v>
      </c>
      <c r="C350" s="7" t="s">
        <v>4457</v>
      </c>
      <c r="D350" s="109" t="s">
        <v>186</v>
      </c>
      <c r="K350" s="7" t="s">
        <v>1957</v>
      </c>
      <c r="L350" s="7" t="s">
        <v>2425</v>
      </c>
      <c r="M350" s="7" cm="1">
        <f t="array" ref="M350">IF(N350="", "", IFERROR(MAX(--_xlfn.TEXTSPLIT(N350,"+")), N350))</f>
        <v>2025</v>
      </c>
      <c r="N350" s="7">
        <v>2025</v>
      </c>
      <c r="O350" s="7">
        <v>2021</v>
      </c>
      <c r="P350" s="109" t="s">
        <v>4668</v>
      </c>
      <c r="Q350" s="7" t="s">
        <v>4172</v>
      </c>
      <c r="R350" s="7" t="s">
        <v>4667</v>
      </c>
      <c r="S350" s="7" cm="1">
        <f t="array" ref="S350">IF(T350="", "", IFERROR(MAX(--_xlfn.TEXTSPLIT(T350,"+")), T350))</f>
        <v>2050</v>
      </c>
      <c r="T350" s="7">
        <v>2050</v>
      </c>
      <c r="U350" s="7">
        <v>2021</v>
      </c>
      <c r="V350" s="109" t="s">
        <v>4666</v>
      </c>
      <c r="W350" s="7" t="str">
        <f>_xlfn.XLOOKUP(C350,Sheet1!A:A,Sheet1!B:B, "Other")</f>
        <v>North America</v>
      </c>
      <c r="X350" s="222" t="str">
        <f>_xlfn.XLOOKUP(D350,Sheet1!D:D,Sheet1!E:E,"Other")</f>
        <v>Technology</v>
      </c>
    </row>
    <row r="351" spans="1:24">
      <c r="A351" s="7" t="s">
        <v>621</v>
      </c>
      <c r="B351" s="7">
        <v>349</v>
      </c>
      <c r="C351" s="7" t="s">
        <v>3277</v>
      </c>
      <c r="D351" s="109" t="s">
        <v>186</v>
      </c>
      <c r="L351" s="7" t="s">
        <v>4615</v>
      </c>
      <c r="M351" s="7" t="str" cm="1">
        <f t="array" ref="M351">IF(N351="", "", IFERROR(MAX(--_xlfn.TEXTSPLIT(N351,"+")), N351))</f>
        <v/>
      </c>
      <c r="O351" s="7" t="s">
        <v>4615</v>
      </c>
      <c r="P351" s="109" t="s">
        <v>4615</v>
      </c>
      <c r="R351" s="7" t="s">
        <v>4615</v>
      </c>
      <c r="S351" s="7" t="str" cm="1">
        <f t="array" ref="S351">IF(T351="", "", IFERROR(MAX(--_xlfn.TEXTSPLIT(T351,"+")), T351))</f>
        <v/>
      </c>
      <c r="U351" s="7" t="s">
        <v>4615</v>
      </c>
      <c r="W351" s="7" t="str">
        <f>_xlfn.XLOOKUP(C351,Sheet1!A:A,Sheet1!B:B, "Other")</f>
        <v>Asia</v>
      </c>
      <c r="X351" s="222" t="str">
        <f>_xlfn.XLOOKUP(D351,Sheet1!D:D,Sheet1!E:E,"Other")</f>
        <v>Technology</v>
      </c>
    </row>
    <row r="352" spans="1:24">
      <c r="A352" s="7" t="s">
        <v>1023</v>
      </c>
      <c r="B352" s="7">
        <v>350</v>
      </c>
      <c r="C352" s="7" t="s">
        <v>146</v>
      </c>
      <c r="D352" s="109" t="s">
        <v>4465</v>
      </c>
      <c r="E352" s="7" t="s">
        <v>4174</v>
      </c>
      <c r="F352" s="7">
        <v>2025</v>
      </c>
      <c r="G352" s="109">
        <v>2022</v>
      </c>
      <c r="K352" s="7" t="s">
        <v>1957</v>
      </c>
      <c r="L352" s="7" t="s">
        <v>1659</v>
      </c>
      <c r="M352" s="7" cm="1">
        <f t="array" ref="M352">IF(N352="", "", IFERROR(MAX(--_xlfn.TEXTSPLIT(N352,"+")), N352))</f>
        <v>2012</v>
      </c>
      <c r="N352" s="7">
        <v>2012</v>
      </c>
      <c r="O352" s="7">
        <v>2008</v>
      </c>
      <c r="P352" s="109" t="s">
        <v>4665</v>
      </c>
      <c r="Q352" s="7" t="s">
        <v>4172</v>
      </c>
      <c r="R352" s="7" t="s">
        <v>4664</v>
      </c>
      <c r="S352" s="7" cm="1">
        <f t="array" ref="S352">IF(T352="", "", IFERROR(MAX(--_xlfn.TEXTSPLIT(T352,"+")), T352))</f>
        <v>2050</v>
      </c>
      <c r="T352" s="7">
        <v>2050</v>
      </c>
      <c r="U352" s="7">
        <v>2021</v>
      </c>
      <c r="V352" s="109" t="s">
        <v>4663</v>
      </c>
      <c r="W352" s="7" t="str">
        <f>_xlfn.XLOOKUP(C352,Sheet1!A:A,Sheet1!B:B, "Other")</f>
        <v>Europe</v>
      </c>
      <c r="X352" s="222" t="str">
        <f>_xlfn.XLOOKUP(D352,Sheet1!D:D,Sheet1!E:E,"Other")</f>
        <v>Other</v>
      </c>
    </row>
    <row r="353" spans="1:24">
      <c r="A353" s="7" t="s">
        <v>826</v>
      </c>
      <c r="B353" s="7">
        <v>351</v>
      </c>
      <c r="C353" s="7" t="s">
        <v>207</v>
      </c>
      <c r="D353" s="109" t="s">
        <v>4459</v>
      </c>
      <c r="H353" s="7" t="s">
        <v>4183</v>
      </c>
      <c r="I353" s="7">
        <v>2030</v>
      </c>
      <c r="J353" s="109">
        <v>2020</v>
      </c>
      <c r="M353" s="7" t="str" cm="1">
        <f t="array" ref="M353">IF(N353="", "", IFERROR(MAX(--_xlfn.TEXTSPLIT(N353,"+")), N353))</f>
        <v/>
      </c>
      <c r="Q353" s="7" t="s">
        <v>4172</v>
      </c>
      <c r="R353" s="7" t="s">
        <v>2760</v>
      </c>
      <c r="S353" s="7" cm="1">
        <f t="array" ref="S353">IF(T353="", "", IFERROR(MAX(--_xlfn.TEXTSPLIT(T353,"+")), T353))</f>
        <v>2050</v>
      </c>
      <c r="T353" s="7">
        <v>2050</v>
      </c>
      <c r="U353" s="7">
        <v>2021</v>
      </c>
      <c r="V353" s="109" t="s">
        <v>4662</v>
      </c>
      <c r="W353" s="7" t="str">
        <f>_xlfn.XLOOKUP(C353,Sheet1!A:A,Sheet1!B:B, "Other")</f>
        <v>Asia</v>
      </c>
      <c r="X353" s="222" t="str">
        <f>_xlfn.XLOOKUP(D353,Sheet1!D:D,Sheet1!E:E,"Other")</f>
        <v>Other</v>
      </c>
    </row>
    <row r="354" spans="1:24">
      <c r="A354" s="7" t="s">
        <v>1044</v>
      </c>
      <c r="B354" s="7">
        <v>352</v>
      </c>
      <c r="C354" s="7" t="s">
        <v>267</v>
      </c>
      <c r="D354" s="109" t="s">
        <v>4465</v>
      </c>
      <c r="E354" s="7" t="s">
        <v>4174</v>
      </c>
      <c r="F354" s="7">
        <v>2030</v>
      </c>
      <c r="G354" s="109">
        <v>2018</v>
      </c>
      <c r="H354" s="7" t="s">
        <v>1957</v>
      </c>
      <c r="I354" s="7">
        <v>2030</v>
      </c>
      <c r="J354" s="109">
        <v>2018</v>
      </c>
      <c r="K354" s="7" t="s">
        <v>1957</v>
      </c>
      <c r="L354" s="7" t="s">
        <v>4367</v>
      </c>
      <c r="M354" s="7" cm="1">
        <f t="array" ref="M354">IF(N354="", "", IFERROR(MAX(--_xlfn.TEXTSPLIT(N354,"+")), N354))</f>
        <v>2020</v>
      </c>
      <c r="N354" s="7">
        <v>2020</v>
      </c>
      <c r="O354" s="7">
        <v>2016</v>
      </c>
      <c r="P354" s="109" t="s">
        <v>4661</v>
      </c>
      <c r="Q354" s="7" t="s">
        <v>4172</v>
      </c>
      <c r="R354" s="7" t="s">
        <v>4660</v>
      </c>
      <c r="S354" s="7" cm="1">
        <f t="array" ref="S354">IF(T354="", "", IFERROR(MAX(--_xlfn.TEXTSPLIT(T354,"+")), T354))</f>
        <v>2050</v>
      </c>
      <c r="T354" s="7">
        <v>2050</v>
      </c>
      <c r="U354" s="7">
        <v>2021</v>
      </c>
      <c r="V354" s="109" t="s">
        <v>4659</v>
      </c>
      <c r="W354" s="7" t="str">
        <f>_xlfn.XLOOKUP(C354,Sheet1!A:A,Sheet1!B:B, "Other")</f>
        <v>Europe</v>
      </c>
      <c r="X354" s="222" t="str">
        <f>_xlfn.XLOOKUP(D354,Sheet1!D:D,Sheet1!E:E,"Other")</f>
        <v>Other</v>
      </c>
    </row>
    <row r="355" spans="1:24">
      <c r="A355" s="7" t="s">
        <v>306</v>
      </c>
      <c r="B355" s="7">
        <v>353</v>
      </c>
      <c r="C355" s="7" t="s">
        <v>73</v>
      </c>
      <c r="D355" s="109" t="s">
        <v>4459</v>
      </c>
      <c r="M355" s="7" t="str" cm="1">
        <f t="array" ref="M355">IF(N355="", "", IFERROR(MAX(--_xlfn.TEXTSPLIT(N355,"+")), N355))</f>
        <v/>
      </c>
      <c r="S355" s="7" t="str" cm="1">
        <f t="array" ref="S355">IF(T355="", "", IFERROR(MAX(--_xlfn.TEXTSPLIT(T355,"+")), T355))</f>
        <v/>
      </c>
      <c r="W355" s="7" t="str">
        <f>_xlfn.XLOOKUP(C355,Sheet1!A:A,Sheet1!B:B, "Other")</f>
        <v>Asia</v>
      </c>
      <c r="X355" s="222" t="str">
        <f>_xlfn.XLOOKUP(D355,Sheet1!D:D,Sheet1!E:E,"Other")</f>
        <v>Other</v>
      </c>
    </row>
    <row r="356" spans="1:24">
      <c r="A356" s="7" t="s">
        <v>736</v>
      </c>
      <c r="B356" s="7">
        <v>354</v>
      </c>
      <c r="C356" s="7" t="s">
        <v>207</v>
      </c>
      <c r="D356" s="109" t="s">
        <v>4197</v>
      </c>
      <c r="E356" s="7" t="s">
        <v>4174</v>
      </c>
      <c r="F356" s="7">
        <v>2040</v>
      </c>
      <c r="G356" s="109">
        <v>2018</v>
      </c>
      <c r="H356" s="7" t="s">
        <v>4183</v>
      </c>
      <c r="I356" s="7">
        <v>2026</v>
      </c>
      <c r="J356" s="109">
        <v>2021</v>
      </c>
      <c r="K356" s="7" t="s">
        <v>4172</v>
      </c>
      <c r="L356" s="7" t="s">
        <v>42</v>
      </c>
      <c r="M356" s="7" cm="1">
        <f t="array" ref="M356">IF(N356="", "", IFERROR(MAX(--_xlfn.TEXTSPLIT(N356,"+")), N356))</f>
        <v>2050</v>
      </c>
      <c r="N356" s="7">
        <v>2050</v>
      </c>
      <c r="O356" s="7">
        <v>2020</v>
      </c>
      <c r="P356" s="109" t="s">
        <v>4658</v>
      </c>
      <c r="S356" s="7" t="str" cm="1">
        <f t="array" ref="S356">IF(T356="", "", IFERROR(MAX(--_xlfn.TEXTSPLIT(T356,"+")), T356))</f>
        <v/>
      </c>
      <c r="W356" s="7" t="str">
        <f>_xlfn.XLOOKUP(C356,Sheet1!A:A,Sheet1!B:B, "Other")</f>
        <v>Asia</v>
      </c>
      <c r="X356" s="222" t="str">
        <f>_xlfn.XLOOKUP(D356,Sheet1!D:D,Sheet1!E:E,"Other")</f>
        <v>Other</v>
      </c>
    </row>
    <row r="357" spans="1:24">
      <c r="A357" s="7" t="s">
        <v>2250</v>
      </c>
      <c r="B357" s="7">
        <v>355</v>
      </c>
      <c r="C357" s="7" t="s">
        <v>4457</v>
      </c>
      <c r="D357" s="109" t="s">
        <v>4459</v>
      </c>
      <c r="H357" s="7" t="s">
        <v>1957</v>
      </c>
      <c r="I357" s="7">
        <v>2030</v>
      </c>
      <c r="J357" s="109">
        <v>2021</v>
      </c>
      <c r="M357" s="7" t="str" cm="1">
        <f t="array" ref="M357">IF(N357="", "", IFERROR(MAX(--_xlfn.TEXTSPLIT(N357,"+")), N357))</f>
        <v/>
      </c>
      <c r="Q357" s="7" t="s">
        <v>4172</v>
      </c>
      <c r="R357" s="7" t="s">
        <v>4657</v>
      </c>
      <c r="S357" s="7" cm="1">
        <f t="array" ref="S357">IF(T357="", "", IFERROR(MAX(--_xlfn.TEXTSPLIT(T357,"+")), T357))</f>
        <v>2050</v>
      </c>
      <c r="T357" s="7">
        <v>2050</v>
      </c>
      <c r="U357" s="7">
        <v>2021</v>
      </c>
      <c r="V357" s="109" t="s">
        <v>4656</v>
      </c>
      <c r="W357" s="7" t="str">
        <f>_xlfn.XLOOKUP(C357,Sheet1!A:A,Sheet1!B:B, "Other")</f>
        <v>North America</v>
      </c>
      <c r="X357" s="222" t="str">
        <f>_xlfn.XLOOKUP(D357,Sheet1!D:D,Sheet1!E:E,"Other")</f>
        <v>Other</v>
      </c>
    </row>
    <row r="358" spans="1:24">
      <c r="A358" s="7" t="s">
        <v>4275</v>
      </c>
      <c r="B358" s="7">
        <v>356</v>
      </c>
      <c r="C358" s="7" t="s">
        <v>73</v>
      </c>
      <c r="D358" s="109" t="s">
        <v>4455</v>
      </c>
      <c r="M358" s="7" t="str" cm="1">
        <f t="array" ref="M358">IF(N358="", "", IFERROR(MAX(--_xlfn.TEXTSPLIT(N358,"+")), N358))</f>
        <v/>
      </c>
      <c r="S358" s="7" t="str" cm="1">
        <f t="array" ref="S358">IF(T358="", "", IFERROR(MAX(--_xlfn.TEXTSPLIT(T358,"+")), T358))</f>
        <v/>
      </c>
      <c r="W358" s="7" t="str">
        <f>_xlfn.XLOOKUP(C358,Sheet1!A:A,Sheet1!B:B, "Other")</f>
        <v>Asia</v>
      </c>
      <c r="X358" s="222" t="str">
        <f>_xlfn.XLOOKUP(D358,Sheet1!D:D,Sheet1!E:E,"Other")</f>
        <v>Other</v>
      </c>
    </row>
    <row r="359" spans="1:24">
      <c r="A359" s="7" t="s">
        <v>385</v>
      </c>
      <c r="B359" s="7">
        <v>357</v>
      </c>
      <c r="C359" s="7" t="s">
        <v>382</v>
      </c>
      <c r="D359" s="109" t="s">
        <v>4199</v>
      </c>
      <c r="K359" s="7" t="s">
        <v>1957</v>
      </c>
      <c r="L359" s="7" t="s">
        <v>109</v>
      </c>
      <c r="M359" s="7" cm="1">
        <f t="array" ref="M359">IF(N359="", "", IFERROR(MAX(--_xlfn.TEXTSPLIT(N359,"+")), N359))</f>
        <v>2050</v>
      </c>
      <c r="N359" s="7">
        <v>2050</v>
      </c>
      <c r="O359" s="7">
        <v>2021</v>
      </c>
      <c r="P359" s="109" t="s">
        <v>4655</v>
      </c>
      <c r="S359" s="7" t="str" cm="1">
        <f t="array" ref="S359">IF(T359="", "", IFERROR(MAX(--_xlfn.TEXTSPLIT(T359,"+")), T359))</f>
        <v/>
      </c>
      <c r="W359" s="7" t="str">
        <f>_xlfn.XLOOKUP(C359,Sheet1!A:A,Sheet1!B:B, "Other")</f>
        <v>Other</v>
      </c>
      <c r="X359" s="222" t="str">
        <f>_xlfn.XLOOKUP(D359,Sheet1!D:D,Sheet1!E:E,"Other")</f>
        <v>Other</v>
      </c>
    </row>
    <row r="360" spans="1:24">
      <c r="A360" s="7" t="s">
        <v>645</v>
      </c>
      <c r="B360" s="7">
        <v>358</v>
      </c>
      <c r="C360" s="7" t="s">
        <v>207</v>
      </c>
      <c r="D360" s="109" t="s">
        <v>4494</v>
      </c>
      <c r="K360" s="7" t="s">
        <v>1957</v>
      </c>
      <c r="L360" s="7" t="s">
        <v>4654</v>
      </c>
      <c r="M360" s="7" cm="1">
        <f t="array" ref="M360">IF(N360="", "", IFERROR(MAX(--_xlfn.TEXTSPLIT(N360,"+")), N360))</f>
        <v>2050</v>
      </c>
      <c r="N360" s="7">
        <v>2050</v>
      </c>
      <c r="O360" s="7">
        <v>2021</v>
      </c>
      <c r="P360" s="109" t="s">
        <v>4653</v>
      </c>
      <c r="S360" s="7" t="str" cm="1">
        <f t="array" ref="S360">IF(T360="", "", IFERROR(MAX(--_xlfn.TEXTSPLIT(T360,"+")), T360))</f>
        <v/>
      </c>
      <c r="W360" s="7" t="str">
        <f>_xlfn.XLOOKUP(C360,Sheet1!A:A,Sheet1!B:B, "Other")</f>
        <v>Asia</v>
      </c>
      <c r="X360" s="222" t="str">
        <f>_xlfn.XLOOKUP(D360,Sheet1!D:D,Sheet1!E:E,"Other")</f>
        <v>Other</v>
      </c>
    </row>
    <row r="361" spans="1:24">
      <c r="A361" s="7" t="s">
        <v>517</v>
      </c>
      <c r="B361" s="7">
        <v>359</v>
      </c>
      <c r="C361" s="7" t="s">
        <v>4457</v>
      </c>
      <c r="D361" s="109" t="s">
        <v>4455</v>
      </c>
      <c r="H361" s="7" t="s">
        <v>4183</v>
      </c>
      <c r="I361" s="7">
        <v>2030</v>
      </c>
      <c r="J361" s="109">
        <v>2019</v>
      </c>
      <c r="M361" s="7" t="str" cm="1">
        <f t="array" ref="M361">IF(N361="", "", IFERROR(MAX(--_xlfn.TEXTSPLIT(N361,"+")), N361))</f>
        <v/>
      </c>
      <c r="Q361" s="7" t="s">
        <v>4172</v>
      </c>
      <c r="R361" s="7" t="s">
        <v>4532</v>
      </c>
      <c r="S361" s="7" cm="1">
        <f t="array" ref="S361">IF(T361="", "", IFERROR(MAX(--_xlfn.TEXTSPLIT(T361,"+")), T361))</f>
        <v>2050</v>
      </c>
      <c r="T361" s="7">
        <v>2050</v>
      </c>
      <c r="U361" s="7">
        <v>2021</v>
      </c>
      <c r="V361" s="109" t="s">
        <v>4652</v>
      </c>
      <c r="W361" s="7" t="str">
        <f>_xlfn.XLOOKUP(C361,Sheet1!A:A,Sheet1!B:B, "Other")</f>
        <v>North America</v>
      </c>
      <c r="X361" s="222" t="str">
        <f>_xlfn.XLOOKUP(D361,Sheet1!D:D,Sheet1!E:E,"Other")</f>
        <v>Other</v>
      </c>
    </row>
    <row r="362" spans="1:24">
      <c r="A362" s="7" t="s">
        <v>4340</v>
      </c>
      <c r="B362" s="7">
        <v>360</v>
      </c>
      <c r="C362" s="7" t="s">
        <v>73</v>
      </c>
      <c r="D362" s="109" t="s">
        <v>4197</v>
      </c>
      <c r="M362" s="7" t="str" cm="1">
        <f t="array" ref="M362">IF(N362="", "", IFERROR(MAX(--_xlfn.TEXTSPLIT(N362,"+")), N362))</f>
        <v/>
      </c>
      <c r="S362" s="7" t="str" cm="1">
        <f t="array" ref="S362">IF(T362="", "", IFERROR(MAX(--_xlfn.TEXTSPLIT(T362,"+")), T362))</f>
        <v/>
      </c>
      <c r="W362" s="7" t="str">
        <f>_xlfn.XLOOKUP(C362,Sheet1!A:A,Sheet1!B:B, "Other")</f>
        <v>Asia</v>
      </c>
      <c r="X362" s="222" t="str">
        <f>_xlfn.XLOOKUP(D362,Sheet1!D:D,Sheet1!E:E,"Other")</f>
        <v>Other</v>
      </c>
    </row>
    <row r="363" spans="1:24">
      <c r="A363" s="7" t="s">
        <v>688</v>
      </c>
      <c r="B363" s="7">
        <v>361</v>
      </c>
      <c r="C363" s="7" t="s">
        <v>4457</v>
      </c>
      <c r="D363" s="109" t="s">
        <v>4260</v>
      </c>
      <c r="K363" s="7" t="s">
        <v>1957</v>
      </c>
      <c r="L363" s="7" t="s">
        <v>1659</v>
      </c>
      <c r="M363" s="7" cm="1">
        <f t="array" ref="M363">IF(N363="", "", IFERROR(MAX(--_xlfn.TEXTSPLIT(N363,"+")), N363))</f>
        <v>2060</v>
      </c>
      <c r="N363" s="7">
        <v>2060</v>
      </c>
      <c r="O363" s="7">
        <v>2020</v>
      </c>
      <c r="P363" s="109" t="s">
        <v>4651</v>
      </c>
      <c r="S363" s="7" t="str" cm="1">
        <f t="array" ref="S363">IF(T363="", "", IFERROR(MAX(--_xlfn.TEXTSPLIT(T363,"+")), T363))</f>
        <v/>
      </c>
      <c r="W363" s="7" t="str">
        <f>_xlfn.XLOOKUP(C363,Sheet1!A:A,Sheet1!B:B, "Other")</f>
        <v>North America</v>
      </c>
      <c r="X363" s="222" t="str">
        <f>_xlfn.XLOOKUP(D363,Sheet1!D:D,Sheet1!E:E,"Other")</f>
        <v>Other</v>
      </c>
    </row>
    <row r="364" spans="1:24">
      <c r="A364" s="7" t="s">
        <v>558</v>
      </c>
      <c r="B364" s="7">
        <v>362</v>
      </c>
      <c r="C364" s="7" t="s">
        <v>4457</v>
      </c>
      <c r="D364" s="109" t="s">
        <v>4455</v>
      </c>
      <c r="M364" s="7" t="str" cm="1">
        <f t="array" ref="M364">IF(N364="", "", IFERROR(MAX(--_xlfn.TEXTSPLIT(N364,"+")), N364))</f>
        <v/>
      </c>
      <c r="S364" s="7" t="str" cm="1">
        <f t="array" ref="S364">IF(T364="", "", IFERROR(MAX(--_xlfn.TEXTSPLIT(T364,"+")), T364))</f>
        <v/>
      </c>
      <c r="W364" s="7" t="str">
        <f>_xlfn.XLOOKUP(C364,Sheet1!A:A,Sheet1!B:B, "Other")</f>
        <v>North America</v>
      </c>
      <c r="X364" s="222" t="str">
        <f>_xlfn.XLOOKUP(D364,Sheet1!D:D,Sheet1!E:E,"Other")</f>
        <v>Other</v>
      </c>
    </row>
    <row r="365" spans="1:24">
      <c r="A365" s="7" t="s">
        <v>4410</v>
      </c>
      <c r="B365" s="7">
        <v>363</v>
      </c>
      <c r="C365" s="7" t="s">
        <v>73</v>
      </c>
      <c r="D365" s="109" t="s">
        <v>4494</v>
      </c>
      <c r="M365" s="7" t="str" cm="1">
        <f t="array" ref="M365">IF(N365="", "", IFERROR(MAX(--_xlfn.TEXTSPLIT(N365,"+")), N365))</f>
        <v/>
      </c>
      <c r="S365" s="7" t="str" cm="1">
        <f t="array" ref="S365">IF(T365="", "", IFERROR(MAX(--_xlfn.TEXTSPLIT(T365,"+")), T365))</f>
        <v/>
      </c>
      <c r="W365" s="7" t="str">
        <f>_xlfn.XLOOKUP(C365,Sheet1!A:A,Sheet1!B:B, "Other")</f>
        <v>Asia</v>
      </c>
      <c r="X365" s="222" t="str">
        <f>_xlfn.XLOOKUP(D365,Sheet1!D:D,Sheet1!E:E,"Other")</f>
        <v>Other</v>
      </c>
    </row>
    <row r="366" spans="1:24">
      <c r="A366" s="7" t="s">
        <v>3635</v>
      </c>
      <c r="B366" s="7">
        <v>364</v>
      </c>
      <c r="C366" s="7" t="s">
        <v>73</v>
      </c>
      <c r="D366" s="109" t="s">
        <v>4199</v>
      </c>
      <c r="K366" s="7" t="s">
        <v>4519</v>
      </c>
      <c r="L366" s="7" t="s">
        <v>4518</v>
      </c>
      <c r="M366" s="7" cm="1">
        <f t="array" ref="M366">IF(N366="", "", IFERROR(MAX(--_xlfn.TEXTSPLIT(N366,"+")), N366))</f>
        <v>2060</v>
      </c>
      <c r="N366" s="7">
        <v>2060</v>
      </c>
      <c r="P366" s="109" t="s">
        <v>4650</v>
      </c>
      <c r="S366" s="7" t="str" cm="1">
        <f t="array" ref="S366">IF(T366="", "", IFERROR(MAX(--_xlfn.TEXTSPLIT(T366,"+")), T366))</f>
        <v/>
      </c>
      <c r="W366" s="7" t="str">
        <f>_xlfn.XLOOKUP(C366,Sheet1!A:A,Sheet1!B:B, "Other")</f>
        <v>Asia</v>
      </c>
      <c r="X366" s="222" t="str">
        <f>_xlfn.XLOOKUP(D366,Sheet1!D:D,Sheet1!E:E,"Other")</f>
        <v>Other</v>
      </c>
    </row>
    <row r="367" spans="1:24">
      <c r="A367" s="7" t="s">
        <v>927</v>
      </c>
      <c r="B367" s="7">
        <v>365</v>
      </c>
      <c r="C367" s="7" t="s">
        <v>267</v>
      </c>
      <c r="D367" s="109" t="s">
        <v>4197</v>
      </c>
      <c r="K367" s="7" t="s">
        <v>4172</v>
      </c>
      <c r="L367" s="7" t="s">
        <v>4532</v>
      </c>
      <c r="M367" s="7" cm="1">
        <f t="array" ref="M367">IF(N367="", "", IFERROR(MAX(--_xlfn.TEXTSPLIT(N367,"+")), N367))</f>
        <v>2045</v>
      </c>
      <c r="N367" s="7">
        <v>2045</v>
      </c>
      <c r="O367" s="7">
        <v>2021</v>
      </c>
      <c r="P367" s="109" t="s">
        <v>4649</v>
      </c>
      <c r="S367" s="7" t="str" cm="1">
        <f t="array" ref="S367">IF(T367="", "", IFERROR(MAX(--_xlfn.TEXTSPLIT(T367,"+")), T367))</f>
        <v/>
      </c>
      <c r="W367" s="7" t="str">
        <f>_xlfn.XLOOKUP(C367,Sheet1!A:A,Sheet1!B:B, "Other")</f>
        <v>Europe</v>
      </c>
      <c r="X367" s="222" t="str">
        <f>_xlfn.XLOOKUP(D367,Sheet1!D:D,Sheet1!E:E,"Other")</f>
        <v>Other</v>
      </c>
    </row>
    <row r="368" spans="1:24">
      <c r="A368" s="7" t="s">
        <v>849</v>
      </c>
      <c r="B368" s="7">
        <v>366</v>
      </c>
      <c r="C368" s="7" t="s">
        <v>78</v>
      </c>
      <c r="D368" s="109" t="s">
        <v>4465</v>
      </c>
      <c r="E368" s="7" t="s">
        <v>4174</v>
      </c>
      <c r="F368" s="7" t="s">
        <v>4648</v>
      </c>
      <c r="G368" s="109" t="s">
        <v>4647</v>
      </c>
      <c r="K368" s="7" t="s">
        <v>1957</v>
      </c>
      <c r="L368" s="7" t="s">
        <v>1659</v>
      </c>
      <c r="M368" s="7" cm="1">
        <f t="array" ref="M368">IF(N368="", "", IFERROR(MAX(--_xlfn.TEXTSPLIT(N368,"+")), N368))</f>
        <v>2010</v>
      </c>
      <c r="N368" s="7">
        <v>2010</v>
      </c>
      <c r="O368" s="7">
        <v>2010</v>
      </c>
      <c r="P368" s="109" t="s">
        <v>4646</v>
      </c>
      <c r="Q368" s="7" t="s">
        <v>4172</v>
      </c>
      <c r="R368" s="7" t="s">
        <v>4645</v>
      </c>
      <c r="S368" s="7" cm="1">
        <f t="array" ref="S368">IF(T368="", "", IFERROR(MAX(--_xlfn.TEXTSPLIT(T368,"+")), T368))</f>
        <v>2050</v>
      </c>
      <c r="T368" s="7">
        <v>2050</v>
      </c>
      <c r="U368" s="7">
        <v>2020</v>
      </c>
      <c r="V368" s="109" t="s">
        <v>4644</v>
      </c>
      <c r="W368" s="7" t="str">
        <f>_xlfn.XLOOKUP(C368,Sheet1!A:A,Sheet1!B:B, "Other")</f>
        <v>North America</v>
      </c>
      <c r="X368" s="222" t="str">
        <f>_xlfn.XLOOKUP(D368,Sheet1!D:D,Sheet1!E:E,"Other")</f>
        <v>Other</v>
      </c>
    </row>
    <row r="369" spans="1:24">
      <c r="A369" s="7" t="s">
        <v>512</v>
      </c>
      <c r="B369" s="7">
        <v>367</v>
      </c>
      <c r="C369" s="7" t="s">
        <v>63</v>
      </c>
      <c r="D369" s="109" t="s">
        <v>4643</v>
      </c>
      <c r="H369" s="7" t="s">
        <v>4183</v>
      </c>
      <c r="I369" s="7">
        <v>2025</v>
      </c>
      <c r="J369" s="109">
        <v>2018</v>
      </c>
      <c r="K369" s="7" t="s">
        <v>1957</v>
      </c>
      <c r="L369" s="7" t="s">
        <v>4642</v>
      </c>
      <c r="M369" s="7" cm="1">
        <f t="array" ref="M369">IF(N369="", "", IFERROR(MAX(--_xlfn.TEXTSPLIT(N369,"+")), N369))</f>
        <v>2025</v>
      </c>
      <c r="N369" s="7">
        <v>2025</v>
      </c>
      <c r="O369" s="7">
        <v>2020</v>
      </c>
      <c r="P369" s="109" t="s">
        <v>4641</v>
      </c>
      <c r="Q369" s="7" t="s">
        <v>4172</v>
      </c>
      <c r="R369" s="7" t="s">
        <v>4532</v>
      </c>
      <c r="S369" s="7" cm="1">
        <f t="array" ref="S369">IF(T369="", "", IFERROR(MAX(--_xlfn.TEXTSPLIT(T369,"+")), T369))</f>
        <v>2050</v>
      </c>
      <c r="T369" s="7">
        <v>2050</v>
      </c>
      <c r="U369" s="7">
        <v>2020</v>
      </c>
      <c r="V369" s="109" t="s">
        <v>4640</v>
      </c>
      <c r="W369" s="7" t="str">
        <f>_xlfn.XLOOKUP(C369,Sheet1!A:A,Sheet1!B:B, "Other")</f>
        <v>Europe</v>
      </c>
      <c r="X369" s="222" t="str">
        <f>_xlfn.XLOOKUP(D369,Sheet1!D:D,Sheet1!E:E,"Other")</f>
        <v>Other</v>
      </c>
    </row>
    <row r="370" spans="1:24">
      <c r="A370" s="7" t="s">
        <v>4639</v>
      </c>
      <c r="B370" s="7">
        <v>368</v>
      </c>
      <c r="C370" s="7" t="s">
        <v>146</v>
      </c>
      <c r="D370" s="109" t="s">
        <v>4199</v>
      </c>
      <c r="H370" s="7" t="s">
        <v>1957</v>
      </c>
      <c r="I370" s="7">
        <v>2030</v>
      </c>
      <c r="J370" s="109">
        <v>2021</v>
      </c>
      <c r="K370" s="7" t="s">
        <v>1957</v>
      </c>
      <c r="L370" s="7" t="s">
        <v>4638</v>
      </c>
      <c r="M370" s="7" cm="1">
        <f t="array" ref="M370">IF(N370="", "", IFERROR(MAX(--_xlfn.TEXTSPLIT(N370,"+")), N370))</f>
        <v>2035</v>
      </c>
      <c r="N370" s="7">
        <v>2035</v>
      </c>
      <c r="O370" s="7">
        <v>2020</v>
      </c>
      <c r="P370" s="109" t="s">
        <v>4637</v>
      </c>
      <c r="S370" s="7" t="str" cm="1">
        <f t="array" ref="S370">IF(T370="", "", IFERROR(MAX(--_xlfn.TEXTSPLIT(T370,"+")), T370))</f>
        <v/>
      </c>
      <c r="W370" s="7" t="str">
        <f>_xlfn.XLOOKUP(C370,Sheet1!A:A,Sheet1!B:B, "Other")</f>
        <v>Europe</v>
      </c>
      <c r="X370" s="222" t="str">
        <f>_xlfn.XLOOKUP(D370,Sheet1!D:D,Sheet1!E:E,"Other")</f>
        <v>Other</v>
      </c>
    </row>
    <row r="371" spans="1:24">
      <c r="A371" s="7" t="s">
        <v>113</v>
      </c>
      <c r="B371" s="7">
        <v>369</v>
      </c>
      <c r="C371" s="7" t="s">
        <v>114</v>
      </c>
      <c r="D371" s="109" t="s">
        <v>66</v>
      </c>
      <c r="H371" s="7" t="s">
        <v>1957</v>
      </c>
      <c r="I371" s="7">
        <v>2030</v>
      </c>
      <c r="J371" s="109">
        <v>2022</v>
      </c>
      <c r="M371" s="7" t="str" cm="1">
        <f t="array" ref="M371">IF(N371="", "", IFERROR(MAX(--_xlfn.TEXTSPLIT(N371,"+")), N371))</f>
        <v/>
      </c>
      <c r="Q371" s="7" t="s">
        <v>4472</v>
      </c>
      <c r="R371" s="7" t="s">
        <v>2760</v>
      </c>
      <c r="S371" s="7" cm="1">
        <f t="array" ref="S371">IF(T371="", "", IFERROR(MAX(--_xlfn.TEXTSPLIT(T371,"+")), T371))</f>
        <v>2050</v>
      </c>
      <c r="T371" s="7">
        <v>2050</v>
      </c>
      <c r="U371" s="7">
        <v>2021</v>
      </c>
      <c r="V371" s="109" t="s">
        <v>4636</v>
      </c>
      <c r="W371" s="7" t="str">
        <f>_xlfn.XLOOKUP(C371,Sheet1!A:A,Sheet1!B:B, "Other")</f>
        <v>Asia</v>
      </c>
      <c r="X371" s="222" t="str">
        <f>_xlfn.XLOOKUP(D371,Sheet1!D:D,Sheet1!E:E,"Other")</f>
        <v>Chemicals</v>
      </c>
    </row>
    <row r="372" spans="1:24">
      <c r="A372" s="7" t="s">
        <v>948</v>
      </c>
      <c r="B372" s="7">
        <v>370</v>
      </c>
      <c r="C372" s="7" t="s">
        <v>87</v>
      </c>
      <c r="D372" s="109" t="s">
        <v>4476</v>
      </c>
      <c r="E372" s="7" t="s">
        <v>4174</v>
      </c>
      <c r="F372" s="7">
        <v>2030</v>
      </c>
      <c r="G372" s="109">
        <v>2016</v>
      </c>
      <c r="H372" s="7" t="s">
        <v>4183</v>
      </c>
      <c r="I372" s="7">
        <v>2031</v>
      </c>
      <c r="J372" s="109">
        <v>2022</v>
      </c>
      <c r="M372" s="7" t="str" cm="1">
        <f t="array" ref="M372">IF(N372="", "", IFERROR(MAX(--_xlfn.TEXTSPLIT(N372,"+")), N372))</f>
        <v/>
      </c>
      <c r="Q372" s="7" t="s">
        <v>4540</v>
      </c>
      <c r="R372" s="7" t="s">
        <v>4635</v>
      </c>
      <c r="S372" s="7" t="str" cm="1">
        <f t="array" ref="S372">IF(T372="", "", IFERROR(MAX(--_xlfn.TEXTSPLIT(T372,"+")), T372))</f>
        <v/>
      </c>
      <c r="V372" s="109" t="s">
        <v>4634</v>
      </c>
      <c r="W372" s="7" t="str">
        <f>_xlfn.XLOOKUP(C372,Sheet1!A:A,Sheet1!B:B, "Other")</f>
        <v>Asia</v>
      </c>
      <c r="X372" s="222" t="str">
        <f>_xlfn.XLOOKUP(D372,Sheet1!D:D,Sheet1!E:E,"Other")</f>
        <v>Other</v>
      </c>
    </row>
    <row r="373" spans="1:24">
      <c r="A373" s="7" t="s">
        <v>4364</v>
      </c>
      <c r="B373" s="7">
        <v>371</v>
      </c>
      <c r="C373" s="7" t="s">
        <v>63</v>
      </c>
      <c r="D373" s="109" t="s">
        <v>4467</v>
      </c>
      <c r="H373" s="7" t="s">
        <v>1957</v>
      </c>
      <c r="I373" s="7">
        <v>2030</v>
      </c>
      <c r="J373" s="109">
        <v>2022</v>
      </c>
      <c r="K373" s="7" t="s">
        <v>1957</v>
      </c>
      <c r="L373" s="7" t="s">
        <v>3793</v>
      </c>
      <c r="M373" s="7" cm="1">
        <f t="array" ref="M373">IF(N373="", "", IFERROR(MAX(--_xlfn.TEXTSPLIT(N373,"+")), N373))</f>
        <v>2043</v>
      </c>
      <c r="N373" s="7">
        <v>2043</v>
      </c>
      <c r="O373" s="7">
        <v>2022</v>
      </c>
      <c r="P373" s="109" t="s">
        <v>4633</v>
      </c>
      <c r="S373" s="7" t="str" cm="1">
        <f t="array" ref="S373">IF(T373="", "", IFERROR(MAX(--_xlfn.TEXTSPLIT(T373,"+")), T373))</f>
        <v/>
      </c>
      <c r="W373" s="7" t="str">
        <f>_xlfn.XLOOKUP(C373,Sheet1!A:A,Sheet1!B:B, "Other")</f>
        <v>Europe</v>
      </c>
      <c r="X373" s="222" t="str">
        <f>_xlfn.XLOOKUP(D373,Sheet1!D:D,Sheet1!E:E,"Other")</f>
        <v>Retail</v>
      </c>
    </row>
    <row r="374" spans="1:24">
      <c r="A374" s="7" t="s">
        <v>2431</v>
      </c>
      <c r="B374" s="7">
        <v>372</v>
      </c>
      <c r="C374" s="7" t="s">
        <v>73</v>
      </c>
      <c r="D374" s="109" t="s">
        <v>4465</v>
      </c>
      <c r="M374" s="7" t="str" cm="1">
        <f t="array" ref="M374">IF(N374="", "", IFERROR(MAX(--_xlfn.TEXTSPLIT(N374,"+")), N374))</f>
        <v/>
      </c>
      <c r="S374" s="7" t="str" cm="1">
        <f t="array" ref="S374">IF(T374="", "", IFERROR(MAX(--_xlfn.TEXTSPLIT(T374,"+")), T374))</f>
        <v/>
      </c>
      <c r="W374" s="7" t="str">
        <f>_xlfn.XLOOKUP(C374,Sheet1!A:A,Sheet1!B:B, "Other")</f>
        <v>Asia</v>
      </c>
      <c r="X374" s="222" t="str">
        <f>_xlfn.XLOOKUP(D374,Sheet1!D:D,Sheet1!E:E,"Other")</f>
        <v>Other</v>
      </c>
    </row>
    <row r="375" spans="1:24">
      <c r="A375" s="7" t="s">
        <v>709</v>
      </c>
      <c r="B375" s="7">
        <v>373</v>
      </c>
      <c r="C375" s="7" t="s">
        <v>114</v>
      </c>
      <c r="D375" s="109" t="s">
        <v>4459</v>
      </c>
      <c r="E375" s="7" t="s">
        <v>4174</v>
      </c>
      <c r="F375" s="7">
        <v>2050</v>
      </c>
      <c r="G375" s="109">
        <v>2020</v>
      </c>
      <c r="M375" s="7" t="str" cm="1">
        <f t="array" ref="M375">IF(N375="", "", IFERROR(MAX(--_xlfn.TEXTSPLIT(N375,"+")), N375))</f>
        <v/>
      </c>
      <c r="Q375" s="7" t="s">
        <v>1957</v>
      </c>
      <c r="R375" s="7" t="s">
        <v>4518</v>
      </c>
      <c r="S375" s="7" cm="1">
        <f t="array" ref="S375">IF(T375="", "", IFERROR(MAX(--_xlfn.TEXTSPLIT(T375,"+")), T375))</f>
        <v>2050</v>
      </c>
      <c r="T375" s="7">
        <v>2050</v>
      </c>
      <c r="U375" s="7">
        <v>2021</v>
      </c>
      <c r="V375" s="109" t="s">
        <v>4632</v>
      </c>
      <c r="W375" s="7" t="str">
        <f>_xlfn.XLOOKUP(C375,Sheet1!A:A,Sheet1!B:B, "Other")</f>
        <v>Asia</v>
      </c>
      <c r="X375" s="222" t="str">
        <f>_xlfn.XLOOKUP(D375,Sheet1!D:D,Sheet1!E:E,"Other")</f>
        <v>Other</v>
      </c>
    </row>
    <row r="376" spans="1:24">
      <c r="A376" s="7" t="s">
        <v>757</v>
      </c>
      <c r="B376" s="7">
        <v>374</v>
      </c>
      <c r="C376" s="7" t="s">
        <v>4195</v>
      </c>
      <c r="D376" s="109" t="s">
        <v>4465</v>
      </c>
      <c r="E376" s="7" t="s">
        <v>4174</v>
      </c>
      <c r="F376" s="7">
        <v>2030</v>
      </c>
      <c r="G376" s="109">
        <v>2019</v>
      </c>
      <c r="K376" s="7" t="s">
        <v>1957</v>
      </c>
      <c r="L376" s="7" t="s">
        <v>4631</v>
      </c>
      <c r="M376" s="7" cm="1">
        <f t="array" ref="M376">IF(N376="", "", IFERROR(MAX(--_xlfn.TEXTSPLIT(N376,"+")), N376))</f>
        <v>2020</v>
      </c>
      <c r="N376" s="7">
        <v>2020</v>
      </c>
      <c r="O376" s="7">
        <v>2018</v>
      </c>
      <c r="P376" s="109" t="s">
        <v>4629</v>
      </c>
      <c r="Q376" s="7" t="s">
        <v>4172</v>
      </c>
      <c r="R376" s="7" t="s">
        <v>4630</v>
      </c>
      <c r="S376" s="7" cm="1">
        <f t="array" ref="S376">IF(T376="", "", IFERROR(MAX(--_xlfn.TEXTSPLIT(T376,"+")), T376))</f>
        <v>2050</v>
      </c>
      <c r="T376" s="7">
        <v>2050</v>
      </c>
      <c r="U376" s="7">
        <v>2020</v>
      </c>
      <c r="V376" s="109" t="s">
        <v>4629</v>
      </c>
      <c r="W376" s="7" t="str">
        <f>_xlfn.XLOOKUP(C376,Sheet1!A:A,Sheet1!B:B, "Other")</f>
        <v>Europe</v>
      </c>
      <c r="X376" s="222" t="str">
        <f>_xlfn.XLOOKUP(D376,Sheet1!D:D,Sheet1!E:E,"Other")</f>
        <v>Other</v>
      </c>
    </row>
    <row r="377" spans="1:24">
      <c r="A377" s="7" t="s">
        <v>680</v>
      </c>
      <c r="B377" s="7">
        <v>375</v>
      </c>
      <c r="C377" s="7" t="s">
        <v>78</v>
      </c>
      <c r="D377" s="109" t="s">
        <v>3498</v>
      </c>
      <c r="M377" s="7" t="str" cm="1">
        <f t="array" ref="M377">IF(N377="", "", IFERROR(MAX(--_xlfn.TEXTSPLIT(N377,"+")), N377))</f>
        <v/>
      </c>
      <c r="Q377" s="7" t="s">
        <v>1957</v>
      </c>
      <c r="R377" s="7" t="s">
        <v>4492</v>
      </c>
      <c r="S377" s="7" cm="1">
        <f t="array" ref="S377">IF(T377="", "", IFERROR(MAX(--_xlfn.TEXTSPLIT(T377,"+")), T377))</f>
        <v>2050</v>
      </c>
      <c r="T377" s="7">
        <v>2050</v>
      </c>
      <c r="U377" s="7">
        <v>2020</v>
      </c>
      <c r="V377" s="109" t="s">
        <v>4628</v>
      </c>
      <c r="W377" s="7" t="str">
        <f>_xlfn.XLOOKUP(C377,Sheet1!A:A,Sheet1!B:B, "Other")</f>
        <v>North America</v>
      </c>
      <c r="X377" s="222" t="str">
        <f>_xlfn.XLOOKUP(D377,Sheet1!D:D,Sheet1!E:E,"Other")</f>
        <v>Other</v>
      </c>
    </row>
    <row r="378" spans="1:24">
      <c r="A378" s="7" t="s">
        <v>3719</v>
      </c>
      <c r="B378" s="7">
        <v>376</v>
      </c>
      <c r="C378" s="7" t="s">
        <v>3277</v>
      </c>
      <c r="D378" s="109" t="s">
        <v>4465</v>
      </c>
      <c r="H378" s="7" t="s">
        <v>1957</v>
      </c>
      <c r="I378" s="7">
        <v>2030</v>
      </c>
      <c r="J378" s="109">
        <v>2022</v>
      </c>
      <c r="M378" s="7" t="str" cm="1">
        <f t="array" ref="M378">IF(N378="", "", IFERROR(MAX(--_xlfn.TEXTSPLIT(N378,"+")), N378))</f>
        <v/>
      </c>
      <c r="S378" s="7" t="str" cm="1">
        <f t="array" ref="S378">IF(T378="", "", IFERROR(MAX(--_xlfn.TEXTSPLIT(T378,"+")), T378))</f>
        <v/>
      </c>
      <c r="W378" s="7" t="str">
        <f>_xlfn.XLOOKUP(C378,Sheet1!A:A,Sheet1!B:B, "Other")</f>
        <v>Asia</v>
      </c>
      <c r="X378" s="222" t="str">
        <f>_xlfn.XLOOKUP(D378,Sheet1!D:D,Sheet1!E:E,"Other")</f>
        <v>Other</v>
      </c>
    </row>
    <row r="379" spans="1:24">
      <c r="A379" s="7" t="s">
        <v>747</v>
      </c>
      <c r="B379" s="7">
        <v>377</v>
      </c>
      <c r="C379" s="7" t="s">
        <v>207</v>
      </c>
      <c r="D379" s="109" t="s">
        <v>4465</v>
      </c>
      <c r="M379" s="7" t="str" cm="1">
        <f t="array" ref="M379">IF(N379="", "", IFERROR(MAX(--_xlfn.TEXTSPLIT(N379,"+")), N379))</f>
        <v/>
      </c>
      <c r="Q379" s="7" t="s">
        <v>4172</v>
      </c>
      <c r="R379" s="7" t="s">
        <v>4532</v>
      </c>
      <c r="S379" s="7" cm="1">
        <f t="array" ref="S379">IF(T379="", "", IFERROR(MAX(--_xlfn.TEXTSPLIT(T379,"+")), T379))</f>
        <v>2051</v>
      </c>
      <c r="T379" s="7">
        <v>2051</v>
      </c>
      <c r="U379" s="7">
        <v>2021</v>
      </c>
      <c r="V379" s="109" t="s">
        <v>4627</v>
      </c>
      <c r="W379" s="7" t="str">
        <f>_xlfn.XLOOKUP(C379,Sheet1!A:A,Sheet1!B:B, "Other")</f>
        <v>Asia</v>
      </c>
      <c r="X379" s="222" t="str">
        <f>_xlfn.XLOOKUP(D379,Sheet1!D:D,Sheet1!E:E,"Other")</f>
        <v>Other</v>
      </c>
    </row>
    <row r="380" spans="1:24">
      <c r="A380" s="7" t="s">
        <v>647</v>
      </c>
      <c r="B380" s="7">
        <v>378</v>
      </c>
      <c r="C380" s="7" t="s">
        <v>376</v>
      </c>
      <c r="D380" s="109" t="s">
        <v>4465</v>
      </c>
      <c r="H380" s="7" t="s">
        <v>1957</v>
      </c>
      <c r="I380" s="7">
        <v>2030</v>
      </c>
      <c r="J380" s="109">
        <v>2021</v>
      </c>
      <c r="K380" s="7" t="s">
        <v>1957</v>
      </c>
      <c r="L380" s="7" t="s">
        <v>4626</v>
      </c>
      <c r="M380" s="7" cm="1">
        <f t="array" ref="M380">IF(N380="", "", IFERROR(MAX(--_xlfn.TEXTSPLIT(N380,"+")), N380))</f>
        <v>2030</v>
      </c>
      <c r="N380" s="7">
        <v>2030</v>
      </c>
      <c r="O380" s="7">
        <v>2021</v>
      </c>
      <c r="P380" s="109" t="s">
        <v>4625</v>
      </c>
      <c r="S380" s="7" t="str" cm="1">
        <f t="array" ref="S380">IF(T380="", "", IFERROR(MAX(--_xlfn.TEXTSPLIT(T380,"+")), T380))</f>
        <v/>
      </c>
      <c r="W380" s="7" t="str">
        <f>_xlfn.XLOOKUP(C380,Sheet1!A:A,Sheet1!B:B, "Other")</f>
        <v>Europe</v>
      </c>
      <c r="X380" s="222" t="str">
        <f>_xlfn.XLOOKUP(D380,Sheet1!D:D,Sheet1!E:E,"Other")</f>
        <v>Other</v>
      </c>
    </row>
    <row r="381" spans="1:24">
      <c r="A381" s="7" t="s">
        <v>489</v>
      </c>
      <c r="B381" s="7">
        <v>379</v>
      </c>
      <c r="C381" s="7" t="s">
        <v>4457</v>
      </c>
      <c r="D381" s="109" t="s">
        <v>4465</v>
      </c>
      <c r="M381" s="7" t="str" cm="1">
        <f t="array" ref="M381">IF(N381="", "", IFERROR(MAX(--_xlfn.TEXTSPLIT(N381,"+")), N381))</f>
        <v/>
      </c>
      <c r="S381" s="7" t="str" cm="1">
        <f t="array" ref="S381">IF(T381="", "", IFERROR(MAX(--_xlfn.TEXTSPLIT(T381,"+")), T381))</f>
        <v/>
      </c>
      <c r="W381" s="7" t="str">
        <f>_xlfn.XLOOKUP(C381,Sheet1!A:A,Sheet1!B:B, "Other")</f>
        <v>North America</v>
      </c>
      <c r="X381" s="222" t="str">
        <f>_xlfn.XLOOKUP(D381,Sheet1!D:D,Sheet1!E:E,"Other")</f>
        <v>Other</v>
      </c>
    </row>
    <row r="382" spans="1:24">
      <c r="A382" s="7" t="s">
        <v>1139</v>
      </c>
      <c r="B382" s="7">
        <v>380</v>
      </c>
      <c r="C382" s="7" t="s">
        <v>63</v>
      </c>
      <c r="D382" s="109" t="s">
        <v>4467</v>
      </c>
      <c r="M382" s="7" t="str" cm="1">
        <f t="array" ref="M382">IF(N382="", "", IFERROR(MAX(--_xlfn.TEXTSPLIT(N382,"+")), N382))</f>
        <v/>
      </c>
      <c r="S382" s="7" t="str" cm="1">
        <f t="array" ref="S382">IF(T382="", "", IFERROR(MAX(--_xlfn.TEXTSPLIT(T382,"+")), T382))</f>
        <v/>
      </c>
      <c r="W382" s="7" t="str">
        <f>_xlfn.XLOOKUP(C382,Sheet1!A:A,Sheet1!B:B, "Other")</f>
        <v>Europe</v>
      </c>
      <c r="X382" s="222" t="str">
        <f>_xlfn.XLOOKUP(D382,Sheet1!D:D,Sheet1!E:E,"Other")</f>
        <v>Retail</v>
      </c>
    </row>
    <row r="383" spans="1:24">
      <c r="A383" s="7" t="s">
        <v>4429</v>
      </c>
      <c r="B383" s="7">
        <v>381</v>
      </c>
      <c r="C383" s="7" t="s">
        <v>4195</v>
      </c>
      <c r="D383" s="109" t="s">
        <v>4201</v>
      </c>
      <c r="E383" s="7" t="s">
        <v>4174</v>
      </c>
      <c r="F383" s="7">
        <v>2025</v>
      </c>
      <c r="G383" s="109">
        <v>2016</v>
      </c>
      <c r="H383" s="7" t="s">
        <v>4183</v>
      </c>
      <c r="I383" s="7">
        <v>2026</v>
      </c>
      <c r="J383" s="109">
        <v>2016</v>
      </c>
      <c r="M383" s="7" t="str" cm="1">
        <f t="array" ref="M383">IF(N383="", "", IFERROR(MAX(--_xlfn.TEXTSPLIT(N383,"+")), N383))</f>
        <v/>
      </c>
      <c r="Q383" s="7" t="s">
        <v>4624</v>
      </c>
      <c r="R383" s="7" t="s">
        <v>4623</v>
      </c>
      <c r="S383" s="7" cm="1">
        <f t="array" ref="S383">IF(T383="", "", IFERROR(MAX(--_xlfn.TEXTSPLIT(T383,"+")), T383))</f>
        <v>2030</v>
      </c>
      <c r="T383" s="7" t="s">
        <v>4622</v>
      </c>
      <c r="U383" s="7" t="s">
        <v>4606</v>
      </c>
      <c r="V383" s="109" t="s">
        <v>4621</v>
      </c>
      <c r="W383" s="7" t="str">
        <f>_xlfn.XLOOKUP(C383,Sheet1!A:A,Sheet1!B:B, "Other")</f>
        <v>Europe</v>
      </c>
      <c r="X383" s="222" t="str">
        <f>_xlfn.XLOOKUP(D383,Sheet1!D:D,Sheet1!E:E,"Other")</f>
        <v>Other</v>
      </c>
    </row>
    <row r="384" spans="1:24">
      <c r="A384" s="7" t="s">
        <v>322</v>
      </c>
      <c r="B384" s="7">
        <v>382</v>
      </c>
      <c r="C384" s="7" t="s">
        <v>114</v>
      </c>
      <c r="D384" s="109" t="s">
        <v>4465</v>
      </c>
      <c r="H384" s="7" t="s">
        <v>4183</v>
      </c>
      <c r="I384" s="7">
        <v>2030</v>
      </c>
      <c r="J384" s="109">
        <v>2021</v>
      </c>
      <c r="K384" s="7" t="s">
        <v>4573</v>
      </c>
      <c r="L384" s="7" t="s">
        <v>4620</v>
      </c>
      <c r="M384" s="7" cm="1">
        <f t="array" ref="M384">IF(N384="", "", IFERROR(MAX(--_xlfn.TEXTSPLIT(N384,"+")), N384))</f>
        <v>2050</v>
      </c>
      <c r="N384" s="7" t="s">
        <v>4502</v>
      </c>
      <c r="O384" s="7" t="s">
        <v>4606</v>
      </c>
      <c r="P384" s="109" t="s">
        <v>4619</v>
      </c>
      <c r="S384" s="7" t="str" cm="1">
        <f t="array" ref="S384">IF(T384="", "", IFERROR(MAX(--_xlfn.TEXTSPLIT(T384,"+")), T384))</f>
        <v/>
      </c>
      <c r="W384" s="7" t="str">
        <f>_xlfn.XLOOKUP(C384,Sheet1!A:A,Sheet1!B:B, "Other")</f>
        <v>Asia</v>
      </c>
      <c r="X384" s="222" t="str">
        <f>_xlfn.XLOOKUP(D384,Sheet1!D:D,Sheet1!E:E,"Other")</f>
        <v>Other</v>
      </c>
    </row>
    <row r="385" spans="1:24">
      <c r="A385" s="7" t="s">
        <v>584</v>
      </c>
      <c r="B385" s="7">
        <v>383</v>
      </c>
      <c r="C385" s="7" t="s">
        <v>207</v>
      </c>
      <c r="D385" s="109" t="s">
        <v>4465</v>
      </c>
      <c r="H385" s="7" t="s">
        <v>1957</v>
      </c>
      <c r="I385" s="7">
        <v>2030</v>
      </c>
      <c r="J385" s="109">
        <v>2018</v>
      </c>
      <c r="M385" s="7" t="str" cm="1">
        <f t="array" ref="M385">IF(N385="", "", IFERROR(MAX(--_xlfn.TEXTSPLIT(N385,"+")), N385))</f>
        <v/>
      </c>
      <c r="Q385" s="7" t="s">
        <v>4172</v>
      </c>
      <c r="R385" s="7" t="s">
        <v>4532</v>
      </c>
      <c r="S385" s="7" cm="1">
        <f t="array" ref="S385">IF(T385="", "", IFERROR(MAX(--_xlfn.TEXTSPLIT(T385,"+")), T385))</f>
        <v>2050</v>
      </c>
      <c r="T385" s="7">
        <v>2050</v>
      </c>
      <c r="U385" s="7">
        <v>2021</v>
      </c>
      <c r="V385" s="109" t="s">
        <v>4618</v>
      </c>
      <c r="W385" s="7" t="str">
        <f>_xlfn.XLOOKUP(C385,Sheet1!A:A,Sheet1!B:B, "Other")</f>
        <v>Asia</v>
      </c>
      <c r="X385" s="222" t="str">
        <f>_xlfn.XLOOKUP(D385,Sheet1!D:D,Sheet1!E:E,"Other")</f>
        <v>Other</v>
      </c>
    </row>
    <row r="386" spans="1:24">
      <c r="A386" s="7" t="s">
        <v>4617</v>
      </c>
      <c r="B386" s="7">
        <v>384</v>
      </c>
      <c r="C386" s="7" t="s">
        <v>78</v>
      </c>
      <c r="D386" s="109" t="s">
        <v>4494</v>
      </c>
      <c r="M386" s="7" t="str" cm="1">
        <f t="array" ref="M386">IF(N386="", "", IFERROR(MAX(--_xlfn.TEXTSPLIT(N386,"+")), N386))</f>
        <v/>
      </c>
      <c r="Q386" s="7" t="s">
        <v>1957</v>
      </c>
      <c r="R386" s="7" t="s">
        <v>4511</v>
      </c>
      <c r="S386" s="7" cm="1">
        <f t="array" ref="S386">IF(T386="", "", IFERROR(MAX(--_xlfn.TEXTSPLIT(T386,"+")), T386))</f>
        <v>2050</v>
      </c>
      <c r="T386" s="7">
        <v>2050</v>
      </c>
      <c r="U386" s="7">
        <v>2020</v>
      </c>
      <c r="V386" s="109" t="s">
        <v>4616</v>
      </c>
      <c r="W386" s="7" t="str">
        <f>_xlfn.XLOOKUP(C386,Sheet1!A:A,Sheet1!B:B, "Other")</f>
        <v>North America</v>
      </c>
      <c r="X386" s="222" t="str">
        <f>_xlfn.XLOOKUP(D386,Sheet1!D:D,Sheet1!E:E,"Other")</f>
        <v>Other</v>
      </c>
    </row>
    <row r="387" spans="1:24">
      <c r="A387" s="7" t="s">
        <v>638</v>
      </c>
      <c r="B387" s="7">
        <v>385</v>
      </c>
      <c r="C387" s="7" t="s">
        <v>73</v>
      </c>
      <c r="D387" s="109" t="s">
        <v>4459</v>
      </c>
      <c r="M387" s="7" t="str" cm="1">
        <f t="array" ref="M387">IF(N387="", "", IFERROR(MAX(--_xlfn.TEXTSPLIT(N387,"+")), N387))</f>
        <v/>
      </c>
      <c r="S387" s="7" t="str" cm="1">
        <f t="array" ref="S387">IF(T387="", "", IFERROR(MAX(--_xlfn.TEXTSPLIT(T387,"+")), T387))</f>
        <v/>
      </c>
      <c r="W387" s="7" t="str">
        <f>_xlfn.XLOOKUP(C387,Sheet1!A:A,Sheet1!B:B, "Other")</f>
        <v>Asia</v>
      </c>
      <c r="X387" s="222" t="str">
        <f>_xlfn.XLOOKUP(D387,Sheet1!D:D,Sheet1!E:E,"Other")</f>
        <v>Other</v>
      </c>
    </row>
    <row r="388" spans="1:24">
      <c r="A388" s="7" t="s">
        <v>4312</v>
      </c>
      <c r="B388" s="7">
        <v>386</v>
      </c>
      <c r="C388" s="7" t="s">
        <v>73</v>
      </c>
      <c r="D388" s="109" t="s">
        <v>4494</v>
      </c>
      <c r="M388" s="7" t="str" cm="1">
        <f t="array" ref="M388">IF(N388="", "", IFERROR(MAX(--_xlfn.TEXTSPLIT(N388,"+")), N388))</f>
        <v/>
      </c>
      <c r="S388" s="7" t="str" cm="1">
        <f t="array" ref="S388">IF(T388="", "", IFERROR(MAX(--_xlfn.TEXTSPLIT(T388,"+")), T388))</f>
        <v/>
      </c>
      <c r="W388" s="7" t="str">
        <f>_xlfn.XLOOKUP(C388,Sheet1!A:A,Sheet1!B:B, "Other")</f>
        <v>Asia</v>
      </c>
      <c r="X388" s="222" t="str">
        <f>_xlfn.XLOOKUP(D388,Sheet1!D:D,Sheet1!E:E,"Other")</f>
        <v>Other</v>
      </c>
    </row>
    <row r="389" spans="1:24">
      <c r="A389" s="7" t="s">
        <v>349</v>
      </c>
      <c r="B389" s="7">
        <v>387</v>
      </c>
      <c r="C389" s="7" t="s">
        <v>4457</v>
      </c>
      <c r="D389" s="109" t="s">
        <v>4465</v>
      </c>
      <c r="M389" s="7" t="str" cm="1">
        <f t="array" ref="M389">IF(N389="", "", IFERROR(MAX(--_xlfn.TEXTSPLIT(N389,"+")), N389))</f>
        <v/>
      </c>
      <c r="S389" s="7" t="str" cm="1">
        <f t="array" ref="S389">IF(T389="", "", IFERROR(MAX(--_xlfn.TEXTSPLIT(T389,"+")), T389))</f>
        <v/>
      </c>
      <c r="W389" s="7" t="str">
        <f>_xlfn.XLOOKUP(C389,Sheet1!A:A,Sheet1!B:B, "Other")</f>
        <v>North America</v>
      </c>
      <c r="X389" s="222" t="str">
        <f>_xlfn.XLOOKUP(D389,Sheet1!D:D,Sheet1!E:E,"Other")</f>
        <v>Other</v>
      </c>
    </row>
    <row r="390" spans="1:24">
      <c r="A390" s="7" t="s">
        <v>1132</v>
      </c>
      <c r="B390" s="7">
        <v>388</v>
      </c>
      <c r="C390" s="7" t="s">
        <v>207</v>
      </c>
      <c r="D390" s="109" t="s">
        <v>4465</v>
      </c>
      <c r="L390" s="7" t="s">
        <v>4615</v>
      </c>
      <c r="M390" s="7" t="str" cm="1">
        <f t="array" ref="M390">IF(N390="", "", IFERROR(MAX(--_xlfn.TEXTSPLIT(N390,"+")), N390))</f>
        <v/>
      </c>
      <c r="O390" s="7" t="s">
        <v>4615</v>
      </c>
      <c r="P390" s="109" t="s">
        <v>4615</v>
      </c>
      <c r="Q390" s="7" t="s">
        <v>4504</v>
      </c>
      <c r="R390" s="7" t="s">
        <v>4614</v>
      </c>
      <c r="S390" s="7" cm="1">
        <f t="array" ref="S390">IF(T390="", "", IFERROR(MAX(--_xlfn.TEXTSPLIT(T390,"+")), T390))</f>
        <v>2050</v>
      </c>
      <c r="T390" s="7" t="s">
        <v>4502</v>
      </c>
      <c r="U390" s="7" t="s">
        <v>4501</v>
      </c>
      <c r="V390" s="109" t="s">
        <v>4613</v>
      </c>
      <c r="W390" s="7" t="str">
        <f>_xlfn.XLOOKUP(C390,Sheet1!A:A,Sheet1!B:B, "Other")</f>
        <v>Asia</v>
      </c>
      <c r="X390" s="222" t="str">
        <f>_xlfn.XLOOKUP(D390,Sheet1!D:D,Sheet1!E:E,"Other")</f>
        <v>Other</v>
      </c>
    </row>
    <row r="391" spans="1:24">
      <c r="A391" s="7" t="s">
        <v>81</v>
      </c>
      <c r="B391" s="7">
        <v>389</v>
      </c>
      <c r="C391" s="7" t="s">
        <v>4457</v>
      </c>
      <c r="D391" s="109" t="s">
        <v>4494</v>
      </c>
      <c r="M391" s="7" t="str" cm="1">
        <f t="array" ref="M391">IF(N391="", "", IFERROR(MAX(--_xlfn.TEXTSPLIT(N391,"+")), N391))</f>
        <v/>
      </c>
      <c r="S391" s="7" t="str" cm="1">
        <f t="array" ref="S391">IF(T391="", "", IFERROR(MAX(--_xlfn.TEXTSPLIT(T391,"+")), T391))</f>
        <v/>
      </c>
      <c r="W391" s="7" t="str">
        <f>_xlfn.XLOOKUP(C391,Sheet1!A:A,Sheet1!B:B, "Other")</f>
        <v>North America</v>
      </c>
      <c r="X391" s="222" t="str">
        <f>_xlfn.XLOOKUP(D391,Sheet1!D:D,Sheet1!E:E,"Other")</f>
        <v>Other</v>
      </c>
    </row>
    <row r="392" spans="1:24">
      <c r="A392" s="7" t="s">
        <v>520</v>
      </c>
      <c r="B392" s="7">
        <v>390</v>
      </c>
      <c r="C392" s="7" t="s">
        <v>114</v>
      </c>
      <c r="D392" s="109" t="s">
        <v>4476</v>
      </c>
      <c r="E392" s="7" t="s">
        <v>4174</v>
      </c>
      <c r="F392" s="7">
        <v>2040</v>
      </c>
      <c r="G392" s="109">
        <v>2022</v>
      </c>
      <c r="K392" s="7" t="s">
        <v>4172</v>
      </c>
      <c r="L392" s="7" t="s">
        <v>4532</v>
      </c>
      <c r="M392" s="7" cm="1">
        <f t="array" ref="M392">IF(N392="", "", IFERROR(MAX(--_xlfn.TEXTSPLIT(N392,"+")), N392))</f>
        <v>2045</v>
      </c>
      <c r="N392" s="7">
        <v>2045</v>
      </c>
      <c r="O392" s="7">
        <v>2021</v>
      </c>
      <c r="P392" s="109" t="s">
        <v>4612</v>
      </c>
      <c r="S392" s="7" t="str" cm="1">
        <f t="array" ref="S392">IF(T392="", "", IFERROR(MAX(--_xlfn.TEXTSPLIT(T392,"+")), T392))</f>
        <v/>
      </c>
      <c r="W392" s="7" t="str">
        <f>_xlfn.XLOOKUP(C392,Sheet1!A:A,Sheet1!B:B, "Other")</f>
        <v>Asia</v>
      </c>
      <c r="X392" s="222" t="str">
        <f>_xlfn.XLOOKUP(D392,Sheet1!D:D,Sheet1!E:E,"Other")</f>
        <v>Other</v>
      </c>
    </row>
    <row r="393" spans="1:24">
      <c r="A393" s="7" t="s">
        <v>684</v>
      </c>
      <c r="B393" s="7">
        <v>391</v>
      </c>
      <c r="C393" s="7" t="s">
        <v>4457</v>
      </c>
      <c r="D393" s="109" t="s">
        <v>4199</v>
      </c>
      <c r="M393" s="7" t="str" cm="1">
        <f t="array" ref="M393">IF(N393="", "", IFERROR(MAX(--_xlfn.TEXTSPLIT(N393,"+")), N393))</f>
        <v/>
      </c>
      <c r="Q393" s="7" t="s">
        <v>1957</v>
      </c>
      <c r="R393" s="7" t="s">
        <v>1659</v>
      </c>
      <c r="S393" s="7" cm="1">
        <f t="array" ref="S393">IF(T393="", "", IFERROR(MAX(--_xlfn.TEXTSPLIT(T393,"+")), T393))</f>
        <v>2050</v>
      </c>
      <c r="T393" s="7">
        <v>2050</v>
      </c>
      <c r="U393" s="7">
        <v>2021</v>
      </c>
      <c r="V393" s="109" t="s">
        <v>4611</v>
      </c>
      <c r="W393" s="7" t="str">
        <f>_xlfn.XLOOKUP(C393,Sheet1!A:A,Sheet1!B:B, "Other")</f>
        <v>North America</v>
      </c>
      <c r="X393" s="222" t="str">
        <f>_xlfn.XLOOKUP(D393,Sheet1!D:D,Sheet1!E:E,"Other")</f>
        <v>Other</v>
      </c>
    </row>
    <row r="394" spans="1:24">
      <c r="A394" s="7" t="s">
        <v>828</v>
      </c>
      <c r="B394" s="7">
        <v>392</v>
      </c>
      <c r="C394" s="7" t="s">
        <v>78</v>
      </c>
      <c r="D394" s="109" t="s">
        <v>4476</v>
      </c>
      <c r="H394" s="7" t="s">
        <v>1957</v>
      </c>
      <c r="I394" s="7">
        <v>2030</v>
      </c>
      <c r="J394" s="109">
        <v>2021</v>
      </c>
      <c r="K394" s="7" t="s">
        <v>1957</v>
      </c>
      <c r="L394" s="7" t="s">
        <v>1659</v>
      </c>
      <c r="M394" s="7" cm="1">
        <f t="array" ref="M394">IF(N394="", "", IFERROR(MAX(--_xlfn.TEXTSPLIT(N394,"+")), N394))</f>
        <v>2030</v>
      </c>
      <c r="N394" s="7">
        <v>2030</v>
      </c>
      <c r="O394" s="7">
        <v>2021</v>
      </c>
      <c r="P394" s="109" t="s">
        <v>4610</v>
      </c>
      <c r="S394" s="7" t="str" cm="1">
        <f t="array" ref="S394">IF(T394="", "", IFERROR(MAX(--_xlfn.TEXTSPLIT(T394,"+")), T394))</f>
        <v/>
      </c>
      <c r="W394" s="7" t="str">
        <f>_xlfn.XLOOKUP(C394,Sheet1!A:A,Sheet1!B:B, "Other")</f>
        <v>North America</v>
      </c>
      <c r="X394" s="222" t="str">
        <f>_xlfn.XLOOKUP(D394,Sheet1!D:D,Sheet1!E:E,"Other")</f>
        <v>Other</v>
      </c>
    </row>
    <row r="395" spans="1:24">
      <c r="A395" s="7" t="s">
        <v>656</v>
      </c>
      <c r="B395" s="7">
        <v>393</v>
      </c>
      <c r="C395" s="7" t="s">
        <v>4338</v>
      </c>
      <c r="D395" s="109" t="s">
        <v>4467</v>
      </c>
      <c r="H395" s="7" t="s">
        <v>1957</v>
      </c>
      <c r="I395" s="7">
        <v>2030</v>
      </c>
      <c r="J395" s="109">
        <v>2021</v>
      </c>
      <c r="M395" s="7" t="str" cm="1">
        <f t="array" ref="M395">IF(N395="", "", IFERROR(MAX(--_xlfn.TEXTSPLIT(N395,"+")), N395))</f>
        <v/>
      </c>
      <c r="Q395" s="7" t="s">
        <v>4540</v>
      </c>
      <c r="R395" s="7" t="s">
        <v>4609</v>
      </c>
      <c r="S395" s="7" t="str" cm="1">
        <f t="array" ref="S395">IF(T395="", "", IFERROR(MAX(--_xlfn.TEXTSPLIT(T395,"+")), T395))</f>
        <v/>
      </c>
      <c r="V395" s="109" t="s">
        <v>4608</v>
      </c>
      <c r="W395" s="7" t="str">
        <f>_xlfn.XLOOKUP(C395,Sheet1!A:A,Sheet1!B:B, "Other")</f>
        <v>Asia</v>
      </c>
      <c r="X395" s="222" t="str">
        <f>_xlfn.XLOOKUP(D395,Sheet1!D:D,Sheet1!E:E,"Other")</f>
        <v>Retail</v>
      </c>
    </row>
    <row r="396" spans="1:24">
      <c r="A396" s="7" t="s">
        <v>425</v>
      </c>
      <c r="B396" s="7">
        <v>394</v>
      </c>
      <c r="C396" s="7" t="s">
        <v>146</v>
      </c>
      <c r="D396" s="109" t="s">
        <v>4467</v>
      </c>
      <c r="M396" s="7" t="str" cm="1">
        <f t="array" ref="M396">IF(N396="", "", IFERROR(MAX(--_xlfn.TEXTSPLIT(N396,"+")), N396))</f>
        <v/>
      </c>
      <c r="Q396" s="7" t="s">
        <v>4504</v>
      </c>
      <c r="R396" s="7" t="s">
        <v>4607</v>
      </c>
      <c r="S396" s="7" cm="1">
        <f t="array" ref="S396">IF(T396="", "", IFERROR(MAX(--_xlfn.TEXTSPLIT(T396,"+")), T396))</f>
        <v>2050</v>
      </c>
      <c r="T396" s="7" t="s">
        <v>4555</v>
      </c>
      <c r="U396" s="7" t="s">
        <v>4606</v>
      </c>
      <c r="V396" s="109" t="s">
        <v>4605</v>
      </c>
      <c r="W396" s="7" t="str">
        <f>_xlfn.XLOOKUP(C396,Sheet1!A:A,Sheet1!B:B, "Other")</f>
        <v>Europe</v>
      </c>
      <c r="X396" s="222" t="str">
        <f>_xlfn.XLOOKUP(D396,Sheet1!D:D,Sheet1!E:E,"Other")</f>
        <v>Retail</v>
      </c>
    </row>
    <row r="397" spans="1:24">
      <c r="A397" s="7" t="s">
        <v>775</v>
      </c>
      <c r="B397" s="7">
        <v>395</v>
      </c>
      <c r="C397" s="7" t="s">
        <v>4457</v>
      </c>
      <c r="D397" s="109" t="s">
        <v>4465</v>
      </c>
      <c r="M397" s="7" t="str" cm="1">
        <f t="array" ref="M397">IF(N397="", "", IFERROR(MAX(--_xlfn.TEXTSPLIT(N397,"+")), N397))</f>
        <v/>
      </c>
      <c r="Q397" s="7" t="s">
        <v>4504</v>
      </c>
      <c r="R397" s="7" t="s">
        <v>4604</v>
      </c>
      <c r="S397" s="7" cm="1">
        <f t="array" ref="S397">IF(T397="", "", IFERROR(MAX(--_xlfn.TEXTSPLIT(T397,"+")), T397))</f>
        <v>2050</v>
      </c>
      <c r="T397" s="7" t="s">
        <v>4502</v>
      </c>
      <c r="U397" s="7" t="s">
        <v>4501</v>
      </c>
      <c r="V397" s="109" t="s">
        <v>4603</v>
      </c>
      <c r="W397" s="7" t="str">
        <f>_xlfn.XLOOKUP(C397,Sheet1!A:A,Sheet1!B:B, "Other")</f>
        <v>North America</v>
      </c>
      <c r="X397" s="222" t="str">
        <f>_xlfn.XLOOKUP(D397,Sheet1!D:D,Sheet1!E:E,"Other")</f>
        <v>Other</v>
      </c>
    </row>
    <row r="398" spans="1:24">
      <c r="A398" s="7" t="s">
        <v>4602</v>
      </c>
      <c r="B398" s="7">
        <v>396</v>
      </c>
      <c r="C398" s="7" t="s">
        <v>287</v>
      </c>
      <c r="D398" s="109" t="s">
        <v>4179</v>
      </c>
      <c r="H398" s="7" t="s">
        <v>4183</v>
      </c>
      <c r="I398" s="7">
        <v>2030</v>
      </c>
      <c r="J398" s="109">
        <v>2021</v>
      </c>
      <c r="K398" s="7" t="s">
        <v>4573</v>
      </c>
      <c r="L398" s="7" t="s">
        <v>4601</v>
      </c>
      <c r="M398" s="7" cm="1">
        <f t="array" ref="M398">IF(N398="", "", IFERROR(MAX(--_xlfn.TEXTSPLIT(N398,"+")), N398))</f>
        <v>2030</v>
      </c>
      <c r="N398" s="7" t="s">
        <v>4600</v>
      </c>
      <c r="O398" s="7" t="s">
        <v>4599</v>
      </c>
      <c r="P398" s="109" t="s">
        <v>4598</v>
      </c>
      <c r="S398" s="7" t="str" cm="1">
        <f t="array" ref="S398">IF(T398="", "", IFERROR(MAX(--_xlfn.TEXTSPLIT(T398,"+")), T398))</f>
        <v/>
      </c>
      <c r="W398" s="7" t="str">
        <f>_xlfn.XLOOKUP(C398,Sheet1!A:A,Sheet1!B:B, "Other")</f>
        <v>Europe</v>
      </c>
      <c r="X398" s="222" t="str">
        <f>_xlfn.XLOOKUP(D398,Sheet1!D:D,Sheet1!E:E,"Other")</f>
        <v>Other</v>
      </c>
    </row>
    <row r="399" spans="1:24">
      <c r="A399" s="7" t="s">
        <v>904</v>
      </c>
      <c r="B399" s="7">
        <v>397</v>
      </c>
      <c r="C399" s="7" t="s">
        <v>4315</v>
      </c>
      <c r="D399" s="109" t="s">
        <v>4476</v>
      </c>
      <c r="M399" s="7" t="str" cm="1">
        <f t="array" ref="M399">IF(N399="", "", IFERROR(MAX(--_xlfn.TEXTSPLIT(N399,"+")), N399))</f>
        <v/>
      </c>
      <c r="S399" s="7" t="str" cm="1">
        <f t="array" ref="S399">IF(T399="", "", IFERROR(MAX(--_xlfn.TEXTSPLIT(T399,"+")), T399))</f>
        <v/>
      </c>
      <c r="W399" s="7" t="str">
        <f>_xlfn.XLOOKUP(C399,Sheet1!A:A,Sheet1!B:B, "Other")</f>
        <v>North America</v>
      </c>
      <c r="X399" s="222" t="str">
        <f>_xlfn.XLOOKUP(D399,Sheet1!D:D,Sheet1!E:E,"Other")</f>
        <v>Other</v>
      </c>
    </row>
    <row r="400" spans="1:24">
      <c r="A400" s="7" t="s">
        <v>4597</v>
      </c>
      <c r="B400" s="7">
        <v>398</v>
      </c>
      <c r="C400" s="7" t="s">
        <v>68</v>
      </c>
      <c r="D400" s="109" t="s">
        <v>3498</v>
      </c>
      <c r="M400" s="7" t="str" cm="1">
        <f t="array" ref="M400">IF(N400="", "", IFERROR(MAX(--_xlfn.TEXTSPLIT(N400,"+")), N400))</f>
        <v/>
      </c>
      <c r="S400" s="7" t="str" cm="1">
        <f t="array" ref="S400">IF(T400="", "", IFERROR(MAX(--_xlfn.TEXTSPLIT(T400,"+")), T400))</f>
        <v/>
      </c>
      <c r="W400" s="7" t="str">
        <f>_xlfn.XLOOKUP(C400,Sheet1!A:A,Sheet1!B:B, "Other")</f>
        <v>Other</v>
      </c>
      <c r="X400" s="222" t="str">
        <f>_xlfn.XLOOKUP(D400,Sheet1!D:D,Sheet1!E:E,"Other")</f>
        <v>Other</v>
      </c>
    </row>
    <row r="401" spans="1:24">
      <c r="A401" s="7" t="s">
        <v>411</v>
      </c>
      <c r="B401" s="7">
        <v>399</v>
      </c>
      <c r="C401" s="7" t="s">
        <v>4457</v>
      </c>
      <c r="D401" s="109" t="s">
        <v>4260</v>
      </c>
      <c r="M401" s="7" t="str" cm="1">
        <f t="array" ref="M401">IF(N401="", "", IFERROR(MAX(--_xlfn.TEXTSPLIT(N401,"+")), N401))</f>
        <v/>
      </c>
      <c r="Q401" s="7" t="s">
        <v>1957</v>
      </c>
      <c r="R401" s="7" t="s">
        <v>4596</v>
      </c>
      <c r="S401" s="7" cm="1">
        <f t="array" ref="S401">IF(T401="", "", IFERROR(MAX(--_xlfn.TEXTSPLIT(T401,"+")), T401))</f>
        <v>2035</v>
      </c>
      <c r="T401" s="7">
        <v>2035</v>
      </c>
      <c r="U401" s="7">
        <v>2021</v>
      </c>
      <c r="V401" s="109" t="s">
        <v>4595</v>
      </c>
      <c r="W401" s="7" t="str">
        <f>_xlfn.XLOOKUP(C401,Sheet1!A:A,Sheet1!B:B, "Other")</f>
        <v>North America</v>
      </c>
      <c r="X401" s="222" t="str">
        <f>_xlfn.XLOOKUP(D401,Sheet1!D:D,Sheet1!E:E,"Other")</f>
        <v>Other</v>
      </c>
    </row>
    <row r="402" spans="1:24">
      <c r="A402" s="7" t="s">
        <v>239</v>
      </c>
      <c r="B402" s="7">
        <v>400</v>
      </c>
      <c r="C402" s="7" t="s">
        <v>73</v>
      </c>
      <c r="D402" s="109" t="s">
        <v>4494</v>
      </c>
      <c r="K402" s="7" t="s">
        <v>4519</v>
      </c>
      <c r="L402" s="7" t="s">
        <v>4518</v>
      </c>
      <c r="M402" s="7" cm="1">
        <f t="array" ref="M402">IF(N402="", "", IFERROR(MAX(--_xlfn.TEXTSPLIT(N402,"+")), N402))</f>
        <v>2060</v>
      </c>
      <c r="N402" s="7">
        <v>2060</v>
      </c>
      <c r="O402" s="7">
        <v>2021</v>
      </c>
      <c r="P402" s="109" t="s">
        <v>4594</v>
      </c>
      <c r="S402" s="7" t="str" cm="1">
        <f t="array" ref="S402">IF(T402="", "", IFERROR(MAX(--_xlfn.TEXTSPLIT(T402,"+")), T402))</f>
        <v/>
      </c>
      <c r="W402" s="7" t="str">
        <f>_xlfn.XLOOKUP(C402,Sheet1!A:A,Sheet1!B:B, "Other")</f>
        <v>Asia</v>
      </c>
      <c r="X402" s="222" t="str">
        <f>_xlfn.XLOOKUP(D402,Sheet1!D:D,Sheet1!E:E,"Other")</f>
        <v>Other</v>
      </c>
    </row>
    <row r="403" spans="1:24">
      <c r="A403" s="7" t="s">
        <v>4593</v>
      </c>
      <c r="B403" s="7">
        <v>401</v>
      </c>
      <c r="C403" s="7" t="s">
        <v>207</v>
      </c>
      <c r="D403" s="109" t="s">
        <v>4465</v>
      </c>
      <c r="M403" s="7" t="str" cm="1">
        <f t="array" ref="M403">IF(N403="", "", IFERROR(MAX(--_xlfn.TEXTSPLIT(N403,"+")), N403))</f>
        <v/>
      </c>
      <c r="Q403" s="7" t="s">
        <v>4172</v>
      </c>
      <c r="R403" s="7" t="s">
        <v>2098</v>
      </c>
      <c r="S403" s="7" cm="1">
        <f t="array" ref="S403">IF(T403="", "", IFERROR(MAX(--_xlfn.TEXTSPLIT(T403,"+")), T403))</f>
        <v>2050</v>
      </c>
      <c r="T403" s="7">
        <v>2050</v>
      </c>
      <c r="U403" s="7">
        <v>2021</v>
      </c>
      <c r="V403" s="109" t="s">
        <v>4592</v>
      </c>
      <c r="W403" s="7" t="str">
        <f>_xlfn.XLOOKUP(C403,Sheet1!A:A,Sheet1!B:B, "Other")</f>
        <v>Asia</v>
      </c>
      <c r="X403" s="222" t="str">
        <f>_xlfn.XLOOKUP(D403,Sheet1!D:D,Sheet1!E:E,"Other")</f>
        <v>Other</v>
      </c>
    </row>
    <row r="404" spans="1:24">
      <c r="A404" s="7" t="s">
        <v>574</v>
      </c>
      <c r="B404" s="7">
        <v>402</v>
      </c>
      <c r="C404" s="7" t="s">
        <v>4457</v>
      </c>
      <c r="D404" s="109" t="s">
        <v>66</v>
      </c>
      <c r="E404" s="7" t="s">
        <v>4174</v>
      </c>
      <c r="F404" s="7">
        <v>2050</v>
      </c>
      <c r="G404" s="109">
        <v>2019</v>
      </c>
      <c r="K404" s="7" t="s">
        <v>1957</v>
      </c>
      <c r="L404" s="7" t="s">
        <v>1659</v>
      </c>
      <c r="M404" s="7" cm="1">
        <f t="array" ref="M404">IF(N404="", "", IFERROR(MAX(--_xlfn.TEXTSPLIT(N404,"+")), N404))</f>
        <v>2050</v>
      </c>
      <c r="N404" s="7">
        <v>2050</v>
      </c>
      <c r="O404" s="7">
        <v>2021</v>
      </c>
      <c r="P404" s="109" t="s">
        <v>4591</v>
      </c>
      <c r="S404" s="7" t="str" cm="1">
        <f t="array" ref="S404">IF(T404="", "", IFERROR(MAX(--_xlfn.TEXTSPLIT(T404,"+")), T404))</f>
        <v/>
      </c>
      <c r="W404" s="7" t="str">
        <f>_xlfn.XLOOKUP(C404,Sheet1!A:A,Sheet1!B:B, "Other")</f>
        <v>North America</v>
      </c>
      <c r="X404" s="222" t="str">
        <f>_xlfn.XLOOKUP(D404,Sheet1!D:D,Sheet1!E:E,"Other")</f>
        <v>Chemicals</v>
      </c>
    </row>
    <row r="405" spans="1:24">
      <c r="A405" s="7" t="s">
        <v>551</v>
      </c>
      <c r="B405" s="7">
        <v>403</v>
      </c>
      <c r="C405" s="7" t="s">
        <v>4195</v>
      </c>
      <c r="D405" s="109" t="s">
        <v>4455</v>
      </c>
      <c r="H405" s="7" t="s">
        <v>4183</v>
      </c>
      <c r="I405" s="7">
        <v>2030</v>
      </c>
      <c r="J405" s="109">
        <v>2021</v>
      </c>
      <c r="K405" s="7" t="s">
        <v>1957</v>
      </c>
      <c r="L405" s="7" t="s">
        <v>1659</v>
      </c>
      <c r="M405" s="7" cm="1">
        <f t="array" ref="M405">IF(N405="", "", IFERROR(MAX(--_xlfn.TEXTSPLIT(N405,"+")), N405))</f>
        <v>2030</v>
      </c>
      <c r="N405" s="7">
        <v>2030</v>
      </c>
      <c r="O405" s="7">
        <v>2021</v>
      </c>
      <c r="P405" s="109" t="s">
        <v>4590</v>
      </c>
      <c r="Q405" s="7" t="s">
        <v>4172</v>
      </c>
      <c r="R405" s="7" t="s">
        <v>2760</v>
      </c>
      <c r="S405" s="7" cm="1">
        <f t="array" ref="S405">IF(T405="", "", IFERROR(MAX(--_xlfn.TEXTSPLIT(T405,"+")), T405))</f>
        <v>2050</v>
      </c>
      <c r="T405" s="7">
        <v>2050</v>
      </c>
      <c r="U405" s="7">
        <v>2021</v>
      </c>
      <c r="V405" s="109" t="s">
        <v>4589</v>
      </c>
      <c r="W405" s="7" t="str">
        <f>_xlfn.XLOOKUP(C405,Sheet1!A:A,Sheet1!B:B, "Other")</f>
        <v>Europe</v>
      </c>
      <c r="X405" s="222" t="str">
        <f>_xlfn.XLOOKUP(D405,Sheet1!D:D,Sheet1!E:E,"Other")</f>
        <v>Other</v>
      </c>
    </row>
    <row r="406" spans="1:24">
      <c r="A406" s="7" t="s">
        <v>660</v>
      </c>
      <c r="B406" s="7">
        <v>404</v>
      </c>
      <c r="C406" s="7" t="s">
        <v>207</v>
      </c>
      <c r="D406" s="109" t="s">
        <v>4465</v>
      </c>
      <c r="K406" s="7" t="s">
        <v>1957</v>
      </c>
      <c r="L406" s="7" t="s">
        <v>2425</v>
      </c>
      <c r="M406" s="7" cm="1">
        <f t="array" ref="M406">IF(N406="", "", IFERROR(MAX(--_xlfn.TEXTSPLIT(N406,"+")), N406))</f>
        <v>2030</v>
      </c>
      <c r="N406" s="7">
        <v>2030</v>
      </c>
      <c r="O406" s="7">
        <v>2019</v>
      </c>
      <c r="P406" s="109" t="s">
        <v>4587</v>
      </c>
      <c r="Q406" s="7" t="s">
        <v>4172</v>
      </c>
      <c r="R406" s="7" t="s">
        <v>4588</v>
      </c>
      <c r="S406" s="7" cm="1">
        <f t="array" ref="S406">IF(T406="", "", IFERROR(MAX(--_xlfn.TEXTSPLIT(T406,"+")), T406))</f>
        <v>2050</v>
      </c>
      <c r="T406" s="7">
        <v>2050</v>
      </c>
      <c r="U406" s="7">
        <v>2021</v>
      </c>
      <c r="V406" s="109" t="s">
        <v>4587</v>
      </c>
      <c r="W406" s="7" t="str">
        <f>_xlfn.XLOOKUP(C406,Sheet1!A:A,Sheet1!B:B, "Other")</f>
        <v>Asia</v>
      </c>
      <c r="X406" s="222" t="str">
        <f>_xlfn.XLOOKUP(D406,Sheet1!D:D,Sheet1!E:E,"Other")</f>
        <v>Other</v>
      </c>
    </row>
    <row r="407" spans="1:24">
      <c r="A407" s="7" t="s">
        <v>284</v>
      </c>
      <c r="B407" s="7">
        <v>405</v>
      </c>
      <c r="C407" s="7" t="s">
        <v>4338</v>
      </c>
      <c r="D407" s="109" t="s">
        <v>4459</v>
      </c>
      <c r="K407" s="7" t="s">
        <v>4519</v>
      </c>
      <c r="L407" s="7" t="s">
        <v>4518</v>
      </c>
      <c r="M407" s="7" cm="1">
        <f t="array" ref="M407">IF(N407="", "", IFERROR(MAX(--_xlfn.TEXTSPLIT(N407,"+")), N407))</f>
        <v>2060</v>
      </c>
      <c r="N407" s="7">
        <v>2060</v>
      </c>
      <c r="O407" s="7">
        <v>2021</v>
      </c>
      <c r="P407" s="109" t="s">
        <v>4586</v>
      </c>
      <c r="S407" s="7" t="str" cm="1">
        <f t="array" ref="S407">IF(T407="", "", IFERROR(MAX(--_xlfn.TEXTSPLIT(T407,"+")), T407))</f>
        <v/>
      </c>
      <c r="W407" s="7" t="str">
        <f>_xlfn.XLOOKUP(C407,Sheet1!A:A,Sheet1!B:B, "Other")</f>
        <v>Asia</v>
      </c>
      <c r="X407" s="222" t="str">
        <f>_xlfn.XLOOKUP(D407,Sheet1!D:D,Sheet1!E:E,"Other")</f>
        <v>Other</v>
      </c>
    </row>
    <row r="408" spans="1:24">
      <c r="A408" s="7" t="s">
        <v>4585</v>
      </c>
      <c r="B408" s="7">
        <v>406</v>
      </c>
      <c r="C408" s="7" t="s">
        <v>183</v>
      </c>
      <c r="D408" s="109" t="s">
        <v>4467</v>
      </c>
      <c r="H408" s="7" t="s">
        <v>4183</v>
      </c>
      <c r="I408" s="7">
        <v>2030</v>
      </c>
      <c r="J408" s="109">
        <v>2019</v>
      </c>
      <c r="M408" s="7" t="str" cm="1">
        <f t="array" ref="M408">IF(N408="", "", IFERROR(MAX(--_xlfn.TEXTSPLIT(N408,"+")), N408))</f>
        <v/>
      </c>
      <c r="S408" s="7" t="str" cm="1">
        <f t="array" ref="S408">IF(T408="", "", IFERROR(MAX(--_xlfn.TEXTSPLIT(T408,"+")), T408))</f>
        <v/>
      </c>
      <c r="W408" s="7" t="str">
        <f>_xlfn.XLOOKUP(C408,Sheet1!A:A,Sheet1!B:B, "Other")</f>
        <v>Asia</v>
      </c>
      <c r="X408" s="222" t="str">
        <f>_xlfn.XLOOKUP(D408,Sheet1!D:D,Sheet1!E:E,"Other")</f>
        <v>Retail</v>
      </c>
    </row>
    <row r="409" spans="1:24">
      <c r="A409" s="7" t="s">
        <v>4176</v>
      </c>
      <c r="B409" s="7">
        <v>407</v>
      </c>
      <c r="C409" s="7" t="s">
        <v>73</v>
      </c>
      <c r="D409" s="109" t="s">
        <v>4494</v>
      </c>
      <c r="K409" s="7" t="s">
        <v>1957</v>
      </c>
      <c r="L409" s="7" t="s">
        <v>4518</v>
      </c>
      <c r="M409" s="7" cm="1">
        <f t="array" ref="M409">IF(N409="", "", IFERROR(MAX(--_xlfn.TEXTSPLIT(N409,"+")), N409))</f>
        <v>2059</v>
      </c>
      <c r="N409" s="7">
        <v>2059</v>
      </c>
      <c r="O409" s="7">
        <v>2021</v>
      </c>
      <c r="P409" s="109" t="s">
        <v>4584</v>
      </c>
      <c r="S409" s="7" t="str" cm="1">
        <f t="array" ref="S409">IF(T409="", "", IFERROR(MAX(--_xlfn.TEXTSPLIT(T409,"+")), T409))</f>
        <v/>
      </c>
      <c r="W409" s="7" t="str">
        <f>_xlfn.XLOOKUP(C409,Sheet1!A:A,Sheet1!B:B, "Other")</f>
        <v>Asia</v>
      </c>
      <c r="X409" s="222" t="str">
        <f>_xlfn.XLOOKUP(D409,Sheet1!D:D,Sheet1!E:E,"Other")</f>
        <v>Other</v>
      </c>
    </row>
    <row r="410" spans="1:24">
      <c r="A410" s="7" t="s">
        <v>4337</v>
      </c>
      <c r="B410" s="7">
        <v>408</v>
      </c>
      <c r="C410" s="7" t="s">
        <v>146</v>
      </c>
      <c r="D410" s="109" t="s">
        <v>4494</v>
      </c>
      <c r="K410" s="7" t="s">
        <v>4508</v>
      </c>
      <c r="L410" s="7" t="s">
        <v>4583</v>
      </c>
      <c r="M410" s="7" cm="1">
        <f t="array" ref="M410">IF(N410="", "", IFERROR(MAX(--_xlfn.TEXTSPLIT(N410,"+")), N410))</f>
        <v>2025</v>
      </c>
      <c r="N410" s="7">
        <v>2025</v>
      </c>
      <c r="O410" s="7">
        <v>2021</v>
      </c>
      <c r="P410" s="109" t="s">
        <v>4582</v>
      </c>
      <c r="S410" s="7" t="str" cm="1">
        <f t="array" ref="S410">IF(T410="", "", IFERROR(MAX(--_xlfn.TEXTSPLIT(T410,"+")), T410))</f>
        <v/>
      </c>
      <c r="W410" s="7" t="str">
        <f>_xlfn.XLOOKUP(C410,Sheet1!A:A,Sheet1!B:B, "Other")</f>
        <v>Europe</v>
      </c>
      <c r="X410" s="222" t="str">
        <f>_xlfn.XLOOKUP(D410,Sheet1!D:D,Sheet1!E:E,"Other")</f>
        <v>Other</v>
      </c>
    </row>
    <row r="411" spans="1:24">
      <c r="A411" s="7" t="s">
        <v>4439</v>
      </c>
      <c r="B411" s="7">
        <v>409</v>
      </c>
      <c r="C411" s="7" t="s">
        <v>207</v>
      </c>
      <c r="D411" s="109" t="s">
        <v>4476</v>
      </c>
      <c r="K411" s="7" t="s">
        <v>1957</v>
      </c>
      <c r="L411" s="7" t="s">
        <v>4581</v>
      </c>
      <c r="M411" s="7" cm="1">
        <f t="array" ref="M411">IF(N411="", "", IFERROR(MAX(--_xlfn.TEXTSPLIT(N411,"+")), N411))</f>
        <v>2050</v>
      </c>
      <c r="N411" s="7">
        <v>2050</v>
      </c>
      <c r="O411" s="7">
        <v>2021</v>
      </c>
      <c r="P411" s="109" t="s">
        <v>4580</v>
      </c>
      <c r="S411" s="7" t="str" cm="1">
        <f t="array" ref="S411">IF(T411="", "", IFERROR(MAX(--_xlfn.TEXTSPLIT(T411,"+")), T411))</f>
        <v/>
      </c>
      <c r="W411" s="7" t="str">
        <f>_xlfn.XLOOKUP(C411,Sheet1!A:A,Sheet1!B:B, "Other")</f>
        <v>Asia</v>
      </c>
      <c r="X411" s="222" t="str">
        <f>_xlfn.XLOOKUP(D411,Sheet1!D:D,Sheet1!E:E,"Other")</f>
        <v>Other</v>
      </c>
    </row>
    <row r="412" spans="1:24">
      <c r="A412" s="7" t="s">
        <v>2193</v>
      </c>
      <c r="B412" s="7">
        <v>410</v>
      </c>
      <c r="C412" s="7" t="s">
        <v>4457</v>
      </c>
      <c r="D412" s="109" t="s">
        <v>4465</v>
      </c>
      <c r="K412" s="7" t="s">
        <v>1957</v>
      </c>
      <c r="L412" s="7" t="s">
        <v>1659</v>
      </c>
      <c r="M412" s="7" cm="1">
        <f t="array" ref="M412">IF(N412="", "", IFERROR(MAX(--_xlfn.TEXTSPLIT(N412,"+")), N412))</f>
        <v>2030</v>
      </c>
      <c r="N412" s="7">
        <v>2030</v>
      </c>
      <c r="O412" s="7">
        <v>2021</v>
      </c>
      <c r="P412" s="109" t="s">
        <v>4579</v>
      </c>
      <c r="S412" s="7" t="str" cm="1">
        <f t="array" ref="S412">IF(T412="", "", IFERROR(MAX(--_xlfn.TEXTSPLIT(T412,"+")), T412))</f>
        <v/>
      </c>
      <c r="W412" s="7" t="str">
        <f>_xlfn.XLOOKUP(C412,Sheet1!A:A,Sheet1!B:B, "Other")</f>
        <v>North America</v>
      </c>
      <c r="X412" s="222" t="str">
        <f>_xlfn.XLOOKUP(D412,Sheet1!D:D,Sheet1!E:E,"Other")</f>
        <v>Other</v>
      </c>
    </row>
    <row r="413" spans="1:24">
      <c r="A413" s="7" t="s">
        <v>312</v>
      </c>
      <c r="B413" s="7">
        <v>411</v>
      </c>
      <c r="C413" s="7" t="s">
        <v>73</v>
      </c>
      <c r="D413" s="109" t="s">
        <v>4199</v>
      </c>
      <c r="M413" s="7" t="str" cm="1">
        <f t="array" ref="M413">IF(N413="", "", IFERROR(MAX(--_xlfn.TEXTSPLIT(N413,"+")), N413))</f>
        <v/>
      </c>
      <c r="S413" s="7" t="str" cm="1">
        <f t="array" ref="S413">IF(T413="", "", IFERROR(MAX(--_xlfn.TEXTSPLIT(T413,"+")), T413))</f>
        <v/>
      </c>
      <c r="W413" s="7" t="str">
        <f>_xlfn.XLOOKUP(C413,Sheet1!A:A,Sheet1!B:B, "Other")</f>
        <v>Asia</v>
      </c>
      <c r="X413" s="222" t="str">
        <f>_xlfn.XLOOKUP(D413,Sheet1!D:D,Sheet1!E:E,"Other")</f>
        <v>Other</v>
      </c>
    </row>
    <row r="414" spans="1:24">
      <c r="A414" s="7" t="s">
        <v>4304</v>
      </c>
      <c r="B414" s="7">
        <v>412</v>
      </c>
      <c r="C414" s="7" t="s">
        <v>73</v>
      </c>
      <c r="D414" s="109" t="s">
        <v>976</v>
      </c>
      <c r="K414" s="7" t="s">
        <v>4519</v>
      </c>
      <c r="L414" s="7" t="s">
        <v>4518</v>
      </c>
      <c r="M414" s="7" cm="1">
        <f t="array" ref="M414">IF(N414="", "", IFERROR(MAX(--_xlfn.TEXTSPLIT(N414,"+")), N414))</f>
        <v>2060</v>
      </c>
      <c r="N414" s="7">
        <v>2060</v>
      </c>
      <c r="O414" s="7">
        <v>2021</v>
      </c>
      <c r="P414" s="109" t="s">
        <v>4578</v>
      </c>
      <c r="S414" s="7" t="str" cm="1">
        <f t="array" ref="S414">IF(T414="", "", IFERROR(MAX(--_xlfn.TEXTSPLIT(T414,"+")), T414))</f>
        <v/>
      </c>
      <c r="W414" s="7" t="str">
        <f>_xlfn.XLOOKUP(C414,Sheet1!A:A,Sheet1!B:B, "Other")</f>
        <v>Asia</v>
      </c>
      <c r="X414" s="222" t="str">
        <f>_xlfn.XLOOKUP(D414,Sheet1!D:D,Sheet1!E:E,"Other")</f>
        <v>Real estate</v>
      </c>
    </row>
    <row r="415" spans="1:24">
      <c r="A415" s="7" t="s">
        <v>4577</v>
      </c>
      <c r="B415" s="7">
        <v>413</v>
      </c>
      <c r="C415" s="7" t="s">
        <v>73</v>
      </c>
      <c r="D415" s="109" t="s">
        <v>4197</v>
      </c>
      <c r="M415" s="7" t="str" cm="1">
        <f t="array" ref="M415">IF(N415="", "", IFERROR(MAX(--_xlfn.TEXTSPLIT(N415,"+")), N415))</f>
        <v/>
      </c>
      <c r="S415" s="7" t="str" cm="1">
        <f t="array" ref="S415">IF(T415="", "", IFERROR(MAX(--_xlfn.TEXTSPLIT(T415,"+")), T415))</f>
        <v/>
      </c>
      <c r="W415" s="7" t="str">
        <f>_xlfn.XLOOKUP(C415,Sheet1!A:A,Sheet1!B:B, "Other")</f>
        <v>Asia</v>
      </c>
      <c r="X415" s="222" t="str">
        <f>_xlfn.XLOOKUP(D415,Sheet1!D:D,Sheet1!E:E,"Other")</f>
        <v>Other</v>
      </c>
    </row>
    <row r="416" spans="1:24">
      <c r="A416" s="7" t="s">
        <v>897</v>
      </c>
      <c r="B416" s="7">
        <v>414</v>
      </c>
      <c r="C416" s="7" t="s">
        <v>73</v>
      </c>
      <c r="D416" s="109" t="s">
        <v>3498</v>
      </c>
      <c r="M416" s="7" t="str" cm="1">
        <f t="array" ref="M416">IF(N416="", "", IFERROR(MAX(--_xlfn.TEXTSPLIT(N416,"+")), N416))</f>
        <v/>
      </c>
      <c r="S416" s="7" t="str" cm="1">
        <f t="array" ref="S416">IF(T416="", "", IFERROR(MAX(--_xlfn.TEXTSPLIT(T416,"+")), T416))</f>
        <v/>
      </c>
      <c r="W416" s="7" t="str">
        <f>_xlfn.XLOOKUP(C416,Sheet1!A:A,Sheet1!B:B, "Other")</f>
        <v>Asia</v>
      </c>
      <c r="X416" s="222" t="str">
        <f>_xlfn.XLOOKUP(D416,Sheet1!D:D,Sheet1!E:E,"Other")</f>
        <v>Other</v>
      </c>
    </row>
    <row r="417" spans="1:24">
      <c r="A417" s="7" t="s">
        <v>393</v>
      </c>
      <c r="B417" s="7">
        <v>415</v>
      </c>
      <c r="C417" s="7" t="s">
        <v>4457</v>
      </c>
      <c r="D417" s="109" t="s">
        <v>4467</v>
      </c>
      <c r="M417" s="7" t="str" cm="1">
        <f t="array" ref="M417">IF(N417="", "", IFERROR(MAX(--_xlfn.TEXTSPLIT(N417,"+")), N417))</f>
        <v/>
      </c>
      <c r="S417" s="7" t="str" cm="1">
        <f t="array" ref="S417">IF(T417="", "", IFERROR(MAX(--_xlfn.TEXTSPLIT(T417,"+")), T417))</f>
        <v/>
      </c>
      <c r="W417" s="7" t="str">
        <f>_xlfn.XLOOKUP(C417,Sheet1!A:A,Sheet1!B:B, "Other")</f>
        <v>North America</v>
      </c>
      <c r="X417" s="222" t="str">
        <f>_xlfn.XLOOKUP(D417,Sheet1!D:D,Sheet1!E:E,"Other")</f>
        <v>Retail</v>
      </c>
    </row>
    <row r="418" spans="1:24">
      <c r="A418" s="7" t="s">
        <v>4276</v>
      </c>
      <c r="B418" s="7">
        <v>416</v>
      </c>
      <c r="C418" s="7" t="s">
        <v>73</v>
      </c>
      <c r="D418" s="109" t="s">
        <v>4465</v>
      </c>
      <c r="M418" s="7" t="str" cm="1">
        <f t="array" ref="M418">IF(N418="", "", IFERROR(MAX(--_xlfn.TEXTSPLIT(N418,"+")), N418))</f>
        <v/>
      </c>
      <c r="S418" s="7" t="str" cm="1">
        <f t="array" ref="S418">IF(T418="", "", IFERROR(MAX(--_xlfn.TEXTSPLIT(T418,"+")), T418))</f>
        <v/>
      </c>
      <c r="W418" s="7" t="str">
        <f>_xlfn.XLOOKUP(C418,Sheet1!A:A,Sheet1!B:B, "Other")</f>
        <v>Asia</v>
      </c>
      <c r="X418" s="222" t="str">
        <f>_xlfn.XLOOKUP(D418,Sheet1!D:D,Sheet1!E:E,"Other")</f>
        <v>Other</v>
      </c>
    </row>
    <row r="419" spans="1:24">
      <c r="A419" s="7" t="s">
        <v>875</v>
      </c>
      <c r="B419" s="7">
        <v>417</v>
      </c>
      <c r="C419" s="7" t="s">
        <v>4457</v>
      </c>
      <c r="D419" s="109" t="s">
        <v>4459</v>
      </c>
      <c r="H419" s="7" t="s">
        <v>1957</v>
      </c>
      <c r="I419" s="7">
        <v>2030</v>
      </c>
      <c r="J419" s="109">
        <v>2022</v>
      </c>
      <c r="K419" s="7" t="s">
        <v>1957</v>
      </c>
      <c r="L419" s="7" t="s">
        <v>4330</v>
      </c>
      <c r="M419" s="7" cm="1">
        <f t="array" ref="M419">IF(N419="", "", IFERROR(MAX(--_xlfn.TEXTSPLIT(N419,"+")), N419))</f>
        <v>2035</v>
      </c>
      <c r="N419" s="7">
        <v>2035</v>
      </c>
      <c r="O419" s="7">
        <v>2021</v>
      </c>
      <c r="P419" s="109" t="s">
        <v>4576</v>
      </c>
      <c r="S419" s="7" t="str" cm="1">
        <f t="array" ref="S419">IF(T419="", "", IFERROR(MAX(--_xlfn.TEXTSPLIT(T419,"+")), T419))</f>
        <v/>
      </c>
      <c r="W419" s="7" t="str">
        <f>_xlfn.XLOOKUP(C419,Sheet1!A:A,Sheet1!B:B, "Other")</f>
        <v>North America</v>
      </c>
      <c r="X419" s="222" t="str">
        <f>_xlfn.XLOOKUP(D419,Sheet1!D:D,Sheet1!E:E,"Other")</f>
        <v>Other</v>
      </c>
    </row>
    <row r="420" spans="1:24">
      <c r="A420" s="7" t="s">
        <v>711</v>
      </c>
      <c r="B420" s="7">
        <v>418</v>
      </c>
      <c r="C420" s="7" t="s">
        <v>207</v>
      </c>
      <c r="D420" s="109" t="s">
        <v>4459</v>
      </c>
      <c r="M420" s="7" t="str" cm="1">
        <f t="array" ref="M420">IF(N420="", "", IFERROR(MAX(--_xlfn.TEXTSPLIT(N420,"+")), N420))</f>
        <v/>
      </c>
      <c r="Q420" s="7" t="s">
        <v>4172</v>
      </c>
      <c r="R420" s="7" t="s">
        <v>4575</v>
      </c>
      <c r="S420" s="7" cm="1">
        <f t="array" ref="S420">IF(T420="", "", IFERROR(MAX(--_xlfn.TEXTSPLIT(T420,"+")), T420))</f>
        <v>2040</v>
      </c>
      <c r="T420" s="7">
        <v>2040</v>
      </c>
      <c r="U420" s="7">
        <v>2021</v>
      </c>
      <c r="V420" s="109" t="s">
        <v>4574</v>
      </c>
      <c r="W420" s="7" t="str">
        <f>_xlfn.XLOOKUP(C420,Sheet1!A:A,Sheet1!B:B, "Other")</f>
        <v>Asia</v>
      </c>
      <c r="X420" s="222" t="str">
        <f>_xlfn.XLOOKUP(D420,Sheet1!D:D,Sheet1!E:E,"Other")</f>
        <v>Other</v>
      </c>
    </row>
    <row r="421" spans="1:24">
      <c r="A421" s="7" t="s">
        <v>116</v>
      </c>
      <c r="B421" s="7">
        <v>419</v>
      </c>
      <c r="C421" s="7" t="s">
        <v>4457</v>
      </c>
      <c r="D421" s="109" t="s">
        <v>4467</v>
      </c>
      <c r="M421" s="7" t="str" cm="1">
        <f t="array" ref="M421">IF(N421="", "", IFERROR(MAX(--_xlfn.TEXTSPLIT(N421,"+")), N421))</f>
        <v/>
      </c>
      <c r="S421" s="7" t="str" cm="1">
        <f t="array" ref="S421">IF(T421="", "", IFERROR(MAX(--_xlfn.TEXTSPLIT(T421,"+")), T421))</f>
        <v/>
      </c>
      <c r="W421" s="7" t="str">
        <f>_xlfn.XLOOKUP(C421,Sheet1!A:A,Sheet1!B:B, "Other")</f>
        <v>North America</v>
      </c>
      <c r="X421" s="222" t="str">
        <f>_xlfn.XLOOKUP(D421,Sheet1!D:D,Sheet1!E:E,"Other")</f>
        <v>Retail</v>
      </c>
    </row>
    <row r="422" spans="1:24">
      <c r="A422" s="7" t="s">
        <v>429</v>
      </c>
      <c r="B422" s="7">
        <v>420</v>
      </c>
      <c r="C422" s="7" t="s">
        <v>63</v>
      </c>
      <c r="D422" s="109" t="s">
        <v>4459</v>
      </c>
      <c r="E422" s="7" t="s">
        <v>4174</v>
      </c>
      <c r="F422" s="7">
        <v>2030</v>
      </c>
      <c r="G422" s="109">
        <v>2017</v>
      </c>
      <c r="H422" s="7" t="s">
        <v>4183</v>
      </c>
      <c r="I422" s="7">
        <v>2030</v>
      </c>
      <c r="J422" s="109">
        <v>2019</v>
      </c>
      <c r="K422" s="7" t="s">
        <v>4573</v>
      </c>
      <c r="L422" s="7" t="s">
        <v>4572</v>
      </c>
      <c r="M422" s="7" cm="1">
        <f t="array" ref="M422">IF(N422="", "", IFERROR(MAX(--_xlfn.TEXTSPLIT(N422,"+")), N422))</f>
        <v>2040</v>
      </c>
      <c r="N422" s="7" t="s">
        <v>4571</v>
      </c>
      <c r="O422" s="7" t="s">
        <v>4501</v>
      </c>
      <c r="P422" s="109" t="s">
        <v>4568</v>
      </c>
      <c r="Q422" s="7" t="s">
        <v>4570</v>
      </c>
      <c r="R422" s="7" t="s">
        <v>4569</v>
      </c>
      <c r="S422" s="7" cm="1">
        <f t="array" ref="S422">IF(T422="", "", IFERROR(MAX(--_xlfn.TEXTSPLIT(T422,"+")), T422))</f>
        <v>2050</v>
      </c>
      <c r="T422" s="7" t="s">
        <v>4502</v>
      </c>
      <c r="U422" s="7" t="s">
        <v>4501</v>
      </c>
      <c r="V422" s="109" t="s">
        <v>4568</v>
      </c>
      <c r="W422" s="7" t="str">
        <f>_xlfn.XLOOKUP(C422,Sheet1!A:A,Sheet1!B:B, "Other")</f>
        <v>Europe</v>
      </c>
      <c r="X422" s="222" t="str">
        <f>_xlfn.XLOOKUP(D422,Sheet1!D:D,Sheet1!E:E,"Other")</f>
        <v>Other</v>
      </c>
    </row>
    <row r="423" spans="1:24">
      <c r="A423" s="7" t="s">
        <v>4567</v>
      </c>
      <c r="B423" s="7">
        <v>421</v>
      </c>
      <c r="C423" s="7" t="s">
        <v>73</v>
      </c>
      <c r="D423" s="109" t="s">
        <v>4494</v>
      </c>
      <c r="M423" s="7" t="str" cm="1">
        <f t="array" ref="M423">IF(N423="", "", IFERROR(MAX(--_xlfn.TEXTSPLIT(N423,"+")), N423))</f>
        <v/>
      </c>
      <c r="S423" s="7" t="str" cm="1">
        <f t="array" ref="S423">IF(T423="", "", IFERROR(MAX(--_xlfn.TEXTSPLIT(T423,"+")), T423))</f>
        <v/>
      </c>
      <c r="W423" s="7" t="str">
        <f>_xlfn.XLOOKUP(C423,Sheet1!A:A,Sheet1!B:B, "Other")</f>
        <v>Asia</v>
      </c>
      <c r="X423" s="222" t="str">
        <f>_xlfn.XLOOKUP(D423,Sheet1!D:D,Sheet1!E:E,"Other")</f>
        <v>Other</v>
      </c>
    </row>
    <row r="424" spans="1:24">
      <c r="A424" s="7" t="s">
        <v>4566</v>
      </c>
      <c r="B424" s="7">
        <v>422</v>
      </c>
      <c r="C424" s="7" t="s">
        <v>73</v>
      </c>
      <c r="D424" s="109" t="s">
        <v>4494</v>
      </c>
      <c r="M424" s="7" t="str" cm="1">
        <f t="array" ref="M424">IF(N424="", "", IFERROR(MAX(--_xlfn.TEXTSPLIT(N424,"+")), N424))</f>
        <v/>
      </c>
      <c r="S424" s="7" t="str" cm="1">
        <f t="array" ref="S424">IF(T424="", "", IFERROR(MAX(--_xlfn.TEXTSPLIT(T424,"+")), T424))</f>
        <v/>
      </c>
      <c r="W424" s="7" t="str">
        <f>_xlfn.XLOOKUP(C424,Sheet1!A:A,Sheet1!B:B, "Other")</f>
        <v>Asia</v>
      </c>
      <c r="X424" s="222" t="str">
        <f>_xlfn.XLOOKUP(D424,Sheet1!D:D,Sheet1!E:E,"Other")</f>
        <v>Other</v>
      </c>
    </row>
    <row r="425" spans="1:24">
      <c r="A425" s="7" t="s">
        <v>4247</v>
      </c>
      <c r="B425" s="7">
        <v>423</v>
      </c>
      <c r="C425" s="7" t="s">
        <v>146</v>
      </c>
      <c r="D425" s="109" t="s">
        <v>4199</v>
      </c>
      <c r="H425" s="7" t="s">
        <v>4183</v>
      </c>
      <c r="I425" s="7">
        <v>2023</v>
      </c>
      <c r="J425" s="109">
        <v>2021</v>
      </c>
      <c r="K425" s="7" t="s">
        <v>1957</v>
      </c>
      <c r="L425" s="7" t="s">
        <v>4223</v>
      </c>
      <c r="M425" s="7" cm="1">
        <f t="array" ref="M425">IF(N425="", "", IFERROR(MAX(--_xlfn.TEXTSPLIT(N425,"+")), N425))</f>
        <v>2030</v>
      </c>
      <c r="N425" s="7">
        <v>2030</v>
      </c>
      <c r="O425" s="7">
        <v>2020</v>
      </c>
      <c r="P425" s="109" t="s">
        <v>4565</v>
      </c>
      <c r="Q425" s="7" t="s">
        <v>4508</v>
      </c>
      <c r="R425" s="7" t="s">
        <v>4564</v>
      </c>
      <c r="S425" s="7" cm="1">
        <f t="array" ref="S425">IF(T425="", "", IFERROR(MAX(--_xlfn.TEXTSPLIT(T425,"+")), T425))</f>
        <v>2040</v>
      </c>
      <c r="T425" s="7">
        <v>2040</v>
      </c>
      <c r="U425" s="7">
        <v>2019</v>
      </c>
      <c r="V425" s="109" t="s">
        <v>4563</v>
      </c>
      <c r="W425" s="7" t="str">
        <f>_xlfn.XLOOKUP(C425,Sheet1!A:A,Sheet1!B:B, "Other")</f>
        <v>Europe</v>
      </c>
      <c r="X425" s="222" t="str">
        <f>_xlfn.XLOOKUP(D425,Sheet1!D:D,Sheet1!E:E,"Other")</f>
        <v>Other</v>
      </c>
    </row>
    <row r="426" spans="1:24">
      <c r="A426" s="7" t="s">
        <v>438</v>
      </c>
      <c r="B426" s="7">
        <v>424</v>
      </c>
      <c r="C426" s="7" t="s">
        <v>439</v>
      </c>
      <c r="D426" s="109" t="s">
        <v>3498</v>
      </c>
      <c r="M426" s="7" t="str" cm="1">
        <f t="array" ref="M426">IF(N426="", "", IFERROR(MAX(--_xlfn.TEXTSPLIT(N426,"+")), N426))</f>
        <v/>
      </c>
      <c r="Q426" s="7" t="s">
        <v>1957</v>
      </c>
      <c r="R426" s="7" t="s">
        <v>4562</v>
      </c>
      <c r="S426" s="7" cm="1">
        <f t="array" ref="S426">IF(T426="", "", IFERROR(MAX(--_xlfn.TEXTSPLIT(T426,"+")), T426))</f>
        <v>2050</v>
      </c>
      <c r="T426" s="7">
        <v>2050</v>
      </c>
      <c r="U426" s="7">
        <v>2020</v>
      </c>
      <c r="V426" s="109" t="s">
        <v>4561</v>
      </c>
      <c r="W426" s="7" t="str">
        <f>_xlfn.XLOOKUP(C426,Sheet1!A:A,Sheet1!B:B, "Other")</f>
        <v>Other</v>
      </c>
      <c r="X426" s="222" t="str">
        <f>_xlfn.XLOOKUP(D426,Sheet1!D:D,Sheet1!E:E,"Other")</f>
        <v>Other</v>
      </c>
    </row>
    <row r="427" spans="1:24">
      <c r="A427" s="7" t="s">
        <v>790</v>
      </c>
      <c r="B427" s="7">
        <v>425</v>
      </c>
      <c r="C427" s="7" t="s">
        <v>96</v>
      </c>
      <c r="D427" s="109" t="s">
        <v>4465</v>
      </c>
      <c r="E427" s="7" t="s">
        <v>4174</v>
      </c>
      <c r="F427" s="7">
        <v>2020</v>
      </c>
      <c r="G427" s="109">
        <v>2015</v>
      </c>
      <c r="H427" s="7" t="s">
        <v>1957</v>
      </c>
      <c r="I427" s="7">
        <v>2030</v>
      </c>
      <c r="J427" s="109">
        <v>2015</v>
      </c>
      <c r="K427" s="7" t="s">
        <v>1957</v>
      </c>
      <c r="L427" s="7" t="s">
        <v>4560</v>
      </c>
      <c r="M427" s="7" cm="1">
        <f t="array" ref="M427">IF(N427="", "", IFERROR(MAX(--_xlfn.TEXTSPLIT(N427,"+")), N427))</f>
        <v>2007</v>
      </c>
      <c r="N427" s="7">
        <v>2007</v>
      </c>
      <c r="O427" s="7">
        <v>2007</v>
      </c>
      <c r="P427" s="109" t="s">
        <v>4559</v>
      </c>
      <c r="Q427" s="7" t="s">
        <v>4172</v>
      </c>
      <c r="R427" s="7" t="s">
        <v>4558</v>
      </c>
      <c r="S427" s="7" cm="1">
        <f t="array" ref="S427">IF(T427="", "", IFERROR(MAX(--_xlfn.TEXTSPLIT(T427,"+")), T427))</f>
        <v>2050</v>
      </c>
      <c r="T427" s="7">
        <v>2050</v>
      </c>
      <c r="U427" s="7">
        <v>2021</v>
      </c>
      <c r="V427" s="109" t="s">
        <v>4557</v>
      </c>
      <c r="W427" s="7" t="str">
        <f>_xlfn.XLOOKUP(C427,Sheet1!A:A,Sheet1!B:B, "Other")</f>
        <v>Europe</v>
      </c>
      <c r="X427" s="222" t="str">
        <f>_xlfn.XLOOKUP(D427,Sheet1!D:D,Sheet1!E:E,"Other")</f>
        <v>Other</v>
      </c>
    </row>
    <row r="428" spans="1:24">
      <c r="A428" s="7" t="s">
        <v>2638</v>
      </c>
      <c r="B428" s="7">
        <v>426</v>
      </c>
      <c r="C428" s="7" t="s">
        <v>4195</v>
      </c>
      <c r="D428" s="109" t="s">
        <v>4465</v>
      </c>
      <c r="H428" s="7" t="s">
        <v>1957</v>
      </c>
      <c r="I428" s="7">
        <v>2030</v>
      </c>
      <c r="J428" s="109">
        <v>2020</v>
      </c>
      <c r="M428" s="7" t="str" cm="1">
        <f t="array" ref="M428">IF(N428="", "", IFERROR(MAX(--_xlfn.TEXTSPLIT(N428,"+")), N428))</f>
        <v/>
      </c>
      <c r="Q428" s="7" t="s">
        <v>4504</v>
      </c>
      <c r="R428" s="7" t="s">
        <v>4556</v>
      </c>
      <c r="S428" s="7" cm="1">
        <f t="array" ref="S428">IF(T428="", "", IFERROR(MAX(--_xlfn.TEXTSPLIT(T428,"+")), T428))</f>
        <v>2050</v>
      </c>
      <c r="T428" s="7" t="s">
        <v>4555</v>
      </c>
      <c r="U428" s="7" t="s">
        <v>4501</v>
      </c>
      <c r="V428" s="109" t="s">
        <v>4554</v>
      </c>
      <c r="W428" s="7" t="str">
        <f>_xlfn.XLOOKUP(C428,Sheet1!A:A,Sheet1!B:B, "Other")</f>
        <v>Europe</v>
      </c>
      <c r="X428" s="222" t="str">
        <f>_xlfn.XLOOKUP(D428,Sheet1!D:D,Sheet1!E:E,"Other")</f>
        <v>Other</v>
      </c>
    </row>
    <row r="429" spans="1:24">
      <c r="A429" s="7" t="s">
        <v>447</v>
      </c>
      <c r="B429" s="7">
        <v>427</v>
      </c>
      <c r="C429" s="7" t="s">
        <v>63</v>
      </c>
      <c r="D429" s="109" t="s">
        <v>4199</v>
      </c>
      <c r="H429" s="7" t="s">
        <v>4183</v>
      </c>
      <c r="I429" s="7">
        <v>2034</v>
      </c>
      <c r="J429" s="109">
        <v>2021</v>
      </c>
      <c r="M429" s="7" t="str" cm="1">
        <f t="array" ref="M429">IF(N429="", "", IFERROR(MAX(--_xlfn.TEXTSPLIT(N429,"+")), N429))</f>
        <v/>
      </c>
      <c r="Q429" s="7" t="s">
        <v>4172</v>
      </c>
      <c r="R429" s="7" t="s">
        <v>4532</v>
      </c>
      <c r="S429" s="7" cm="1">
        <f t="array" ref="S429">IF(T429="", "", IFERROR(MAX(--_xlfn.TEXTSPLIT(T429,"+")), T429))</f>
        <v>2050</v>
      </c>
      <c r="T429" s="7">
        <v>2050</v>
      </c>
      <c r="U429" s="7">
        <v>2021</v>
      </c>
      <c r="V429" s="109" t="s">
        <v>4553</v>
      </c>
      <c r="W429" s="7" t="str">
        <f>_xlfn.XLOOKUP(C429,Sheet1!A:A,Sheet1!B:B, "Other")</f>
        <v>Europe</v>
      </c>
      <c r="X429" s="222" t="str">
        <f>_xlfn.XLOOKUP(D429,Sheet1!D:D,Sheet1!E:E,"Other")</f>
        <v>Other</v>
      </c>
    </row>
    <row r="430" spans="1:24">
      <c r="A430" s="7" t="s">
        <v>415</v>
      </c>
      <c r="B430" s="7">
        <v>428</v>
      </c>
      <c r="C430" s="7" t="s">
        <v>287</v>
      </c>
      <c r="D430" s="109" t="s">
        <v>4467</v>
      </c>
      <c r="K430" s="7" t="s">
        <v>4508</v>
      </c>
      <c r="L430" s="7" t="s">
        <v>4552</v>
      </c>
      <c r="M430" s="7" cm="1">
        <f t="array" ref="M430">IF(N430="", "", IFERROR(MAX(--_xlfn.TEXTSPLIT(N430,"+")), N430))</f>
        <v>2023</v>
      </c>
      <c r="N430" s="7">
        <v>2023</v>
      </c>
      <c r="O430" s="7">
        <v>2008</v>
      </c>
      <c r="P430" s="109" t="s">
        <v>4551</v>
      </c>
      <c r="Q430" s="7" t="s">
        <v>4172</v>
      </c>
      <c r="R430" s="7" t="s">
        <v>4550</v>
      </c>
      <c r="S430" s="7" cm="1">
        <f t="array" ref="S430">IF(T430="", "", IFERROR(MAX(--_xlfn.TEXTSPLIT(T430,"+")), T430))</f>
        <v>2050</v>
      </c>
      <c r="T430" s="7">
        <v>2050</v>
      </c>
      <c r="U430" s="7">
        <v>2021</v>
      </c>
      <c r="V430" s="109" t="s">
        <v>4549</v>
      </c>
      <c r="W430" s="7" t="str">
        <f>_xlfn.XLOOKUP(C430,Sheet1!A:A,Sheet1!B:B, "Other")</f>
        <v>Europe</v>
      </c>
      <c r="X430" s="222" t="str">
        <f>_xlfn.XLOOKUP(D430,Sheet1!D:D,Sheet1!E:E,"Other")</f>
        <v>Retail</v>
      </c>
    </row>
    <row r="431" spans="1:24">
      <c r="A431" s="7" t="s">
        <v>4548</v>
      </c>
      <c r="B431" s="7">
        <v>429</v>
      </c>
      <c r="C431" s="7" t="s">
        <v>4457</v>
      </c>
      <c r="D431" s="109" t="s">
        <v>4459</v>
      </c>
      <c r="H431" s="7" t="s">
        <v>1957</v>
      </c>
      <c r="I431" s="7">
        <v>2030</v>
      </c>
      <c r="J431" s="109">
        <v>2021</v>
      </c>
      <c r="M431" s="7" t="str" cm="1">
        <f t="array" ref="M431">IF(N431="", "", IFERROR(MAX(--_xlfn.TEXTSPLIT(N431,"+")), N431))</f>
        <v/>
      </c>
      <c r="Q431" s="7" t="s">
        <v>4172</v>
      </c>
      <c r="R431" s="7" t="s">
        <v>1970</v>
      </c>
      <c r="S431" s="7" cm="1">
        <f t="array" ref="S431">IF(T431="", "", IFERROR(MAX(--_xlfn.TEXTSPLIT(T431,"+")), T431))</f>
        <v>2040</v>
      </c>
      <c r="T431" s="7">
        <v>2040</v>
      </c>
      <c r="U431" s="7">
        <v>2021</v>
      </c>
      <c r="V431" s="109" t="s">
        <v>4547</v>
      </c>
      <c r="W431" s="7" t="str">
        <f>_xlfn.XLOOKUP(C431,Sheet1!A:A,Sheet1!B:B, "Other")</f>
        <v>North America</v>
      </c>
      <c r="X431" s="222" t="str">
        <f>_xlfn.XLOOKUP(D431,Sheet1!D:D,Sheet1!E:E,"Other")</f>
        <v>Other</v>
      </c>
    </row>
    <row r="432" spans="1:24">
      <c r="A432" s="7" t="s">
        <v>2446</v>
      </c>
      <c r="B432" s="7">
        <v>430</v>
      </c>
      <c r="C432" s="7" t="s">
        <v>73</v>
      </c>
      <c r="D432" s="109" t="s">
        <v>4467</v>
      </c>
      <c r="M432" s="7" t="str" cm="1">
        <f t="array" ref="M432">IF(N432="", "", IFERROR(MAX(--_xlfn.TEXTSPLIT(N432,"+")), N432))</f>
        <v/>
      </c>
      <c r="S432" s="7" t="str" cm="1">
        <f t="array" ref="S432">IF(T432="", "", IFERROR(MAX(--_xlfn.TEXTSPLIT(T432,"+")), T432))</f>
        <v/>
      </c>
      <c r="W432" s="7" t="str">
        <f>_xlfn.XLOOKUP(C432,Sheet1!A:A,Sheet1!B:B, "Other")</f>
        <v>Asia</v>
      </c>
      <c r="X432" s="222" t="str">
        <f>_xlfn.XLOOKUP(D432,Sheet1!D:D,Sheet1!E:E,"Other")</f>
        <v>Retail</v>
      </c>
    </row>
    <row r="433" spans="1:24">
      <c r="A433" s="7" t="s">
        <v>231</v>
      </c>
      <c r="B433" s="7">
        <v>431</v>
      </c>
      <c r="C433" s="7" t="s">
        <v>73</v>
      </c>
      <c r="D433" s="109" t="s">
        <v>4494</v>
      </c>
      <c r="K433" s="7" t="s">
        <v>4519</v>
      </c>
      <c r="L433" s="7" t="s">
        <v>4518</v>
      </c>
      <c r="M433" s="7" cm="1">
        <f t="array" ref="M433">IF(N433="", "", IFERROR(MAX(--_xlfn.TEXTSPLIT(N433,"+")), N433))</f>
        <v>2060</v>
      </c>
      <c r="N433" s="7">
        <v>2060</v>
      </c>
      <c r="O433" s="7">
        <v>2021</v>
      </c>
      <c r="P433" s="109" t="s">
        <v>4546</v>
      </c>
      <c r="S433" s="7" t="str" cm="1">
        <f t="array" ref="S433">IF(T433="", "", IFERROR(MAX(--_xlfn.TEXTSPLIT(T433,"+")), T433))</f>
        <v/>
      </c>
      <c r="W433" s="7" t="str">
        <f>_xlfn.XLOOKUP(C433,Sheet1!A:A,Sheet1!B:B, "Other")</f>
        <v>Asia</v>
      </c>
      <c r="X433" s="222" t="str">
        <f>_xlfn.XLOOKUP(D433,Sheet1!D:D,Sheet1!E:E,"Other")</f>
        <v>Other</v>
      </c>
    </row>
    <row r="434" spans="1:24">
      <c r="A434" s="7" t="s">
        <v>4545</v>
      </c>
      <c r="B434" s="7">
        <v>432</v>
      </c>
      <c r="C434" s="7" t="s">
        <v>4457</v>
      </c>
      <c r="D434" s="109" t="s">
        <v>4467</v>
      </c>
      <c r="M434" s="7" t="str" cm="1">
        <f t="array" ref="M434">IF(N434="", "", IFERROR(MAX(--_xlfn.TEXTSPLIT(N434,"+")), N434))</f>
        <v/>
      </c>
      <c r="Q434" s="7" t="s">
        <v>1957</v>
      </c>
      <c r="R434" s="7" t="s">
        <v>2271</v>
      </c>
      <c r="S434" s="7" cm="1">
        <f t="array" ref="S434">IF(T434="", "", IFERROR(MAX(--_xlfn.TEXTSPLIT(T434,"+")), T434))</f>
        <v>2050</v>
      </c>
      <c r="T434" s="7">
        <v>2050</v>
      </c>
      <c r="U434" s="7">
        <v>2021</v>
      </c>
      <c r="V434" s="109" t="s">
        <v>4544</v>
      </c>
      <c r="W434" s="7" t="str">
        <f>_xlfn.XLOOKUP(C434,Sheet1!A:A,Sheet1!B:B, "Other")</f>
        <v>North America</v>
      </c>
      <c r="X434" s="222" t="str">
        <f>_xlfn.XLOOKUP(D434,Sheet1!D:D,Sheet1!E:E,"Other")</f>
        <v>Retail</v>
      </c>
    </row>
    <row r="435" spans="1:24">
      <c r="A435" s="7" t="s">
        <v>362</v>
      </c>
      <c r="B435" s="7">
        <v>433</v>
      </c>
      <c r="C435" s="7" t="s">
        <v>146</v>
      </c>
      <c r="D435" s="109" t="s">
        <v>186</v>
      </c>
      <c r="E435" s="7" t="s">
        <v>4174</v>
      </c>
      <c r="F435" s="7">
        <v>2014</v>
      </c>
      <c r="G435" s="109">
        <v>2015</v>
      </c>
      <c r="H435" s="7" t="s">
        <v>4183</v>
      </c>
      <c r="I435" s="7">
        <v>2025</v>
      </c>
      <c r="J435" s="109">
        <v>2019</v>
      </c>
      <c r="K435" s="7" t="s">
        <v>1957</v>
      </c>
      <c r="L435" s="7" t="s">
        <v>1659</v>
      </c>
      <c r="M435" s="7" cm="1">
        <f t="array" ref="M435">IF(N435="", "", IFERROR(MAX(--_xlfn.TEXTSPLIT(N435,"+")), N435))</f>
        <v>2023</v>
      </c>
      <c r="N435" s="7">
        <v>2023</v>
      </c>
      <c r="O435" s="7">
        <v>2021</v>
      </c>
      <c r="P435" s="109" t="s">
        <v>4543</v>
      </c>
      <c r="Q435" s="7" t="s">
        <v>4172</v>
      </c>
      <c r="R435" s="7" t="s">
        <v>4532</v>
      </c>
      <c r="S435" s="7" cm="1">
        <f t="array" ref="S435">IF(T435="", "", IFERROR(MAX(--_xlfn.TEXTSPLIT(T435,"+")), T435))</f>
        <v>2030</v>
      </c>
      <c r="T435" s="7">
        <v>2030</v>
      </c>
      <c r="U435" s="7">
        <v>2022</v>
      </c>
      <c r="V435" s="109" t="s">
        <v>4543</v>
      </c>
      <c r="W435" s="7" t="str">
        <f>_xlfn.XLOOKUP(C435,Sheet1!A:A,Sheet1!B:B, "Other")</f>
        <v>Europe</v>
      </c>
      <c r="X435" s="222" t="str">
        <f>_xlfn.XLOOKUP(D435,Sheet1!D:D,Sheet1!E:E,"Other")</f>
        <v>Technology</v>
      </c>
    </row>
    <row r="436" spans="1:24">
      <c r="A436" s="7" t="s">
        <v>4542</v>
      </c>
      <c r="B436" s="7">
        <v>434</v>
      </c>
      <c r="C436" s="7" t="s">
        <v>73</v>
      </c>
      <c r="D436" s="109" t="s">
        <v>66</v>
      </c>
      <c r="M436" s="7" t="str" cm="1">
        <f t="array" ref="M436">IF(N436="", "", IFERROR(MAX(--_xlfn.TEXTSPLIT(N436,"+")), N436))</f>
        <v/>
      </c>
      <c r="S436" s="7" t="str" cm="1">
        <f t="array" ref="S436">IF(T436="", "", IFERROR(MAX(--_xlfn.TEXTSPLIT(T436,"+")), T436))</f>
        <v/>
      </c>
      <c r="W436" s="7" t="str">
        <f>_xlfn.XLOOKUP(C436,Sheet1!A:A,Sheet1!B:B, "Other")</f>
        <v>Asia</v>
      </c>
      <c r="X436" s="222" t="str">
        <f>_xlfn.XLOOKUP(D436,Sheet1!D:D,Sheet1!E:E,"Other")</f>
        <v>Chemicals</v>
      </c>
    </row>
    <row r="437" spans="1:24">
      <c r="A437" s="7" t="s">
        <v>4541</v>
      </c>
      <c r="B437" s="7">
        <v>435</v>
      </c>
      <c r="C437" s="7" t="s">
        <v>87</v>
      </c>
      <c r="D437" s="109" t="s">
        <v>4494</v>
      </c>
      <c r="M437" s="7" t="str" cm="1">
        <f t="array" ref="M437">IF(N437="", "", IFERROR(MAX(--_xlfn.TEXTSPLIT(N437,"+")), N437))</f>
        <v/>
      </c>
      <c r="Q437" s="7" t="s">
        <v>4540</v>
      </c>
      <c r="S437" s="7" t="str" cm="1">
        <f t="array" ref="S437">IF(T437="", "", IFERROR(MAX(--_xlfn.TEXTSPLIT(T437,"+")), T437))</f>
        <v/>
      </c>
      <c r="W437" s="7" t="str">
        <f>_xlfn.XLOOKUP(C437,Sheet1!A:A,Sheet1!B:B, "Other")</f>
        <v>Asia</v>
      </c>
      <c r="X437" s="222" t="str">
        <f>_xlfn.XLOOKUP(D437,Sheet1!D:D,Sheet1!E:E,"Other")</f>
        <v>Other</v>
      </c>
    </row>
    <row r="438" spans="1:24">
      <c r="A438" s="7" t="s">
        <v>4539</v>
      </c>
      <c r="B438" s="7">
        <v>436</v>
      </c>
      <c r="C438" s="7" t="s">
        <v>73</v>
      </c>
      <c r="D438" s="109" t="s">
        <v>4476</v>
      </c>
      <c r="M438" s="7" t="str" cm="1">
        <f t="array" ref="M438">IF(N438="", "", IFERROR(MAX(--_xlfn.TEXTSPLIT(N438,"+")), N438))</f>
        <v/>
      </c>
      <c r="S438" s="7" t="str" cm="1">
        <f t="array" ref="S438">IF(T438="", "", IFERROR(MAX(--_xlfn.TEXTSPLIT(T438,"+")), T438))</f>
        <v/>
      </c>
      <c r="W438" s="7" t="str">
        <f>_xlfn.XLOOKUP(C438,Sheet1!A:A,Sheet1!B:B, "Other")</f>
        <v>Asia</v>
      </c>
      <c r="X438" s="222" t="str">
        <f>_xlfn.XLOOKUP(D438,Sheet1!D:D,Sheet1!E:E,"Other")</f>
        <v>Other</v>
      </c>
    </row>
    <row r="439" spans="1:24">
      <c r="A439" s="7" t="s">
        <v>86</v>
      </c>
      <c r="B439" s="7">
        <v>437</v>
      </c>
      <c r="C439" s="7" t="s">
        <v>87</v>
      </c>
      <c r="D439" s="109" t="s">
        <v>4465</v>
      </c>
      <c r="M439" s="7" t="str" cm="1">
        <f t="array" ref="M439">IF(N439="", "", IFERROR(MAX(--_xlfn.TEXTSPLIT(N439,"+")), N439))</f>
        <v/>
      </c>
      <c r="S439" s="7" t="str" cm="1">
        <f t="array" ref="S439">IF(T439="", "", IFERROR(MAX(--_xlfn.TEXTSPLIT(T439,"+")), T439))</f>
        <v/>
      </c>
      <c r="W439" s="7" t="str">
        <f>_xlfn.XLOOKUP(C439,Sheet1!A:A,Sheet1!B:B, "Other")</f>
        <v>Asia</v>
      </c>
      <c r="X439" s="222" t="str">
        <f>_xlfn.XLOOKUP(D439,Sheet1!D:D,Sheet1!E:E,"Other")</f>
        <v>Other</v>
      </c>
    </row>
    <row r="440" spans="1:24">
      <c r="A440" s="7" t="s">
        <v>452</v>
      </c>
      <c r="B440" s="7">
        <v>438</v>
      </c>
      <c r="C440" s="7" t="s">
        <v>267</v>
      </c>
      <c r="D440" s="109" t="s">
        <v>4467</v>
      </c>
      <c r="H440" s="7" t="s">
        <v>4183</v>
      </c>
      <c r="I440" s="7">
        <v>2030</v>
      </c>
      <c r="J440" s="109">
        <v>2020</v>
      </c>
      <c r="M440" s="7" t="str" cm="1">
        <f t="array" ref="M440">IF(N440="", "", IFERROR(MAX(--_xlfn.TEXTSPLIT(N440,"+")), N440))</f>
        <v/>
      </c>
      <c r="Q440" s="7" t="s">
        <v>1957</v>
      </c>
      <c r="R440" s="7" t="s">
        <v>1659</v>
      </c>
      <c r="S440" s="7" cm="1">
        <f t="array" ref="S440">IF(T440="", "", IFERROR(MAX(--_xlfn.TEXTSPLIT(T440,"+")), T440))</f>
        <v>2040</v>
      </c>
      <c r="T440" s="7">
        <v>2040</v>
      </c>
      <c r="U440" s="7">
        <v>2021</v>
      </c>
      <c r="V440" s="109" t="s">
        <v>4538</v>
      </c>
      <c r="W440" s="7" t="str">
        <f>_xlfn.XLOOKUP(C440,Sheet1!A:A,Sheet1!B:B, "Other")</f>
        <v>Europe</v>
      </c>
      <c r="X440" s="222" t="str">
        <f>_xlfn.XLOOKUP(D440,Sheet1!D:D,Sheet1!E:E,"Other")</f>
        <v>Retail</v>
      </c>
    </row>
    <row r="441" spans="1:24">
      <c r="A441" s="7" t="s">
        <v>1099</v>
      </c>
      <c r="B441" s="7">
        <v>439</v>
      </c>
      <c r="C441" s="7" t="s">
        <v>68</v>
      </c>
      <c r="D441" s="109" t="s">
        <v>4465</v>
      </c>
      <c r="K441" s="7" t="s">
        <v>1957</v>
      </c>
      <c r="L441" s="7" t="s">
        <v>4423</v>
      </c>
      <c r="M441" s="7" cm="1">
        <f t="array" ref="M441">IF(N441="", "", IFERROR(MAX(--_xlfn.TEXTSPLIT(N441,"+")), N441))</f>
        <v>2006</v>
      </c>
      <c r="N441" s="7">
        <v>2006</v>
      </c>
      <c r="O441" s="7">
        <v>2006</v>
      </c>
      <c r="P441" s="109" t="s">
        <v>4537</v>
      </c>
      <c r="Q441" s="7" t="s">
        <v>4172</v>
      </c>
      <c r="R441" s="7" t="s">
        <v>4422</v>
      </c>
      <c r="S441" s="7" cm="1">
        <f t="array" ref="S441">IF(T441="", "", IFERROR(MAX(--_xlfn.TEXTSPLIT(T441,"+")), T441))</f>
        <v>2050</v>
      </c>
      <c r="T441" s="7">
        <v>2050</v>
      </c>
      <c r="U441" s="7">
        <v>2021</v>
      </c>
      <c r="V441" s="109" t="s">
        <v>4536</v>
      </c>
      <c r="W441" s="7" t="str">
        <f>_xlfn.XLOOKUP(C441,Sheet1!A:A,Sheet1!B:B, "Other")</f>
        <v>Other</v>
      </c>
      <c r="X441" s="222" t="str">
        <f>_xlfn.XLOOKUP(D441,Sheet1!D:D,Sheet1!E:E,"Other")</f>
        <v>Other</v>
      </c>
    </row>
    <row r="442" spans="1:24">
      <c r="A442" s="7" t="s">
        <v>196</v>
      </c>
      <c r="B442" s="7">
        <v>440</v>
      </c>
      <c r="C442" s="7" t="s">
        <v>3277</v>
      </c>
      <c r="D442" s="109" t="s">
        <v>4465</v>
      </c>
      <c r="H442" s="7" t="s">
        <v>1957</v>
      </c>
      <c r="I442" s="7">
        <v>2030</v>
      </c>
      <c r="J442" s="109">
        <v>2016</v>
      </c>
      <c r="M442" s="7" t="str" cm="1">
        <f t="array" ref="M442">IF(N442="", "", IFERROR(MAX(--_xlfn.TEXTSPLIT(N442,"+")), N442))</f>
        <v/>
      </c>
      <c r="S442" s="7" t="str" cm="1">
        <f t="array" ref="S442">IF(T442="", "", IFERROR(MAX(--_xlfn.TEXTSPLIT(T442,"+")), T442))</f>
        <v/>
      </c>
      <c r="W442" s="7" t="str">
        <f>_xlfn.XLOOKUP(C442,Sheet1!A:A,Sheet1!B:B, "Other")</f>
        <v>Asia</v>
      </c>
      <c r="X442" s="222" t="str">
        <f>_xlfn.XLOOKUP(D442,Sheet1!D:D,Sheet1!E:E,"Other")</f>
        <v>Other</v>
      </c>
    </row>
    <row r="443" spans="1:24">
      <c r="A443" s="7" t="s">
        <v>4535</v>
      </c>
      <c r="B443" s="7">
        <v>441</v>
      </c>
      <c r="C443" s="7" t="s">
        <v>73</v>
      </c>
      <c r="D443" s="109" t="s">
        <v>4179</v>
      </c>
      <c r="K443" s="7" t="s">
        <v>4519</v>
      </c>
      <c r="L443" s="7" t="s">
        <v>4534</v>
      </c>
      <c r="M443" s="7" cm="1">
        <f t="array" ref="M443">IF(N443="", "", IFERROR(MAX(--_xlfn.TEXTSPLIT(N443,"+")), N443))</f>
        <v>2060</v>
      </c>
      <c r="N443" s="7">
        <v>2060</v>
      </c>
      <c r="O443" s="7">
        <v>2021</v>
      </c>
      <c r="P443" s="109" t="s">
        <v>4533</v>
      </c>
      <c r="S443" s="7" t="str" cm="1">
        <f t="array" ref="S443">IF(T443="", "", IFERROR(MAX(--_xlfn.TEXTSPLIT(T443,"+")), T443))</f>
        <v/>
      </c>
      <c r="W443" s="7" t="str">
        <f>_xlfn.XLOOKUP(C443,Sheet1!A:A,Sheet1!B:B, "Other")</f>
        <v>Asia</v>
      </c>
      <c r="X443" s="222" t="str">
        <f>_xlfn.XLOOKUP(D443,Sheet1!D:D,Sheet1!E:E,"Other")</f>
        <v>Other</v>
      </c>
    </row>
    <row r="444" spans="1:24">
      <c r="A444" s="7" t="s">
        <v>582</v>
      </c>
      <c r="B444" s="7">
        <v>442</v>
      </c>
      <c r="C444" s="7" t="s">
        <v>207</v>
      </c>
      <c r="D444" s="109" t="s">
        <v>4465</v>
      </c>
      <c r="M444" s="7" t="str" cm="1">
        <f t="array" ref="M444">IF(N444="", "", IFERROR(MAX(--_xlfn.TEXTSPLIT(N444,"+")), N444))</f>
        <v/>
      </c>
      <c r="Q444" s="7" t="s">
        <v>4172</v>
      </c>
      <c r="R444" s="7" t="s">
        <v>4532</v>
      </c>
      <c r="S444" s="7" cm="1">
        <f t="array" ref="S444">IF(T444="", "", IFERROR(MAX(--_xlfn.TEXTSPLIT(T444,"+")), T444))</f>
        <v>2050</v>
      </c>
      <c r="T444" s="7">
        <v>2050</v>
      </c>
      <c r="U444" s="7">
        <v>2021</v>
      </c>
      <c r="V444" s="109" t="s">
        <v>4531</v>
      </c>
      <c r="W444" s="7" t="str">
        <f>_xlfn.XLOOKUP(C444,Sheet1!A:A,Sheet1!B:B, "Other")</f>
        <v>Asia</v>
      </c>
      <c r="X444" s="222" t="str">
        <f>_xlfn.XLOOKUP(D444,Sheet1!D:D,Sheet1!E:E,"Other")</f>
        <v>Other</v>
      </c>
    </row>
    <row r="445" spans="1:24">
      <c r="A445" s="7" t="s">
        <v>542</v>
      </c>
      <c r="B445" s="7">
        <v>443</v>
      </c>
      <c r="C445" s="7" t="s">
        <v>4457</v>
      </c>
      <c r="D445" s="109" t="s">
        <v>4465</v>
      </c>
      <c r="E445" s="7" t="s">
        <v>4174</v>
      </c>
      <c r="F445" s="7">
        <v>2018</v>
      </c>
      <c r="G445" s="109">
        <v>2018</v>
      </c>
      <c r="M445" s="7" t="str" cm="1">
        <f t="array" ref="M445">IF(N445="", "", IFERROR(MAX(--_xlfn.TEXTSPLIT(N445,"+")), N445))</f>
        <v/>
      </c>
      <c r="S445" s="7" t="str" cm="1">
        <f t="array" ref="S445">IF(T445="", "", IFERROR(MAX(--_xlfn.TEXTSPLIT(T445,"+")), T445))</f>
        <v/>
      </c>
      <c r="W445" s="7" t="str">
        <f>_xlfn.XLOOKUP(C445,Sheet1!A:A,Sheet1!B:B, "Other")</f>
        <v>North America</v>
      </c>
      <c r="X445" s="222" t="str">
        <f>_xlfn.XLOOKUP(D445,Sheet1!D:D,Sheet1!E:E,"Other")</f>
        <v>Other</v>
      </c>
    </row>
    <row r="446" spans="1:24">
      <c r="A446" s="7" t="s">
        <v>682</v>
      </c>
      <c r="B446" s="7">
        <v>444</v>
      </c>
      <c r="C446" s="7" t="s">
        <v>207</v>
      </c>
      <c r="D446" s="109" t="s">
        <v>186</v>
      </c>
      <c r="M446" s="7" t="str" cm="1">
        <f t="array" ref="M446">IF(N446="", "", IFERROR(MAX(--_xlfn.TEXTSPLIT(N446,"+")), N446))</f>
        <v/>
      </c>
      <c r="Q446" s="7" t="s">
        <v>1957</v>
      </c>
      <c r="R446" s="7" t="s">
        <v>1659</v>
      </c>
      <c r="S446" s="7" cm="1">
        <f t="array" ref="S446">IF(T446="", "", IFERROR(MAX(--_xlfn.TEXTSPLIT(T446,"+")), T446))</f>
        <v>2050</v>
      </c>
      <c r="T446" s="7">
        <v>2050</v>
      </c>
      <c r="U446" s="7">
        <v>2020</v>
      </c>
      <c r="V446" s="109" t="s">
        <v>4530</v>
      </c>
      <c r="W446" s="7" t="str">
        <f>_xlfn.XLOOKUP(C446,Sheet1!A:A,Sheet1!B:B, "Other")</f>
        <v>Asia</v>
      </c>
      <c r="X446" s="222" t="str">
        <f>_xlfn.XLOOKUP(D446,Sheet1!D:D,Sheet1!E:E,"Other")</f>
        <v>Technology</v>
      </c>
    </row>
    <row r="447" spans="1:24">
      <c r="A447" s="7" t="s">
        <v>3218</v>
      </c>
      <c r="B447" s="7">
        <v>445</v>
      </c>
      <c r="C447" s="7" t="s">
        <v>73</v>
      </c>
      <c r="D447" s="109" t="s">
        <v>4465</v>
      </c>
      <c r="M447" s="7" t="str" cm="1">
        <f t="array" ref="M447">IF(N447="", "", IFERROR(MAX(--_xlfn.TEXTSPLIT(N447,"+")), N447))</f>
        <v/>
      </c>
      <c r="S447" s="7" t="str" cm="1">
        <f t="array" ref="S447">IF(T447="", "", IFERROR(MAX(--_xlfn.TEXTSPLIT(T447,"+")), T447))</f>
        <v/>
      </c>
      <c r="W447" s="7" t="str">
        <f>_xlfn.XLOOKUP(C447,Sheet1!A:A,Sheet1!B:B, "Other")</f>
        <v>Asia</v>
      </c>
      <c r="X447" s="222" t="str">
        <f>_xlfn.XLOOKUP(D447,Sheet1!D:D,Sheet1!E:E,"Other")</f>
        <v>Other</v>
      </c>
    </row>
    <row r="448" spans="1:24">
      <c r="A448" s="7" t="s">
        <v>666</v>
      </c>
      <c r="B448" s="7">
        <v>446</v>
      </c>
      <c r="C448" s="7" t="s">
        <v>207</v>
      </c>
      <c r="D448" s="109" t="s">
        <v>186</v>
      </c>
      <c r="E448" s="7" t="s">
        <v>4174</v>
      </c>
      <c r="F448" s="7">
        <v>2050</v>
      </c>
      <c r="G448" s="109">
        <v>2018</v>
      </c>
      <c r="H448" s="7" t="s">
        <v>4183</v>
      </c>
      <c r="I448" s="7">
        <v>2030</v>
      </c>
      <c r="J448" s="109">
        <v>2017</v>
      </c>
      <c r="M448" s="7" t="str" cm="1">
        <f t="array" ref="M448">IF(N448="", "", IFERROR(MAX(--_xlfn.TEXTSPLIT(N448,"+")), N448))</f>
        <v/>
      </c>
      <c r="Q448" s="7" t="s">
        <v>1957</v>
      </c>
      <c r="R448" s="7" t="s">
        <v>1659</v>
      </c>
      <c r="S448" s="7" cm="1">
        <f t="array" ref="S448">IF(T448="", "", IFERROR(MAX(--_xlfn.TEXTSPLIT(T448,"+")), T448))</f>
        <v>2050</v>
      </c>
      <c r="T448" s="7">
        <v>2050</v>
      </c>
      <c r="U448" s="7">
        <v>2020</v>
      </c>
      <c r="V448" s="109" t="s">
        <v>4529</v>
      </c>
      <c r="W448" s="7" t="str">
        <f>_xlfn.XLOOKUP(C448,Sheet1!A:A,Sheet1!B:B, "Other")</f>
        <v>Asia</v>
      </c>
      <c r="X448" s="222" t="str">
        <f>_xlfn.XLOOKUP(D448,Sheet1!D:D,Sheet1!E:E,"Other")</f>
        <v>Technology</v>
      </c>
    </row>
    <row r="449" spans="1:24">
      <c r="A449" s="7" t="s">
        <v>4182</v>
      </c>
      <c r="B449" s="7">
        <v>447</v>
      </c>
      <c r="C449" s="7" t="s">
        <v>73</v>
      </c>
      <c r="D449" s="109" t="s">
        <v>4465</v>
      </c>
      <c r="M449" s="7" t="str" cm="1">
        <f t="array" ref="M449">IF(N449="", "", IFERROR(MAX(--_xlfn.TEXTSPLIT(N449,"+")), N449))</f>
        <v/>
      </c>
      <c r="S449" s="7" t="str" cm="1">
        <f t="array" ref="S449">IF(T449="", "", IFERROR(MAX(--_xlfn.TEXTSPLIT(T449,"+")), T449))</f>
        <v/>
      </c>
      <c r="W449" s="7" t="str">
        <f>_xlfn.XLOOKUP(C449,Sheet1!A:A,Sheet1!B:B, "Other")</f>
        <v>Asia</v>
      </c>
      <c r="X449" s="222" t="str">
        <f>_xlfn.XLOOKUP(D449,Sheet1!D:D,Sheet1!E:E,"Other")</f>
        <v>Other</v>
      </c>
    </row>
    <row r="450" spans="1:24">
      <c r="A450" s="7" t="s">
        <v>2301</v>
      </c>
      <c r="B450" s="7">
        <v>448</v>
      </c>
      <c r="C450" s="7" t="s">
        <v>207</v>
      </c>
      <c r="D450" s="109" t="s">
        <v>4201</v>
      </c>
      <c r="H450" s="7" t="s">
        <v>4183</v>
      </c>
      <c r="I450" s="7">
        <v>2024</v>
      </c>
      <c r="J450" s="109">
        <v>2020</v>
      </c>
      <c r="K450" s="7" t="s">
        <v>4172</v>
      </c>
      <c r="L450" s="7" t="s">
        <v>4528</v>
      </c>
      <c r="M450" s="7" cm="1">
        <f t="array" ref="M450">IF(N450="", "", IFERROR(MAX(--_xlfn.TEXTSPLIT(N450,"+")), N450))</f>
        <v>2020</v>
      </c>
      <c r="N450" s="7">
        <v>2020</v>
      </c>
      <c r="O450" s="7">
        <v>2020</v>
      </c>
      <c r="P450" s="109" t="s">
        <v>4524</v>
      </c>
      <c r="Q450" s="7" t="s">
        <v>4504</v>
      </c>
      <c r="R450" s="7" t="s">
        <v>4527</v>
      </c>
      <c r="S450" s="7" cm="1">
        <f t="array" ref="S450">IF(T450="", "", IFERROR(MAX(--_xlfn.TEXTSPLIT(T450,"+")), T450))</f>
        <v>2040</v>
      </c>
      <c r="T450" s="7" t="s">
        <v>4526</v>
      </c>
      <c r="U450" s="7" t="s">
        <v>4525</v>
      </c>
      <c r="V450" s="109" t="s">
        <v>4524</v>
      </c>
      <c r="W450" s="7" t="str">
        <f>_xlfn.XLOOKUP(C450,Sheet1!A:A,Sheet1!B:B, "Other")</f>
        <v>Asia</v>
      </c>
      <c r="X450" s="222" t="str">
        <f>_xlfn.XLOOKUP(D450,Sheet1!D:D,Sheet1!E:E,"Other")</f>
        <v>Other</v>
      </c>
    </row>
    <row r="451" spans="1:24">
      <c r="A451" s="7" t="s">
        <v>642</v>
      </c>
      <c r="B451" s="7">
        <v>449</v>
      </c>
      <c r="C451" s="7" t="s">
        <v>207</v>
      </c>
      <c r="D451" s="109" t="s">
        <v>4476</v>
      </c>
      <c r="M451" s="7" t="str" cm="1">
        <f t="array" ref="M451">IF(N451="", "", IFERROR(MAX(--_xlfn.TEXTSPLIT(N451,"+")), N451))</f>
        <v/>
      </c>
      <c r="Q451" s="7" t="s">
        <v>1957</v>
      </c>
      <c r="R451" s="7" t="s">
        <v>4386</v>
      </c>
      <c r="S451" s="7" cm="1">
        <f t="array" ref="S451">IF(T451="", "", IFERROR(MAX(--_xlfn.TEXTSPLIT(T451,"+")), T451))</f>
        <v>2050</v>
      </c>
      <c r="T451" s="7">
        <v>2050</v>
      </c>
      <c r="U451" s="7">
        <v>2021</v>
      </c>
      <c r="V451" s="109" t="s">
        <v>4523</v>
      </c>
      <c r="W451" s="7" t="str">
        <f>_xlfn.XLOOKUP(C451,Sheet1!A:A,Sheet1!B:B, "Other")</f>
        <v>Asia</v>
      </c>
      <c r="X451" s="222" t="str">
        <f>_xlfn.XLOOKUP(D451,Sheet1!D:D,Sheet1!E:E,"Other")</f>
        <v>Other</v>
      </c>
    </row>
    <row r="452" spans="1:24">
      <c r="A452" s="7" t="s">
        <v>340</v>
      </c>
      <c r="B452" s="7">
        <v>450</v>
      </c>
      <c r="C452" s="7" t="s">
        <v>287</v>
      </c>
      <c r="D452" s="109" t="s">
        <v>4467</v>
      </c>
      <c r="H452" s="7" t="s">
        <v>4183</v>
      </c>
      <c r="I452" s="7">
        <v>2030</v>
      </c>
      <c r="J452" s="109">
        <v>2022</v>
      </c>
      <c r="K452" s="7" t="s">
        <v>1957</v>
      </c>
      <c r="L452" s="7" t="s">
        <v>1659</v>
      </c>
      <c r="M452" s="7" cm="1">
        <f t="array" ref="M452">IF(N452="", "", IFERROR(MAX(--_xlfn.TEXTSPLIT(N452,"+")), N452))</f>
        <v>2022</v>
      </c>
      <c r="N452" s="7">
        <v>2022</v>
      </c>
      <c r="O452" s="7">
        <v>2022</v>
      </c>
      <c r="P452" s="109" t="s">
        <v>4522</v>
      </c>
      <c r="Q452" s="7" t="s">
        <v>1957</v>
      </c>
      <c r="R452" s="7" t="s">
        <v>2271</v>
      </c>
      <c r="S452" s="7" cm="1">
        <f t="array" ref="S452">IF(T452="", "", IFERROR(MAX(--_xlfn.TEXTSPLIT(T452,"+")), T452))</f>
        <v>2050</v>
      </c>
      <c r="T452" s="7">
        <v>2050</v>
      </c>
      <c r="U452" s="7">
        <v>2022</v>
      </c>
      <c r="V452" s="109" t="s">
        <v>4522</v>
      </c>
      <c r="W452" s="7" t="str">
        <f>_xlfn.XLOOKUP(C452,Sheet1!A:A,Sheet1!B:B, "Other")</f>
        <v>Europe</v>
      </c>
      <c r="X452" s="222" t="str">
        <f>_xlfn.XLOOKUP(D452,Sheet1!D:D,Sheet1!E:E,"Other")</f>
        <v>Retail</v>
      </c>
    </row>
    <row r="453" spans="1:24">
      <c r="A453" s="7" t="s">
        <v>4521</v>
      </c>
      <c r="B453" s="7">
        <v>451</v>
      </c>
      <c r="C453" s="7" t="s">
        <v>4457</v>
      </c>
      <c r="D453" s="109" t="s">
        <v>4467</v>
      </c>
      <c r="H453" s="7" t="s">
        <v>1957</v>
      </c>
      <c r="I453" s="7">
        <v>2030</v>
      </c>
      <c r="J453" s="109">
        <v>2021</v>
      </c>
      <c r="M453" s="7" t="str" cm="1">
        <f t="array" ref="M453">IF(N453="", "", IFERROR(MAX(--_xlfn.TEXTSPLIT(N453,"+")), N453))</f>
        <v/>
      </c>
      <c r="Q453" s="7" t="s">
        <v>1957</v>
      </c>
      <c r="R453" s="7" t="s">
        <v>160</v>
      </c>
      <c r="S453" s="7" cm="1">
        <f t="array" ref="S453">IF(T453="", "", IFERROR(MAX(--_xlfn.TEXTSPLIT(T453,"+")), T453))</f>
        <v>2045</v>
      </c>
      <c r="T453" s="7">
        <v>2045</v>
      </c>
      <c r="U453" s="7">
        <v>2022</v>
      </c>
      <c r="V453" s="109" t="s">
        <v>4520</v>
      </c>
      <c r="W453" s="7" t="str">
        <f>_xlfn.XLOOKUP(C453,Sheet1!A:A,Sheet1!B:B, "Other")</f>
        <v>North America</v>
      </c>
      <c r="X453" s="222" t="str">
        <f>_xlfn.XLOOKUP(D453,Sheet1!D:D,Sheet1!E:E,"Other")</f>
        <v>Retail</v>
      </c>
    </row>
    <row r="454" spans="1:24">
      <c r="A454" s="7" t="s">
        <v>4188</v>
      </c>
      <c r="B454" s="7">
        <v>452</v>
      </c>
      <c r="C454" s="7" t="s">
        <v>73</v>
      </c>
      <c r="D454" s="109" t="s">
        <v>4459</v>
      </c>
      <c r="K454" s="7" t="s">
        <v>4519</v>
      </c>
      <c r="L454" s="7" t="s">
        <v>4518</v>
      </c>
      <c r="M454" s="7" cm="1">
        <f t="array" ref="M454">IF(N454="", "", IFERROR(MAX(--_xlfn.TEXTSPLIT(N454,"+")), N454))</f>
        <v>2060</v>
      </c>
      <c r="N454" s="7">
        <v>2060</v>
      </c>
      <c r="O454" s="7">
        <v>2020</v>
      </c>
      <c r="P454" s="109" t="s">
        <v>4517</v>
      </c>
      <c r="S454" s="7" t="str" cm="1">
        <f t="array" ref="S454">IF(T454="", "", IFERROR(MAX(--_xlfn.TEXTSPLIT(T454,"+")), T454))</f>
        <v/>
      </c>
      <c r="W454" s="7" t="str">
        <f>_xlfn.XLOOKUP(C454,Sheet1!A:A,Sheet1!B:B, "Other")</f>
        <v>Asia</v>
      </c>
      <c r="X454" s="222" t="str">
        <f>_xlfn.XLOOKUP(D454,Sheet1!D:D,Sheet1!E:E,"Other")</f>
        <v>Other</v>
      </c>
    </row>
    <row r="455" spans="1:24">
      <c r="A455" s="7" t="s">
        <v>310</v>
      </c>
      <c r="B455" s="7">
        <v>453</v>
      </c>
      <c r="C455" s="7" t="s">
        <v>73</v>
      </c>
      <c r="D455" s="109" t="s">
        <v>4465</v>
      </c>
      <c r="M455" s="7" t="str" cm="1">
        <f t="array" ref="M455">IF(N455="", "", IFERROR(MAX(--_xlfn.TEXTSPLIT(N455,"+")), N455))</f>
        <v/>
      </c>
      <c r="S455" s="7" t="str" cm="1">
        <f t="array" ref="S455">IF(T455="", "", IFERROR(MAX(--_xlfn.TEXTSPLIT(T455,"+")), T455))</f>
        <v/>
      </c>
      <c r="W455" s="7" t="str">
        <f>_xlfn.XLOOKUP(C455,Sheet1!A:A,Sheet1!B:B, "Other")</f>
        <v>Asia</v>
      </c>
      <c r="X455" s="222" t="str">
        <f>_xlfn.XLOOKUP(D455,Sheet1!D:D,Sheet1!E:E,"Other")</f>
        <v>Other</v>
      </c>
    </row>
    <row r="456" spans="1:24">
      <c r="A456" s="7" t="s">
        <v>386</v>
      </c>
      <c r="B456" s="7">
        <v>454</v>
      </c>
      <c r="C456" s="7" t="s">
        <v>4457</v>
      </c>
      <c r="D456" s="109" t="s">
        <v>4455</v>
      </c>
      <c r="H456" s="7" t="s">
        <v>4183</v>
      </c>
      <c r="I456" s="7">
        <v>2030</v>
      </c>
      <c r="J456" s="109">
        <v>2021</v>
      </c>
      <c r="K456" s="7" t="s">
        <v>1957</v>
      </c>
      <c r="L456" s="7" t="s">
        <v>2425</v>
      </c>
      <c r="M456" s="7" cm="1">
        <f t="array" ref="M456">IF(N456="", "", IFERROR(MAX(--_xlfn.TEXTSPLIT(N456,"+")), N456))</f>
        <v>2025</v>
      </c>
      <c r="N456" s="7">
        <v>2025</v>
      </c>
      <c r="O456" s="7">
        <v>2021</v>
      </c>
      <c r="P456" s="109" t="s">
        <v>4515</v>
      </c>
      <c r="Q456" s="7" t="s">
        <v>4516</v>
      </c>
      <c r="R456" s="7" t="s">
        <v>2760</v>
      </c>
      <c r="S456" s="7" cm="1">
        <f t="array" ref="S456">IF(T456="", "", IFERROR(MAX(--_xlfn.TEXTSPLIT(T456,"+")), T456))</f>
        <v>2040</v>
      </c>
      <c r="T456" s="7">
        <v>2040</v>
      </c>
      <c r="U456" s="7">
        <v>2021</v>
      </c>
      <c r="V456" s="109" t="s">
        <v>4515</v>
      </c>
      <c r="W456" s="7" t="str">
        <f>_xlfn.XLOOKUP(C456,Sheet1!A:A,Sheet1!B:B, "Other")</f>
        <v>North America</v>
      </c>
      <c r="X456" s="222" t="str">
        <f>_xlfn.XLOOKUP(D456,Sheet1!D:D,Sheet1!E:E,"Other")</f>
        <v>Other</v>
      </c>
    </row>
    <row r="457" spans="1:24">
      <c r="A457" s="7" t="s">
        <v>796</v>
      </c>
      <c r="B457" s="7">
        <v>455</v>
      </c>
      <c r="C457" s="7" t="s">
        <v>4457</v>
      </c>
      <c r="D457" s="109" t="s">
        <v>4199</v>
      </c>
      <c r="K457" s="7" t="s">
        <v>1957</v>
      </c>
      <c r="L457" s="7" t="s">
        <v>1659</v>
      </c>
      <c r="M457" s="7" cm="1">
        <f t="array" ref="M457">IF(N457="", "", IFERROR(MAX(--_xlfn.TEXTSPLIT(N457,"+")), N457))</f>
        <v>2020</v>
      </c>
      <c r="N457" s="7">
        <v>2020</v>
      </c>
      <c r="O457" s="7">
        <v>2019</v>
      </c>
      <c r="P457" s="109" t="s">
        <v>4514</v>
      </c>
      <c r="S457" s="7" t="str" cm="1">
        <f t="array" ref="S457">IF(T457="", "", IFERROR(MAX(--_xlfn.TEXTSPLIT(T457,"+")), T457))</f>
        <v/>
      </c>
      <c r="W457" s="7" t="str">
        <f>_xlfn.XLOOKUP(C457,Sheet1!A:A,Sheet1!B:B, "Other")</f>
        <v>North America</v>
      </c>
      <c r="X457" s="222" t="str">
        <f>_xlfn.XLOOKUP(D457,Sheet1!D:D,Sheet1!E:E,"Other")</f>
        <v>Other</v>
      </c>
    </row>
    <row r="458" spans="1:24">
      <c r="A458" s="7" t="s">
        <v>496</v>
      </c>
      <c r="B458" s="7">
        <v>456</v>
      </c>
      <c r="C458" s="7" t="s">
        <v>78</v>
      </c>
      <c r="D458" s="109" t="s">
        <v>4465</v>
      </c>
      <c r="M458" s="7" t="str" cm="1">
        <f t="array" ref="M458">IF(N458="", "", IFERROR(MAX(--_xlfn.TEXTSPLIT(N458,"+")), N458))</f>
        <v/>
      </c>
      <c r="Q458" s="7" t="s">
        <v>4504</v>
      </c>
      <c r="R458" s="7" t="s">
        <v>4513</v>
      </c>
      <c r="S458" s="7" cm="1">
        <f t="array" ref="S458">IF(T458="", "", IFERROR(MAX(--_xlfn.TEXTSPLIT(T458,"+")), T458))</f>
        <v>2050</v>
      </c>
      <c r="T458" s="7" t="s">
        <v>4502</v>
      </c>
      <c r="U458" s="7" t="s">
        <v>4501</v>
      </c>
      <c r="V458" s="109" t="s">
        <v>4512</v>
      </c>
      <c r="W458" s="7" t="str">
        <f>_xlfn.XLOOKUP(C458,Sheet1!A:A,Sheet1!B:B, "Other")</f>
        <v>North America</v>
      </c>
      <c r="X458" s="222" t="str">
        <f>_xlfn.XLOOKUP(D458,Sheet1!D:D,Sheet1!E:E,"Other")</f>
        <v>Other</v>
      </c>
    </row>
    <row r="459" spans="1:24">
      <c r="A459" s="7" t="s">
        <v>405</v>
      </c>
      <c r="B459" s="7">
        <v>457</v>
      </c>
      <c r="C459" s="7" t="s">
        <v>78</v>
      </c>
      <c r="D459" s="109" t="s">
        <v>3498</v>
      </c>
      <c r="M459" s="7" t="str" cm="1">
        <f t="array" ref="M459">IF(N459="", "", IFERROR(MAX(--_xlfn.TEXTSPLIT(N459,"+")), N459))</f>
        <v/>
      </c>
      <c r="Q459" s="7" t="s">
        <v>1957</v>
      </c>
      <c r="R459" s="7" t="s">
        <v>4511</v>
      </c>
      <c r="S459" s="7" cm="1">
        <f t="array" ref="S459">IF(T459="", "", IFERROR(MAX(--_xlfn.TEXTSPLIT(T459,"+")), T459))</f>
        <v>2050</v>
      </c>
      <c r="T459" s="7">
        <v>2050</v>
      </c>
      <c r="U459" s="7">
        <v>2021</v>
      </c>
      <c r="V459" s="109" t="s">
        <v>4510</v>
      </c>
      <c r="W459" s="7" t="str">
        <f>_xlfn.XLOOKUP(C459,Sheet1!A:A,Sheet1!B:B, "Other")</f>
        <v>North America</v>
      </c>
      <c r="X459" s="222" t="str">
        <f>_xlfn.XLOOKUP(D459,Sheet1!D:D,Sheet1!E:E,"Other")</f>
        <v>Other</v>
      </c>
    </row>
    <row r="460" spans="1:24">
      <c r="A460" s="7" t="s">
        <v>4509</v>
      </c>
      <c r="B460" s="7">
        <v>458</v>
      </c>
      <c r="C460" s="7" t="s">
        <v>73</v>
      </c>
      <c r="D460" s="109" t="s">
        <v>4179</v>
      </c>
      <c r="M460" s="7" t="str" cm="1">
        <f t="array" ref="M460">IF(N460="", "", IFERROR(MAX(--_xlfn.TEXTSPLIT(N460,"+")), N460))</f>
        <v/>
      </c>
      <c r="S460" s="7" t="str" cm="1">
        <f t="array" ref="S460">IF(T460="", "", IFERROR(MAX(--_xlfn.TEXTSPLIT(T460,"+")), T460))</f>
        <v/>
      </c>
      <c r="W460" s="7" t="str">
        <f>_xlfn.XLOOKUP(C460,Sheet1!A:A,Sheet1!B:B, "Other")</f>
        <v>Asia</v>
      </c>
      <c r="X460" s="222" t="str">
        <f>_xlfn.XLOOKUP(D460,Sheet1!D:D,Sheet1!E:E,"Other")</f>
        <v>Other</v>
      </c>
    </row>
    <row r="461" spans="1:24">
      <c r="A461" s="7" t="s">
        <v>187</v>
      </c>
      <c r="B461" s="7">
        <v>459</v>
      </c>
      <c r="C461" s="7" t="s">
        <v>73</v>
      </c>
      <c r="D461" s="109" t="s">
        <v>4465</v>
      </c>
      <c r="M461" s="7" t="str" cm="1">
        <f t="array" ref="M461">IF(N461="", "", IFERROR(MAX(--_xlfn.TEXTSPLIT(N461,"+")), N461))</f>
        <v/>
      </c>
      <c r="S461" s="7" t="str" cm="1">
        <f t="array" ref="S461">IF(T461="", "", IFERROR(MAX(--_xlfn.TEXTSPLIT(T461,"+")), T461))</f>
        <v/>
      </c>
      <c r="W461" s="7" t="str">
        <f>_xlfn.XLOOKUP(C461,Sheet1!A:A,Sheet1!B:B, "Other")</f>
        <v>Asia</v>
      </c>
      <c r="X461" s="222" t="str">
        <f>_xlfn.XLOOKUP(D461,Sheet1!D:D,Sheet1!E:E,"Other")</f>
        <v>Other</v>
      </c>
    </row>
    <row r="462" spans="1:24">
      <c r="A462" s="7" t="s">
        <v>498</v>
      </c>
      <c r="B462" s="7">
        <v>460</v>
      </c>
      <c r="C462" s="7" t="s">
        <v>400</v>
      </c>
      <c r="D462" s="109" t="s">
        <v>4459</v>
      </c>
      <c r="H462" s="7" t="s">
        <v>4183</v>
      </c>
      <c r="I462" s="7">
        <v>2030</v>
      </c>
      <c r="J462" s="109">
        <v>2022</v>
      </c>
      <c r="K462" s="7" t="s">
        <v>4508</v>
      </c>
      <c r="L462" s="7" t="s">
        <v>4507</v>
      </c>
      <c r="M462" s="7" cm="1">
        <f t="array" ref="M462">IF(N462="", "", IFERROR(MAX(--_xlfn.TEXTSPLIT(N462,"+")), N462))</f>
        <v>2050</v>
      </c>
      <c r="N462" s="7">
        <v>2050</v>
      </c>
      <c r="O462" s="7">
        <v>2020</v>
      </c>
      <c r="P462" s="109" t="s">
        <v>4506</v>
      </c>
      <c r="S462" s="7" t="str" cm="1">
        <f t="array" ref="S462">IF(T462="", "", IFERROR(MAX(--_xlfn.TEXTSPLIT(T462,"+")), T462))</f>
        <v/>
      </c>
      <c r="W462" s="7" t="str">
        <f>_xlfn.XLOOKUP(C462,Sheet1!A:A,Sheet1!B:B, "Other")</f>
        <v>Europe</v>
      </c>
      <c r="X462" s="222" t="str">
        <f>_xlfn.XLOOKUP(D462,Sheet1!D:D,Sheet1!E:E,"Other")</f>
        <v>Other</v>
      </c>
    </row>
    <row r="463" spans="1:24">
      <c r="A463" s="7" t="s">
        <v>4505</v>
      </c>
      <c r="B463" s="7">
        <v>461</v>
      </c>
      <c r="C463" s="7" t="s">
        <v>980</v>
      </c>
      <c r="D463" s="109" t="s">
        <v>4465</v>
      </c>
      <c r="M463" s="7" t="str" cm="1">
        <f t="array" ref="M463">IF(N463="", "", IFERROR(MAX(--_xlfn.TEXTSPLIT(N463,"+")), N463))</f>
        <v/>
      </c>
      <c r="Q463" s="7" t="s">
        <v>4504</v>
      </c>
      <c r="R463" s="7" t="s">
        <v>4503</v>
      </c>
      <c r="S463" s="7" cm="1">
        <f t="array" ref="S463">IF(T463="", "", IFERROR(MAX(--_xlfn.TEXTSPLIT(T463,"+")), T463))</f>
        <v>2050</v>
      </c>
      <c r="T463" s="7" t="s">
        <v>4502</v>
      </c>
      <c r="U463" s="7" t="s">
        <v>4501</v>
      </c>
      <c r="V463" s="109" t="s">
        <v>4500</v>
      </c>
      <c r="W463" s="7" t="str">
        <f>_xlfn.XLOOKUP(C463,Sheet1!A:A,Sheet1!B:B, "Other")</f>
        <v>Europe</v>
      </c>
      <c r="X463" s="222" t="str">
        <f>_xlfn.XLOOKUP(D463,Sheet1!D:D,Sheet1!E:E,"Other")</f>
        <v>Other</v>
      </c>
    </row>
    <row r="464" spans="1:24">
      <c r="A464" s="7" t="s">
        <v>378</v>
      </c>
      <c r="B464" s="7">
        <v>462</v>
      </c>
      <c r="C464" s="7" t="s">
        <v>3277</v>
      </c>
      <c r="D464" s="109" t="s">
        <v>186</v>
      </c>
      <c r="M464" s="7" t="str" cm="1">
        <f t="array" ref="M464">IF(N464="", "", IFERROR(MAX(--_xlfn.TEXTSPLIT(N464,"+")), N464))</f>
        <v/>
      </c>
      <c r="S464" s="7" t="str" cm="1">
        <f t="array" ref="S464">IF(T464="", "", IFERROR(MAX(--_xlfn.TEXTSPLIT(T464,"+")), T464))</f>
        <v/>
      </c>
      <c r="W464" s="7" t="str">
        <f>_xlfn.XLOOKUP(C464,Sheet1!A:A,Sheet1!B:B, "Other")</f>
        <v>Asia</v>
      </c>
      <c r="X464" s="222" t="str">
        <f>_xlfn.XLOOKUP(D464,Sheet1!D:D,Sheet1!E:E,"Other")</f>
        <v>Technology</v>
      </c>
    </row>
    <row r="465" spans="1:24">
      <c r="A465" s="7" t="s">
        <v>2963</v>
      </c>
      <c r="B465" s="7">
        <v>463</v>
      </c>
      <c r="C465" s="7" t="s">
        <v>4195</v>
      </c>
      <c r="D465" s="109" t="s">
        <v>66</v>
      </c>
      <c r="H465" s="7" t="s">
        <v>1957</v>
      </c>
      <c r="I465" s="7">
        <v>2030</v>
      </c>
      <c r="J465" s="109">
        <v>2020</v>
      </c>
      <c r="M465" s="7" t="str" cm="1">
        <f t="array" ref="M465">IF(N465="", "", IFERROR(MAX(--_xlfn.TEXTSPLIT(N465,"+")), N465))</f>
        <v/>
      </c>
      <c r="S465" s="7" t="str" cm="1">
        <f t="array" ref="S465">IF(T465="", "", IFERROR(MAX(--_xlfn.TEXTSPLIT(T465,"+")), T465))</f>
        <v/>
      </c>
      <c r="W465" s="7" t="str">
        <f>_xlfn.XLOOKUP(C465,Sheet1!A:A,Sheet1!B:B, "Other")</f>
        <v>Europe</v>
      </c>
      <c r="X465" s="222" t="str">
        <f>_xlfn.XLOOKUP(D465,Sheet1!D:D,Sheet1!E:E,"Other")</f>
        <v>Chemicals</v>
      </c>
    </row>
    <row r="466" spans="1:24">
      <c r="A466" s="7" t="s">
        <v>370</v>
      </c>
      <c r="B466" s="7">
        <v>464</v>
      </c>
      <c r="C466" s="7" t="s">
        <v>114</v>
      </c>
      <c r="D466" s="109" t="s">
        <v>4465</v>
      </c>
      <c r="K466" s="7" t="s">
        <v>1957</v>
      </c>
      <c r="L466" s="7" t="s">
        <v>4381</v>
      </c>
      <c r="M466" s="7" cm="1">
        <f t="array" ref="M466">IF(N466="", "", IFERROR(MAX(--_xlfn.TEXTSPLIT(N466,"+")), N466))</f>
        <v>2050</v>
      </c>
      <c r="N466" s="7">
        <v>2050</v>
      </c>
      <c r="O466" s="7">
        <v>2021</v>
      </c>
      <c r="P466" s="109" t="s">
        <v>4499</v>
      </c>
      <c r="S466" s="7" t="str" cm="1">
        <f t="array" ref="S466">IF(T466="", "", IFERROR(MAX(--_xlfn.TEXTSPLIT(T466,"+")), T466))</f>
        <v/>
      </c>
      <c r="W466" s="7" t="str">
        <f>_xlfn.XLOOKUP(C466,Sheet1!A:A,Sheet1!B:B, "Other")</f>
        <v>Asia</v>
      </c>
      <c r="X466" s="222" t="str">
        <f>_xlfn.XLOOKUP(D466,Sheet1!D:D,Sheet1!E:E,"Other")</f>
        <v>Other</v>
      </c>
    </row>
    <row r="467" spans="1:24">
      <c r="A467" s="7" t="s">
        <v>936</v>
      </c>
      <c r="B467" s="7">
        <v>465</v>
      </c>
      <c r="C467" s="7" t="s">
        <v>68</v>
      </c>
      <c r="D467" s="109" t="s">
        <v>4465</v>
      </c>
      <c r="H467" s="7" t="s">
        <v>1957</v>
      </c>
      <c r="I467" s="7">
        <v>2030</v>
      </c>
      <c r="J467" s="109">
        <v>2021</v>
      </c>
      <c r="K467" s="7" t="s">
        <v>1957</v>
      </c>
      <c r="L467" s="7" t="s">
        <v>4498</v>
      </c>
      <c r="M467" s="7" cm="1">
        <f t="array" ref="M467">IF(N467="", "", IFERROR(MAX(--_xlfn.TEXTSPLIT(N467,"+")), N467))</f>
        <v>2021</v>
      </c>
      <c r="N467" s="7">
        <v>2021</v>
      </c>
      <c r="O467" s="7">
        <v>2021</v>
      </c>
      <c r="P467" s="109" t="s">
        <v>4497</v>
      </c>
      <c r="S467" s="7" t="str" cm="1">
        <f t="array" ref="S467">IF(T467="", "", IFERROR(MAX(--_xlfn.TEXTSPLIT(T467,"+")), T467))</f>
        <v/>
      </c>
      <c r="W467" s="7" t="str">
        <f>_xlfn.XLOOKUP(C467,Sheet1!A:A,Sheet1!B:B, "Other")</f>
        <v>Other</v>
      </c>
      <c r="X467" s="222" t="str">
        <f>_xlfn.XLOOKUP(D467,Sheet1!D:D,Sheet1!E:E,"Other")</f>
        <v>Other</v>
      </c>
    </row>
    <row r="468" spans="1:24">
      <c r="A468" s="7" t="s">
        <v>4496</v>
      </c>
      <c r="B468" s="7">
        <v>466</v>
      </c>
      <c r="C468" s="7" t="s">
        <v>73</v>
      </c>
      <c r="D468" s="109" t="s">
        <v>4197</v>
      </c>
      <c r="M468" s="7" t="str" cm="1">
        <f t="array" ref="M468">IF(N468="", "", IFERROR(MAX(--_xlfn.TEXTSPLIT(N468,"+")), N468))</f>
        <v/>
      </c>
      <c r="S468" s="7" t="str" cm="1">
        <f t="array" ref="S468">IF(T468="", "", IFERROR(MAX(--_xlfn.TEXTSPLIT(T468,"+")), T468))</f>
        <v/>
      </c>
      <c r="W468" s="7" t="str">
        <f>_xlfn.XLOOKUP(C468,Sheet1!A:A,Sheet1!B:B, "Other")</f>
        <v>Asia</v>
      </c>
      <c r="X468" s="222" t="str">
        <f>_xlfn.XLOOKUP(D468,Sheet1!D:D,Sheet1!E:E,"Other")</f>
        <v>Other</v>
      </c>
    </row>
    <row r="469" spans="1:24">
      <c r="A469" s="7" t="s">
        <v>4339</v>
      </c>
      <c r="B469" s="7">
        <v>467</v>
      </c>
      <c r="C469" s="7" t="s">
        <v>73</v>
      </c>
      <c r="D469" s="109" t="s">
        <v>4201</v>
      </c>
      <c r="M469" s="7" t="str" cm="1">
        <f t="array" ref="M469">IF(N469="", "", IFERROR(MAX(--_xlfn.TEXTSPLIT(N469,"+")), N469))</f>
        <v/>
      </c>
      <c r="S469" s="7" t="str" cm="1">
        <f t="array" ref="S469">IF(T469="", "", IFERROR(MAX(--_xlfn.TEXTSPLIT(T469,"+")), T469))</f>
        <v/>
      </c>
      <c r="W469" s="7" t="str">
        <f>_xlfn.XLOOKUP(C469,Sheet1!A:A,Sheet1!B:B, "Other")</f>
        <v>Asia</v>
      </c>
      <c r="X469" s="222" t="str">
        <f>_xlfn.XLOOKUP(D469,Sheet1!D:D,Sheet1!E:E,"Other")</f>
        <v>Other</v>
      </c>
    </row>
    <row r="470" spans="1:24">
      <c r="A470" s="7" t="s">
        <v>4267</v>
      </c>
      <c r="B470" s="7">
        <v>468</v>
      </c>
      <c r="C470" s="7" t="s">
        <v>4457</v>
      </c>
      <c r="D470" s="109" t="s">
        <v>4467</v>
      </c>
      <c r="M470" s="7" t="str" cm="1">
        <f t="array" ref="M470">IF(N470="", "", IFERROR(MAX(--_xlfn.TEXTSPLIT(N470,"+")), N470))</f>
        <v/>
      </c>
      <c r="S470" s="7" t="str" cm="1">
        <f t="array" ref="S470">IF(T470="", "", IFERROR(MAX(--_xlfn.TEXTSPLIT(T470,"+")), T470))</f>
        <v/>
      </c>
      <c r="W470" s="7" t="str">
        <f>_xlfn.XLOOKUP(C470,Sheet1!A:A,Sheet1!B:B, "Other")</f>
        <v>North America</v>
      </c>
      <c r="X470" s="222" t="str">
        <f>_xlfn.XLOOKUP(D470,Sheet1!D:D,Sheet1!E:E,"Other")</f>
        <v>Retail</v>
      </c>
    </row>
    <row r="471" spans="1:24">
      <c r="A471" s="7" t="s">
        <v>4495</v>
      </c>
      <c r="B471" s="7">
        <v>469</v>
      </c>
      <c r="C471" s="7" t="s">
        <v>73</v>
      </c>
      <c r="D471" s="109" t="s">
        <v>4494</v>
      </c>
      <c r="M471" s="7" t="str" cm="1">
        <f t="array" ref="M471">IF(N471="", "", IFERROR(MAX(--_xlfn.TEXTSPLIT(N471,"+")), N471))</f>
        <v/>
      </c>
      <c r="S471" s="7" t="str" cm="1">
        <f t="array" ref="S471">IF(T471="", "", IFERROR(MAX(--_xlfn.TEXTSPLIT(T471,"+")), T471))</f>
        <v/>
      </c>
      <c r="W471" s="7" t="str">
        <f>_xlfn.XLOOKUP(C471,Sheet1!A:A,Sheet1!B:B, "Other")</f>
        <v>Asia</v>
      </c>
      <c r="X471" s="222" t="str">
        <f>_xlfn.XLOOKUP(D471,Sheet1!D:D,Sheet1!E:E,"Other")</f>
        <v>Other</v>
      </c>
    </row>
    <row r="472" spans="1:24">
      <c r="A472" s="7" t="s">
        <v>587</v>
      </c>
      <c r="B472" s="7">
        <v>470</v>
      </c>
      <c r="C472" s="7" t="s">
        <v>114</v>
      </c>
      <c r="D472" s="109" t="s">
        <v>3498</v>
      </c>
      <c r="M472" s="7" t="str" cm="1">
        <f t="array" ref="M472">IF(N472="", "", IFERROR(MAX(--_xlfn.TEXTSPLIT(N472,"+")), N472))</f>
        <v/>
      </c>
      <c r="S472" s="7" t="str" cm="1">
        <f t="array" ref="S472">IF(T472="", "", IFERROR(MAX(--_xlfn.TEXTSPLIT(T472,"+")), T472))</f>
        <v/>
      </c>
      <c r="W472" s="7" t="str">
        <f>_xlfn.XLOOKUP(C472,Sheet1!A:A,Sheet1!B:B, "Other")</f>
        <v>Asia</v>
      </c>
      <c r="X472" s="222" t="str">
        <f>_xlfn.XLOOKUP(D472,Sheet1!D:D,Sheet1!E:E,"Other")</f>
        <v>Other</v>
      </c>
    </row>
    <row r="473" spans="1:24">
      <c r="A473" s="7" t="s">
        <v>4493</v>
      </c>
      <c r="B473" s="7">
        <v>471</v>
      </c>
      <c r="C473" s="7" t="s">
        <v>267</v>
      </c>
      <c r="D473" s="109" t="s">
        <v>4467</v>
      </c>
      <c r="M473" s="7" t="str" cm="1">
        <f t="array" ref="M473">IF(N473="", "", IFERROR(MAX(--_xlfn.TEXTSPLIT(N473,"+")), N473))</f>
        <v/>
      </c>
      <c r="S473" s="7" t="str" cm="1">
        <f t="array" ref="S473">IF(T473="", "", IFERROR(MAX(--_xlfn.TEXTSPLIT(T473,"+")), T473))</f>
        <v/>
      </c>
      <c r="W473" s="7" t="str">
        <f>_xlfn.XLOOKUP(C473,Sheet1!A:A,Sheet1!B:B, "Other")</f>
        <v>Europe</v>
      </c>
      <c r="X473" s="222" t="str">
        <f>_xlfn.XLOOKUP(D473,Sheet1!D:D,Sheet1!E:E,"Other")</f>
        <v>Retail</v>
      </c>
    </row>
    <row r="474" spans="1:24">
      <c r="A474" s="7" t="s">
        <v>235</v>
      </c>
      <c r="B474" s="7">
        <v>472</v>
      </c>
      <c r="C474" s="7" t="s">
        <v>114</v>
      </c>
      <c r="D474" s="109" t="s">
        <v>4455</v>
      </c>
      <c r="K474" s="7" t="s">
        <v>1957</v>
      </c>
      <c r="L474" s="7" t="s">
        <v>4492</v>
      </c>
      <c r="M474" s="7" cm="1">
        <f t="array" ref="M474">IF(N474="", "", IFERROR(MAX(--_xlfn.TEXTSPLIT(N474,"+")), N474))</f>
        <v>2050</v>
      </c>
      <c r="N474" s="7">
        <v>2050</v>
      </c>
      <c r="O474" s="7">
        <v>2021</v>
      </c>
      <c r="P474" s="109" t="s">
        <v>4491</v>
      </c>
      <c r="S474" s="7" t="str" cm="1">
        <f t="array" ref="S474">IF(T474="", "", IFERROR(MAX(--_xlfn.TEXTSPLIT(T474,"+")), T474))</f>
        <v/>
      </c>
      <c r="W474" s="7" t="str">
        <f>_xlfn.XLOOKUP(C474,Sheet1!A:A,Sheet1!B:B, "Other")</f>
        <v>Asia</v>
      </c>
      <c r="X474" s="222" t="str">
        <f>_xlfn.XLOOKUP(D474,Sheet1!D:D,Sheet1!E:E,"Other")</f>
        <v>Other</v>
      </c>
    </row>
    <row r="475" spans="1:24">
      <c r="A475" s="7" t="s">
        <v>399</v>
      </c>
      <c r="B475" s="7">
        <v>473</v>
      </c>
      <c r="C475" s="7" t="s">
        <v>4457</v>
      </c>
      <c r="D475" s="109" t="s">
        <v>4201</v>
      </c>
      <c r="K475" s="7" t="s">
        <v>1957</v>
      </c>
      <c r="L475" s="7" t="s">
        <v>160</v>
      </c>
      <c r="M475" s="7" cm="1">
        <f t="array" ref="M475">IF(N475="", "", IFERROR(MAX(--_xlfn.TEXTSPLIT(N475,"+")), N475))</f>
        <v>2030</v>
      </c>
      <c r="N475" s="7">
        <v>2030</v>
      </c>
      <c r="O475" s="7">
        <v>2020</v>
      </c>
      <c r="P475" s="109" t="s">
        <v>4490</v>
      </c>
      <c r="Q475" s="7" t="s">
        <v>4172</v>
      </c>
      <c r="R475" s="7" t="s">
        <v>4471</v>
      </c>
      <c r="S475" s="7" cm="1">
        <f t="array" ref="S475">IF(T475="", "", IFERROR(MAX(--_xlfn.TEXTSPLIT(T475,"+")), T475))</f>
        <v>2045</v>
      </c>
      <c r="T475" s="7">
        <v>2045</v>
      </c>
      <c r="U475" s="7">
        <v>2021</v>
      </c>
      <c r="V475" s="109" t="s">
        <v>4489</v>
      </c>
      <c r="W475" s="7" t="str">
        <f>_xlfn.XLOOKUP(C475,Sheet1!A:A,Sheet1!B:B, "Other")</f>
        <v>North America</v>
      </c>
      <c r="X475" s="222" t="str">
        <f>_xlfn.XLOOKUP(D475,Sheet1!D:D,Sheet1!E:E,"Other")</f>
        <v>Other</v>
      </c>
    </row>
    <row r="476" spans="1:24">
      <c r="A476" s="7" t="s">
        <v>300</v>
      </c>
      <c r="B476" s="7">
        <v>474</v>
      </c>
      <c r="C476" s="7" t="s">
        <v>114</v>
      </c>
      <c r="D476" s="109" t="s">
        <v>4465</v>
      </c>
      <c r="M476" s="7" t="str" cm="1">
        <f t="array" ref="M476">IF(N476="", "", IFERROR(MAX(--_xlfn.TEXTSPLIT(N476,"+")), N476))</f>
        <v/>
      </c>
      <c r="S476" s="7" t="str" cm="1">
        <f t="array" ref="S476">IF(T476="", "", IFERROR(MAX(--_xlfn.TEXTSPLIT(T476,"+")), T476))</f>
        <v/>
      </c>
      <c r="W476" s="7" t="str">
        <f>_xlfn.XLOOKUP(C476,Sheet1!A:A,Sheet1!B:B, "Other")</f>
        <v>Asia</v>
      </c>
      <c r="X476" s="222" t="str">
        <f>_xlfn.XLOOKUP(D476,Sheet1!D:D,Sheet1!E:E,"Other")</f>
        <v>Other</v>
      </c>
    </row>
    <row r="477" spans="1:24">
      <c r="A477" s="7" t="s">
        <v>518</v>
      </c>
      <c r="B477" s="7">
        <v>475</v>
      </c>
      <c r="C477" s="7" t="s">
        <v>3277</v>
      </c>
      <c r="D477" s="109" t="s">
        <v>3498</v>
      </c>
      <c r="M477" s="7" t="str" cm="1">
        <f t="array" ref="M477">IF(N477="", "", IFERROR(MAX(--_xlfn.TEXTSPLIT(N477,"+")), N477))</f>
        <v/>
      </c>
      <c r="S477" s="7" t="str" cm="1">
        <f t="array" ref="S477">IF(T477="", "", IFERROR(MAX(--_xlfn.TEXTSPLIT(T477,"+")), T477))</f>
        <v/>
      </c>
      <c r="W477" s="7" t="str">
        <f>_xlfn.XLOOKUP(C477,Sheet1!A:A,Sheet1!B:B, "Other")</f>
        <v>Asia</v>
      </c>
      <c r="X477" s="222" t="str">
        <f>_xlfn.XLOOKUP(D477,Sheet1!D:D,Sheet1!E:E,"Other")</f>
        <v>Other</v>
      </c>
    </row>
    <row r="478" spans="1:24">
      <c r="A478" s="7" t="s">
        <v>314</v>
      </c>
      <c r="B478" s="7">
        <v>476</v>
      </c>
      <c r="C478" s="7" t="s">
        <v>207</v>
      </c>
      <c r="D478" s="109" t="s">
        <v>4476</v>
      </c>
      <c r="H478" s="7" t="s">
        <v>4183</v>
      </c>
      <c r="I478" s="7">
        <v>2031</v>
      </c>
      <c r="J478" s="109">
        <v>2021</v>
      </c>
      <c r="K478" s="7" t="s">
        <v>1957</v>
      </c>
      <c r="L478" s="7" t="s">
        <v>2425</v>
      </c>
      <c r="M478" s="7" cm="1">
        <f t="array" ref="M478">IF(N478="", "", IFERROR(MAX(--_xlfn.TEXTSPLIT(N478,"+")), N478))</f>
        <v>2050</v>
      </c>
      <c r="N478" s="7">
        <v>2050</v>
      </c>
      <c r="O478" s="7">
        <v>2021</v>
      </c>
      <c r="P478" s="109" t="s">
        <v>4488</v>
      </c>
      <c r="S478" s="7" t="str" cm="1">
        <f t="array" ref="S478">IF(T478="", "", IFERROR(MAX(--_xlfn.TEXTSPLIT(T478,"+")), T478))</f>
        <v/>
      </c>
      <c r="W478" s="7" t="str">
        <f>_xlfn.XLOOKUP(C478,Sheet1!A:A,Sheet1!B:B, "Other")</f>
        <v>Asia</v>
      </c>
      <c r="X478" s="222" t="str">
        <f>_xlfn.XLOOKUP(D478,Sheet1!D:D,Sheet1!E:E,"Other")</f>
        <v>Other</v>
      </c>
    </row>
    <row r="479" spans="1:24">
      <c r="A479" s="7" t="s">
        <v>2001</v>
      </c>
      <c r="B479" s="7">
        <v>477</v>
      </c>
      <c r="C479" s="7" t="s">
        <v>972</v>
      </c>
      <c r="D479" s="109" t="s">
        <v>4467</v>
      </c>
      <c r="H479" s="7" t="s">
        <v>1957</v>
      </c>
      <c r="I479" s="7">
        <v>2030</v>
      </c>
      <c r="J479" s="109">
        <v>2020</v>
      </c>
      <c r="K479" s="7" t="s">
        <v>1957</v>
      </c>
      <c r="L479" s="7" t="s">
        <v>2425</v>
      </c>
      <c r="M479" s="7" cm="1">
        <f t="array" ref="M479">IF(N479="", "", IFERROR(MAX(--_xlfn.TEXTSPLIT(N479,"+")), N479))</f>
        <v>2050</v>
      </c>
      <c r="N479" s="7">
        <v>2050</v>
      </c>
      <c r="O479" s="7">
        <v>2020</v>
      </c>
      <c r="P479" s="109" t="s">
        <v>4487</v>
      </c>
      <c r="S479" s="7" t="str" cm="1">
        <f t="array" ref="S479">IF(T479="", "", IFERROR(MAX(--_xlfn.TEXTSPLIT(T479,"+")), T479))</f>
        <v/>
      </c>
      <c r="W479" s="7" t="str">
        <f>_xlfn.XLOOKUP(C479,Sheet1!A:A,Sheet1!B:B, "Other")</f>
        <v>Europe</v>
      </c>
      <c r="X479" s="222" t="str">
        <f>_xlfn.XLOOKUP(D479,Sheet1!D:D,Sheet1!E:E,"Other")</f>
        <v>Retail</v>
      </c>
    </row>
    <row r="480" spans="1:24">
      <c r="A480" s="7" t="s">
        <v>958</v>
      </c>
      <c r="B480" s="7">
        <v>478</v>
      </c>
      <c r="C480" s="7" t="s">
        <v>4457</v>
      </c>
      <c r="D480" s="109" t="s">
        <v>4376</v>
      </c>
      <c r="H480" s="7" t="s">
        <v>1957</v>
      </c>
      <c r="I480" s="7">
        <v>2030</v>
      </c>
      <c r="J480" s="109">
        <v>2021</v>
      </c>
      <c r="K480" s="7" t="s">
        <v>1957</v>
      </c>
      <c r="L480" s="7" t="s">
        <v>160</v>
      </c>
      <c r="M480" s="7" cm="1">
        <f t="array" ref="M480">IF(N480="", "", IFERROR(MAX(--_xlfn.TEXTSPLIT(N480,"+")), N480))</f>
        <v>2020</v>
      </c>
      <c r="N480" s="7">
        <v>2020</v>
      </c>
      <c r="O480" s="7">
        <v>2020</v>
      </c>
      <c r="P480" s="109" t="s">
        <v>4486</v>
      </c>
      <c r="Q480" s="7" t="s">
        <v>4172</v>
      </c>
      <c r="R480" s="7" t="s">
        <v>4485</v>
      </c>
      <c r="S480" s="7" cm="1">
        <f t="array" ref="S480">IF(T480="", "", IFERROR(MAX(--_xlfn.TEXTSPLIT(T480,"+")), T480))</f>
        <v>2050</v>
      </c>
      <c r="T480" s="7">
        <v>2050</v>
      </c>
      <c r="U480" s="7">
        <v>2021</v>
      </c>
      <c r="V480" s="109" t="s">
        <v>4484</v>
      </c>
      <c r="W480" s="7" t="str">
        <f>_xlfn.XLOOKUP(C480,Sheet1!A:A,Sheet1!B:B, "Other")</f>
        <v>North America</v>
      </c>
      <c r="X480" s="222" t="str">
        <f>_xlfn.XLOOKUP(D480,Sheet1!D:D,Sheet1!E:E,"Other")</f>
        <v>Other</v>
      </c>
    </row>
    <row r="481" spans="1:24">
      <c r="A481" s="7" t="s">
        <v>964</v>
      </c>
      <c r="B481" s="7">
        <v>479</v>
      </c>
      <c r="C481" s="7" t="s">
        <v>4457</v>
      </c>
      <c r="D481" s="109" t="s">
        <v>4376</v>
      </c>
      <c r="H481" s="7" t="s">
        <v>4183</v>
      </c>
      <c r="I481" s="7">
        <v>2035</v>
      </c>
      <c r="J481" s="109">
        <v>2022</v>
      </c>
      <c r="M481" s="7" t="str" cm="1">
        <f t="array" ref="M481">IF(N481="", "", IFERROR(MAX(--_xlfn.TEXTSPLIT(N481,"+")), N481))</f>
        <v/>
      </c>
      <c r="Q481" s="7" t="s">
        <v>1957</v>
      </c>
      <c r="R481" s="7" t="s">
        <v>4483</v>
      </c>
      <c r="S481" s="7" cm="1">
        <f t="array" ref="S481">IF(T481="", "", IFERROR(MAX(--_xlfn.TEXTSPLIT(T481,"+")), T481))</f>
        <v>2050</v>
      </c>
      <c r="T481" s="7">
        <v>2050</v>
      </c>
      <c r="U481" s="7">
        <v>2020</v>
      </c>
      <c r="V481" s="109" t="s">
        <v>4482</v>
      </c>
      <c r="W481" s="7" t="str">
        <f>_xlfn.XLOOKUP(C481,Sheet1!A:A,Sheet1!B:B, "Other")</f>
        <v>North America</v>
      </c>
      <c r="X481" s="222" t="str">
        <f>_xlfn.XLOOKUP(D481,Sheet1!D:D,Sheet1!E:E,"Other")</f>
        <v>Other</v>
      </c>
    </row>
    <row r="482" spans="1:24">
      <c r="A482" s="7" t="s">
        <v>606</v>
      </c>
      <c r="B482" s="7">
        <v>480</v>
      </c>
      <c r="C482" s="7" t="s">
        <v>207</v>
      </c>
      <c r="D482" s="109" t="s">
        <v>4459</v>
      </c>
      <c r="H482" s="7" t="s">
        <v>4183</v>
      </c>
      <c r="I482" s="7">
        <v>2030</v>
      </c>
      <c r="J482" s="109">
        <v>2020</v>
      </c>
      <c r="M482" s="7" t="str" cm="1">
        <f t="array" ref="M482">IF(N482="", "", IFERROR(MAX(--_xlfn.TEXTSPLIT(N482,"+")), N482))</f>
        <v/>
      </c>
      <c r="Q482" s="7" t="s">
        <v>4172</v>
      </c>
      <c r="R482" s="7" t="s">
        <v>4332</v>
      </c>
      <c r="S482" s="7" cm="1">
        <f t="array" ref="S482">IF(T482="", "", IFERROR(MAX(--_xlfn.TEXTSPLIT(T482,"+")), T482))</f>
        <v>2050</v>
      </c>
      <c r="T482" s="7">
        <v>2050</v>
      </c>
      <c r="U482" s="7">
        <v>2020</v>
      </c>
      <c r="V482" s="109" t="s">
        <v>4481</v>
      </c>
      <c r="W482" s="7" t="str">
        <f>_xlfn.XLOOKUP(C482,Sheet1!A:A,Sheet1!B:B, "Other")</f>
        <v>Asia</v>
      </c>
      <c r="X482" s="222" t="str">
        <f>_xlfn.XLOOKUP(D482,Sheet1!D:D,Sheet1!E:E,"Other")</f>
        <v>Other</v>
      </c>
    </row>
    <row r="483" spans="1:24">
      <c r="A483" s="7" t="s">
        <v>4278</v>
      </c>
      <c r="B483" s="7">
        <v>481</v>
      </c>
      <c r="C483" s="7" t="s">
        <v>4457</v>
      </c>
      <c r="D483" s="109" t="s">
        <v>4190</v>
      </c>
      <c r="H483" s="7" t="s">
        <v>4183</v>
      </c>
      <c r="I483" s="7">
        <v>2025</v>
      </c>
      <c r="J483" s="109">
        <v>2021</v>
      </c>
      <c r="M483" s="7" t="str" cm="1">
        <f t="array" ref="M483">IF(N483="", "", IFERROR(MAX(--_xlfn.TEXTSPLIT(N483,"+")), N483))</f>
        <v/>
      </c>
      <c r="Q483" s="7" t="s">
        <v>4172</v>
      </c>
      <c r="R483" s="7" t="s">
        <v>4480</v>
      </c>
      <c r="S483" s="7" cm="1">
        <f t="array" ref="S483">IF(T483="", "", IFERROR(MAX(--_xlfn.TEXTSPLIT(T483,"+")), T483))</f>
        <v>2022</v>
      </c>
      <c r="T483" s="7">
        <v>2022</v>
      </c>
      <c r="U483" s="7">
        <v>2021</v>
      </c>
      <c r="V483" s="109" t="s">
        <v>4479</v>
      </c>
      <c r="W483" s="7" t="str">
        <f>_xlfn.XLOOKUP(C483,Sheet1!A:A,Sheet1!B:B, "Other")</f>
        <v>North America</v>
      </c>
      <c r="X483" s="222" t="str">
        <f>_xlfn.XLOOKUP(D483,Sheet1!D:D,Sheet1!E:E,"Other")</f>
        <v>Other</v>
      </c>
    </row>
    <row r="484" spans="1:24">
      <c r="A484" s="7" t="s">
        <v>940</v>
      </c>
      <c r="B484" s="7">
        <v>482</v>
      </c>
      <c r="C484" s="7" t="s">
        <v>146</v>
      </c>
      <c r="D484" s="109" t="s">
        <v>4467</v>
      </c>
      <c r="H484" s="7" t="s">
        <v>4183</v>
      </c>
      <c r="I484" s="7">
        <v>2030</v>
      </c>
      <c r="J484" s="109">
        <v>2019</v>
      </c>
      <c r="K484" s="7" t="s">
        <v>1957</v>
      </c>
      <c r="L484" s="7" t="s">
        <v>4292</v>
      </c>
      <c r="M484" s="7" cm="1">
        <f t="array" ref="M484">IF(N484="", "", IFERROR(MAX(--_xlfn.TEXTSPLIT(N484,"+")), N484))</f>
        <v>2040</v>
      </c>
      <c r="N484" s="7">
        <v>2040</v>
      </c>
      <c r="O484" s="7">
        <v>2021</v>
      </c>
      <c r="P484" s="109" t="s">
        <v>4478</v>
      </c>
      <c r="S484" s="7" t="str" cm="1">
        <f t="array" ref="S484">IF(T484="", "", IFERROR(MAX(--_xlfn.TEXTSPLIT(T484,"+")), T484))</f>
        <v/>
      </c>
      <c r="W484" s="7" t="str">
        <f>_xlfn.XLOOKUP(C484,Sheet1!A:A,Sheet1!B:B, "Other")</f>
        <v>Europe</v>
      </c>
      <c r="X484" s="222" t="str">
        <f>_xlfn.XLOOKUP(D484,Sheet1!D:D,Sheet1!E:E,"Other")</f>
        <v>Retail</v>
      </c>
    </row>
    <row r="485" spans="1:24">
      <c r="A485" s="7" t="s">
        <v>4477</v>
      </c>
      <c r="B485" s="7">
        <v>483</v>
      </c>
      <c r="C485" s="7" t="s">
        <v>4457</v>
      </c>
      <c r="D485" s="109" t="s">
        <v>4190</v>
      </c>
      <c r="H485" s="7" t="s">
        <v>1957</v>
      </c>
      <c r="I485" s="7">
        <v>2030</v>
      </c>
      <c r="J485" s="109">
        <v>2021</v>
      </c>
      <c r="M485" s="7" t="str" cm="1">
        <f t="array" ref="M485">IF(N485="", "", IFERROR(MAX(--_xlfn.TEXTSPLIT(N485,"+")), N485))</f>
        <v/>
      </c>
      <c r="S485" s="7" t="str" cm="1">
        <f t="array" ref="S485">IF(T485="", "", IFERROR(MAX(--_xlfn.TEXTSPLIT(T485,"+")), T485))</f>
        <v/>
      </c>
      <c r="W485" s="7" t="str">
        <f>_xlfn.XLOOKUP(C485,Sheet1!A:A,Sheet1!B:B, "Other")</f>
        <v>North America</v>
      </c>
      <c r="X485" s="222" t="str">
        <f>_xlfn.XLOOKUP(D485,Sheet1!D:D,Sheet1!E:E,"Other")</f>
        <v>Other</v>
      </c>
    </row>
    <row r="486" spans="1:24">
      <c r="A486" s="7" t="s">
        <v>591</v>
      </c>
      <c r="B486" s="7">
        <v>484</v>
      </c>
      <c r="C486" s="7" t="s">
        <v>207</v>
      </c>
      <c r="D486" s="109" t="s">
        <v>4476</v>
      </c>
      <c r="H486" s="7" t="s">
        <v>1957</v>
      </c>
      <c r="I486" s="7">
        <v>2030</v>
      </c>
      <c r="J486" s="109">
        <v>2022</v>
      </c>
      <c r="K486" s="7" t="s">
        <v>1957</v>
      </c>
      <c r="L486" s="7" t="s">
        <v>4475</v>
      </c>
      <c r="M486" s="7" cm="1">
        <f t="array" ref="M486">IF(N486="", "", IFERROR(MAX(--_xlfn.TEXTSPLIT(N486,"+")), N486))</f>
        <v>2050</v>
      </c>
      <c r="N486" s="7">
        <v>2050</v>
      </c>
      <c r="O486" s="7">
        <v>2020</v>
      </c>
      <c r="P486" s="109" t="s">
        <v>4474</v>
      </c>
      <c r="S486" s="7" t="str" cm="1">
        <f t="array" ref="S486">IF(T486="", "", IFERROR(MAX(--_xlfn.TEXTSPLIT(T486,"+")), T486))</f>
        <v/>
      </c>
      <c r="W486" s="7" t="str">
        <f>_xlfn.XLOOKUP(C486,Sheet1!A:A,Sheet1!B:B, "Other")</f>
        <v>Asia</v>
      </c>
      <c r="X486" s="222" t="str">
        <f>_xlfn.XLOOKUP(D486,Sheet1!D:D,Sheet1!E:E,"Other")</f>
        <v>Other</v>
      </c>
    </row>
    <row r="487" spans="1:24">
      <c r="A487" s="7" t="s">
        <v>2132</v>
      </c>
      <c r="B487" s="7">
        <v>485</v>
      </c>
      <c r="C487" s="7" t="s">
        <v>4457</v>
      </c>
      <c r="D487" s="109" t="s">
        <v>4467</v>
      </c>
      <c r="M487" s="7" t="str" cm="1">
        <f t="array" ref="M487">IF(N487="", "", IFERROR(MAX(--_xlfn.TEXTSPLIT(N487,"+")), N487))</f>
        <v/>
      </c>
      <c r="S487" s="7" t="str" cm="1">
        <f t="array" ref="S487">IF(T487="", "", IFERROR(MAX(--_xlfn.TEXTSPLIT(T487,"+")), T487))</f>
        <v/>
      </c>
      <c r="W487" s="7" t="str">
        <f>_xlfn.XLOOKUP(C487,Sheet1!A:A,Sheet1!B:B, "Other")</f>
        <v>North America</v>
      </c>
      <c r="X487" s="222" t="str">
        <f>_xlfn.XLOOKUP(D487,Sheet1!D:D,Sheet1!E:E,"Other")</f>
        <v>Retail</v>
      </c>
    </row>
    <row r="488" spans="1:24">
      <c r="A488" s="7" t="s">
        <v>4473</v>
      </c>
      <c r="B488" s="7">
        <v>486</v>
      </c>
      <c r="C488" s="7" t="s">
        <v>4457</v>
      </c>
      <c r="D488" s="109" t="s">
        <v>4201</v>
      </c>
      <c r="M488" s="7" t="str" cm="1">
        <f t="array" ref="M488">IF(N488="", "", IFERROR(MAX(--_xlfn.TEXTSPLIT(N488,"+")), N488))</f>
        <v/>
      </c>
      <c r="S488" s="7" t="str" cm="1">
        <f t="array" ref="S488">IF(T488="", "", IFERROR(MAX(--_xlfn.TEXTSPLIT(T488,"+")), T488))</f>
        <v/>
      </c>
      <c r="W488" s="7" t="str">
        <f>_xlfn.XLOOKUP(C488,Sheet1!A:A,Sheet1!B:B, "Other")</f>
        <v>North America</v>
      </c>
      <c r="X488" s="222" t="str">
        <f>_xlfn.XLOOKUP(D488,Sheet1!D:D,Sheet1!E:E,"Other")</f>
        <v>Other</v>
      </c>
    </row>
    <row r="489" spans="1:24">
      <c r="A489" s="7" t="s">
        <v>3230</v>
      </c>
      <c r="B489" s="7">
        <v>487</v>
      </c>
      <c r="C489" s="7" t="s">
        <v>73</v>
      </c>
      <c r="D489" s="109" t="s">
        <v>4459</v>
      </c>
      <c r="M489" s="7" t="str" cm="1">
        <f t="array" ref="M489">IF(N489="", "", IFERROR(MAX(--_xlfn.TEXTSPLIT(N489,"+")), N489))</f>
        <v/>
      </c>
      <c r="S489" s="7" t="str" cm="1">
        <f t="array" ref="S489">IF(T489="", "", IFERROR(MAX(--_xlfn.TEXTSPLIT(T489,"+")), T489))</f>
        <v/>
      </c>
      <c r="W489" s="7" t="str">
        <f>_xlfn.XLOOKUP(C489,Sheet1!A:A,Sheet1!B:B, "Other")</f>
        <v>Asia</v>
      </c>
      <c r="X489" s="222" t="str">
        <f>_xlfn.XLOOKUP(D489,Sheet1!D:D,Sheet1!E:E,"Other")</f>
        <v>Other</v>
      </c>
    </row>
    <row r="490" spans="1:24">
      <c r="A490" s="7" t="s">
        <v>4334</v>
      </c>
      <c r="B490" s="7">
        <v>488</v>
      </c>
      <c r="C490" s="7" t="s">
        <v>287</v>
      </c>
      <c r="D490" s="109" t="s">
        <v>4459</v>
      </c>
      <c r="H490" s="7" t="s">
        <v>4183</v>
      </c>
      <c r="I490" s="7">
        <v>2025</v>
      </c>
      <c r="J490" s="109">
        <v>2021</v>
      </c>
      <c r="M490" s="7" t="str" cm="1">
        <f t="array" ref="M490">IF(N490="", "", IFERROR(MAX(--_xlfn.TEXTSPLIT(N490,"+")), N490))</f>
        <v/>
      </c>
      <c r="Q490" s="7" t="s">
        <v>4472</v>
      </c>
      <c r="R490" s="7" t="s">
        <v>4471</v>
      </c>
      <c r="S490" s="7" cm="1">
        <f t="array" ref="S490">IF(T490="", "", IFERROR(MAX(--_xlfn.TEXTSPLIT(T490,"+")), T490))</f>
        <v>2050</v>
      </c>
      <c r="T490" s="7">
        <v>2050</v>
      </c>
      <c r="U490" s="7">
        <v>2021</v>
      </c>
      <c r="V490" s="109" t="s">
        <v>4470</v>
      </c>
      <c r="W490" s="7" t="str">
        <f>_xlfn.XLOOKUP(C490,Sheet1!A:A,Sheet1!B:B, "Other")</f>
        <v>Europe</v>
      </c>
      <c r="X490" s="222" t="str">
        <f>_xlfn.XLOOKUP(D490,Sheet1!D:D,Sheet1!E:E,"Other")</f>
        <v>Other</v>
      </c>
    </row>
    <row r="491" spans="1:24">
      <c r="A491" s="7" t="s">
        <v>316</v>
      </c>
      <c r="B491" s="7">
        <v>489</v>
      </c>
      <c r="C491" s="7" t="s">
        <v>207</v>
      </c>
      <c r="D491" s="109" t="s">
        <v>4467</v>
      </c>
      <c r="M491" s="7" t="str" cm="1">
        <f t="array" ref="M491">IF(N491="", "", IFERROR(MAX(--_xlfn.TEXTSPLIT(N491,"+")), N491))</f>
        <v/>
      </c>
      <c r="S491" s="7" t="str" cm="1">
        <f t="array" ref="S491">IF(T491="", "", IFERROR(MAX(--_xlfn.TEXTSPLIT(T491,"+")), T491))</f>
        <v/>
      </c>
      <c r="W491" s="7" t="str">
        <f>_xlfn.XLOOKUP(C491,Sheet1!A:A,Sheet1!B:B, "Other")</f>
        <v>Asia</v>
      </c>
      <c r="X491" s="222" t="str">
        <f>_xlfn.XLOOKUP(D491,Sheet1!D:D,Sheet1!E:E,"Other")</f>
        <v>Retail</v>
      </c>
    </row>
    <row r="492" spans="1:24">
      <c r="A492" s="7" t="s">
        <v>4317</v>
      </c>
      <c r="B492" s="7">
        <v>490</v>
      </c>
      <c r="C492" s="7" t="s">
        <v>4457</v>
      </c>
      <c r="D492" s="109" t="s">
        <v>4459</v>
      </c>
      <c r="K492" s="7" t="s">
        <v>1957</v>
      </c>
      <c r="L492" s="7" t="s">
        <v>1659</v>
      </c>
      <c r="M492" s="7" cm="1">
        <f t="array" ref="M492">IF(N492="", "", IFERROR(MAX(--_xlfn.TEXTSPLIT(N492,"+")), N492))</f>
        <v>2025</v>
      </c>
      <c r="N492" s="7">
        <v>2025</v>
      </c>
      <c r="O492" s="7">
        <v>2021</v>
      </c>
      <c r="P492" s="109" t="s">
        <v>4469</v>
      </c>
      <c r="S492" s="7" t="str" cm="1">
        <f t="array" ref="S492">IF(T492="", "", IFERROR(MAX(--_xlfn.TEXTSPLIT(T492,"+")), T492))</f>
        <v/>
      </c>
      <c r="W492" s="7" t="str">
        <f>_xlfn.XLOOKUP(C492,Sheet1!A:A,Sheet1!B:B, "Other")</f>
        <v>North America</v>
      </c>
      <c r="X492" s="222" t="str">
        <f>_xlfn.XLOOKUP(D492,Sheet1!D:D,Sheet1!E:E,"Other")</f>
        <v>Other</v>
      </c>
    </row>
    <row r="493" spans="1:24">
      <c r="A493" s="7" t="s">
        <v>294</v>
      </c>
      <c r="B493" s="7">
        <v>491</v>
      </c>
      <c r="C493" s="7" t="s">
        <v>96</v>
      </c>
      <c r="D493" s="109" t="s">
        <v>4465</v>
      </c>
      <c r="H493" s="7" t="s">
        <v>1957</v>
      </c>
      <c r="I493" s="7">
        <v>2030</v>
      </c>
      <c r="J493" s="109">
        <v>2021</v>
      </c>
      <c r="M493" s="7" t="str" cm="1">
        <f t="array" ref="M493">IF(N493="", "", IFERROR(MAX(--_xlfn.TEXTSPLIT(N493,"+")), N493))</f>
        <v/>
      </c>
      <c r="Q493" s="7" t="s">
        <v>4172</v>
      </c>
      <c r="S493" s="7" cm="1">
        <f t="array" ref="S493">IF(T493="", "", IFERROR(MAX(--_xlfn.TEXTSPLIT(T493,"+")), T493))</f>
        <v>2050</v>
      </c>
      <c r="T493" s="7">
        <v>2050</v>
      </c>
      <c r="U493" s="7">
        <v>2021</v>
      </c>
      <c r="V493" s="109" t="s">
        <v>4468</v>
      </c>
      <c r="W493" s="7" t="str">
        <f>_xlfn.XLOOKUP(C493,Sheet1!A:A,Sheet1!B:B, "Other")</f>
        <v>Europe</v>
      </c>
      <c r="X493" s="222" t="str">
        <f>_xlfn.XLOOKUP(D493,Sheet1!D:D,Sheet1!E:E,"Other")</f>
        <v>Other</v>
      </c>
    </row>
    <row r="494" spans="1:24">
      <c r="A494" s="7" t="s">
        <v>2382</v>
      </c>
      <c r="B494" s="7">
        <v>492</v>
      </c>
      <c r="C494" s="7" t="s">
        <v>4457</v>
      </c>
      <c r="D494" s="109" t="s">
        <v>4455</v>
      </c>
      <c r="E494" s="7" t="s">
        <v>4174</v>
      </c>
      <c r="F494" s="7">
        <v>2020</v>
      </c>
      <c r="G494" s="109">
        <v>2015</v>
      </c>
      <c r="H494" s="7" t="s">
        <v>4183</v>
      </c>
      <c r="I494" s="7">
        <v>2030</v>
      </c>
      <c r="J494" s="109">
        <v>2021</v>
      </c>
      <c r="M494" s="7" t="str" cm="1">
        <f t="array" ref="M494">IF(N494="", "", IFERROR(MAX(--_xlfn.TEXTSPLIT(N494,"+")), N494))</f>
        <v/>
      </c>
      <c r="S494" s="7" t="str" cm="1">
        <f t="array" ref="S494">IF(T494="", "", IFERROR(MAX(--_xlfn.TEXTSPLIT(T494,"+")), T494))</f>
        <v/>
      </c>
      <c r="W494" s="7" t="str">
        <f>_xlfn.XLOOKUP(C494,Sheet1!A:A,Sheet1!B:B, "Other")</f>
        <v>North America</v>
      </c>
      <c r="X494" s="222" t="str">
        <f>_xlfn.XLOOKUP(D494,Sheet1!D:D,Sheet1!E:E,"Other")</f>
        <v>Other</v>
      </c>
    </row>
    <row r="495" spans="1:24">
      <c r="A495" s="7" t="s">
        <v>3537</v>
      </c>
      <c r="B495" s="7">
        <v>493</v>
      </c>
      <c r="C495" s="7" t="s">
        <v>161</v>
      </c>
      <c r="D495" s="109" t="s">
        <v>4467</v>
      </c>
      <c r="M495" s="7" t="str" cm="1">
        <f t="array" ref="M495">IF(N495="", "", IFERROR(MAX(--_xlfn.TEXTSPLIT(N495,"+")), N495))</f>
        <v/>
      </c>
      <c r="Q495" s="7" t="s">
        <v>1957</v>
      </c>
      <c r="R495" s="7" t="s">
        <v>109</v>
      </c>
      <c r="S495" s="7" cm="1">
        <f t="array" ref="S495">IF(T495="", "", IFERROR(MAX(--_xlfn.TEXTSPLIT(T495,"+")), T495))</f>
        <v>2050</v>
      </c>
      <c r="T495" s="7">
        <v>2050</v>
      </c>
      <c r="U495" s="7">
        <v>2021</v>
      </c>
      <c r="V495" s="109" t="s">
        <v>4466</v>
      </c>
      <c r="W495" s="7" t="str">
        <f>_xlfn.XLOOKUP(C495,Sheet1!A:A,Sheet1!B:B, "Other")</f>
        <v>Other</v>
      </c>
      <c r="X495" s="222" t="str">
        <f>_xlfn.XLOOKUP(D495,Sheet1!D:D,Sheet1!E:E,"Other")</f>
        <v>Retail</v>
      </c>
    </row>
    <row r="496" spans="1:24">
      <c r="A496" s="7" t="s">
        <v>634</v>
      </c>
      <c r="B496" s="7">
        <v>494</v>
      </c>
      <c r="C496" s="7" t="s">
        <v>287</v>
      </c>
      <c r="D496" s="109" t="s">
        <v>4465</v>
      </c>
      <c r="E496" s="7" t="s">
        <v>4174</v>
      </c>
      <c r="F496" s="7">
        <v>2025</v>
      </c>
      <c r="G496" s="109">
        <v>2020</v>
      </c>
      <c r="H496" s="7" t="s">
        <v>1957</v>
      </c>
      <c r="I496" s="7">
        <v>2030</v>
      </c>
      <c r="J496" s="109">
        <v>2021</v>
      </c>
      <c r="K496" s="7" t="s">
        <v>1957</v>
      </c>
      <c r="L496" s="7" t="s">
        <v>1659</v>
      </c>
      <c r="M496" s="7" cm="1">
        <f t="array" ref="M496">IF(N496="", "", IFERROR(MAX(--_xlfn.TEXTSPLIT(N496,"+")), N496))</f>
        <v>2010</v>
      </c>
      <c r="N496" s="7">
        <v>2010</v>
      </c>
      <c r="O496" s="7">
        <v>2010</v>
      </c>
      <c r="P496" s="109" t="s">
        <v>4463</v>
      </c>
      <c r="Q496" s="7" t="s">
        <v>4172</v>
      </c>
      <c r="R496" s="7" t="s">
        <v>4464</v>
      </c>
      <c r="S496" s="7" cm="1">
        <f t="array" ref="S496">IF(T496="", "", IFERROR(MAX(--_xlfn.TEXTSPLIT(T496,"+")), T496))</f>
        <v>2050</v>
      </c>
      <c r="T496" s="7">
        <v>2050</v>
      </c>
      <c r="U496" s="7">
        <v>2021</v>
      </c>
      <c r="V496" s="109" t="s">
        <v>4463</v>
      </c>
      <c r="W496" s="7" t="str">
        <f>_xlfn.XLOOKUP(C496,Sheet1!A:A,Sheet1!B:B, "Other")</f>
        <v>Europe</v>
      </c>
      <c r="X496" s="222" t="str">
        <f>_xlfn.XLOOKUP(D496,Sheet1!D:D,Sheet1!E:E,"Other")</f>
        <v>Other</v>
      </c>
    </row>
    <row r="497" spans="1:24">
      <c r="A497" s="7" t="s">
        <v>1219</v>
      </c>
      <c r="B497" s="7">
        <v>495</v>
      </c>
      <c r="C497" s="7" t="s">
        <v>146</v>
      </c>
      <c r="D497" s="109" t="s">
        <v>4199</v>
      </c>
      <c r="H497" s="7" t="s">
        <v>4183</v>
      </c>
      <c r="I497" s="7">
        <v>2030</v>
      </c>
      <c r="J497" s="109">
        <v>2020</v>
      </c>
      <c r="K497" s="7" t="s">
        <v>4172</v>
      </c>
      <c r="L497" s="7" t="s">
        <v>4462</v>
      </c>
      <c r="M497" s="7" cm="1">
        <f t="array" ref="M497">IF(N497="", "", IFERROR(MAX(--_xlfn.TEXTSPLIT(N497,"+")), N497))</f>
        <v>2040</v>
      </c>
      <c r="N497" s="7">
        <v>2040</v>
      </c>
      <c r="O497" s="7">
        <v>2019</v>
      </c>
      <c r="P497" s="109" t="s">
        <v>4461</v>
      </c>
      <c r="S497" s="7" t="str" cm="1">
        <f t="array" ref="S497">IF(T497="", "", IFERROR(MAX(--_xlfn.TEXTSPLIT(T497,"+")), T497))</f>
        <v/>
      </c>
      <c r="W497" s="7" t="str">
        <f>_xlfn.XLOOKUP(C497,Sheet1!A:A,Sheet1!B:B, "Other")</f>
        <v>Europe</v>
      </c>
      <c r="X497" s="222" t="str">
        <f>_xlfn.XLOOKUP(D497,Sheet1!D:D,Sheet1!E:E,"Other")</f>
        <v>Other</v>
      </c>
    </row>
    <row r="498" spans="1:24">
      <c r="A498" s="7" t="s">
        <v>4460</v>
      </c>
      <c r="B498" s="7">
        <v>496</v>
      </c>
      <c r="C498" s="7" t="s">
        <v>858</v>
      </c>
      <c r="D498" s="109" t="s">
        <v>4179</v>
      </c>
      <c r="H498" s="7" t="s">
        <v>4183</v>
      </c>
      <c r="I498" s="7">
        <v>2030</v>
      </c>
      <c r="J498" s="109">
        <v>2020</v>
      </c>
      <c r="M498" s="7" t="str" cm="1">
        <f t="array" ref="M498">IF(N498="", "", IFERROR(MAX(--_xlfn.TEXTSPLIT(N498,"+")), N498))</f>
        <v/>
      </c>
      <c r="S498" s="7" t="str" cm="1">
        <f t="array" ref="S498">IF(T498="", "", IFERROR(MAX(--_xlfn.TEXTSPLIT(T498,"+")), T498))</f>
        <v/>
      </c>
      <c r="W498" s="7" t="str">
        <f>_xlfn.XLOOKUP(C498,Sheet1!A:A,Sheet1!B:B, "Other")</f>
        <v>Europe</v>
      </c>
      <c r="X498" s="222" t="str">
        <f>_xlfn.XLOOKUP(D498,Sheet1!D:D,Sheet1!E:E,"Other")</f>
        <v>Other</v>
      </c>
    </row>
    <row r="499" spans="1:24">
      <c r="A499" s="7" t="s">
        <v>730</v>
      </c>
      <c r="B499" s="7">
        <v>497</v>
      </c>
      <c r="C499" s="7" t="s">
        <v>287</v>
      </c>
      <c r="D499" s="109" t="s">
        <v>4459</v>
      </c>
      <c r="E499" s="7" t="s">
        <v>4174</v>
      </c>
      <c r="F499" s="7">
        <v>2030</v>
      </c>
      <c r="G499" s="109">
        <v>2021</v>
      </c>
      <c r="H499" s="7" t="s">
        <v>4183</v>
      </c>
      <c r="I499" s="7">
        <v>2030</v>
      </c>
      <c r="J499" s="109">
        <v>2021</v>
      </c>
      <c r="K499" s="7" t="s">
        <v>1957</v>
      </c>
      <c r="L499" s="7" t="s">
        <v>4223</v>
      </c>
      <c r="M499" s="7" cm="1">
        <f t="array" ref="M499">IF(N499="", "", IFERROR(MAX(--_xlfn.TEXTSPLIT(N499,"+")), N499))</f>
        <v>2030</v>
      </c>
      <c r="N499" s="7">
        <v>2030</v>
      </c>
      <c r="O499" s="7">
        <v>2020</v>
      </c>
      <c r="P499" s="109" t="s">
        <v>4458</v>
      </c>
      <c r="S499" s="7" t="str" cm="1">
        <f t="array" ref="S499">IF(T499="", "", IFERROR(MAX(--_xlfn.TEXTSPLIT(T499,"+")), T499))</f>
        <v/>
      </c>
      <c r="W499" s="7" t="str">
        <f>_xlfn.XLOOKUP(C499,Sheet1!A:A,Sheet1!B:B, "Other")</f>
        <v>Europe</v>
      </c>
      <c r="X499" s="222" t="str">
        <f>_xlfn.XLOOKUP(D499,Sheet1!D:D,Sheet1!E:E,"Other")</f>
        <v>Other</v>
      </c>
    </row>
    <row r="500" spans="1:24">
      <c r="A500" s="7" t="s">
        <v>150</v>
      </c>
      <c r="B500" s="7">
        <v>498</v>
      </c>
      <c r="C500" s="7" t="s">
        <v>4457</v>
      </c>
      <c r="D500" s="109" t="s">
        <v>4455</v>
      </c>
      <c r="H500" s="7" t="s">
        <v>4183</v>
      </c>
      <c r="I500" s="7">
        <v>2025</v>
      </c>
      <c r="J500" s="109">
        <v>2020</v>
      </c>
      <c r="M500" s="7" t="str" cm="1">
        <f t="array" ref="M500">IF(N500="", "", IFERROR(MAX(--_xlfn.TEXTSPLIT(N500,"+")), N500))</f>
        <v/>
      </c>
      <c r="Q500" s="7" t="s">
        <v>4172</v>
      </c>
      <c r="R500" s="7" t="s">
        <v>3452</v>
      </c>
      <c r="S500" s="7" cm="1">
        <f t="array" ref="S500">IF(T500="", "", IFERROR(MAX(--_xlfn.TEXTSPLIT(T500,"+")), T500))</f>
        <v>2050</v>
      </c>
      <c r="T500" s="7">
        <v>2050</v>
      </c>
      <c r="U500" s="7">
        <v>2021</v>
      </c>
      <c r="V500" s="109" t="s">
        <v>4456</v>
      </c>
      <c r="W500" s="7" t="str">
        <f>_xlfn.XLOOKUP(C500,Sheet1!A:A,Sheet1!B:B, "Other")</f>
        <v>North America</v>
      </c>
      <c r="X500" s="222" t="str">
        <f>_xlfn.XLOOKUP(D500,Sheet1!D:D,Sheet1!E:E,"Other")</f>
        <v>Other</v>
      </c>
    </row>
    <row r="501" spans="1:24">
      <c r="A501" s="7" t="s">
        <v>330</v>
      </c>
      <c r="B501" s="7">
        <v>499</v>
      </c>
      <c r="C501" s="7" t="s">
        <v>63</v>
      </c>
      <c r="D501" s="109" t="s">
        <v>4455</v>
      </c>
      <c r="E501" s="7" t="s">
        <v>4174</v>
      </c>
      <c r="F501" s="7">
        <v>2030</v>
      </c>
      <c r="G501" s="109">
        <v>2018</v>
      </c>
      <c r="H501" s="7" t="s">
        <v>4183</v>
      </c>
      <c r="I501" s="7">
        <v>2030</v>
      </c>
      <c r="J501" s="109">
        <v>2017</v>
      </c>
      <c r="K501" s="7" t="s">
        <v>4172</v>
      </c>
      <c r="L501" s="7" t="s">
        <v>3452</v>
      </c>
      <c r="M501" s="7" cm="1">
        <f t="array" ref="M501">IF(N501="", "", IFERROR(MAX(--_xlfn.TEXTSPLIT(N501,"+")), N501))</f>
        <v>2050</v>
      </c>
      <c r="N501" s="7">
        <v>2050</v>
      </c>
      <c r="O501" s="7">
        <v>2015</v>
      </c>
      <c r="P501" s="109" t="s">
        <v>3451</v>
      </c>
      <c r="S501" s="7" t="str" cm="1">
        <f t="array" ref="S501">IF(T501="", "", IFERROR(MAX(--_xlfn.TEXTSPLIT(T501,"+")), T501))</f>
        <v/>
      </c>
      <c r="W501" s="7" t="str">
        <f>_xlfn.XLOOKUP(C501,Sheet1!A:A,Sheet1!B:B, "Other")</f>
        <v>Europe</v>
      </c>
      <c r="X501" s="222" t="str">
        <f>_xlfn.XLOOKUP(D501,Sheet1!D:D,Sheet1!E:E,"Other")</f>
        <v>Other</v>
      </c>
    </row>
    <row r="502" spans="1:24">
      <c r="A502" s="7" t="s">
        <v>4454</v>
      </c>
      <c r="B502" s="7">
        <v>500</v>
      </c>
      <c r="C502" s="7" t="s">
        <v>1192</v>
      </c>
      <c r="D502" s="109" t="s">
        <v>66</v>
      </c>
      <c r="M502" s="7" t="str" cm="1">
        <f t="array" ref="M502">IF(N502="", "", IFERROR(MAX(--_xlfn.TEXTSPLIT(N502,"+")), N502))</f>
        <v/>
      </c>
      <c r="Q502" s="7" t="s">
        <v>1957</v>
      </c>
      <c r="R502" s="7" t="s">
        <v>2098</v>
      </c>
      <c r="S502" s="7" cm="1">
        <f t="array" ref="S502">IF(T502="", "", IFERROR(MAX(--_xlfn.TEXTSPLIT(T502,"+")), T502))</f>
        <v>2035</v>
      </c>
      <c r="T502" s="7">
        <v>2035</v>
      </c>
      <c r="U502" s="7">
        <v>2021</v>
      </c>
      <c r="V502" s="109" t="s">
        <v>4453</v>
      </c>
      <c r="W502" s="7" t="str">
        <f>_xlfn.XLOOKUP(C502,Sheet1!A:A,Sheet1!B:B, "Other")</f>
        <v>Other</v>
      </c>
      <c r="X502" s="222" t="str">
        <f>_xlfn.XLOOKUP(D502,Sheet1!D:D,Sheet1!E:E,"Other")</f>
        <v>Chemicals</v>
      </c>
    </row>
  </sheetData>
  <autoFilter ref="A2:V502" xr:uid="{9DF1B200-74B7-4FE0-9813-E3F69CEF8364}"/>
  <mergeCells count="8">
    <mergeCell ref="AJ3:AL3"/>
    <mergeCell ref="AM3:AO3"/>
    <mergeCell ref="AP3:AR3"/>
    <mergeCell ref="AS3:AU3"/>
    <mergeCell ref="AJ23:AL23"/>
    <mergeCell ref="AM23:AO23"/>
    <mergeCell ref="AP23:AR23"/>
    <mergeCell ref="AS23:AU23"/>
  </mergeCells>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F1528-C777-43B0-86B1-5F56B163A612}">
  <sheetPr>
    <tabColor theme="9" tint="0.79998168889431442"/>
  </sheetPr>
  <dimension ref="A1:AO505"/>
  <sheetViews>
    <sheetView topLeftCell="W5" zoomScale="70" workbookViewId="0">
      <selection activeCell="W424" sqref="W424"/>
    </sheetView>
  </sheetViews>
  <sheetFormatPr defaultColWidth="11.81640625" defaultRowHeight="15.5"/>
  <cols>
    <col min="1" max="1" width="12.7265625" style="68" customWidth="1"/>
    <col min="2" max="2" width="12.1796875" style="68" customWidth="1"/>
    <col min="3" max="3" width="15.81640625" style="68" customWidth="1"/>
    <col min="4" max="4" width="12.1796875" style="68" customWidth="1"/>
    <col min="5" max="5" width="13.1796875" style="68" customWidth="1"/>
    <col min="6" max="6" width="12.1796875" style="68" customWidth="1"/>
    <col min="7" max="7" width="13.08984375" style="68" customWidth="1"/>
    <col min="8" max="8" width="17.26953125" style="68" customWidth="1"/>
    <col min="9" max="9" width="12.1796875" style="68" customWidth="1"/>
    <col min="10" max="10" width="13.1796875" style="68" customWidth="1"/>
    <col min="11" max="11" width="29.26953125" style="68" customWidth="1"/>
    <col min="12" max="12" width="25.453125" style="68" customWidth="1"/>
    <col min="13" max="13" width="12.1796875" style="68" customWidth="1"/>
    <col min="14" max="14" width="14" style="68" customWidth="1"/>
    <col min="15" max="15" width="13.36328125" style="68" customWidth="1"/>
    <col min="16" max="16" width="40.1796875" style="68" customWidth="1"/>
    <col min="17" max="17" width="25.453125" style="68" customWidth="1"/>
    <col min="18" max="18" width="13.36328125" style="68" customWidth="1"/>
    <col min="19" max="19" width="14" style="68" customWidth="1"/>
    <col min="20" max="20" width="13.36328125" style="68" customWidth="1"/>
    <col min="21" max="21" width="16.453125" style="68" customWidth="1"/>
    <col min="22" max="22" width="12" style="68" bestFit="1" customWidth="1"/>
    <col min="23" max="23" width="34.7265625" style="68" bestFit="1" customWidth="1"/>
    <col min="24" max="16384" width="11.81640625" style="68"/>
  </cols>
  <sheetData>
    <row r="1" spans="1:39">
      <c r="A1" s="107" t="s">
        <v>31</v>
      </c>
      <c r="B1" s="70" t="s">
        <v>8295</v>
      </c>
      <c r="C1" s="70" t="s">
        <v>8296</v>
      </c>
      <c r="D1" s="70" t="s">
        <v>8297</v>
      </c>
      <c r="E1" s="108" t="s">
        <v>3034</v>
      </c>
      <c r="F1" s="107" t="s">
        <v>8298</v>
      </c>
      <c r="G1" s="107" t="s">
        <v>8299</v>
      </c>
      <c r="H1" s="108" t="s">
        <v>4452</v>
      </c>
      <c r="I1" s="107" t="s">
        <v>8300</v>
      </c>
      <c r="J1" s="107" t="s">
        <v>8301</v>
      </c>
      <c r="K1" s="108" t="s">
        <v>4451</v>
      </c>
      <c r="L1" s="107" t="s">
        <v>8302</v>
      </c>
      <c r="M1" s="107" t="s">
        <v>8303</v>
      </c>
      <c r="N1" s="107" t="s">
        <v>8304</v>
      </c>
      <c r="O1" s="107" t="s">
        <v>8305</v>
      </c>
      <c r="P1" s="108" t="s">
        <v>2909</v>
      </c>
      <c r="Q1" s="107" t="s">
        <v>8306</v>
      </c>
      <c r="R1" s="107" t="s">
        <v>8307</v>
      </c>
      <c r="S1" s="107" t="s">
        <v>8308</v>
      </c>
      <c r="T1" s="106" t="s">
        <v>8309</v>
      </c>
      <c r="U1" s="108" t="s">
        <v>8310</v>
      </c>
      <c r="V1" s="219" t="s">
        <v>8321</v>
      </c>
      <c r="W1" s="219" t="s">
        <v>8331</v>
      </c>
      <c r="X1" s="219"/>
      <c r="Y1" s="219"/>
    </row>
    <row r="2" spans="1:39" ht="34" customHeight="1">
      <c r="A2" s="100" t="s">
        <v>4450</v>
      </c>
      <c r="B2" s="105" t="s">
        <v>1944</v>
      </c>
      <c r="C2" s="105" t="s">
        <v>4449</v>
      </c>
      <c r="D2" s="104" t="s">
        <v>1915</v>
      </c>
      <c r="E2" s="103" t="s">
        <v>4448</v>
      </c>
      <c r="F2" s="100" t="s">
        <v>4443</v>
      </c>
      <c r="G2" s="100" t="s">
        <v>4163</v>
      </c>
      <c r="H2" s="102" t="s">
        <v>4447</v>
      </c>
      <c r="I2" s="100" t="s">
        <v>4443</v>
      </c>
      <c r="J2" s="100" t="s">
        <v>4163</v>
      </c>
      <c r="K2" s="102" t="s">
        <v>4446</v>
      </c>
      <c r="L2" s="101" t="s">
        <v>4444</v>
      </c>
      <c r="M2" s="100" t="s">
        <v>4443</v>
      </c>
      <c r="N2" s="100" t="s">
        <v>4163</v>
      </c>
      <c r="O2" s="99" t="s">
        <v>1916</v>
      </c>
      <c r="P2" s="102" t="s">
        <v>4445</v>
      </c>
      <c r="Q2" s="101" t="s">
        <v>4444</v>
      </c>
      <c r="R2" s="100" t="s">
        <v>4443</v>
      </c>
      <c r="S2" s="100" t="s">
        <v>4163</v>
      </c>
      <c r="T2" s="99" t="s">
        <v>1916</v>
      </c>
      <c r="U2" s="102" t="s">
        <v>4442</v>
      </c>
      <c r="V2" s="195"/>
      <c r="W2" s="195"/>
      <c r="X2" s="195"/>
      <c r="Y2" s="195"/>
    </row>
    <row r="3" spans="1:39">
      <c r="A3" s="194" t="s">
        <v>574</v>
      </c>
      <c r="B3" s="68">
        <v>382</v>
      </c>
      <c r="C3" s="68" t="s">
        <v>82</v>
      </c>
      <c r="D3" s="77" t="s">
        <v>66</v>
      </c>
      <c r="E3" s="98" t="s">
        <v>4174</v>
      </c>
      <c r="F3" s="68">
        <v>2050</v>
      </c>
      <c r="G3" s="68">
        <v>2019</v>
      </c>
      <c r="H3" s="75"/>
      <c r="K3" s="75" t="s">
        <v>1957</v>
      </c>
      <c r="L3" s="68" t="s">
        <v>1659</v>
      </c>
      <c r="M3" s="76">
        <v>2050</v>
      </c>
      <c r="N3" s="76">
        <v>2021</v>
      </c>
      <c r="O3" s="79" t="s">
        <v>4170</v>
      </c>
      <c r="P3" s="75"/>
      <c r="U3" s="75" t="s">
        <v>1</v>
      </c>
      <c r="V3" s="195" t="str" cm="1">
        <f t="array" ref="V3">_xlfn.IFS(
  C3="United States","North America",
  C3="Canada","North America",
  C3="Mexico","North America",
  C3="Bermuda","North America",
  C3="United Kingdom","Europe",
  C3="Germany","Europe",
  C3="France","Europe",
  C3="Italy","Europe",
  C3="Switzerland","Europe",
  C3="Spain","Europe",
  C3="Netherlands","Europe",
  C3="Sweden","Europe",
  C3="Norway","Europe",
  C3="Finland","Europe",
  C3="Denmark","Europe",
  C3="Russia","Europe",
  C3="China","Asia",
  C3="Japan","Asia",
  C3="Taiwan, Province of China","Asia",
  C3="Hong Kong","Asia",
  C3="South Korea","Asia",
  C3="India","Asia",
  C3="Singapore","Asia",
  C3="Thailand","Asia",
  C3="Indonesia","Asia",
  C3="Malaysia","Asia",
  TRUE,"Other"
)</f>
        <v>North America</v>
      </c>
      <c r="W3" s="195" t="str">
        <f>_xlfn.XLOOKUP(Table2[[#This Row],[Column3]],Sheet1!G:G,Sheet1!H:H)</f>
        <v>Chemicals</v>
      </c>
      <c r="X3" s="195"/>
      <c r="Y3" s="195"/>
    </row>
    <row r="4" spans="1:39">
      <c r="A4" s="194" t="s">
        <v>730</v>
      </c>
      <c r="B4" s="68">
        <v>410</v>
      </c>
      <c r="C4" s="68" t="s">
        <v>287</v>
      </c>
      <c r="D4" s="77" t="s">
        <v>4459</v>
      </c>
      <c r="E4" s="75" t="s">
        <v>4174</v>
      </c>
      <c r="F4" s="68">
        <v>2030</v>
      </c>
      <c r="G4" s="68">
        <v>2021</v>
      </c>
      <c r="H4" s="75" t="s">
        <v>4183</v>
      </c>
      <c r="I4" s="68">
        <v>2030</v>
      </c>
      <c r="J4" s="68">
        <v>2021</v>
      </c>
      <c r="K4" s="75" t="s">
        <v>1957</v>
      </c>
      <c r="L4" s="68" t="s">
        <v>4223</v>
      </c>
      <c r="M4" s="76">
        <v>2030</v>
      </c>
      <c r="N4" s="76">
        <v>2020</v>
      </c>
      <c r="O4" s="79" t="s">
        <v>4170</v>
      </c>
      <c r="P4" s="75"/>
      <c r="U4" s="75" t="s">
        <v>361</v>
      </c>
      <c r="V4" s="195" t="str" cm="1">
        <f t="array" ref="V4">_xlfn.IFS(
  C4="United States","North America",
  C4="Canada","North America",
  C4="Mexico","North America",
  C4="Bermuda","North America",
  C4="United Kingdom","Europe",
  C4="Germany","Europe",
  C4="France","Europe",
  C4="Italy","Europe",
  C4="Switzerland","Europe",
  C4="Spain","Europe",
  C4="Netherlands","Europe",
  C4="Sweden","Europe",
  C4="Norway","Europe",
  C4="Finland","Europe",
  C4="Denmark","Europe",
  C4="Russia","Europe",
  C4="China","Asia",
  C4="Japan","Asia",
  C4="Taiwan, Province of China","Asia",
  C4="Hong Kong","Asia",
  C4="South Korea","Asia",
  C4="India","Asia",
  C4="Singapore","Asia",
  C4="Thailand","Asia",
  C4="Indonesia","Asia",
  C4="Malaysia","Asia",
  TRUE,"Other"
)</f>
        <v>Europe</v>
      </c>
      <c r="W4" s="195" t="str">
        <f>_xlfn.XLOOKUP(Table2[[#This Row],[Column3]],Sheet1!G:G,Sheet1!H:H)</f>
        <v>Industrial goods</v>
      </c>
      <c r="X4" s="195"/>
      <c r="Y4" s="195"/>
    </row>
    <row r="5" spans="1:39">
      <c r="A5" s="194" t="s">
        <v>443</v>
      </c>
      <c r="B5" s="68">
        <v>350</v>
      </c>
      <c r="C5" s="68" t="s">
        <v>82</v>
      </c>
      <c r="D5" s="77" t="s">
        <v>4201</v>
      </c>
      <c r="E5" s="75"/>
      <c r="H5" s="75"/>
      <c r="K5" s="75"/>
      <c r="M5" s="76"/>
      <c r="N5" s="76"/>
      <c r="P5" s="75"/>
      <c r="U5" s="75" t="s">
        <v>1</v>
      </c>
      <c r="V5" s="195" t="str" cm="1">
        <f t="array" ref="V5">_xlfn.IFS(
  C5="United States","North America",
  C5="Canada","North America",
  C5="Mexico","North America",
  C5="Bermuda","North America",
  C5="United Kingdom","Europe",
  C5="Germany","Europe",
  C5="France","Europe",
  C5="Italy","Europe",
  C5="Switzerland","Europe",
  C5="Spain","Europe",
  C5="Netherlands","Europe",
  C5="Sweden","Europe",
  C5="Norway","Europe",
  C5="Finland","Europe",
  C5="Denmark","Europe",
  C5="Russia","Europe",
  C5="China","Asia",
  C5="Japan","Asia",
  C5="Taiwan, Province of China","Asia",
  C5="Hong Kong","Asia",
  C5="South Korea","Asia",
  C5="India","Asia",
  C5="Singapore","Asia",
  C5="Thailand","Asia",
  C5="Indonesia","Asia",
  C5="Malaysia","Asia",
  TRUE,"Other"
)</f>
        <v>North America</v>
      </c>
      <c r="W5" s="195" t="str">
        <f>_xlfn.XLOOKUP(Table2[[#This Row],[Column3]],Sheet1!G:G,Sheet1!H:H)</f>
        <v>Health care and pharmaceuticals</v>
      </c>
      <c r="X5" s="195"/>
      <c r="Y5" s="195"/>
    </row>
    <row r="6" spans="1:39">
      <c r="A6" s="194" t="s">
        <v>566</v>
      </c>
      <c r="B6" s="68">
        <v>247</v>
      </c>
      <c r="C6" s="68" t="s">
        <v>82</v>
      </c>
      <c r="D6" s="77" t="s">
        <v>4201</v>
      </c>
      <c r="E6" s="75"/>
      <c r="H6" s="75" t="s">
        <v>1957</v>
      </c>
      <c r="J6" s="68">
        <v>2021</v>
      </c>
      <c r="K6" s="75"/>
      <c r="M6" s="76"/>
      <c r="N6" s="76"/>
      <c r="P6" s="75"/>
      <c r="U6" s="75" t="s">
        <v>361</v>
      </c>
      <c r="V6" s="195" t="str" cm="1">
        <f t="array" ref="V6">_xlfn.IFS(
  C6="United States","North America",
  C6="Canada","North America",
  C6="Mexico","North America",
  C6="Bermuda","North America",
  C6="United Kingdom","Europe",
  C6="Germany","Europe",
  C6="France","Europe",
  C6="Italy","Europe",
  C6="Switzerland","Europe",
  C6="Spain","Europe",
  C6="Netherlands","Europe",
  C6="Sweden","Europe",
  C6="Norway","Europe",
  C6="Finland","Europe",
  C6="Denmark","Europe",
  C6="Russia","Europe",
  C6="China","Asia",
  C6="Japan","Asia",
  C6="Taiwan, Province of China","Asia",
  C6="Hong Kong","Asia",
  C6="South Korea","Asia",
  C6="India","Asia",
  C6="Singapore","Asia",
  C6="Thailand","Asia",
  C6="Indonesia","Asia",
  C6="Malaysia","Asia",
  TRUE,"Other"
)</f>
        <v>North America</v>
      </c>
      <c r="W6" s="195" t="str">
        <f>_xlfn.XLOOKUP(Table2[[#This Row],[Column3]],Sheet1!G:G,Sheet1!H:H)</f>
        <v>Health care and pharmaceuticals</v>
      </c>
      <c r="X6" s="195"/>
      <c r="Y6" s="195"/>
    </row>
    <row r="7" spans="1:39">
      <c r="A7" s="194" t="s">
        <v>830</v>
      </c>
      <c r="B7" s="68">
        <v>258</v>
      </c>
      <c r="C7" s="68" t="s">
        <v>400</v>
      </c>
      <c r="D7" s="77" t="s">
        <v>8316</v>
      </c>
      <c r="E7" s="75" t="s">
        <v>4174</v>
      </c>
      <c r="F7" s="68">
        <v>2023</v>
      </c>
      <c r="G7" s="68">
        <v>2019</v>
      </c>
      <c r="H7" s="75" t="s">
        <v>4183</v>
      </c>
      <c r="I7" s="68">
        <v>2025</v>
      </c>
      <c r="J7" s="68">
        <v>2018</v>
      </c>
      <c r="K7" s="75"/>
      <c r="M7" s="76"/>
      <c r="N7" s="76"/>
      <c r="P7" s="75" t="s">
        <v>4172</v>
      </c>
      <c r="Q7" s="68" t="s">
        <v>4441</v>
      </c>
      <c r="R7" s="68">
        <v>2025</v>
      </c>
      <c r="S7" s="68">
        <v>2020</v>
      </c>
      <c r="T7" s="97" t="s">
        <v>4170</v>
      </c>
      <c r="U7" s="75" t="s">
        <v>361</v>
      </c>
      <c r="V7" s="195" t="str" cm="1">
        <f t="array" ref="V7">_xlfn.IFS(
  C7="United States","North America",
  C7="Canada","North America",
  C7="Mexico","North America",
  C7="Bermuda","North America",
  C7="United Kingdom","Europe",
  C7="Germany","Europe",
  C7="France","Europe",
  C7="Italy","Europe",
  C7="Switzerland","Europe",
  C7="Spain","Europe",
  C7="Netherlands","Europe",
  C7="Sweden","Europe",
  C7="Norway","Europe",
  C7="Finland","Europe",
  C7="Denmark","Europe",
  C7="Russia","Europe",
  C7="China","Asia",
  C7="Japan","Asia",
  C7="Taiwan, Province of China","Asia",
  C7="Hong Kong","Asia",
  C7="South Korea","Asia",
  C7="India","Asia",
  C7="Singapore","Asia",
  C7="Thailand","Asia",
  C7="Indonesia","Asia",
  C7="Malaysia","Asia",
  TRUE,"Other"
)</f>
        <v>Other</v>
      </c>
      <c r="W7" s="195" t="str">
        <f>_xlfn.XLOOKUP(Table2[[#This Row],[Column3]],Sheet1!G:G,Sheet1!H:H)</f>
        <v>Financial services</v>
      </c>
      <c r="X7" s="195"/>
      <c r="Y7" s="195"/>
      <c r="Z7"/>
      <c r="AA7" s="216" t="s">
        <v>8311</v>
      </c>
      <c r="AB7" s="217"/>
      <c r="AC7" s="218"/>
      <c r="AD7" s="216" t="s">
        <v>3034</v>
      </c>
      <c r="AE7" s="217"/>
      <c r="AF7" s="218"/>
      <c r="AG7" s="216" t="s">
        <v>32</v>
      </c>
      <c r="AH7" s="217"/>
      <c r="AI7" s="218"/>
      <c r="AJ7" s="216" t="s">
        <v>2072</v>
      </c>
      <c r="AK7" s="217"/>
      <c r="AL7" s="218"/>
      <c r="AM7" s="200" t="s">
        <v>7213</v>
      </c>
    </row>
    <row r="8" spans="1:39" ht="16">
      <c r="A8" s="194" t="s">
        <v>92</v>
      </c>
      <c r="B8" s="68">
        <v>455</v>
      </c>
      <c r="C8" s="68" t="s">
        <v>96</v>
      </c>
      <c r="D8" s="77" t="s">
        <v>4465</v>
      </c>
      <c r="E8" s="75"/>
      <c r="H8" s="75"/>
      <c r="K8" s="75" t="s">
        <v>1957</v>
      </c>
      <c r="L8" s="68" t="s">
        <v>1659</v>
      </c>
      <c r="M8" s="76">
        <v>2011</v>
      </c>
      <c r="N8" s="76">
        <v>2011</v>
      </c>
      <c r="O8" s="78" t="s">
        <v>4170</v>
      </c>
      <c r="P8" s="75"/>
      <c r="U8" s="75" t="s">
        <v>361</v>
      </c>
      <c r="V8" s="195" t="str" cm="1">
        <f t="array" ref="V8">_xlfn.IFS(
  C8="United States","North America",
  C8="Canada","North America",
  C8="Mexico","North America",
  C8="Bermuda","North America",
  C8="United Kingdom","Europe",
  C8="Germany","Europe",
  C8="France","Europe",
  C8="Italy","Europe",
  C8="Switzerland","Europe",
  C8="Spain","Europe",
  C8="Netherlands","Europe",
  C8="Sweden","Europe",
  C8="Norway","Europe",
  C8="Finland","Europe",
  C8="Denmark","Europe",
  C8="Russia","Europe",
  C8="China","Asia",
  C8="Japan","Asia",
  C8="Taiwan, Province of China","Asia",
  C8="Hong Kong","Asia",
  C8="South Korea","Asia",
  C8="India","Asia",
  C8="Singapore","Asia",
  C8="Thailand","Asia",
  C8="Indonesia","Asia",
  C8="Malaysia","Asia",
  TRUE,"Other"
)</f>
        <v>Europe</v>
      </c>
      <c r="W8" s="195" t="str">
        <f>_xlfn.XLOOKUP(Table2[[#This Row],[Column3]],Sheet1!G:G,Sheet1!H:H)</f>
        <v>Financial services</v>
      </c>
      <c r="X8" s="195"/>
      <c r="Y8" s="195"/>
      <c r="Z8" s="200" t="s">
        <v>1915</v>
      </c>
      <c r="AA8" s="201" t="s">
        <v>8312</v>
      </c>
      <c r="AB8" s="201" t="s">
        <v>8313</v>
      </c>
      <c r="AC8" s="201" t="s">
        <v>8314</v>
      </c>
      <c r="AD8" s="201" t="s">
        <v>8312</v>
      </c>
      <c r="AE8" s="201" t="s">
        <v>8313</v>
      </c>
      <c r="AF8" s="201" t="s">
        <v>8314</v>
      </c>
      <c r="AG8" s="201" t="s">
        <v>8312</v>
      </c>
      <c r="AH8" s="201" t="s">
        <v>8313</v>
      </c>
      <c r="AI8" s="201" t="s">
        <v>8314</v>
      </c>
      <c r="AJ8" s="201" t="s">
        <v>8312</v>
      </c>
      <c r="AK8" s="201" t="s">
        <v>8313</v>
      </c>
      <c r="AL8" s="201" t="s">
        <v>8314</v>
      </c>
      <c r="AM8" s="201"/>
    </row>
    <row r="9" spans="1:39">
      <c r="A9" s="194" t="s">
        <v>927</v>
      </c>
      <c r="B9" s="68">
        <v>295</v>
      </c>
      <c r="C9" s="68" t="s">
        <v>267</v>
      </c>
      <c r="D9" s="77" t="s">
        <v>4197</v>
      </c>
      <c r="E9" s="75"/>
      <c r="H9" s="75"/>
      <c r="K9" s="75"/>
      <c r="M9" s="76"/>
      <c r="N9" s="76"/>
      <c r="P9" s="75"/>
      <c r="R9" s="95"/>
      <c r="S9" s="95"/>
      <c r="U9" s="75" t="s">
        <v>1</v>
      </c>
      <c r="V9" s="195" t="str" cm="1">
        <f t="array" ref="V9">_xlfn.IFS(
  C9="United States","North America",
  C9="Canada","North America",
  C9="Mexico","North America",
  C9="Bermuda","North America",
  C9="United Kingdom","Europe",
  C9="Germany","Europe",
  C9="France","Europe",
  C9="Italy","Europe",
  C9="Switzerland","Europe",
  C9="Spain","Europe",
  C9="Netherlands","Europe",
  C9="Sweden","Europe",
  C9="Norway","Europe",
  C9="Finland","Europe",
  C9="Denmark","Europe",
  C9="Russia","Europe",
  C9="China","Asia",
  C9="Japan","Asia",
  C9="Taiwan, Province of China","Asia",
  C9="Hong Kong","Asia",
  C9="South Korea","Asia",
  C9="India","Asia",
  C9="Singapore","Asia",
  C9="Thailand","Asia",
  C9="Indonesia","Asia",
  C9="Malaysia","Asia",
  TRUE,"Other"
)</f>
        <v>Europe</v>
      </c>
      <c r="W9" s="195" t="str">
        <f>_xlfn.XLOOKUP(Table2[[#This Row],[Column3]],Sheet1!G:G,Sheet1!H:H)</f>
        <v>Engineering and construction</v>
      </c>
      <c r="X9" s="195"/>
      <c r="Y9" s="195"/>
      <c r="Z9" s="202" t="s">
        <v>4260</v>
      </c>
      <c r="AA9" s="199">
        <f>COUNTIFS($W$3:$W$502,Z9,$I$3:$I$502,"&lt;=2021")</f>
        <v>0</v>
      </c>
      <c r="AB9" s="199">
        <f>COUNTIFS($W$3:$W$502,Z9,$I$3:$I$502,"&gt;=2022",$I$3:$I$502,"&lt;=2030")</f>
        <v>1</v>
      </c>
      <c r="AC9" s="199">
        <f>COUNTIFS($W$3:$W$502,Z9,$I$3:$I$502,"&gt;2030")</f>
        <v>0</v>
      </c>
      <c r="AD9" s="199">
        <f>COUNTIFS($W$3:$W$502,Z9,$F$3:$F$502,"&lt;=2021")</f>
        <v>0</v>
      </c>
      <c r="AE9" s="199">
        <f>COUNTIFS($W$3:$W$502,Z9,$F$3:$F$502,"&gt;=2022",$F$3:$F$502,"&lt;=2030")</f>
        <v>0</v>
      </c>
      <c r="AF9" s="199">
        <f>COUNTIFS($W$3:$W$502,Z9,$F$3:$F$502,"&gt;2030")</f>
        <v>0</v>
      </c>
      <c r="AG9" s="199">
        <f>COUNTIFS($W$3:$W$502,Z9,$M$3:$M$502,"&lt;=2021")</f>
        <v>0</v>
      </c>
      <c r="AH9" s="199">
        <f>COUNTIFS($W$3:$W$502,Z9,$M$3:$M$502,"&gt;=2022",$M$3:$M$502,"&lt;=2030")</f>
        <v>0</v>
      </c>
      <c r="AI9" s="199">
        <f>COUNTIFS($W$3:$W$502,Z9,$M$3:$M$502,"&gt;2030")</f>
        <v>0</v>
      </c>
      <c r="AJ9" s="199">
        <f>COUNTIFS($W$3:$W$502,Z9,$R$3:$R$502,"&lt;=2021")</f>
        <v>1</v>
      </c>
      <c r="AK9" s="199">
        <f>COUNTIFS($W$3:$W$502,Z9,$R$3:$R$502,"&gt;=2022",$R$3:$R$502,"&lt;=2030")</f>
        <v>1</v>
      </c>
      <c r="AL9" s="199">
        <f>COUNTIFS($W$3:$W$502,Z9,$R$3:$R$502,"&gt;2030")</f>
        <v>0</v>
      </c>
      <c r="AM9" s="199">
        <f>SUM(AA9:AL9)</f>
        <v>3</v>
      </c>
    </row>
    <row r="10" spans="1:39" ht="16">
      <c r="A10" s="194" t="s">
        <v>4068</v>
      </c>
      <c r="B10" s="68">
        <v>172</v>
      </c>
      <c r="C10" s="68" t="s">
        <v>96</v>
      </c>
      <c r="D10" s="77" t="s">
        <v>4465</v>
      </c>
      <c r="E10" s="75"/>
      <c r="H10" s="75"/>
      <c r="K10" s="75" t="s">
        <v>1957</v>
      </c>
      <c r="L10" s="68" t="s">
        <v>418</v>
      </c>
      <c r="M10" s="76">
        <v>2016</v>
      </c>
      <c r="N10" s="76">
        <v>2016</v>
      </c>
      <c r="O10" s="78" t="s">
        <v>4170</v>
      </c>
      <c r="P10" s="75"/>
      <c r="R10" s="95"/>
      <c r="U10" s="75" t="s">
        <v>361</v>
      </c>
      <c r="V10" s="195" t="str" cm="1">
        <f t="array" ref="V10">_xlfn.IFS(
  C10="United States","North America",
  C10="Canada","North America",
  C10="Mexico","North America",
  C10="Bermuda","North America",
  C10="United Kingdom","Europe",
  C10="Germany","Europe",
  C10="France","Europe",
  C10="Italy","Europe",
  C10="Switzerland","Europe",
  C10="Spain","Europe",
  C10="Netherlands","Europe",
  C10="Sweden","Europe",
  C10="Norway","Europe",
  C10="Finland","Europe",
  C10="Denmark","Europe",
  C10="Russia","Europe",
  C10="China","Asia",
  C10="Japan","Asia",
  C10="Taiwan, Province of China","Asia",
  C10="Hong Kong","Asia",
  C10="South Korea","Asia",
  C10="India","Asia",
  C10="Singapore","Asia",
  C10="Thailand","Asia",
  C10="Indonesia","Asia",
  C10="Malaysia","Asia",
  TRUE,"Other"
)</f>
        <v>Europe</v>
      </c>
      <c r="W10" s="195" t="str">
        <f>_xlfn.XLOOKUP(Table2[[#This Row],[Column3]],Sheet1!G:G,Sheet1!H:H)</f>
        <v>Financial services</v>
      </c>
      <c r="X10" s="195"/>
      <c r="Y10" s="195"/>
      <c r="Z10" s="202" t="s">
        <v>4476</v>
      </c>
      <c r="AA10" s="199">
        <f t="shared" ref="AA10:AA25" si="0">COUNTIFS($W$3:$W$502,Z10,$I$3:$I$502,"&lt;=2021")</f>
        <v>0</v>
      </c>
      <c r="AB10" s="199">
        <f t="shared" ref="AB10:AB25" si="1">COUNTIFS($W$3:$W$502,Z10,$I$3:$I$502,"&gt;=2022",$I$3:$I$502,"&lt;=2030")</f>
        <v>6</v>
      </c>
      <c r="AC10" s="199">
        <f t="shared" ref="AC10:AC25" si="2">COUNTIFS($W$3:$W$502,Z10,$I$3:$I$502,"&gt;2030")</f>
        <v>2</v>
      </c>
      <c r="AD10" s="199">
        <f t="shared" ref="AD10:AD25" si="3">COUNTIFS($W$3:$W$502,Z10,$F$3:$F$502,"&lt;=2021")</f>
        <v>0</v>
      </c>
      <c r="AE10" s="199">
        <f t="shared" ref="AE10:AE25" si="4">COUNTIFS($W$3:$W$502,Z10,$F$3:$F$502,"&gt;=2022",$F$3:$F$502,"&lt;=2030")</f>
        <v>4</v>
      </c>
      <c r="AF10" s="199">
        <f t="shared" ref="AF10:AF25" si="5">COUNTIFS($W$3:$W$502,Z10,$F$3:$F$502,"&gt;2030")</f>
        <v>3</v>
      </c>
      <c r="AG10" s="199">
        <f t="shared" ref="AG10:AG25" si="6">COUNTIFS($W$3:$W$502,Z10,$M$3:$M$502,"&lt;=2021")</f>
        <v>2</v>
      </c>
      <c r="AH10" s="199">
        <f t="shared" ref="AH10:AH25" si="7">COUNTIFS($W$3:$W$502,Z10,$M$3:$M$502,"&gt;=2022",$M$3:$M$502,"&lt;=2030")</f>
        <v>3</v>
      </c>
      <c r="AI10" s="199">
        <f t="shared" ref="AI10:AI25" si="8">COUNTIFS($W$3:$W$502,Z10,$M$3:$M$502,"&gt;2030")</f>
        <v>9</v>
      </c>
      <c r="AJ10" s="199">
        <f t="shared" ref="AJ10:AJ25" si="9">COUNTIFS($W$3:$W$502,Z10,$R$3:$R$502,"&lt;=2021")</f>
        <v>0</v>
      </c>
      <c r="AK10" s="199">
        <f t="shared" ref="AK10:AK25" si="10">COUNTIFS($W$3:$W$502,Z10,$R$3:$R$502,"&gt;=2022",$R$3:$R$502,"&lt;=2030")</f>
        <v>0</v>
      </c>
      <c r="AL10" s="199">
        <f t="shared" ref="AL10:AL25" si="11">COUNTIFS($W$3:$W$502,Z10,$R$3:$R$502,"&gt;2030")</f>
        <v>7</v>
      </c>
      <c r="AM10" s="199">
        <f t="shared" ref="AM10:AM25" si="12">SUM(AA10:AL10)</f>
        <v>36</v>
      </c>
    </row>
    <row r="11" spans="1:39">
      <c r="A11" s="194" t="s">
        <v>1453</v>
      </c>
      <c r="B11" s="68">
        <v>100</v>
      </c>
      <c r="C11" s="68" t="s">
        <v>207</v>
      </c>
      <c r="D11" s="77" t="s">
        <v>4455</v>
      </c>
      <c r="E11" s="75" t="s">
        <v>4174</v>
      </c>
      <c r="F11" s="68">
        <v>2050</v>
      </c>
      <c r="G11" s="68">
        <v>2018</v>
      </c>
      <c r="H11" s="75" t="s">
        <v>4183</v>
      </c>
      <c r="I11" s="68">
        <v>2030</v>
      </c>
      <c r="J11" s="68">
        <v>2019</v>
      </c>
      <c r="K11" s="75"/>
      <c r="M11" s="76"/>
      <c r="N11" s="76"/>
      <c r="P11" s="75" t="s">
        <v>1957</v>
      </c>
      <c r="Q11" s="68" t="s">
        <v>4440</v>
      </c>
      <c r="R11" s="68">
        <v>2050</v>
      </c>
      <c r="S11" s="68">
        <v>2018</v>
      </c>
      <c r="T11" s="79" t="s">
        <v>4170</v>
      </c>
      <c r="U11" s="75" t="s">
        <v>361</v>
      </c>
      <c r="V11" s="195" t="str" cm="1">
        <f t="array" ref="V11">_xlfn.IFS(
  C11="United States","North America",
  C11="Canada","North America",
  C11="Mexico","North America",
  C11="Bermuda","North America",
  C11="United Kingdom","Europe",
  C11="Germany","Europe",
  C11="France","Europe",
  C11="Italy","Europe",
  C11="Switzerland","Europe",
  C11="Spain","Europe",
  C11="Netherlands","Europe",
  C11="Sweden","Europe",
  C11="Norway","Europe",
  C11="Finland","Europe",
  C11="Denmark","Europe",
  C11="Russia","Europe",
  C11="China","Asia",
  C11="Japan","Asia",
  C11="Taiwan, Province of China","Asia",
  C11="Hong Kong","Asia",
  C11="South Korea","Asia",
  C11="India","Asia",
  C11="Singapore","Asia",
  C11="Thailand","Asia",
  C11="Indonesia","Asia",
  C11="Malaysia","Asia",
  TRUE,"Other"
)</f>
        <v>Asia</v>
      </c>
      <c r="W11" s="195" t="str">
        <f>_xlfn.XLOOKUP(Table2[[#This Row],[Column3]],Sheet1!G:G,Sheet1!H:H)</f>
        <v>Food, beverages and agriculture</v>
      </c>
      <c r="X11" s="195"/>
      <c r="Y11" s="195"/>
      <c r="Z11" s="202" t="s">
        <v>66</v>
      </c>
      <c r="AA11" s="199">
        <f t="shared" si="0"/>
        <v>0</v>
      </c>
      <c r="AB11" s="199">
        <f t="shared" si="1"/>
        <v>0</v>
      </c>
      <c r="AC11" s="199">
        <f t="shared" si="2"/>
        <v>0</v>
      </c>
      <c r="AD11" s="199">
        <f t="shared" si="3"/>
        <v>0</v>
      </c>
      <c r="AE11" s="199">
        <f t="shared" si="4"/>
        <v>0</v>
      </c>
      <c r="AF11" s="199">
        <f t="shared" si="5"/>
        <v>1</v>
      </c>
      <c r="AG11" s="199">
        <f t="shared" si="6"/>
        <v>0</v>
      </c>
      <c r="AH11" s="199">
        <f t="shared" si="7"/>
        <v>2</v>
      </c>
      <c r="AI11" s="199">
        <f t="shared" si="8"/>
        <v>3</v>
      </c>
      <c r="AJ11" s="199">
        <f t="shared" si="9"/>
        <v>0</v>
      </c>
      <c r="AK11" s="199">
        <f t="shared" si="10"/>
        <v>0</v>
      </c>
      <c r="AL11" s="199">
        <f t="shared" si="11"/>
        <v>1</v>
      </c>
      <c r="AM11" s="199">
        <f t="shared" si="12"/>
        <v>7</v>
      </c>
    </row>
    <row r="12" spans="1:39">
      <c r="A12" s="194" t="s">
        <v>1763</v>
      </c>
      <c r="B12" s="68">
        <v>29</v>
      </c>
      <c r="C12" s="68" t="s">
        <v>73</v>
      </c>
      <c r="D12" s="77" t="s">
        <v>4465</v>
      </c>
      <c r="E12" s="75"/>
      <c r="H12" s="75"/>
      <c r="K12" s="75"/>
      <c r="M12" s="76"/>
      <c r="N12" s="76"/>
      <c r="P12" s="75"/>
      <c r="U12" s="75" t="s">
        <v>1</v>
      </c>
      <c r="V12" s="195" t="str" cm="1">
        <f t="array" ref="V12">_xlfn.IFS(
  C12="United States","North America",
  C12="Canada","North America",
  C12="Mexico","North America",
  C12="Bermuda","North America",
  C12="United Kingdom","Europe",
  C12="Germany","Europe",
  C12="France","Europe",
  C12="Italy","Europe",
  C12="Switzerland","Europe",
  C12="Spain","Europe",
  C12="Netherlands","Europe",
  C12="Sweden","Europe",
  C12="Norway","Europe",
  C12="Finland","Europe",
  C12="Denmark","Europe",
  C12="Russia","Europe",
  C12="China","Asia",
  C12="Japan","Asia",
  C12="Taiwan, Province of China","Asia",
  C12="Hong Kong","Asia",
  C12="South Korea","Asia",
  C12="India","Asia",
  C12="Singapore","Asia",
  C12="Thailand","Asia",
  C12="Indonesia","Asia",
  C12="Malaysia","Asia",
  TRUE,"Other"
)</f>
        <v>Asia</v>
      </c>
      <c r="W12" s="195" t="str">
        <f>_xlfn.XLOOKUP(Table2[[#This Row],[Column3]],Sheet1!G:G,Sheet1!H:H)</f>
        <v>Financial services</v>
      </c>
      <c r="X12" s="195"/>
      <c r="Y12" s="195"/>
      <c r="Z12" s="202" t="s">
        <v>4199</v>
      </c>
      <c r="AA12" s="199">
        <f t="shared" si="0"/>
        <v>0</v>
      </c>
      <c r="AB12" s="199">
        <f t="shared" si="1"/>
        <v>5</v>
      </c>
      <c r="AC12" s="199">
        <f t="shared" si="2"/>
        <v>0</v>
      </c>
      <c r="AD12" s="199">
        <f t="shared" si="3"/>
        <v>0</v>
      </c>
      <c r="AE12" s="199">
        <f t="shared" si="4"/>
        <v>1</v>
      </c>
      <c r="AF12" s="199">
        <f t="shared" si="5"/>
        <v>0</v>
      </c>
      <c r="AG12" s="199">
        <f t="shared" si="6"/>
        <v>1</v>
      </c>
      <c r="AH12" s="199">
        <f t="shared" si="7"/>
        <v>2</v>
      </c>
      <c r="AI12" s="199">
        <f t="shared" si="8"/>
        <v>6</v>
      </c>
      <c r="AJ12" s="199">
        <f t="shared" si="9"/>
        <v>0</v>
      </c>
      <c r="AK12" s="199">
        <f t="shared" si="10"/>
        <v>0</v>
      </c>
      <c r="AL12" s="199">
        <f t="shared" si="11"/>
        <v>5</v>
      </c>
      <c r="AM12" s="199">
        <f t="shared" si="12"/>
        <v>20</v>
      </c>
    </row>
    <row r="13" spans="1:39">
      <c r="A13" s="194" t="s">
        <v>539</v>
      </c>
      <c r="B13" s="68">
        <v>213</v>
      </c>
      <c r="C13" s="68" t="s">
        <v>73</v>
      </c>
      <c r="D13" s="77" t="s">
        <v>4465</v>
      </c>
      <c r="E13" s="75"/>
      <c r="H13" s="75"/>
      <c r="K13" s="75"/>
      <c r="M13" s="76"/>
      <c r="N13" s="76"/>
      <c r="P13" s="75"/>
      <c r="U13" s="75" t="s">
        <v>1</v>
      </c>
      <c r="V13" s="195" t="str" cm="1">
        <f t="array" ref="V13">_xlfn.IFS(
  C13="United States","North America",
  C13="Canada","North America",
  C13="Mexico","North America",
  C13="Bermuda","North America",
  C13="United Kingdom","Europe",
  C13="Germany","Europe",
  C13="France","Europe",
  C13="Italy","Europe",
  C13="Switzerland","Europe",
  C13="Spain","Europe",
  C13="Netherlands","Europe",
  C13="Sweden","Europe",
  C13="Norway","Europe",
  C13="Finland","Europe",
  C13="Denmark","Europe",
  C13="Russia","Europe",
  C13="China","Asia",
  C13="Japan","Asia",
  C13="Taiwan, Province of China","Asia",
  C13="Hong Kong","Asia",
  C13="South Korea","Asia",
  C13="India","Asia",
  C13="Singapore","Asia",
  C13="Thailand","Asia",
  C13="Indonesia","Asia",
  C13="Malaysia","Asia",
  TRUE,"Other"
)</f>
        <v>Asia</v>
      </c>
      <c r="W13" s="195" t="str">
        <f>_xlfn.XLOOKUP(Table2[[#This Row],[Column3]],Sheet1!G:G,Sheet1!H:H)</f>
        <v>Financial services</v>
      </c>
      <c r="X13" s="195"/>
      <c r="Y13" s="195"/>
      <c r="Z13" s="202" t="s">
        <v>4197</v>
      </c>
      <c r="AA13" s="199">
        <f t="shared" si="0"/>
        <v>0</v>
      </c>
      <c r="AB13" s="199">
        <f t="shared" si="1"/>
        <v>1</v>
      </c>
      <c r="AC13" s="199">
        <f t="shared" si="2"/>
        <v>0</v>
      </c>
      <c r="AD13" s="199">
        <f t="shared" si="3"/>
        <v>0</v>
      </c>
      <c r="AE13" s="199">
        <f t="shared" si="4"/>
        <v>0</v>
      </c>
      <c r="AF13" s="199">
        <f t="shared" si="5"/>
        <v>0</v>
      </c>
      <c r="AG13" s="199">
        <f t="shared" si="6"/>
        <v>0</v>
      </c>
      <c r="AH13" s="199">
        <f t="shared" si="7"/>
        <v>0</v>
      </c>
      <c r="AI13" s="199">
        <f t="shared" si="8"/>
        <v>0</v>
      </c>
      <c r="AJ13" s="199">
        <f t="shared" si="9"/>
        <v>0</v>
      </c>
      <c r="AK13" s="199">
        <f t="shared" si="10"/>
        <v>0</v>
      </c>
      <c r="AL13" s="199">
        <f t="shared" si="11"/>
        <v>2</v>
      </c>
      <c r="AM13" s="199">
        <f t="shared" si="12"/>
        <v>3</v>
      </c>
    </row>
    <row r="14" spans="1:39">
      <c r="A14" s="194" t="s">
        <v>1431</v>
      </c>
      <c r="B14" s="68">
        <v>179</v>
      </c>
      <c r="C14" s="68" t="s">
        <v>96</v>
      </c>
      <c r="D14" s="77" t="s">
        <v>4260</v>
      </c>
      <c r="E14" s="75"/>
      <c r="H14" s="75"/>
      <c r="K14" s="75"/>
      <c r="M14" s="76"/>
      <c r="N14" s="76"/>
      <c r="P14" s="75"/>
      <c r="U14" s="75" t="s">
        <v>1</v>
      </c>
      <c r="V14" s="195" t="str" cm="1">
        <f t="array" ref="V14">_xlfn.IFS(
  C14="United States","North America",
  C14="Canada","North America",
  C14="Mexico","North America",
  C14="Bermuda","North America",
  C14="United Kingdom","Europe",
  C14="Germany","Europe",
  C14="France","Europe",
  C14="Italy","Europe",
  C14="Switzerland","Europe",
  C14="Spain","Europe",
  C14="Netherlands","Europe",
  C14="Sweden","Europe",
  C14="Norway","Europe",
  C14="Finland","Europe",
  C14="Denmark","Europe",
  C14="Russia","Europe",
  C14="China","Asia",
  C14="Japan","Asia",
  C14="Taiwan, Province of China","Asia",
  C14="Hong Kong","Asia",
  C14="South Korea","Asia",
  C14="India","Asia",
  C14="Singapore","Asia",
  C14="Thailand","Asia",
  C14="Indonesia","Asia",
  C14="Malaysia","Asia",
  TRUE,"Other"
)</f>
        <v>Europe</v>
      </c>
      <c r="W14" s="195" t="str">
        <f>_xlfn.XLOOKUP(Table2[[#This Row],[Column3]],Sheet1!G:G,Sheet1!H:H)</f>
        <v>Aerospace and defense</v>
      </c>
      <c r="X14" s="195"/>
      <c r="Y14" s="195"/>
      <c r="Z14" s="202" t="s">
        <v>4465</v>
      </c>
      <c r="AA14" s="199">
        <f t="shared" si="0"/>
        <v>0</v>
      </c>
      <c r="AB14" s="199">
        <f t="shared" si="1"/>
        <v>14</v>
      </c>
      <c r="AC14" s="199">
        <f t="shared" si="2"/>
        <v>1</v>
      </c>
      <c r="AD14" s="199">
        <f t="shared" si="3"/>
        <v>10</v>
      </c>
      <c r="AE14" s="199">
        <f t="shared" si="4"/>
        <v>13</v>
      </c>
      <c r="AF14" s="199">
        <f t="shared" si="5"/>
        <v>1</v>
      </c>
      <c r="AG14" s="199">
        <f t="shared" si="6"/>
        <v>24</v>
      </c>
      <c r="AH14" s="199">
        <f t="shared" si="7"/>
        <v>9</v>
      </c>
      <c r="AI14" s="199">
        <f t="shared" si="8"/>
        <v>11</v>
      </c>
      <c r="AJ14" s="199">
        <f t="shared" si="9"/>
        <v>2</v>
      </c>
      <c r="AK14" s="199">
        <f t="shared" si="10"/>
        <v>7</v>
      </c>
      <c r="AL14" s="199">
        <f t="shared" si="11"/>
        <v>35</v>
      </c>
      <c r="AM14" s="199">
        <f t="shared" si="12"/>
        <v>127</v>
      </c>
    </row>
    <row r="15" spans="1:39" ht="16">
      <c r="A15" s="194" t="s">
        <v>4439</v>
      </c>
      <c r="B15" s="68">
        <v>365</v>
      </c>
      <c r="C15" s="68" t="s">
        <v>207</v>
      </c>
      <c r="D15" s="77" t="s">
        <v>4476</v>
      </c>
      <c r="E15" s="75"/>
      <c r="H15" s="75"/>
      <c r="K15" s="75" t="s">
        <v>4213</v>
      </c>
      <c r="L15" s="68" t="s">
        <v>4438</v>
      </c>
      <c r="M15" s="76">
        <v>2030</v>
      </c>
      <c r="N15" s="76">
        <v>2021</v>
      </c>
      <c r="O15" s="78" t="s">
        <v>4170</v>
      </c>
      <c r="P15" s="75" t="s">
        <v>4217</v>
      </c>
      <c r="Q15" s="68" t="s">
        <v>4437</v>
      </c>
      <c r="R15" s="68">
        <v>2050</v>
      </c>
      <c r="S15" s="68">
        <v>2021</v>
      </c>
      <c r="T15" s="82" t="s">
        <v>4170</v>
      </c>
      <c r="U15" s="75" t="s">
        <v>1</v>
      </c>
      <c r="V15" s="195" t="str" cm="1">
        <f t="array" ref="V15">_xlfn.IFS(
  C15="United States","North America",
  C15="Canada","North America",
  C15="Mexico","North America",
  C15="Bermuda","North America",
  C15="United Kingdom","Europe",
  C15="Germany","Europe",
  C15="France","Europe",
  C15="Italy","Europe",
  C15="Switzerland","Europe",
  C15="Spain","Europe",
  C15="Netherlands","Europe",
  C15="Sweden","Europe",
  C15="Norway","Europe",
  C15="Finland","Europe",
  C15="Denmark","Europe",
  C15="Russia","Europe",
  C15="China","Asia",
  C15="Japan","Asia",
  C15="Taiwan, Province of China","Asia",
  C15="Hong Kong","Asia",
  C15="South Korea","Asia",
  C15="India","Asia",
  C15="Singapore","Asia",
  C15="Thailand","Asia",
  C15="Indonesia","Asia",
  C15="Malaysia","Asia",
  TRUE,"Other"
)</f>
        <v>Asia</v>
      </c>
      <c r="W15" s="195" t="str">
        <f>_xlfn.XLOOKUP(Table2[[#This Row],[Column3]],Sheet1!G:G,Sheet1!H:H)</f>
        <v>Automotive</v>
      </c>
      <c r="X15" s="195"/>
      <c r="Y15" s="195"/>
      <c r="Z15" s="202" t="s">
        <v>4455</v>
      </c>
      <c r="AA15" s="199">
        <f t="shared" si="0"/>
        <v>0</v>
      </c>
      <c r="AB15" s="199">
        <f t="shared" si="1"/>
        <v>13</v>
      </c>
      <c r="AC15" s="199">
        <f t="shared" si="2"/>
        <v>0</v>
      </c>
      <c r="AD15" s="199">
        <f t="shared" si="3"/>
        <v>1</v>
      </c>
      <c r="AE15" s="199">
        <f t="shared" si="4"/>
        <v>3</v>
      </c>
      <c r="AF15" s="199">
        <f t="shared" si="5"/>
        <v>3</v>
      </c>
      <c r="AG15" s="199">
        <f t="shared" si="6"/>
        <v>1</v>
      </c>
      <c r="AH15" s="199">
        <f t="shared" si="7"/>
        <v>4</v>
      </c>
      <c r="AI15" s="199">
        <f t="shared" si="8"/>
        <v>4</v>
      </c>
      <c r="AJ15" s="199">
        <f t="shared" si="9"/>
        <v>0</v>
      </c>
      <c r="AK15" s="199">
        <f t="shared" si="10"/>
        <v>0</v>
      </c>
      <c r="AL15" s="199">
        <f t="shared" si="11"/>
        <v>10</v>
      </c>
      <c r="AM15" s="199">
        <f t="shared" si="12"/>
        <v>39</v>
      </c>
    </row>
    <row r="16" spans="1:39">
      <c r="A16" s="194" t="s">
        <v>4032</v>
      </c>
      <c r="B16" s="68">
        <v>133</v>
      </c>
      <c r="C16" s="68" t="s">
        <v>82</v>
      </c>
      <c r="D16" s="77" t="s">
        <v>4455</v>
      </c>
      <c r="E16" s="75"/>
      <c r="H16" s="75" t="s">
        <v>1957</v>
      </c>
      <c r="J16" s="68">
        <v>2021</v>
      </c>
      <c r="K16" s="75"/>
      <c r="M16" s="76"/>
      <c r="N16" s="76"/>
      <c r="P16" s="75"/>
      <c r="U16" s="75" t="s">
        <v>361</v>
      </c>
      <c r="V16" s="195" t="str" cm="1">
        <f t="array" ref="V16">_xlfn.IFS(
  C16="United States","North America",
  C16="Canada","North America",
  C16="Mexico","North America",
  C16="Bermuda","North America",
  C16="United Kingdom","Europe",
  C16="Germany","Europe",
  C16="France","Europe",
  C16="Italy","Europe",
  C16="Switzerland","Europe",
  C16="Spain","Europe",
  C16="Netherlands","Europe",
  C16="Sweden","Europe",
  C16="Norway","Europe",
  C16="Finland","Europe",
  C16="Denmark","Europe",
  C16="Russia","Europe",
  C16="China","Asia",
  C16="Japan","Asia",
  C16="Taiwan, Province of China","Asia",
  C16="Hong Kong","Asia",
  C16="South Korea","Asia",
  C16="India","Asia",
  C16="Singapore","Asia",
  C16="Thailand","Asia",
  C16="Indonesia","Asia",
  C16="Malaysia","Asia",
  TRUE,"Other"
)</f>
        <v>North America</v>
      </c>
      <c r="W16" s="195" t="str">
        <f>_xlfn.XLOOKUP(Table2[[#This Row],[Column3]],Sheet1!G:G,Sheet1!H:H)</f>
        <v>Food, beverages and agriculture</v>
      </c>
      <c r="X16" s="195"/>
      <c r="Y16" s="195"/>
      <c r="Z16" s="202" t="s">
        <v>4201</v>
      </c>
      <c r="AA16" s="199">
        <f t="shared" si="0"/>
        <v>0</v>
      </c>
      <c r="AB16" s="199">
        <f t="shared" si="1"/>
        <v>5</v>
      </c>
      <c r="AC16" s="199">
        <f t="shared" si="2"/>
        <v>0</v>
      </c>
      <c r="AD16" s="199">
        <f t="shared" si="3"/>
        <v>0</v>
      </c>
      <c r="AE16" s="199">
        <f t="shared" si="4"/>
        <v>4</v>
      </c>
      <c r="AF16" s="199">
        <f t="shared" si="5"/>
        <v>1</v>
      </c>
      <c r="AG16" s="199">
        <f t="shared" si="6"/>
        <v>0</v>
      </c>
      <c r="AH16" s="199">
        <f t="shared" si="7"/>
        <v>7</v>
      </c>
      <c r="AI16" s="199">
        <f t="shared" si="8"/>
        <v>4</v>
      </c>
      <c r="AJ16" s="199">
        <f t="shared" si="9"/>
        <v>1</v>
      </c>
      <c r="AK16" s="199">
        <f t="shared" si="10"/>
        <v>2</v>
      </c>
      <c r="AL16" s="199">
        <f t="shared" si="11"/>
        <v>4</v>
      </c>
      <c r="AM16" s="199">
        <f t="shared" si="12"/>
        <v>28</v>
      </c>
    </row>
    <row r="17" spans="1:39">
      <c r="A17" s="194" t="s">
        <v>4436</v>
      </c>
      <c r="B17" s="68">
        <v>494</v>
      </c>
      <c r="C17" s="68" t="s">
        <v>207</v>
      </c>
      <c r="D17" s="77" t="s">
        <v>4201</v>
      </c>
      <c r="E17" s="75"/>
      <c r="H17" s="75"/>
      <c r="K17" s="75"/>
      <c r="M17" s="76"/>
      <c r="N17" s="76"/>
      <c r="P17" s="75"/>
      <c r="U17" s="75" t="s">
        <v>1</v>
      </c>
      <c r="V17" s="195" t="str" cm="1">
        <f t="array" ref="V17">_xlfn.IFS(
  C17="United States","North America",
  C17="Canada","North America",
  C17="Mexico","North America",
  C17="Bermuda","North America",
  C17="United Kingdom","Europe",
  C17="Germany","Europe",
  C17="France","Europe",
  C17="Italy","Europe",
  C17="Switzerland","Europe",
  C17="Spain","Europe",
  C17="Netherlands","Europe",
  C17="Sweden","Europe",
  C17="Norway","Europe",
  C17="Finland","Europe",
  C17="Denmark","Europe",
  C17="Russia","Europe",
  C17="China","Asia",
  C17="Japan","Asia",
  C17="Taiwan, Province of China","Asia",
  C17="Hong Kong","Asia",
  C17="South Korea","Asia",
  C17="India","Asia",
  C17="Singapore","Asia",
  C17="Thailand","Asia",
  C17="Indonesia","Asia",
  C17="Malaysia","Asia",
  TRUE,"Other"
)</f>
        <v>Asia</v>
      </c>
      <c r="W17" s="195" t="str">
        <f>_xlfn.XLOOKUP(Table2[[#This Row],[Column3]],Sheet1!G:G,Sheet1!H:H)</f>
        <v>Health care and pharmaceuticals</v>
      </c>
      <c r="X17" s="195"/>
      <c r="Y17" s="195"/>
      <c r="Z17" s="202" t="s">
        <v>4643</v>
      </c>
      <c r="AA17" s="199">
        <f t="shared" si="0"/>
        <v>0</v>
      </c>
      <c r="AB17" s="199">
        <f t="shared" si="1"/>
        <v>1</v>
      </c>
      <c r="AC17" s="199">
        <f t="shared" si="2"/>
        <v>0</v>
      </c>
      <c r="AD17" s="199">
        <f t="shared" si="3"/>
        <v>0</v>
      </c>
      <c r="AE17" s="199">
        <f t="shared" si="4"/>
        <v>0</v>
      </c>
      <c r="AF17" s="199">
        <f t="shared" si="5"/>
        <v>0</v>
      </c>
      <c r="AG17" s="199">
        <f t="shared" si="6"/>
        <v>0</v>
      </c>
      <c r="AH17" s="199">
        <f t="shared" si="7"/>
        <v>1</v>
      </c>
      <c r="AI17" s="199">
        <f t="shared" si="8"/>
        <v>0</v>
      </c>
      <c r="AJ17" s="199">
        <f t="shared" si="9"/>
        <v>0</v>
      </c>
      <c r="AK17" s="199">
        <f t="shared" si="10"/>
        <v>0</v>
      </c>
      <c r="AL17" s="199">
        <f t="shared" si="11"/>
        <v>1</v>
      </c>
      <c r="AM17" s="199">
        <f t="shared" si="12"/>
        <v>3</v>
      </c>
    </row>
    <row r="18" spans="1:39">
      <c r="A18" s="194" t="s">
        <v>1221</v>
      </c>
      <c r="B18" s="68">
        <v>63</v>
      </c>
      <c r="C18" s="68" t="s">
        <v>73</v>
      </c>
      <c r="D18" s="77" t="s">
        <v>186</v>
      </c>
      <c r="E18" s="75"/>
      <c r="H18" s="75"/>
      <c r="K18" s="75"/>
      <c r="M18" s="76"/>
      <c r="N18" s="76"/>
      <c r="P18" s="75"/>
      <c r="U18" s="75" t="s">
        <v>1</v>
      </c>
      <c r="V18" s="195" t="str" cm="1">
        <f t="array" ref="V18">_xlfn.IFS(
  C18="United States","North America",
  C18="Canada","North America",
  C18="Mexico","North America",
  C18="Bermuda","North America",
  C18="United Kingdom","Europe",
  C18="Germany","Europe",
  C18="France","Europe",
  C18="Italy","Europe",
  C18="Switzerland","Europe",
  C18="Spain","Europe",
  C18="Netherlands","Europe",
  C18="Sweden","Europe",
  C18="Norway","Europe",
  C18="Finland","Europe",
  C18="Denmark","Europe",
  C18="Russia","Europe",
  C18="China","Asia",
  C18="Japan","Asia",
  C18="Taiwan, Province of China","Asia",
  C18="Hong Kong","Asia",
  C18="South Korea","Asia",
  C18="India","Asia",
  C18="Singapore","Asia",
  C18="Thailand","Asia",
  C18="Indonesia","Asia",
  C18="Malaysia","Asia",
  TRUE,"Other"
)</f>
        <v>Asia</v>
      </c>
      <c r="W18" s="195" t="str">
        <f>_xlfn.XLOOKUP(Table2[[#This Row],[Column3]],Sheet1!G:G,Sheet1!H:H)</f>
        <v>Technology</v>
      </c>
      <c r="X18" s="195"/>
      <c r="Y18" s="195"/>
      <c r="Z18" s="202" t="s">
        <v>4459</v>
      </c>
      <c r="AA18" s="199">
        <f t="shared" si="0"/>
        <v>0</v>
      </c>
      <c r="AB18" s="199">
        <f t="shared" si="1"/>
        <v>1</v>
      </c>
      <c r="AC18" s="199">
        <f t="shared" si="2"/>
        <v>0</v>
      </c>
      <c r="AD18" s="199">
        <f t="shared" si="3"/>
        <v>0</v>
      </c>
      <c r="AE18" s="199">
        <f t="shared" si="4"/>
        <v>1</v>
      </c>
      <c r="AF18" s="199">
        <f t="shared" si="5"/>
        <v>0</v>
      </c>
      <c r="AG18" s="199">
        <f t="shared" si="6"/>
        <v>1</v>
      </c>
      <c r="AH18" s="199">
        <f t="shared" si="7"/>
        <v>2</v>
      </c>
      <c r="AI18" s="199">
        <f t="shared" si="8"/>
        <v>6</v>
      </c>
      <c r="AJ18" s="199">
        <f t="shared" si="9"/>
        <v>0</v>
      </c>
      <c r="AK18" s="199">
        <f t="shared" si="10"/>
        <v>1</v>
      </c>
      <c r="AL18" s="199">
        <f t="shared" si="11"/>
        <v>7</v>
      </c>
      <c r="AM18" s="199">
        <f t="shared" si="12"/>
        <v>19</v>
      </c>
    </row>
    <row r="19" spans="1:39">
      <c r="A19" s="194" t="s">
        <v>1130</v>
      </c>
      <c r="B19" s="68">
        <v>191</v>
      </c>
      <c r="C19" s="68" t="s">
        <v>78</v>
      </c>
      <c r="D19" s="77" t="s">
        <v>4467</v>
      </c>
      <c r="E19" s="75"/>
      <c r="H19" s="75"/>
      <c r="K19" s="75"/>
      <c r="M19" s="76"/>
      <c r="N19" s="76"/>
      <c r="P19" s="75"/>
      <c r="U19" s="75" t="s">
        <v>1</v>
      </c>
      <c r="V19" s="195" t="str" cm="1">
        <f t="array" ref="V19">_xlfn.IFS(
  C19="United States","North America",
  C19="Canada","North America",
  C19="Mexico","North America",
  C19="Bermuda","North America",
  C19="United Kingdom","Europe",
  C19="Germany","Europe",
  C19="France","Europe",
  C19="Italy","Europe",
  C19="Switzerland","Europe",
  C19="Spain","Europe",
  C19="Netherlands","Europe",
  C19="Sweden","Europe",
  C19="Norway","Europe",
  C19="Finland","Europe",
  C19="Denmark","Europe",
  C19="Russia","Europe",
  C19="China","Asia",
  C19="Japan","Asia",
  C19="Taiwan, Province of China","Asia",
  C19="Hong Kong","Asia",
  C19="South Korea","Asia",
  C19="India","Asia",
  C19="Singapore","Asia",
  C19="Thailand","Asia",
  C19="Indonesia","Asia",
  C19="Malaysia","Asia",
  TRUE,"Other"
)</f>
        <v>North America</v>
      </c>
      <c r="W19" s="195" t="str">
        <f>_xlfn.XLOOKUP(Table2[[#This Row],[Column3]],Sheet1!G:G,Sheet1!H:H)</f>
        <v>Retail</v>
      </c>
      <c r="X19" s="195"/>
      <c r="Y19" s="195"/>
      <c r="Z19" s="202" t="s">
        <v>4494</v>
      </c>
      <c r="AA19" s="199">
        <f t="shared" si="0"/>
        <v>0</v>
      </c>
      <c r="AB19" s="199">
        <f t="shared" si="1"/>
        <v>0</v>
      </c>
      <c r="AC19" s="199">
        <f t="shared" si="2"/>
        <v>0</v>
      </c>
      <c r="AD19" s="199">
        <f t="shared" si="3"/>
        <v>0</v>
      </c>
      <c r="AE19" s="199">
        <f t="shared" si="4"/>
        <v>0</v>
      </c>
      <c r="AF19" s="199">
        <f t="shared" si="5"/>
        <v>0</v>
      </c>
      <c r="AG19" s="199">
        <f t="shared" si="6"/>
        <v>0</v>
      </c>
      <c r="AH19" s="199">
        <f t="shared" si="7"/>
        <v>0</v>
      </c>
      <c r="AI19" s="199">
        <f t="shared" si="8"/>
        <v>0</v>
      </c>
      <c r="AJ19" s="199">
        <f t="shared" si="9"/>
        <v>0</v>
      </c>
      <c r="AK19" s="199">
        <f t="shared" si="10"/>
        <v>0</v>
      </c>
      <c r="AL19" s="199">
        <f t="shared" si="11"/>
        <v>0</v>
      </c>
      <c r="AM19" s="199">
        <f t="shared" si="12"/>
        <v>0</v>
      </c>
    </row>
    <row r="20" spans="1:39" ht="16">
      <c r="A20" s="194" t="s">
        <v>1731</v>
      </c>
      <c r="B20" s="68">
        <v>38</v>
      </c>
      <c r="C20" s="68" t="s">
        <v>146</v>
      </c>
      <c r="D20" s="77" t="s">
        <v>4465</v>
      </c>
      <c r="E20" s="75" t="s">
        <v>4174</v>
      </c>
      <c r="F20" s="68">
        <v>2023</v>
      </c>
      <c r="G20" s="68">
        <v>2018</v>
      </c>
      <c r="H20" s="75" t="s">
        <v>1957</v>
      </c>
      <c r="J20" s="68">
        <v>2018</v>
      </c>
      <c r="K20" s="75" t="s">
        <v>1957</v>
      </c>
      <c r="L20" s="68" t="s">
        <v>4223</v>
      </c>
      <c r="M20" s="76">
        <v>2012</v>
      </c>
      <c r="N20" s="76">
        <v>2012</v>
      </c>
      <c r="O20" s="78" t="s">
        <v>4170</v>
      </c>
      <c r="P20" s="75" t="s">
        <v>4172</v>
      </c>
      <c r="Q20" s="68" t="s">
        <v>4435</v>
      </c>
      <c r="R20" s="68">
        <v>2050</v>
      </c>
      <c r="S20" s="68">
        <v>2021</v>
      </c>
      <c r="T20" s="82" t="s">
        <v>4170</v>
      </c>
      <c r="U20" s="75" t="s">
        <v>361</v>
      </c>
      <c r="V20" s="195" t="str" cm="1">
        <f t="array" ref="V20">_xlfn.IFS(
  C20="United States","North America",
  C20="Canada","North America",
  C20="Mexico","North America",
  C20="Bermuda","North America",
  C20="United Kingdom","Europe",
  C20="Germany","Europe",
  C20="France","Europe",
  C20="Italy","Europe",
  C20="Switzerland","Europe",
  C20="Spain","Europe",
  C20="Netherlands","Europe",
  C20="Sweden","Europe",
  C20="Norway","Europe",
  C20="Finland","Europe",
  C20="Denmark","Europe",
  C20="Russia","Europe",
  C20="China","Asia",
  C20="Japan","Asia",
  C20="Taiwan, Province of China","Asia",
  C20="Hong Kong","Asia",
  C20="South Korea","Asia",
  C20="India","Asia",
  C20="Singapore","Asia",
  C20="Thailand","Asia",
  C20="Indonesia","Asia",
  C20="Malaysia","Asia",
  TRUE,"Other"
)</f>
        <v>Europe</v>
      </c>
      <c r="W20" s="195" t="str">
        <f>_xlfn.XLOOKUP(Table2[[#This Row],[Column3]],Sheet1!G:G,Sheet1!H:H)</f>
        <v>Financial services</v>
      </c>
      <c r="X20" s="195"/>
      <c r="Y20" s="195"/>
      <c r="Z20" s="202" t="s">
        <v>3498</v>
      </c>
      <c r="AA20" s="199">
        <f t="shared" si="0"/>
        <v>0</v>
      </c>
      <c r="AB20" s="199">
        <f t="shared" si="1"/>
        <v>5</v>
      </c>
      <c r="AC20" s="199">
        <f t="shared" si="2"/>
        <v>0</v>
      </c>
      <c r="AD20" s="199">
        <f t="shared" si="3"/>
        <v>1</v>
      </c>
      <c r="AE20" s="199">
        <f t="shared" si="4"/>
        <v>1</v>
      </c>
      <c r="AF20" s="199">
        <f t="shared" si="5"/>
        <v>1</v>
      </c>
      <c r="AG20" s="199">
        <f t="shared" si="6"/>
        <v>1</v>
      </c>
      <c r="AH20" s="199">
        <f t="shared" si="7"/>
        <v>5</v>
      </c>
      <c r="AI20" s="199">
        <f t="shared" si="8"/>
        <v>4</v>
      </c>
      <c r="AJ20" s="199">
        <f t="shared" si="9"/>
        <v>0</v>
      </c>
      <c r="AK20" s="199">
        <f t="shared" si="10"/>
        <v>0</v>
      </c>
      <c r="AL20" s="199">
        <f t="shared" si="11"/>
        <v>10</v>
      </c>
      <c r="AM20" s="199">
        <f t="shared" si="12"/>
        <v>28</v>
      </c>
    </row>
    <row r="21" spans="1:39">
      <c r="A21" s="194" t="s">
        <v>798</v>
      </c>
      <c r="B21" s="68">
        <v>254</v>
      </c>
      <c r="C21" s="68" t="s">
        <v>82</v>
      </c>
      <c r="D21" s="77" t="s">
        <v>4465</v>
      </c>
      <c r="E21" s="75"/>
      <c r="H21" s="75"/>
      <c r="K21" s="75"/>
      <c r="M21" s="76"/>
      <c r="N21" s="76"/>
      <c r="P21" s="75"/>
      <c r="U21" s="75" t="s">
        <v>1</v>
      </c>
      <c r="V21" s="195" t="str" cm="1">
        <f t="array" ref="V21">_xlfn.IFS(
  C21="United States","North America",
  C21="Canada","North America",
  C21="Mexico","North America",
  C21="Bermuda","North America",
  C21="United Kingdom","Europe",
  C21="Germany","Europe",
  C21="France","Europe",
  C21="Italy","Europe",
  C21="Switzerland","Europe",
  C21="Spain","Europe",
  C21="Netherlands","Europe",
  C21="Sweden","Europe",
  C21="Norway","Europe",
  C21="Finland","Europe",
  C21="Denmark","Europe",
  C21="Russia","Europe",
  C21="China","Asia",
  C21="Japan","Asia",
  C21="Taiwan, Province of China","Asia",
  C21="Hong Kong","Asia",
  C21="South Korea","Asia",
  C21="India","Asia",
  C21="Singapore","Asia",
  C21="Thailand","Asia",
  C21="Indonesia","Asia",
  C21="Malaysia","Asia",
  TRUE,"Other"
)</f>
        <v>North America</v>
      </c>
      <c r="W21" s="195" t="str">
        <f>_xlfn.XLOOKUP(Table2[[#This Row],[Column3]],Sheet1!G:G,Sheet1!H:H)</f>
        <v>Financial services</v>
      </c>
      <c r="X21" s="195"/>
      <c r="Y21" s="195"/>
      <c r="Z21" s="202" t="s">
        <v>976</v>
      </c>
      <c r="AA21" s="199">
        <f t="shared" si="0"/>
        <v>0</v>
      </c>
      <c r="AB21" s="199">
        <f t="shared" si="1"/>
        <v>1</v>
      </c>
      <c r="AC21" s="199">
        <f t="shared" si="2"/>
        <v>0</v>
      </c>
      <c r="AD21" s="199">
        <f t="shared" si="3"/>
        <v>0</v>
      </c>
      <c r="AE21" s="199">
        <f t="shared" si="4"/>
        <v>0</v>
      </c>
      <c r="AF21" s="199">
        <f t="shared" si="5"/>
        <v>1</v>
      </c>
      <c r="AG21" s="199">
        <f t="shared" si="6"/>
        <v>1</v>
      </c>
      <c r="AH21" s="199">
        <f t="shared" si="7"/>
        <v>0</v>
      </c>
      <c r="AI21" s="199">
        <f t="shared" si="8"/>
        <v>1</v>
      </c>
      <c r="AJ21" s="199">
        <f t="shared" si="9"/>
        <v>0</v>
      </c>
      <c r="AK21" s="199">
        <f t="shared" si="10"/>
        <v>0</v>
      </c>
      <c r="AL21" s="199">
        <f t="shared" si="11"/>
        <v>1</v>
      </c>
      <c r="AM21" s="199">
        <f t="shared" si="12"/>
        <v>5</v>
      </c>
    </row>
    <row r="22" spans="1:39" ht="16">
      <c r="A22" s="194" t="s">
        <v>1759</v>
      </c>
      <c r="B22" s="68">
        <v>21</v>
      </c>
      <c r="C22" s="68" t="s">
        <v>82</v>
      </c>
      <c r="D22" s="77" t="s">
        <v>186</v>
      </c>
      <c r="E22" s="75" t="s">
        <v>4174</v>
      </c>
      <c r="F22" s="68">
        <v>2017</v>
      </c>
      <c r="G22" s="68">
        <v>2015</v>
      </c>
      <c r="H22" s="75"/>
      <c r="K22" s="75" t="s">
        <v>1957</v>
      </c>
      <c r="L22" s="68" t="s">
        <v>1659</v>
      </c>
      <c r="M22" s="76">
        <v>2007</v>
      </c>
      <c r="N22" s="76">
        <v>2007</v>
      </c>
      <c r="O22" s="78" t="s">
        <v>4170</v>
      </c>
      <c r="P22" s="75"/>
      <c r="U22" s="75" t="s">
        <v>361</v>
      </c>
      <c r="V22" s="195" t="str" cm="1">
        <f t="array" ref="V22">_xlfn.IFS(
  C22="United States","North America",
  C22="Canada","North America",
  C22="Mexico","North America",
  C22="Bermuda","North America",
  C22="United Kingdom","Europe",
  C22="Germany","Europe",
  C22="France","Europe",
  C22="Italy","Europe",
  C22="Switzerland","Europe",
  C22="Spain","Europe",
  C22="Netherlands","Europe",
  C22="Sweden","Europe",
  C22="Norway","Europe",
  C22="Finland","Europe",
  C22="Denmark","Europe",
  C22="Russia","Europe",
  C22="China","Asia",
  C22="Japan","Asia",
  C22="Taiwan, Province of China","Asia",
  C22="Hong Kong","Asia",
  C22="South Korea","Asia",
  C22="India","Asia",
  C22="Singapore","Asia",
  C22="Thailand","Asia",
  C22="Indonesia","Asia",
  C22="Malaysia","Asia",
  TRUE,"Other"
)</f>
        <v>North America</v>
      </c>
      <c r="W22" s="195" t="str">
        <f>_xlfn.XLOOKUP(Table2[[#This Row],[Column3]],Sheet1!G:G,Sheet1!H:H)</f>
        <v>Technology</v>
      </c>
      <c r="X22" s="195"/>
      <c r="Y22" s="195"/>
      <c r="Z22" s="202" t="s">
        <v>4467</v>
      </c>
      <c r="AA22" s="199">
        <f t="shared" si="0"/>
        <v>0</v>
      </c>
      <c r="AB22" s="199">
        <f t="shared" si="1"/>
        <v>5</v>
      </c>
      <c r="AC22" s="199">
        <f t="shared" si="2"/>
        <v>0</v>
      </c>
      <c r="AD22" s="199">
        <f t="shared" si="3"/>
        <v>1</v>
      </c>
      <c r="AE22" s="199">
        <f t="shared" si="4"/>
        <v>2</v>
      </c>
      <c r="AF22" s="199">
        <f t="shared" si="5"/>
        <v>0</v>
      </c>
      <c r="AG22" s="199">
        <f t="shared" si="6"/>
        <v>0</v>
      </c>
      <c r="AH22" s="199">
        <f t="shared" si="7"/>
        <v>2</v>
      </c>
      <c r="AI22" s="199">
        <f t="shared" si="8"/>
        <v>2</v>
      </c>
      <c r="AJ22" s="199">
        <f t="shared" si="9"/>
        <v>0</v>
      </c>
      <c r="AK22" s="199">
        <f t="shared" si="10"/>
        <v>2</v>
      </c>
      <c r="AL22" s="199">
        <f t="shared" si="11"/>
        <v>2</v>
      </c>
      <c r="AM22" s="199">
        <f t="shared" si="12"/>
        <v>16</v>
      </c>
    </row>
    <row r="23" spans="1:39">
      <c r="A23" s="194" t="s">
        <v>987</v>
      </c>
      <c r="B23" s="68">
        <v>198</v>
      </c>
      <c r="C23" s="68" t="s">
        <v>73</v>
      </c>
      <c r="D23" s="77" t="s">
        <v>8317</v>
      </c>
      <c r="E23" s="75"/>
      <c r="H23" s="75"/>
      <c r="K23" s="75"/>
      <c r="M23" s="76"/>
      <c r="N23" s="76"/>
      <c r="P23" s="75"/>
      <c r="U23" s="75" t="s">
        <v>1</v>
      </c>
      <c r="V23" s="195" t="str" cm="1">
        <f t="array" ref="V23">_xlfn.IFS(
  C23="United States","North America",
  C23="Canada","North America",
  C23="Mexico","North America",
  C23="Bermuda","North America",
  C23="United Kingdom","Europe",
  C23="Germany","Europe",
  C23="France","Europe",
  C23="Italy","Europe",
  C23="Switzerland","Europe",
  C23="Spain","Europe",
  C23="Netherlands","Europe",
  C23="Sweden","Europe",
  C23="Norway","Europe",
  C23="Finland","Europe",
  C23="Denmark","Europe",
  C23="Russia","Europe",
  C23="China","Asia",
  C23="Japan","Asia",
  C23="Taiwan, Province of China","Asia",
  C23="Hong Kong","Asia",
  C23="South Korea","Asia",
  C23="India","Asia",
  C23="Singapore","Asia",
  C23="Thailand","Asia",
  C23="Indonesia","Asia",
  C23="Malaysia","Asia",
  TRUE,"Other"
)</f>
        <v>Asia</v>
      </c>
      <c r="W23" s="195" t="str">
        <f>_xlfn.XLOOKUP(Table2[[#This Row],[Column3]],Sheet1!G:G,Sheet1!H:H)</f>
        <v>Metals and mining</v>
      </c>
      <c r="X23" s="195"/>
      <c r="Y23" s="195"/>
      <c r="Z23" s="202" t="s">
        <v>186</v>
      </c>
      <c r="AA23" s="199">
        <f t="shared" si="0"/>
        <v>0</v>
      </c>
      <c r="AB23" s="199">
        <f t="shared" si="1"/>
        <v>15</v>
      </c>
      <c r="AC23" s="199">
        <f t="shared" si="2"/>
        <v>0</v>
      </c>
      <c r="AD23" s="199">
        <f t="shared" si="3"/>
        <v>5</v>
      </c>
      <c r="AE23" s="199">
        <f t="shared" si="4"/>
        <v>3</v>
      </c>
      <c r="AF23" s="199">
        <f t="shared" si="5"/>
        <v>5</v>
      </c>
      <c r="AG23" s="199">
        <f t="shared" si="6"/>
        <v>5</v>
      </c>
      <c r="AH23" s="199">
        <f t="shared" si="7"/>
        <v>5</v>
      </c>
      <c r="AI23" s="199">
        <f t="shared" si="8"/>
        <v>3</v>
      </c>
      <c r="AJ23" s="199">
        <f t="shared" si="9"/>
        <v>1</v>
      </c>
      <c r="AK23" s="199">
        <f t="shared" si="10"/>
        <v>4</v>
      </c>
      <c r="AL23" s="199">
        <f t="shared" si="11"/>
        <v>11</v>
      </c>
      <c r="AM23" s="199">
        <f t="shared" si="12"/>
        <v>57</v>
      </c>
    </row>
    <row r="24" spans="1:39">
      <c r="A24" s="194" t="s">
        <v>3995</v>
      </c>
      <c r="B24" s="68">
        <v>3</v>
      </c>
      <c r="C24" s="68" t="s">
        <v>82</v>
      </c>
      <c r="D24" s="77" t="s">
        <v>4467</v>
      </c>
      <c r="E24" s="75"/>
      <c r="H24" s="75" t="s">
        <v>1957</v>
      </c>
      <c r="J24" s="68">
        <v>2020</v>
      </c>
      <c r="K24" s="75"/>
      <c r="M24" s="76"/>
      <c r="N24" s="76"/>
      <c r="P24" s="75" t="s">
        <v>1957</v>
      </c>
      <c r="Q24" s="68" t="s">
        <v>4282</v>
      </c>
      <c r="R24" s="68">
        <v>2040</v>
      </c>
      <c r="S24" s="68">
        <v>2019</v>
      </c>
      <c r="T24" s="80" t="s">
        <v>4170</v>
      </c>
      <c r="U24" s="75" t="s">
        <v>361</v>
      </c>
      <c r="V24" s="195" t="str" cm="1">
        <f t="array" ref="V24">_xlfn.IFS(
  C24="United States","North America",
  C24="Canada","North America",
  C24="Mexico","North America",
  C24="Bermuda","North America",
  C24="United Kingdom","Europe",
  C24="Germany","Europe",
  C24="France","Europe",
  C24="Italy","Europe",
  C24="Switzerland","Europe",
  C24="Spain","Europe",
  C24="Netherlands","Europe",
  C24="Sweden","Europe",
  C24="Norway","Europe",
  C24="Finland","Europe",
  C24="Denmark","Europe",
  C24="Russia","Europe",
  C24="China","Asia",
  C24="Japan","Asia",
  C24="Taiwan, Province of China","Asia",
  C24="Hong Kong","Asia",
  C24="South Korea","Asia",
  C24="India","Asia",
  C24="Singapore","Asia",
  C24="Thailand","Asia",
  C24="Indonesia","Asia",
  C24="Malaysia","Asia",
  TRUE,"Other"
)</f>
        <v>North America</v>
      </c>
      <c r="W24" s="195" t="str">
        <f>_xlfn.XLOOKUP(Table2[[#This Row],[Column3]],Sheet1!G:G,Sheet1!H:H)</f>
        <v>Retail</v>
      </c>
      <c r="X24" s="195"/>
      <c r="Y24" s="195"/>
      <c r="Z24" s="202" t="s">
        <v>4190</v>
      </c>
      <c r="AA24" s="199">
        <f t="shared" si="0"/>
        <v>0</v>
      </c>
      <c r="AB24" s="199">
        <f t="shared" si="1"/>
        <v>7</v>
      </c>
      <c r="AC24" s="199">
        <f t="shared" si="2"/>
        <v>1</v>
      </c>
      <c r="AD24" s="199">
        <f t="shared" si="3"/>
        <v>2</v>
      </c>
      <c r="AE24" s="199">
        <f t="shared" si="4"/>
        <v>2</v>
      </c>
      <c r="AF24" s="199">
        <f t="shared" si="5"/>
        <v>1</v>
      </c>
      <c r="AG24" s="199">
        <f t="shared" si="6"/>
        <v>0</v>
      </c>
      <c r="AH24" s="199">
        <f t="shared" si="7"/>
        <v>3</v>
      </c>
      <c r="AI24" s="199">
        <f t="shared" si="8"/>
        <v>8</v>
      </c>
      <c r="AJ24" s="199">
        <f t="shared" si="9"/>
        <v>0</v>
      </c>
      <c r="AK24" s="199">
        <f t="shared" si="10"/>
        <v>0</v>
      </c>
      <c r="AL24" s="199">
        <f t="shared" si="11"/>
        <v>6</v>
      </c>
      <c r="AM24" s="199">
        <f t="shared" si="12"/>
        <v>30</v>
      </c>
    </row>
    <row r="25" spans="1:39">
      <c r="A25" s="194" t="s">
        <v>1451</v>
      </c>
      <c r="B25" s="68">
        <v>68</v>
      </c>
      <c r="C25" s="68" t="s">
        <v>73</v>
      </c>
      <c r="D25" s="77" t="s">
        <v>4459</v>
      </c>
      <c r="E25" s="75"/>
      <c r="H25" s="75"/>
      <c r="K25" s="75"/>
      <c r="M25" s="76"/>
      <c r="N25" s="76"/>
      <c r="P25" s="75"/>
      <c r="U25" s="75" t="s">
        <v>1</v>
      </c>
      <c r="V25" s="195" t="str" cm="1">
        <f t="array" ref="V25">_xlfn.IFS(
  C25="United States","North America",
  C25="Canada","North America",
  C25="Mexico","North America",
  C25="Bermuda","North America",
  C25="United Kingdom","Europe",
  C25="Germany","Europe",
  C25="France","Europe",
  C25="Italy","Europe",
  C25="Switzerland","Europe",
  C25="Spain","Europe",
  C25="Netherlands","Europe",
  C25="Sweden","Europe",
  C25="Norway","Europe",
  C25="Finland","Europe",
  C25="Denmark","Europe",
  C25="Russia","Europe",
  C25="China","Asia",
  C25="Japan","Asia",
  C25="Taiwan, Province of China","Asia",
  C25="Hong Kong","Asia",
  C25="South Korea","Asia",
  C25="India","Asia",
  C25="Singapore","Asia",
  C25="Thailand","Asia",
  C25="Indonesia","Asia",
  C25="Malaysia","Asia",
  TRUE,"Other"
)</f>
        <v>Asia</v>
      </c>
      <c r="W25" s="195" t="str">
        <f>_xlfn.XLOOKUP(Table2[[#This Row],[Column3]],Sheet1!G:G,Sheet1!H:H)</f>
        <v>Industrial goods</v>
      </c>
      <c r="X25" s="195"/>
      <c r="Y25" s="195"/>
      <c r="Z25" s="202" t="s">
        <v>4179</v>
      </c>
      <c r="AA25" s="199">
        <f t="shared" si="0"/>
        <v>0</v>
      </c>
      <c r="AB25" s="199">
        <f t="shared" si="1"/>
        <v>2</v>
      </c>
      <c r="AC25" s="199">
        <f t="shared" si="2"/>
        <v>0</v>
      </c>
      <c r="AD25" s="199">
        <f t="shared" si="3"/>
        <v>1</v>
      </c>
      <c r="AE25" s="199">
        <f t="shared" si="4"/>
        <v>0</v>
      </c>
      <c r="AF25" s="199">
        <f t="shared" si="5"/>
        <v>1</v>
      </c>
      <c r="AG25" s="199">
        <f t="shared" si="6"/>
        <v>1</v>
      </c>
      <c r="AH25" s="199">
        <f t="shared" si="7"/>
        <v>1</v>
      </c>
      <c r="AI25" s="199">
        <f t="shared" si="8"/>
        <v>4</v>
      </c>
      <c r="AJ25" s="199">
        <f t="shared" si="9"/>
        <v>0</v>
      </c>
      <c r="AK25" s="199">
        <f t="shared" si="10"/>
        <v>0</v>
      </c>
      <c r="AL25" s="199">
        <f t="shared" si="11"/>
        <v>2</v>
      </c>
      <c r="AM25" s="199">
        <f t="shared" si="12"/>
        <v>12</v>
      </c>
    </row>
    <row r="26" spans="1:39" ht="16">
      <c r="A26" s="194" t="s">
        <v>1180</v>
      </c>
      <c r="B26" s="68">
        <v>237</v>
      </c>
      <c r="C26" s="68" t="s">
        <v>82</v>
      </c>
      <c r="D26" s="77" t="s">
        <v>4467</v>
      </c>
      <c r="E26" s="75"/>
      <c r="H26" s="75" t="s">
        <v>4183</v>
      </c>
      <c r="I26" s="68">
        <v>2030</v>
      </c>
      <c r="J26" s="68">
        <v>2020</v>
      </c>
      <c r="K26" s="75" t="s">
        <v>1957</v>
      </c>
      <c r="L26" s="68" t="s">
        <v>1659</v>
      </c>
      <c r="M26" s="76">
        <v>2050</v>
      </c>
      <c r="N26" s="76">
        <v>2019</v>
      </c>
      <c r="O26" s="78" t="s">
        <v>4170</v>
      </c>
      <c r="P26" s="75"/>
      <c r="U26" s="75" t="s">
        <v>361</v>
      </c>
      <c r="V26" s="195" t="str" cm="1">
        <f t="array" ref="V26">_xlfn.IFS(
  C26="United States","North America",
  C26="Canada","North America",
  C26="Mexico","North America",
  C26="Bermuda","North America",
  C26="United Kingdom","Europe",
  C26="Germany","Europe",
  C26="France","Europe",
  C26="Italy","Europe",
  C26="Switzerland","Europe",
  C26="Spain","Europe",
  C26="Netherlands","Europe",
  C26="Sweden","Europe",
  C26="Norway","Europe",
  C26="Finland","Europe",
  C26="Denmark","Europe",
  C26="Russia","Europe",
  C26="China","Asia",
  C26="Japan","Asia",
  C26="Taiwan, Province of China","Asia",
  C26="Hong Kong","Asia",
  C26="South Korea","Asia",
  C26="India","Asia",
  C26="Singapore","Asia",
  C26="Thailand","Asia",
  C26="Indonesia","Asia",
  C26="Malaysia","Asia",
  TRUE,"Other"
)</f>
        <v>North America</v>
      </c>
      <c r="W26" s="195" t="str">
        <f>_xlfn.XLOOKUP(Table2[[#This Row],[Column3]],Sheet1!G:G,Sheet1!H:H)</f>
        <v>Retail</v>
      </c>
      <c r="X26" s="195"/>
      <c r="Y26" s="195"/>
      <c r="Z26" s="203" t="s">
        <v>7213</v>
      </c>
      <c r="AA26" s="204">
        <v>0</v>
      </c>
      <c r="AB26" s="204">
        <f>SUM(AB9:AB25)</f>
        <v>82</v>
      </c>
      <c r="AC26" s="204">
        <f>SUM(AC9:AC25)</f>
        <v>4</v>
      </c>
      <c r="AD26" s="204">
        <v>21</v>
      </c>
      <c r="AE26" s="204">
        <v>34</v>
      </c>
      <c r="AF26" s="205">
        <f>SUM(AF9:AF25)</f>
        <v>18</v>
      </c>
      <c r="AG26" s="204">
        <f>SUM(AG9:AG25)</f>
        <v>37</v>
      </c>
      <c r="AH26" s="204">
        <f t="shared" ref="AH26" si="13">SUM(AH9:AH25)</f>
        <v>46</v>
      </c>
      <c r="AI26" s="204">
        <f t="shared" ref="AI26" si="14">SUM(AI9:AI25)</f>
        <v>65</v>
      </c>
      <c r="AJ26" s="204">
        <f t="shared" ref="AJ26" si="15">SUM(AJ9:AJ25)</f>
        <v>5</v>
      </c>
      <c r="AK26" s="204">
        <f t="shared" ref="AK26" si="16">SUM(AK9:AK25)</f>
        <v>17</v>
      </c>
      <c r="AL26" s="204">
        <f t="shared" ref="AL26:AM26" si="17">SUM(AL9:AL25)</f>
        <v>104</v>
      </c>
      <c r="AM26" s="204">
        <f t="shared" si="17"/>
        <v>433</v>
      </c>
    </row>
    <row r="27" spans="1:39" ht="16">
      <c r="A27" s="194" t="s">
        <v>932</v>
      </c>
      <c r="B27" s="68">
        <v>312</v>
      </c>
      <c r="C27" s="68" t="s">
        <v>82</v>
      </c>
      <c r="D27" s="77" t="s">
        <v>4465</v>
      </c>
      <c r="E27" s="75" t="s">
        <v>4174</v>
      </c>
      <c r="F27" s="68">
        <v>2020</v>
      </c>
      <c r="G27" s="68">
        <v>2018</v>
      </c>
      <c r="H27" s="75"/>
      <c r="K27" s="75" t="s">
        <v>1957</v>
      </c>
      <c r="L27" s="68" t="s">
        <v>2908</v>
      </c>
      <c r="M27" s="76">
        <v>2018</v>
      </c>
      <c r="N27" s="76">
        <v>2018</v>
      </c>
      <c r="O27" s="78" t="s">
        <v>4170</v>
      </c>
      <c r="P27" s="75"/>
      <c r="S27" s="96"/>
      <c r="U27" s="75" t="s">
        <v>361</v>
      </c>
      <c r="V27" s="195" t="str" cm="1">
        <f t="array" ref="V27">_xlfn.IFS(
  C27="United States","North America",
  C27="Canada","North America",
  C27="Mexico","North America",
  C27="Bermuda","North America",
  C27="United Kingdom","Europe",
  C27="Germany","Europe",
  C27="France","Europe",
  C27="Italy","Europe",
  C27="Switzerland","Europe",
  C27="Spain","Europe",
  C27="Netherlands","Europe",
  C27="Sweden","Europe",
  C27="Norway","Europe",
  C27="Finland","Europe",
  C27="Denmark","Europe",
  C27="Russia","Europe",
  C27="China","Asia",
  C27="Japan","Asia",
  C27="Taiwan, Province of China","Asia",
  C27="Hong Kong","Asia",
  C27="South Korea","Asia",
  C27="India","Asia",
  C27="Singapore","Asia",
  C27="Thailand","Asia",
  C27="Indonesia","Asia",
  C27="Malaysia","Asia",
  TRUE,"Other"
)</f>
        <v>North America</v>
      </c>
      <c r="W27" s="195" t="str">
        <f>_xlfn.XLOOKUP(Table2[[#This Row],[Column3]],Sheet1!G:G,Sheet1!H:H)</f>
        <v>Financial services</v>
      </c>
      <c r="X27" s="195"/>
      <c r="Y27" s="195"/>
      <c r="Z27"/>
      <c r="AA27" s="216" t="s">
        <v>8311</v>
      </c>
      <c r="AB27" s="217"/>
      <c r="AC27" s="218"/>
      <c r="AD27" s="216" t="s">
        <v>3034</v>
      </c>
      <c r="AE27" s="217"/>
      <c r="AF27" s="218"/>
      <c r="AG27" s="216" t="s">
        <v>32</v>
      </c>
      <c r="AH27" s="217"/>
      <c r="AI27" s="218"/>
      <c r="AJ27" s="216" t="s">
        <v>2072</v>
      </c>
      <c r="AK27" s="217"/>
      <c r="AL27" s="218"/>
      <c r="AM27" s="200" t="s">
        <v>7213</v>
      </c>
    </row>
    <row r="28" spans="1:39" ht="16">
      <c r="A28" s="194" t="s">
        <v>1041</v>
      </c>
      <c r="B28" s="68">
        <v>263</v>
      </c>
      <c r="C28" s="68" t="s">
        <v>82</v>
      </c>
      <c r="D28" s="77" t="s">
        <v>4465</v>
      </c>
      <c r="E28" s="75"/>
      <c r="H28" s="75"/>
      <c r="K28" s="75"/>
      <c r="M28" s="76"/>
      <c r="N28" s="76"/>
      <c r="P28" s="75" t="s">
        <v>1957</v>
      </c>
      <c r="Q28" s="68" t="s">
        <v>2845</v>
      </c>
      <c r="R28" s="68">
        <v>2050</v>
      </c>
      <c r="S28" s="68">
        <v>2021</v>
      </c>
      <c r="T28" s="78" t="s">
        <v>4170</v>
      </c>
      <c r="U28" s="75" t="s">
        <v>1</v>
      </c>
      <c r="V28" s="195" t="str" cm="1">
        <f t="array" ref="V28">_xlfn.IFS(
  C28="United States","North America",
  C28="Canada","North America",
  C28="Mexico","North America",
  C28="Bermuda","North America",
  C28="United Kingdom","Europe",
  C28="Germany","Europe",
  C28="France","Europe",
  C28="Italy","Europe",
  C28="Switzerland","Europe",
  C28="Spain","Europe",
  C28="Netherlands","Europe",
  C28="Sweden","Europe",
  C28="Norway","Europe",
  C28="Finland","Europe",
  C28="Denmark","Europe",
  C28="Russia","Europe",
  C28="China","Asia",
  C28="Japan","Asia",
  C28="Taiwan, Province of China","Asia",
  C28="Hong Kong","Asia",
  C28="South Korea","Asia",
  C28="India","Asia",
  C28="Singapore","Asia",
  C28="Thailand","Asia",
  C28="Indonesia","Asia",
  C28="Malaysia","Asia",
  TRUE,"Other"
)</f>
        <v>North America</v>
      </c>
      <c r="W28" s="195" t="str">
        <f>_xlfn.XLOOKUP(Table2[[#This Row],[Column3]],Sheet1!G:G,Sheet1!H:H)</f>
        <v>Financial services</v>
      </c>
      <c r="X28" s="195"/>
      <c r="Y28" s="195"/>
      <c r="Z28" s="200" t="s">
        <v>8315</v>
      </c>
      <c r="AA28" s="201" t="s">
        <v>8312</v>
      </c>
      <c r="AB28" s="201" t="s">
        <v>8313</v>
      </c>
      <c r="AC28" s="201" t="s">
        <v>8314</v>
      </c>
      <c r="AD28" s="201" t="s">
        <v>8312</v>
      </c>
      <c r="AE28" s="201" t="s">
        <v>8313</v>
      </c>
      <c r="AF28" s="201" t="s">
        <v>8314</v>
      </c>
      <c r="AG28" s="201" t="s">
        <v>8312</v>
      </c>
      <c r="AH28" s="201" t="s">
        <v>8313</v>
      </c>
      <c r="AI28" s="201" t="s">
        <v>8314</v>
      </c>
      <c r="AJ28" s="201" t="s">
        <v>8312</v>
      </c>
      <c r="AK28" s="201" t="s">
        <v>8313</v>
      </c>
      <c r="AL28" s="201" t="s">
        <v>8314</v>
      </c>
      <c r="AM28" s="201"/>
    </row>
    <row r="29" spans="1:39">
      <c r="A29" s="194" t="s">
        <v>1795</v>
      </c>
      <c r="B29" s="68">
        <v>17</v>
      </c>
      <c r="C29" s="68" t="s">
        <v>82</v>
      </c>
      <c r="D29" s="77" t="s">
        <v>4201</v>
      </c>
      <c r="E29" s="75"/>
      <c r="H29" s="75" t="s">
        <v>1957</v>
      </c>
      <c r="J29" s="68">
        <v>2021</v>
      </c>
      <c r="K29" s="75"/>
      <c r="M29" s="76"/>
      <c r="N29" s="76"/>
      <c r="P29" s="75"/>
      <c r="U29" s="75" t="s">
        <v>361</v>
      </c>
      <c r="V29" s="195" t="str" cm="1">
        <f t="array" ref="V29">_xlfn.IFS(
  C29="United States","North America",
  C29="Canada","North America",
  C29="Mexico","North America",
  C29="Bermuda","North America",
  C29="United Kingdom","Europe",
  C29="Germany","Europe",
  C29="France","Europe",
  C29="Italy","Europe",
  C29="Switzerland","Europe",
  C29="Spain","Europe",
  C29="Netherlands","Europe",
  C29="Sweden","Europe",
  C29="Norway","Europe",
  C29="Finland","Europe",
  C29="Denmark","Europe",
  C29="Russia","Europe",
  C29="China","Asia",
  C29="Japan","Asia",
  C29="Taiwan, Province of China","Asia",
  C29="Hong Kong","Asia",
  C29="South Korea","Asia",
  C29="India","Asia",
  C29="Singapore","Asia",
  C29="Thailand","Asia",
  C29="Indonesia","Asia",
  C29="Malaysia","Asia",
  TRUE,"Other"
)</f>
        <v>North America</v>
      </c>
      <c r="W29" s="195" t="str">
        <f>_xlfn.XLOOKUP(Table2[[#This Row],[Column3]],Sheet1!G:G,Sheet1!H:H)</f>
        <v>Health care and pharmaceuticals</v>
      </c>
      <c r="X29" s="195"/>
      <c r="Y29" s="195"/>
      <c r="Z29" s="202" t="s">
        <v>1994</v>
      </c>
      <c r="AA29" s="199">
        <f>COUNTIFS($V$3:$V$502,Z29,$I$3:$I$502,"&lt;=2021")</f>
        <v>0</v>
      </c>
      <c r="AB29" s="199">
        <f>COUNTIFS($V$3:$V$502,Z29,$I$3:$I$502,"&gt;=2022",$I$3:$I$502,"&lt;=2030")</f>
        <v>15</v>
      </c>
      <c r="AC29" s="199">
        <f>COUNTIFS($V$3:$V$502,Z29,$I$3:$I$502,"&gt;2030")</f>
        <v>1</v>
      </c>
      <c r="AD29" s="199">
        <f>COUNTIFS($V$3:$V$502,Z29,$F$3:$F$502,"&lt;=2021")</f>
        <v>0</v>
      </c>
      <c r="AE29" s="199">
        <f>COUNTIFS($V$3:$V$502,Z29,$F$3:$F$502,"&gt;=2022",$F$3:$F$502,"&lt;=2030")</f>
        <v>1</v>
      </c>
      <c r="AF29" s="199">
        <f>COUNTIFS($V$3:$V$502,Z29,$F$3:$F$502,"&gt;2030")</f>
        <v>11</v>
      </c>
      <c r="AG29" s="199">
        <f>COUNTIFS($V$3:$V$502,Z29,$M$3:$M$502,"&lt;=2021")</f>
        <v>3</v>
      </c>
      <c r="AH29" s="199">
        <f>COUNTIFS($V$3:$V$502,Z29,$M$3:$M$502,"&gt;=2022",$M$3:$M$502,"&lt;=2030")</f>
        <v>6</v>
      </c>
      <c r="AI29" s="199">
        <f>COUNTIFS($V$3:$V$502,Z29,$M$3:$M$502,"&gt;2030")</f>
        <v>26</v>
      </c>
      <c r="AJ29" s="199">
        <f>COUNTIFS($V$3:$V$502,Z29,$R$3:$R$502,"&lt;=2021")</f>
        <v>1</v>
      </c>
      <c r="AK29" s="199">
        <f>COUNTIFS($V$3:$V$502,Z29,$R$3:$R$502,"&gt;=2022",$R$3:$R$502,"&lt;=2030")</f>
        <v>1</v>
      </c>
      <c r="AL29" s="199">
        <f>COUNTIFS($V$3:$V$502,Z29,$R$3:$R$502,"&gt;2030")</f>
        <v>30</v>
      </c>
      <c r="AM29" s="206">
        <f>SUM(AA29:AL29)</f>
        <v>95</v>
      </c>
    </row>
    <row r="30" spans="1:39" ht="16">
      <c r="A30" s="194" t="s">
        <v>4434</v>
      </c>
      <c r="B30" s="68">
        <v>476</v>
      </c>
      <c r="C30" s="68" t="s">
        <v>82</v>
      </c>
      <c r="D30" s="77" t="s">
        <v>4201</v>
      </c>
      <c r="E30" s="75"/>
      <c r="H30" s="75"/>
      <c r="K30" s="75" t="s">
        <v>1957</v>
      </c>
      <c r="L30" s="68" t="s">
        <v>4433</v>
      </c>
      <c r="M30" s="76">
        <v>2027</v>
      </c>
      <c r="N30" s="76">
        <v>2021</v>
      </c>
      <c r="O30" s="78" t="s">
        <v>4170</v>
      </c>
      <c r="P30" s="75"/>
      <c r="U30" s="75" t="s">
        <v>361</v>
      </c>
      <c r="V30" s="195" t="str" cm="1">
        <f t="array" ref="V30">_xlfn.IFS(
  C30="United States","North America",
  C30="Canada","North America",
  C30="Mexico","North America",
  C30="Bermuda","North America",
  C30="United Kingdom","Europe",
  C30="Germany","Europe",
  C30="France","Europe",
  C30="Italy","Europe",
  C30="Switzerland","Europe",
  C30="Spain","Europe",
  C30="Netherlands","Europe",
  C30="Sweden","Europe",
  C30="Norway","Europe",
  C30="Finland","Europe",
  C30="Denmark","Europe",
  C30="Russia","Europe",
  C30="China","Asia",
  C30="Japan","Asia",
  C30="Taiwan, Province of China","Asia",
  C30="Hong Kong","Asia",
  C30="South Korea","Asia",
  C30="India","Asia",
  C30="Singapore","Asia",
  C30="Thailand","Asia",
  C30="Indonesia","Asia",
  C30="Malaysia","Asia",
  TRUE,"Other"
)</f>
        <v>North America</v>
      </c>
      <c r="W30" s="195" t="str">
        <f>_xlfn.XLOOKUP(Table2[[#This Row],[Column3]],Sheet1!G:G,Sheet1!H:H)</f>
        <v>Health care and pharmaceuticals</v>
      </c>
      <c r="X30" s="195"/>
      <c r="Y30" s="195"/>
      <c r="Z30" s="202" t="s">
        <v>1951</v>
      </c>
      <c r="AA30" s="199">
        <f t="shared" ref="AA30:AA32" si="18">COUNTIFS($V$3:$V$502,Z30,$I$3:$I$502,"&lt;=2021")</f>
        <v>0</v>
      </c>
      <c r="AB30" s="199">
        <f t="shared" ref="AB30:AB32" si="19">COUNTIFS($V$3:$V$502,Z30,$I$3:$I$502,"&gt;=2022",$I$3:$I$502,"&lt;=2030")</f>
        <v>40</v>
      </c>
      <c r="AC30" s="199">
        <f t="shared" ref="AC30:AC32" si="20">COUNTIFS($V$3:$V$502,Z30,$I$3:$I$502,"&gt;2030")</f>
        <v>1</v>
      </c>
      <c r="AD30" s="199">
        <f t="shared" ref="AD30:AD32" si="21">COUNTIFS($V$3:$V$502,Z30,$F$3:$F$502,"&lt;=2021")</f>
        <v>10</v>
      </c>
      <c r="AE30" s="199">
        <f t="shared" ref="AE30:AE32" si="22">COUNTIFS($V$3:$V$502,Z30,$F$3:$F$502,"&gt;=2022",$F$3:$F$502,"&lt;=2030")</f>
        <v>22</v>
      </c>
      <c r="AF30" s="199">
        <f t="shared" ref="AF30:AF32" si="23">COUNTIFS($V$3:$V$502,Z30,$F$3:$F$502,"&gt;2030")</f>
        <v>1</v>
      </c>
      <c r="AG30" s="199">
        <f t="shared" ref="AG30:AG32" si="24">COUNTIFS($V$3:$V$502,Z30,$M$3:$M$502,"&lt;=2021")</f>
        <v>18</v>
      </c>
      <c r="AH30" s="199">
        <f t="shared" ref="AH30:AH32" si="25">COUNTIFS($V$3:$V$502,Z30,$M$3:$M$502,"&gt;=2022",$M$3:$M$502,"&lt;=2030")</f>
        <v>25</v>
      </c>
      <c r="AI30" s="199">
        <f t="shared" ref="AI30:AI32" si="26">COUNTIFS($V$3:$V$502,Z30,$M$3:$M$502,"&gt;2030")</f>
        <v>18</v>
      </c>
      <c r="AJ30" s="199">
        <f t="shared" ref="AJ30:AJ32" si="27">COUNTIFS($V$3:$V$502,Z30,$R$3:$R$502,"&lt;=2021")</f>
        <v>0</v>
      </c>
      <c r="AK30" s="199">
        <f t="shared" ref="AK30:AK32" si="28">COUNTIFS($V$3:$V$502,Z30,$R$3:$R$502,"&gt;=2022",$R$3:$R$502,"&lt;=2030")</f>
        <v>10</v>
      </c>
      <c r="AL30" s="199">
        <f t="shared" ref="AL30:AL32" si="29">COUNTIFS($V$3:$V$502,Z30,$R$3:$R$502,"&gt;2030")</f>
        <v>44</v>
      </c>
      <c r="AM30" s="206">
        <f t="shared" ref="AM30:AM32" si="30">SUM(AA30:AL30)</f>
        <v>189</v>
      </c>
    </row>
    <row r="31" spans="1:39" ht="16">
      <c r="A31" s="194" t="s">
        <v>272</v>
      </c>
      <c r="B31" s="68">
        <v>399</v>
      </c>
      <c r="C31" s="68" t="s">
        <v>3965</v>
      </c>
      <c r="D31" s="77" t="s">
        <v>4459</v>
      </c>
      <c r="E31" s="75"/>
      <c r="H31" s="75"/>
      <c r="K31" s="75" t="s">
        <v>1957</v>
      </c>
      <c r="L31" s="68" t="s">
        <v>4432</v>
      </c>
      <c r="M31" s="76">
        <v>2040</v>
      </c>
      <c r="N31" s="76">
        <v>2020</v>
      </c>
      <c r="O31" s="82" t="s">
        <v>4170</v>
      </c>
      <c r="P31" s="75"/>
      <c r="U31" s="75" t="s">
        <v>1</v>
      </c>
      <c r="V31" s="195" t="str" cm="1">
        <f t="array" ref="V31">_xlfn.IFS(
  C31="United States","North America",
  C31="Canada","North America",
  C31="Mexico","North America",
  C31="Bermuda","North America",
  C31="United Kingdom","Europe",
  C31="Germany","Europe",
  C31="France","Europe",
  C31="Italy","Europe",
  C31="Switzerland","Europe",
  C31="Spain","Europe",
  C31="Netherlands","Europe",
  C31="Sweden","Europe",
  C31="Norway","Europe",
  C31="Finland","Europe",
  C31="Denmark","Europe",
  C31="Russia","Europe",
  C31="China","Asia",
  C31="Japan","Asia",
  C31="Taiwan, Province of China","Asia",
  C31="Hong Kong","Asia",
  C31="South Korea","Asia",
  C31="India","Asia",
  C31="Singapore","Asia",
  C31="Thailand","Asia",
  C31="Indonesia","Asia",
  C31="Malaysia","Asia",
  TRUE,"Other"
)</f>
        <v>Other</v>
      </c>
      <c r="W31" s="195" t="str">
        <f>_xlfn.XLOOKUP(Table2[[#This Row],[Column3]],Sheet1!G:G,Sheet1!H:H)</f>
        <v>Industrial goods</v>
      </c>
      <c r="X31" s="195"/>
      <c r="Y31" s="195"/>
      <c r="Z31" s="202" t="s">
        <v>2029</v>
      </c>
      <c r="AA31" s="199">
        <f t="shared" si="18"/>
        <v>0</v>
      </c>
      <c r="AB31" s="199">
        <f t="shared" si="19"/>
        <v>24</v>
      </c>
      <c r="AC31" s="199">
        <f t="shared" si="20"/>
        <v>2</v>
      </c>
      <c r="AD31" s="199">
        <f t="shared" si="21"/>
        <v>11</v>
      </c>
      <c r="AE31" s="199">
        <f t="shared" si="22"/>
        <v>8</v>
      </c>
      <c r="AF31" s="199">
        <f t="shared" si="23"/>
        <v>6</v>
      </c>
      <c r="AG31" s="199">
        <f t="shared" si="24"/>
        <v>14</v>
      </c>
      <c r="AH31" s="199">
        <f t="shared" si="25"/>
        <v>15</v>
      </c>
      <c r="AI31" s="199">
        <f t="shared" si="26"/>
        <v>16</v>
      </c>
      <c r="AJ31" s="199">
        <f t="shared" si="27"/>
        <v>4</v>
      </c>
      <c r="AK31" s="199">
        <f t="shared" si="28"/>
        <v>5</v>
      </c>
      <c r="AL31" s="199">
        <f t="shared" si="29"/>
        <v>25</v>
      </c>
      <c r="AM31" s="206">
        <f t="shared" si="30"/>
        <v>130</v>
      </c>
    </row>
    <row r="32" spans="1:39">
      <c r="A32" s="194" t="s">
        <v>1188</v>
      </c>
      <c r="B32" s="68">
        <v>236</v>
      </c>
      <c r="C32" s="68" t="s">
        <v>1192</v>
      </c>
      <c r="D32" s="77" t="s">
        <v>4455</v>
      </c>
      <c r="E32" s="75" t="s">
        <v>4174</v>
      </c>
      <c r="F32" s="68">
        <v>2025</v>
      </c>
      <c r="G32" s="68">
        <v>2017</v>
      </c>
      <c r="H32" s="75" t="s">
        <v>4183</v>
      </c>
      <c r="I32" s="68">
        <v>2025</v>
      </c>
      <c r="J32" s="68">
        <v>2018</v>
      </c>
      <c r="K32" s="75"/>
      <c r="M32" s="76"/>
      <c r="N32" s="76"/>
      <c r="P32" s="75"/>
      <c r="U32" s="75" t="s">
        <v>361</v>
      </c>
      <c r="V32" s="195" t="str" cm="1">
        <f t="array" ref="V32">_xlfn.IFS(
  C32="United States","North America",
  C32="Canada","North America",
  C32="Mexico","North America",
  C32="Bermuda","North America",
  C32="United Kingdom","Europe",
  C32="Germany","Europe",
  C32="France","Europe",
  C32="Italy","Europe",
  C32="Switzerland","Europe",
  C32="Spain","Europe",
  C32="Netherlands","Europe",
  C32="Sweden","Europe",
  C32="Norway","Europe",
  C32="Finland","Europe",
  C32="Denmark","Europe",
  C32="Russia","Europe",
  C32="China","Asia",
  C32="Japan","Asia",
  C32="Taiwan, Province of China","Asia",
  C32="Hong Kong","Asia",
  C32="South Korea","Asia",
  C32="India","Asia",
  C32="Singapore","Asia",
  C32="Thailand","Asia",
  C32="Indonesia","Asia",
  C32="Malaysia","Asia",
  TRUE,"Other"
)</f>
        <v>Other</v>
      </c>
      <c r="W32" s="195" t="str">
        <f>_xlfn.XLOOKUP(Table2[[#This Row],[Column3]],Sheet1!G:G,Sheet1!H:H)</f>
        <v>Food, beverages and agriculture</v>
      </c>
      <c r="X32" s="195"/>
      <c r="Y32" s="195"/>
      <c r="Z32" s="202" t="s">
        <v>8322</v>
      </c>
      <c r="AA32" s="199">
        <f t="shared" si="18"/>
        <v>0</v>
      </c>
      <c r="AB32" s="199">
        <f t="shared" si="19"/>
        <v>3</v>
      </c>
      <c r="AC32" s="199">
        <f t="shared" si="20"/>
        <v>0</v>
      </c>
      <c r="AD32" s="199">
        <f t="shared" si="21"/>
        <v>0</v>
      </c>
      <c r="AE32" s="199">
        <f t="shared" si="22"/>
        <v>3</v>
      </c>
      <c r="AF32" s="199">
        <f t="shared" si="23"/>
        <v>0</v>
      </c>
      <c r="AG32" s="199">
        <f t="shared" si="24"/>
        <v>2</v>
      </c>
      <c r="AH32" s="199">
        <f t="shared" si="25"/>
        <v>0</v>
      </c>
      <c r="AI32" s="199">
        <f t="shared" si="26"/>
        <v>5</v>
      </c>
      <c r="AJ32" s="199">
        <f t="shared" si="27"/>
        <v>0</v>
      </c>
      <c r="AK32" s="199">
        <f t="shared" si="28"/>
        <v>1</v>
      </c>
      <c r="AL32" s="199">
        <f t="shared" si="29"/>
        <v>5</v>
      </c>
      <c r="AM32" s="206">
        <f t="shared" si="30"/>
        <v>19</v>
      </c>
    </row>
    <row r="33" spans="1:39">
      <c r="A33" s="194" t="s">
        <v>306</v>
      </c>
      <c r="B33" s="68">
        <v>315</v>
      </c>
      <c r="C33" s="68" t="s">
        <v>73</v>
      </c>
      <c r="D33" s="77" t="s">
        <v>4459</v>
      </c>
      <c r="E33" s="75"/>
      <c r="H33" s="75"/>
      <c r="K33" s="75"/>
      <c r="M33" s="76"/>
      <c r="N33" s="76"/>
      <c r="P33" s="75"/>
      <c r="U33" s="75" t="s">
        <v>1</v>
      </c>
      <c r="V33" s="195" t="str" cm="1">
        <f t="array" ref="V33">_xlfn.IFS(
  C33="United States","North America",
  C33="Canada","North America",
  C33="Mexico","North America",
  C33="Bermuda","North America",
  C33="United Kingdom","Europe",
  C33="Germany","Europe",
  C33="France","Europe",
  C33="Italy","Europe",
  C33="Switzerland","Europe",
  C33="Spain","Europe",
  C33="Netherlands","Europe",
  C33="Sweden","Europe",
  C33="Norway","Europe",
  C33="Finland","Europe",
  C33="Denmark","Europe",
  C33="Russia","Europe",
  C33="China","Asia",
  C33="Japan","Asia",
  C33="Taiwan, Province of China","Asia",
  C33="Hong Kong","Asia",
  C33="South Korea","Asia",
  C33="India","Asia",
  C33="Singapore","Asia",
  C33="Thailand","Asia",
  C33="Indonesia","Asia",
  C33="Malaysia","Asia",
  TRUE,"Other"
)</f>
        <v>Asia</v>
      </c>
      <c r="W33" s="195" t="str">
        <f>_xlfn.XLOOKUP(Table2[[#This Row],[Column3]],Sheet1!G:G,Sheet1!H:H)</f>
        <v>Industrial goods</v>
      </c>
      <c r="X33" s="195"/>
      <c r="Y33" s="195"/>
      <c r="Z33" s="203" t="s">
        <v>7213</v>
      </c>
      <c r="AA33" s="204">
        <f>SUM(AA29:AA32)</f>
        <v>0</v>
      </c>
      <c r="AB33" s="204">
        <f>SUM(AB29:AB32)</f>
        <v>82</v>
      </c>
      <c r="AC33" s="204">
        <f>SUM(AC29:AC32)</f>
        <v>4</v>
      </c>
      <c r="AD33" s="204">
        <f>SUM(AD29:AD32)</f>
        <v>21</v>
      </c>
      <c r="AE33" s="204">
        <f>SUM(AE29:AE32)</f>
        <v>34</v>
      </c>
      <c r="AF33" s="206">
        <f>SUM(AF29:AF32)</f>
        <v>18</v>
      </c>
      <c r="AG33" s="206">
        <f>SUM(AG29:AG32)</f>
        <v>37</v>
      </c>
      <c r="AH33" s="206">
        <f>SUM(AH29:AH32)</f>
        <v>46</v>
      </c>
      <c r="AI33" s="205">
        <f>SUM(AI29:AI32)</f>
        <v>65</v>
      </c>
      <c r="AJ33" s="206">
        <f>SUM(AJ29:AJ32)</f>
        <v>5</v>
      </c>
      <c r="AK33" s="206">
        <f>SUM(AK29:AK32)</f>
        <v>17</v>
      </c>
      <c r="AL33" s="206">
        <f>SUM(AL29:AL32)</f>
        <v>104</v>
      </c>
      <c r="AM33" s="206">
        <f>SUM(AM29:AM32)</f>
        <v>433</v>
      </c>
    </row>
    <row r="34" spans="1:39">
      <c r="A34" s="194" t="s">
        <v>549</v>
      </c>
      <c r="B34" s="68">
        <v>400</v>
      </c>
      <c r="C34" s="68" t="s">
        <v>73</v>
      </c>
      <c r="D34" s="77" t="s">
        <v>4459</v>
      </c>
      <c r="E34" s="75"/>
      <c r="H34" s="75"/>
      <c r="K34" s="75"/>
      <c r="M34" s="76"/>
      <c r="N34" s="76"/>
      <c r="P34" s="75"/>
      <c r="R34" s="95"/>
      <c r="S34" s="95"/>
      <c r="U34" s="75" t="s">
        <v>1</v>
      </c>
      <c r="V34" s="195" t="str" cm="1">
        <f t="array" ref="V34">_xlfn.IFS(
  C34="United States","North America",
  C34="Canada","North America",
  C34="Mexico","North America",
  C34="Bermuda","North America",
  C34="United Kingdom","Europe",
  C34="Germany","Europe",
  C34="France","Europe",
  C34="Italy","Europe",
  C34="Switzerland","Europe",
  C34="Spain","Europe",
  C34="Netherlands","Europe",
  C34="Sweden","Europe",
  C34="Norway","Europe",
  C34="Finland","Europe",
  C34="Denmark","Europe",
  C34="Russia","Europe",
  C34="China","Asia",
  C34="Japan","Asia",
  C34="Taiwan, Province of China","Asia",
  C34="Hong Kong","Asia",
  C34="South Korea","Asia",
  C34="India","Asia",
  C34="Singapore","Asia",
  C34="Thailand","Asia",
  C34="Indonesia","Asia",
  C34="Malaysia","Asia",
  TRUE,"Other"
)</f>
        <v>Asia</v>
      </c>
      <c r="W34" s="195" t="str">
        <f>_xlfn.XLOOKUP(Table2[[#This Row],[Column3]],Sheet1!G:G,Sheet1!H:H)</f>
        <v>Industrial goods</v>
      </c>
      <c r="X34" s="195"/>
      <c r="Y34" s="195"/>
    </row>
    <row r="35" spans="1:39">
      <c r="A35" s="194" t="s">
        <v>1624</v>
      </c>
      <c r="B35" s="68">
        <v>50</v>
      </c>
      <c r="C35" s="68" t="s">
        <v>82</v>
      </c>
      <c r="D35" s="77" t="s">
        <v>4201</v>
      </c>
      <c r="E35" s="75" t="s">
        <v>4174</v>
      </c>
      <c r="F35" s="68">
        <v>2025</v>
      </c>
      <c r="G35" s="68">
        <v>2019</v>
      </c>
      <c r="H35" s="75" t="s">
        <v>1957</v>
      </c>
      <c r="J35" s="68">
        <v>2018</v>
      </c>
      <c r="K35" s="75"/>
      <c r="M35" s="76"/>
      <c r="N35" s="76"/>
      <c r="P35" s="75"/>
      <c r="U35" s="75" t="s">
        <v>361</v>
      </c>
      <c r="V35" s="195" t="str" cm="1">
        <f t="array" ref="V35">_xlfn.IFS(
  C35="United States","North America",
  C35="Canada","North America",
  C35="Mexico","North America",
  C35="Bermuda","North America",
  C35="United Kingdom","Europe",
  C35="Germany","Europe",
  C35="France","Europe",
  C35="Italy","Europe",
  C35="Switzerland","Europe",
  C35="Spain","Europe",
  C35="Netherlands","Europe",
  C35="Sweden","Europe",
  C35="Norway","Europe",
  C35="Finland","Europe",
  C35="Denmark","Europe",
  C35="Russia","Europe",
  C35="China","Asia",
  C35="Japan","Asia",
  C35="Taiwan, Province of China","Asia",
  C35="Hong Kong","Asia",
  C35="South Korea","Asia",
  C35="India","Asia",
  C35="Singapore","Asia",
  C35="Thailand","Asia",
  C35="Indonesia","Asia",
  C35="Malaysia","Asia",
  TRUE,"Other"
)</f>
        <v>North America</v>
      </c>
      <c r="W35" s="195" t="str">
        <f>_xlfn.XLOOKUP(Table2[[#This Row],[Column3]],Sheet1!G:G,Sheet1!H:H)</f>
        <v>Health care and pharmaceuticals</v>
      </c>
      <c r="X35" s="195"/>
      <c r="Y35" s="195"/>
    </row>
    <row r="36" spans="1:39" ht="16">
      <c r="A36" s="194" t="s">
        <v>1846</v>
      </c>
      <c r="B36" s="68">
        <v>6</v>
      </c>
      <c r="C36" s="68" t="s">
        <v>82</v>
      </c>
      <c r="D36" s="77" t="s">
        <v>186</v>
      </c>
      <c r="E36" s="75" t="s">
        <v>4174</v>
      </c>
      <c r="F36" s="68">
        <v>2018</v>
      </c>
      <c r="G36" s="68">
        <v>2016</v>
      </c>
      <c r="H36" s="75" t="s">
        <v>4183</v>
      </c>
      <c r="I36" s="68">
        <v>2030</v>
      </c>
      <c r="J36" s="68">
        <v>2021</v>
      </c>
      <c r="K36" s="75" t="s">
        <v>4213</v>
      </c>
      <c r="L36" s="68" t="s">
        <v>4431</v>
      </c>
      <c r="M36" s="76">
        <v>2020</v>
      </c>
      <c r="N36" s="76">
        <v>2020</v>
      </c>
      <c r="O36" s="82" t="s">
        <v>4170</v>
      </c>
      <c r="P36" s="75" t="s">
        <v>4172</v>
      </c>
      <c r="Q36" s="68" t="s">
        <v>3946</v>
      </c>
      <c r="R36" s="68">
        <v>2030</v>
      </c>
      <c r="S36" s="68">
        <v>2020</v>
      </c>
      <c r="T36" s="79" t="s">
        <v>4170</v>
      </c>
      <c r="U36" s="75" t="s">
        <v>361</v>
      </c>
      <c r="V36" s="195" t="str" cm="1">
        <f t="array" ref="V36">_xlfn.IFS(
  C36="United States","North America",
  C36="Canada","North America",
  C36="Mexico","North America",
  C36="Bermuda","North America",
  C36="United Kingdom","Europe",
  C36="Germany","Europe",
  C36="France","Europe",
  C36="Italy","Europe",
  C36="Switzerland","Europe",
  C36="Spain","Europe",
  C36="Netherlands","Europe",
  C36="Sweden","Europe",
  C36="Norway","Europe",
  C36="Finland","Europe",
  C36="Denmark","Europe",
  C36="Russia","Europe",
  C36="China","Asia",
  C36="Japan","Asia",
  C36="Taiwan, Province of China","Asia",
  C36="Hong Kong","Asia",
  C36="South Korea","Asia",
  C36="India","Asia",
  C36="Singapore","Asia",
  C36="Thailand","Asia",
  C36="Indonesia","Asia",
  C36="Malaysia","Asia",
  TRUE,"Other"
)</f>
        <v>North America</v>
      </c>
      <c r="W36" s="195" t="str">
        <f>_xlfn.XLOOKUP(Table2[[#This Row],[Column3]],Sheet1!G:G,Sheet1!H:H)</f>
        <v>Technology</v>
      </c>
      <c r="X36" s="195"/>
      <c r="Y36" s="195"/>
    </row>
    <row r="37" spans="1:39">
      <c r="A37" s="194" t="s">
        <v>1445</v>
      </c>
      <c r="B37" s="68">
        <v>197</v>
      </c>
      <c r="C37" s="68" t="s">
        <v>1443</v>
      </c>
      <c r="D37" s="77" t="s">
        <v>4459</v>
      </c>
      <c r="E37" s="75"/>
      <c r="H37" s="75"/>
      <c r="K37" s="75" t="s">
        <v>1957</v>
      </c>
      <c r="L37" s="68" t="s">
        <v>2908</v>
      </c>
      <c r="M37" s="76">
        <v>2050</v>
      </c>
      <c r="N37" s="76">
        <v>2020</v>
      </c>
      <c r="O37" s="79" t="s">
        <v>4170</v>
      </c>
      <c r="P37" s="75"/>
      <c r="U37" s="75" t="s">
        <v>1</v>
      </c>
      <c r="V37" s="195" t="str" cm="1">
        <f t="array" ref="V37">_xlfn.IFS(
  C37="United States","North America",
  C37="Canada","North America",
  C37="Mexico","North America",
  C37="Bermuda","North America",
  C37="United Kingdom","Europe",
  C37="Germany","Europe",
  C37="France","Europe",
  C37="Italy","Europe",
  C37="Switzerland","Europe",
  C37="Spain","Europe",
  C37="Netherlands","Europe",
  C37="Sweden","Europe",
  C37="Norway","Europe",
  C37="Finland","Europe",
  C37="Denmark","Europe",
  C37="Russia","Europe",
  C37="China","Asia",
  C37="Japan","Asia",
  C37="Taiwan, Province of China","Asia",
  C37="Hong Kong","Asia",
  C37="South Korea","Asia",
  C37="India","Asia",
  C37="Singapore","Asia",
  C37="Thailand","Asia",
  C37="Indonesia","Asia",
  C37="Malaysia","Asia",
  TRUE,"Other"
)</f>
        <v>Other</v>
      </c>
      <c r="W37" s="195" t="str">
        <f>_xlfn.XLOOKUP(Table2[[#This Row],[Column3]],Sheet1!G:G,Sheet1!H:H)</f>
        <v>Industrial goods</v>
      </c>
      <c r="X37" s="195"/>
      <c r="Y37" s="195"/>
    </row>
    <row r="38" spans="1:39">
      <c r="A38" s="194" t="s">
        <v>1307</v>
      </c>
      <c r="B38" s="68">
        <v>146</v>
      </c>
      <c r="C38" s="68" t="s">
        <v>82</v>
      </c>
      <c r="D38" s="77" t="s">
        <v>4455</v>
      </c>
      <c r="E38" s="75"/>
      <c r="H38" s="75"/>
      <c r="K38" s="75"/>
      <c r="M38" s="76"/>
      <c r="N38" s="76"/>
      <c r="P38" s="75"/>
      <c r="U38" s="75" t="s">
        <v>1</v>
      </c>
      <c r="V38" s="195" t="str" cm="1">
        <f t="array" ref="V38">_xlfn.IFS(
  C38="United States","North America",
  C38="Canada","North America",
  C38="Mexico","North America",
  C38="Bermuda","North America",
  C38="United Kingdom","Europe",
  C38="Germany","Europe",
  C38="France","Europe",
  C38="Italy","Europe",
  C38="Switzerland","Europe",
  C38="Spain","Europe",
  C38="Netherlands","Europe",
  C38="Sweden","Europe",
  C38="Norway","Europe",
  C38="Finland","Europe",
  C38="Denmark","Europe",
  C38="Russia","Europe",
  C38="China","Asia",
  C38="Japan","Asia",
  C38="Taiwan, Province of China","Asia",
  C38="Hong Kong","Asia",
  C38="South Korea","Asia",
  C38="India","Asia",
  C38="Singapore","Asia",
  C38="Thailand","Asia",
  C38="Indonesia","Asia",
  C38="Malaysia","Asia",
  TRUE,"Other"
)</f>
        <v>North America</v>
      </c>
      <c r="W38" s="195" t="str">
        <f>_xlfn.XLOOKUP(Table2[[#This Row],[Column3]],Sheet1!G:G,Sheet1!H:H)</f>
        <v>Food, beverages and agriculture</v>
      </c>
      <c r="X38" s="195"/>
      <c r="Y38" s="195"/>
    </row>
    <row r="39" spans="1:39">
      <c r="A39" s="194" t="s">
        <v>393</v>
      </c>
      <c r="B39" s="68">
        <v>423</v>
      </c>
      <c r="C39" s="68" t="s">
        <v>82</v>
      </c>
      <c r="D39" s="77" t="s">
        <v>186</v>
      </c>
      <c r="E39" s="75"/>
      <c r="H39" s="75"/>
      <c r="K39" s="75"/>
      <c r="M39" s="76"/>
      <c r="N39" s="76"/>
      <c r="P39" s="75"/>
      <c r="U39" s="75" t="s">
        <v>1</v>
      </c>
      <c r="V39" s="195" t="str" cm="1">
        <f t="array" ref="V39">_xlfn.IFS(
  C39="United States","North America",
  C39="Canada","North America",
  C39="Mexico","North America",
  C39="Bermuda","North America",
  C39="United Kingdom","Europe",
  C39="Germany","Europe",
  C39="France","Europe",
  C39="Italy","Europe",
  C39="Switzerland","Europe",
  C39="Spain","Europe",
  C39="Netherlands","Europe",
  C39="Sweden","Europe",
  C39="Norway","Europe",
  C39="Finland","Europe",
  C39="Denmark","Europe",
  C39="Russia","Europe",
  C39="China","Asia",
  C39="Japan","Asia",
  C39="Taiwan, Province of China","Asia",
  C39="Hong Kong","Asia",
  C39="South Korea","Asia",
  C39="India","Asia",
  C39="Singapore","Asia",
  C39="Thailand","Asia",
  C39="Indonesia","Asia",
  C39="Malaysia","Asia",
  TRUE,"Other"
)</f>
        <v>North America</v>
      </c>
      <c r="W39" s="195" t="str">
        <f>_xlfn.XLOOKUP(Table2[[#This Row],[Column3]],Sheet1!G:G,Sheet1!H:H)</f>
        <v>Technology</v>
      </c>
      <c r="X39" s="195"/>
      <c r="Y39" s="195"/>
    </row>
    <row r="40" spans="1:39" ht="16">
      <c r="A40" s="194" t="s">
        <v>1562</v>
      </c>
      <c r="B40" s="68">
        <v>73</v>
      </c>
      <c r="C40" s="68" t="s">
        <v>376</v>
      </c>
      <c r="D40" s="77" t="s">
        <v>4465</v>
      </c>
      <c r="E40" s="75"/>
      <c r="H40" s="75"/>
      <c r="K40" s="75" t="s">
        <v>1957</v>
      </c>
      <c r="L40" s="68" t="s">
        <v>4430</v>
      </c>
      <c r="M40" s="76">
        <v>2023</v>
      </c>
      <c r="N40" s="76">
        <v>2021</v>
      </c>
      <c r="O40" s="85" t="s">
        <v>4170</v>
      </c>
      <c r="P40" s="75" t="s">
        <v>4217</v>
      </c>
      <c r="Q40" s="68" t="s">
        <v>4430</v>
      </c>
      <c r="R40" s="68">
        <v>2050</v>
      </c>
      <c r="S40" s="68">
        <v>2021</v>
      </c>
      <c r="T40" s="78" t="s">
        <v>4170</v>
      </c>
      <c r="U40" s="75" t="s">
        <v>361</v>
      </c>
      <c r="V40" s="195" t="str" cm="1">
        <f t="array" ref="V40">_xlfn.IFS(
  C40="United States","North America",
  C40="Canada","North America",
  C40="Mexico","North America",
  C40="Bermuda","North America",
  C40="United Kingdom","Europe",
  C40="Germany","Europe",
  C40="France","Europe",
  C40="Italy","Europe",
  C40="Switzerland","Europe",
  C40="Spain","Europe",
  C40="Netherlands","Europe",
  C40="Sweden","Europe",
  C40="Norway","Europe",
  C40="Finland","Europe",
  C40="Denmark","Europe",
  C40="Russia","Europe",
  C40="China","Asia",
  C40="Japan","Asia",
  C40="Taiwan, Province of China","Asia",
  C40="Hong Kong","Asia",
  C40="South Korea","Asia",
  C40="India","Asia",
  C40="Singapore","Asia",
  C40="Thailand","Asia",
  C40="Indonesia","Asia",
  C40="Malaysia","Asia",
  TRUE,"Other"
)</f>
        <v>Europe</v>
      </c>
      <c r="W40" s="195" t="str">
        <f>_xlfn.XLOOKUP(Table2[[#This Row],[Column3]],Sheet1!G:G,Sheet1!H:H)</f>
        <v>Financial services</v>
      </c>
      <c r="X40" s="195"/>
      <c r="Y40" s="195"/>
    </row>
    <row r="41" spans="1:39">
      <c r="A41" s="194" t="s">
        <v>4429</v>
      </c>
      <c r="B41" s="68">
        <v>462</v>
      </c>
      <c r="C41" s="68" t="s">
        <v>4195</v>
      </c>
      <c r="D41" s="77" t="s">
        <v>4201</v>
      </c>
      <c r="E41" s="75" t="s">
        <v>4174</v>
      </c>
      <c r="F41" s="68">
        <v>2025</v>
      </c>
      <c r="G41" s="68">
        <v>2016</v>
      </c>
      <c r="H41" s="75"/>
      <c r="K41" s="75"/>
      <c r="M41" s="76"/>
      <c r="N41" s="76"/>
      <c r="P41" s="75" t="s">
        <v>4217</v>
      </c>
      <c r="Q41" s="68" t="s">
        <v>4411</v>
      </c>
      <c r="R41" s="68">
        <v>2025</v>
      </c>
      <c r="S41" s="68">
        <v>2020</v>
      </c>
      <c r="T41" s="79" t="s">
        <v>4170</v>
      </c>
      <c r="U41" s="75" t="s">
        <v>361</v>
      </c>
      <c r="V41" s="195" t="str" cm="1">
        <f t="array" ref="V41">_xlfn.IFS(
  C41="United States","North America",
  C41="Canada","North America",
  C41="Mexico","North America",
  C41="Bermuda","North America",
  C41="United Kingdom","Europe",
  C41="Germany","Europe",
  C41="France","Europe",
  C41="Italy","Europe",
  C41="Switzerland","Europe",
  C41="Spain","Europe",
  C41="Netherlands","Europe",
  C41="Sweden","Europe",
  C41="Norway","Europe",
  C41="Finland","Europe",
  C41="Denmark","Europe",
  C41="Russia","Europe",
  C41="China","Asia",
  C41="Japan","Asia",
  C41="Taiwan, Province of China","Asia",
  C41="Hong Kong","Asia",
  C41="South Korea","Asia",
  C41="India","Asia",
  C41="Singapore","Asia",
  C41="Thailand","Asia",
  C41="Indonesia","Asia",
  C41="Malaysia","Asia",
  TRUE,"Other"
)</f>
        <v>Europe</v>
      </c>
      <c r="W41" s="195" t="str">
        <f>_xlfn.XLOOKUP(Table2[[#This Row],[Column3]],Sheet1!G:G,Sheet1!H:H)</f>
        <v>Health care and pharmaceuticals</v>
      </c>
      <c r="X41" s="195"/>
      <c r="Y41" s="195"/>
    </row>
    <row r="42" spans="1:39">
      <c r="A42" s="194" t="s">
        <v>1800</v>
      </c>
      <c r="B42" s="68">
        <v>26</v>
      </c>
      <c r="C42" s="68" t="s">
        <v>82</v>
      </c>
      <c r="D42" s="77" t="s">
        <v>4190</v>
      </c>
      <c r="E42" s="75"/>
      <c r="H42" s="75" t="s">
        <v>4183</v>
      </c>
      <c r="I42" s="68">
        <v>2030</v>
      </c>
      <c r="J42" s="68">
        <v>2020</v>
      </c>
      <c r="K42" s="75" t="s">
        <v>1957</v>
      </c>
      <c r="L42" s="68" t="s">
        <v>160</v>
      </c>
      <c r="M42" s="76">
        <v>2035</v>
      </c>
      <c r="N42" s="76">
        <v>2020</v>
      </c>
      <c r="O42" s="79" t="s">
        <v>4170</v>
      </c>
      <c r="P42" s="75"/>
      <c r="U42" s="75" t="s">
        <v>361</v>
      </c>
      <c r="V42" s="195" t="str" cm="1">
        <f t="array" ref="V42">_xlfn.IFS(
  C42="United States","North America",
  C42="Canada","North America",
  C42="Mexico","North America",
  C42="Bermuda","North America",
  C42="United Kingdom","Europe",
  C42="Germany","Europe",
  C42="France","Europe",
  C42="Italy","Europe",
  C42="Switzerland","Europe",
  C42="Spain","Europe",
  C42="Netherlands","Europe",
  C42="Sweden","Europe",
  C42="Norway","Europe",
  C42="Finland","Europe",
  C42="Denmark","Europe",
  C42="Russia","Europe",
  C42="China","Asia",
  C42="Japan","Asia",
  C42="Taiwan, Province of China","Asia",
  C42="Hong Kong","Asia",
  C42="South Korea","Asia",
  C42="India","Asia",
  C42="Singapore","Asia",
  C42="Thailand","Asia",
  C42="Indonesia","Asia",
  C42="Malaysia","Asia",
  TRUE,"Other"
)</f>
        <v>North America</v>
      </c>
      <c r="W42" s="195" t="str">
        <f>_xlfn.XLOOKUP(Table2[[#This Row],[Column3]],Sheet1!G:G,Sheet1!H:H)</f>
        <v>Telecommunications and media</v>
      </c>
      <c r="X42" s="195"/>
      <c r="Y42" s="195"/>
    </row>
    <row r="43" spans="1:39">
      <c r="A43" s="194" t="s">
        <v>1325</v>
      </c>
      <c r="B43" s="68">
        <v>140</v>
      </c>
      <c r="C43" s="68" t="s">
        <v>73</v>
      </c>
      <c r="D43" s="77" t="s">
        <v>4260</v>
      </c>
      <c r="E43" s="75"/>
      <c r="H43" s="75"/>
      <c r="K43" s="75"/>
      <c r="M43" s="76"/>
      <c r="N43" s="76"/>
      <c r="P43" s="75"/>
      <c r="U43" s="75" t="s">
        <v>1</v>
      </c>
      <c r="V43" s="195" t="str" cm="1">
        <f t="array" ref="V43">_xlfn.IFS(
  C43="United States","North America",
  C43="Canada","North America",
  C43="Mexico","North America",
  C43="Bermuda","North America",
  C43="United Kingdom","Europe",
  C43="Germany","Europe",
  C43="France","Europe",
  C43="Italy","Europe",
  C43="Switzerland","Europe",
  C43="Spain","Europe",
  C43="Netherlands","Europe",
  C43="Sweden","Europe",
  C43="Norway","Europe",
  C43="Finland","Europe",
  C43="Denmark","Europe",
  C43="Russia","Europe",
  C43="China","Asia",
  C43="Japan","Asia",
  C43="Taiwan, Province of China","Asia",
  C43="Hong Kong","Asia",
  C43="South Korea","Asia",
  C43="India","Asia",
  C43="Singapore","Asia",
  C43="Thailand","Asia",
  C43="Indonesia","Asia",
  C43="Malaysia","Asia",
  TRUE,"Other"
)</f>
        <v>Asia</v>
      </c>
      <c r="W43" s="195" t="str">
        <f>_xlfn.XLOOKUP(Table2[[#This Row],[Column3]],Sheet1!G:G,Sheet1!H:H)</f>
        <v>Aerospace and defense</v>
      </c>
      <c r="X43" s="195"/>
      <c r="Y43" s="195"/>
    </row>
    <row r="44" spans="1:39" ht="16">
      <c r="A44" s="194" t="s">
        <v>3912</v>
      </c>
      <c r="B44" s="68">
        <v>157</v>
      </c>
      <c r="C44" s="68" t="s">
        <v>4195</v>
      </c>
      <c r="D44" s="77" t="s">
        <v>4465</v>
      </c>
      <c r="E44" s="75" t="s">
        <v>4174</v>
      </c>
      <c r="F44" s="68">
        <v>2025</v>
      </c>
      <c r="G44" s="68">
        <v>2015</v>
      </c>
      <c r="H44" s="75" t="s">
        <v>1957</v>
      </c>
      <c r="J44" s="68">
        <v>2021</v>
      </c>
      <c r="K44" s="75" t="s">
        <v>1957</v>
      </c>
      <c r="L44" s="68" t="s">
        <v>4428</v>
      </c>
      <c r="M44" s="76">
        <v>2006</v>
      </c>
      <c r="N44" s="76">
        <v>2006</v>
      </c>
      <c r="O44" s="85" t="s">
        <v>4170</v>
      </c>
      <c r="P44" s="75" t="s">
        <v>4172</v>
      </c>
      <c r="Q44" s="68" t="s">
        <v>4427</v>
      </c>
      <c r="R44" s="81">
        <v>2040</v>
      </c>
      <c r="S44" s="68">
        <v>2021</v>
      </c>
      <c r="T44" s="80" t="s">
        <v>4170</v>
      </c>
      <c r="U44" s="75" t="s">
        <v>361</v>
      </c>
      <c r="V44" s="195" t="str" cm="1">
        <f t="array" ref="V44">_xlfn.IFS(
  C44="United States","North America",
  C44="Canada","North America",
  C44="Mexico","North America",
  C44="Bermuda","North America",
  C44="United Kingdom","Europe",
  C44="Germany","Europe",
  C44="France","Europe",
  C44="Italy","Europe",
  C44="Switzerland","Europe",
  C44="Spain","Europe",
  C44="Netherlands","Europe",
  C44="Sweden","Europe",
  C44="Norway","Europe",
  C44="Finland","Europe",
  C44="Denmark","Europe",
  C44="Russia","Europe",
  C44="China","Asia",
  C44="Japan","Asia",
  C44="Taiwan, Province of China","Asia",
  C44="Hong Kong","Asia",
  C44="South Korea","Asia",
  C44="India","Asia",
  C44="Singapore","Asia",
  C44="Thailand","Asia",
  C44="Indonesia","Asia",
  C44="Malaysia","Asia",
  TRUE,"Other"
)</f>
        <v>Europe</v>
      </c>
      <c r="W44" s="195" t="str">
        <f>_xlfn.XLOOKUP(Table2[[#This Row],[Column3]],Sheet1!G:G,Sheet1!H:H)</f>
        <v>Financial services</v>
      </c>
      <c r="X44" s="195"/>
      <c r="Y44" s="195"/>
    </row>
    <row r="45" spans="1:39">
      <c r="A45" s="194" t="s">
        <v>1725</v>
      </c>
      <c r="B45" s="68">
        <v>46</v>
      </c>
      <c r="C45" s="68" t="s">
        <v>63</v>
      </c>
      <c r="D45" s="77" t="s">
        <v>4465</v>
      </c>
      <c r="E45" s="75" t="s">
        <v>4174</v>
      </c>
      <c r="F45" s="68">
        <v>2025</v>
      </c>
      <c r="G45" s="68">
        <v>2017</v>
      </c>
      <c r="H45" s="75" t="s">
        <v>1957</v>
      </c>
      <c r="J45" s="68">
        <v>2015</v>
      </c>
      <c r="K45" s="75" t="s">
        <v>1957</v>
      </c>
      <c r="L45" s="68" t="s">
        <v>1659</v>
      </c>
      <c r="M45" s="76">
        <v>2020</v>
      </c>
      <c r="N45" s="76">
        <v>2019</v>
      </c>
      <c r="O45" s="79" t="s">
        <v>4170</v>
      </c>
      <c r="P45" s="75" t="s">
        <v>4172</v>
      </c>
      <c r="Q45" s="68" t="s">
        <v>4381</v>
      </c>
      <c r="R45" s="68">
        <v>2050</v>
      </c>
      <c r="S45" s="68">
        <v>2019</v>
      </c>
      <c r="T45" s="79" t="s">
        <v>4170</v>
      </c>
      <c r="U45" s="75" t="s">
        <v>361</v>
      </c>
      <c r="V45" s="195" t="str" cm="1">
        <f t="array" ref="V45">_xlfn.IFS(
  C45="United States","North America",
  C45="Canada","North America",
  C45="Mexico","North America",
  C45="Bermuda","North America",
  C45="United Kingdom","Europe",
  C45="Germany","Europe",
  C45="France","Europe",
  C45="Italy","Europe",
  C45="Switzerland","Europe",
  C45="Spain","Europe",
  C45="Netherlands","Europe",
  C45="Sweden","Europe",
  C45="Norway","Europe",
  C45="Finland","Europe",
  C45="Denmark","Europe",
  C45="Russia","Europe",
  C45="China","Asia",
  C45="Japan","Asia",
  C45="Taiwan, Province of China","Asia",
  C45="Hong Kong","Asia",
  C45="South Korea","Asia",
  C45="India","Asia",
  C45="Singapore","Asia",
  C45="Thailand","Asia",
  C45="Indonesia","Asia",
  C45="Malaysia","Asia",
  TRUE,"Other"
)</f>
        <v>Europe</v>
      </c>
      <c r="W45" s="195" t="str">
        <f>_xlfn.XLOOKUP(Table2[[#This Row],[Column3]],Sheet1!G:G,Sheet1!H:H)</f>
        <v>Financial services</v>
      </c>
      <c r="X45" s="195"/>
      <c r="Y45" s="195"/>
    </row>
    <row r="46" spans="1:39" ht="16">
      <c r="A46" s="194" t="s">
        <v>4426</v>
      </c>
      <c r="B46" s="68">
        <v>487</v>
      </c>
      <c r="C46" s="68" t="s">
        <v>4195</v>
      </c>
      <c r="D46" s="77" t="s">
        <v>4260</v>
      </c>
      <c r="E46" s="75"/>
      <c r="H46" s="75"/>
      <c r="K46" s="75"/>
      <c r="M46" s="76"/>
      <c r="N46" s="76"/>
      <c r="P46" s="75" t="s">
        <v>4206</v>
      </c>
      <c r="Q46" s="68" t="s">
        <v>4425</v>
      </c>
      <c r="R46" s="68">
        <v>2030</v>
      </c>
      <c r="S46" s="68">
        <v>2021</v>
      </c>
      <c r="T46" s="78" t="s">
        <v>4170</v>
      </c>
      <c r="U46" s="75" t="s">
        <v>1</v>
      </c>
      <c r="V46" s="195" t="str" cm="1">
        <f t="array" ref="V46">_xlfn.IFS(
  C46="United States","North America",
  C46="Canada","North America",
  C46="Mexico","North America",
  C46="Bermuda","North America",
  C46="United Kingdom","Europe",
  C46="Germany","Europe",
  C46="France","Europe",
  C46="Italy","Europe",
  C46="Switzerland","Europe",
  C46="Spain","Europe",
  C46="Netherlands","Europe",
  C46="Sweden","Europe",
  C46="Norway","Europe",
  C46="Finland","Europe",
  C46="Denmark","Europe",
  C46="Russia","Europe",
  C46="China","Asia",
  C46="Japan","Asia",
  C46="Taiwan, Province of China","Asia",
  C46="Hong Kong","Asia",
  C46="South Korea","Asia",
  C46="India","Asia",
  C46="Singapore","Asia",
  C46="Thailand","Asia",
  C46="Indonesia","Asia",
  C46="Malaysia","Asia",
  TRUE,"Other"
)</f>
        <v>Europe</v>
      </c>
      <c r="W46" s="195" t="str">
        <f>_xlfn.XLOOKUP(Table2[[#This Row],[Column3]],Sheet1!G:G,Sheet1!H:H)</f>
        <v>Aerospace and defense</v>
      </c>
      <c r="X46" s="195"/>
      <c r="Y46" s="195"/>
    </row>
    <row r="47" spans="1:39" ht="16">
      <c r="A47" s="194" t="s">
        <v>1044</v>
      </c>
      <c r="B47" s="68">
        <v>337</v>
      </c>
      <c r="C47" s="68" t="s">
        <v>267</v>
      </c>
      <c r="D47" s="77" t="s">
        <v>4465</v>
      </c>
      <c r="E47" s="75" t="s">
        <v>4174</v>
      </c>
      <c r="F47" s="68">
        <v>2020</v>
      </c>
      <c r="G47" s="68">
        <v>2018</v>
      </c>
      <c r="H47" s="75" t="s">
        <v>1957</v>
      </c>
      <c r="J47" s="68">
        <v>2018</v>
      </c>
      <c r="K47" s="75" t="s">
        <v>1957</v>
      </c>
      <c r="L47" s="68" t="s">
        <v>4367</v>
      </c>
      <c r="M47" s="76">
        <v>2020</v>
      </c>
      <c r="N47" s="76">
        <v>2020</v>
      </c>
      <c r="O47" s="85" t="s">
        <v>4170</v>
      </c>
      <c r="P47" s="75" t="s">
        <v>4217</v>
      </c>
      <c r="Q47" s="68" t="s">
        <v>4424</v>
      </c>
      <c r="R47" s="68">
        <v>2050</v>
      </c>
      <c r="S47" s="68">
        <v>2021</v>
      </c>
      <c r="T47" s="80" t="s">
        <v>4170</v>
      </c>
      <c r="U47" s="75" t="s">
        <v>361</v>
      </c>
      <c r="V47" s="195" t="str" cm="1">
        <f t="array" ref="V47">_xlfn.IFS(
  C47="United States","North America",
  C47="Canada","North America",
  C47="Mexico","North America",
  C47="Bermuda","North America",
  C47="United Kingdom","Europe",
  C47="Germany","Europe",
  C47="France","Europe",
  C47="Italy","Europe",
  C47="Switzerland","Europe",
  C47="Spain","Europe",
  C47="Netherlands","Europe",
  C47="Sweden","Europe",
  C47="Norway","Europe",
  C47="Finland","Europe",
  C47="Denmark","Europe",
  C47="Russia","Europe",
  C47="China","Asia",
  C47="Japan","Asia",
  C47="Taiwan, Province of China","Asia",
  C47="Hong Kong","Asia",
  C47="South Korea","Asia",
  C47="India","Asia",
  C47="Singapore","Asia",
  C47="Thailand","Asia",
  C47="Indonesia","Asia",
  C47="Malaysia","Asia",
  TRUE,"Other"
)</f>
        <v>Europe</v>
      </c>
      <c r="W47" s="195" t="str">
        <f>_xlfn.XLOOKUP(Table2[[#This Row],[Column3]],Sheet1!G:G,Sheet1!H:H)</f>
        <v>Financial services</v>
      </c>
      <c r="X47" s="195"/>
      <c r="Y47" s="195"/>
    </row>
    <row r="48" spans="1:39" ht="16">
      <c r="A48" s="194" t="s">
        <v>1099</v>
      </c>
      <c r="B48" s="68">
        <v>426</v>
      </c>
      <c r="C48" s="68" t="s">
        <v>68</v>
      </c>
      <c r="D48" s="77" t="s">
        <v>4465</v>
      </c>
      <c r="E48" s="75"/>
      <c r="H48" s="75"/>
      <c r="K48" s="75" t="s">
        <v>1957</v>
      </c>
      <c r="L48" s="68" t="s">
        <v>4423</v>
      </c>
      <c r="M48" s="76">
        <v>2006</v>
      </c>
      <c r="N48" s="76">
        <v>2006</v>
      </c>
      <c r="O48" s="78" t="s">
        <v>4170</v>
      </c>
      <c r="P48" s="75" t="s">
        <v>4217</v>
      </c>
      <c r="Q48" s="68" t="s">
        <v>4422</v>
      </c>
      <c r="R48" s="68">
        <v>2050</v>
      </c>
      <c r="S48" s="68">
        <v>2021</v>
      </c>
      <c r="T48" s="78" t="s">
        <v>4170</v>
      </c>
      <c r="U48" s="75" t="s">
        <v>361</v>
      </c>
      <c r="V48" s="195" t="str" cm="1">
        <f t="array" ref="V48">_xlfn.IFS(
  C48="United States","North America",
  C48="Canada","North America",
  C48="Mexico","North America",
  C48="Bermuda","North America",
  C48="United Kingdom","Europe",
  C48="Germany","Europe",
  C48="France","Europe",
  C48="Italy","Europe",
  C48="Switzerland","Europe",
  C48="Spain","Europe",
  C48="Netherlands","Europe",
  C48="Sweden","Europe",
  C48="Norway","Europe",
  C48="Finland","Europe",
  C48="Denmark","Europe",
  C48="Russia","Europe",
  C48="China","Asia",
  C48="Japan","Asia",
  C48="Taiwan, Province of China","Asia",
  C48="Hong Kong","Asia",
  C48="South Korea","Asia",
  C48="India","Asia",
  C48="Singapore","Asia",
  C48="Thailand","Asia",
  C48="Indonesia","Asia",
  C48="Malaysia","Asia",
  TRUE,"Other"
)</f>
        <v>Other</v>
      </c>
      <c r="W48" s="195" t="str">
        <f>_xlfn.XLOOKUP(Table2[[#This Row],[Column3]],Sheet1!G:G,Sheet1!H:H)</f>
        <v>Financial services</v>
      </c>
      <c r="X48" s="195"/>
      <c r="Y48" s="195"/>
    </row>
    <row r="49" spans="1:41">
      <c r="A49" s="194" t="s">
        <v>936</v>
      </c>
      <c r="B49" s="68">
        <v>482</v>
      </c>
      <c r="C49" s="68" t="s">
        <v>68</v>
      </c>
      <c r="D49" s="77" t="s">
        <v>4465</v>
      </c>
      <c r="E49" s="75"/>
      <c r="H49" s="75" t="s">
        <v>1957</v>
      </c>
      <c r="J49" s="68">
        <v>2021</v>
      </c>
      <c r="K49" s="75" t="s">
        <v>1957</v>
      </c>
      <c r="L49" s="68" t="s">
        <v>4421</v>
      </c>
      <c r="M49" s="76">
        <v>2021</v>
      </c>
      <c r="N49" s="76">
        <v>2021</v>
      </c>
      <c r="O49" s="79" t="s">
        <v>4170</v>
      </c>
      <c r="P49" s="75"/>
      <c r="U49" s="75" t="s">
        <v>361</v>
      </c>
      <c r="V49" s="195" t="str" cm="1">
        <f t="array" ref="V49">_xlfn.IFS(
  C49="United States","North America",
  C49="Canada","North America",
  C49="Mexico","North America",
  C49="Bermuda","North America",
  C49="United Kingdom","Europe",
  C49="Germany","Europe",
  C49="France","Europe",
  C49="Italy","Europe",
  C49="Switzerland","Europe",
  C49="Spain","Europe",
  C49="Netherlands","Europe",
  C49="Sweden","Europe",
  C49="Norway","Europe",
  C49="Finland","Europe",
  C49="Denmark","Europe",
  C49="Russia","Europe",
  C49="China","Asia",
  C49="Japan","Asia",
  C49="Taiwan, Province of China","Asia",
  C49="Hong Kong","Asia",
  C49="South Korea","Asia",
  C49="India","Asia",
  C49="Singapore","Asia",
  C49="Thailand","Asia",
  C49="Indonesia","Asia",
  C49="Malaysia","Asia",
  TRUE,"Other"
)</f>
        <v>Other</v>
      </c>
      <c r="W49" s="195" t="str">
        <f>_xlfn.XLOOKUP(Table2[[#This Row],[Column3]],Sheet1!G:G,Sheet1!H:H)</f>
        <v>Financial services</v>
      </c>
      <c r="X49" s="195"/>
      <c r="Y49" s="195"/>
    </row>
    <row r="50" spans="1:41" ht="16">
      <c r="A50" s="194" t="s">
        <v>1597</v>
      </c>
      <c r="B50" s="68">
        <v>120</v>
      </c>
      <c r="C50" s="68" t="s">
        <v>267</v>
      </c>
      <c r="D50" s="77" t="s">
        <v>4465</v>
      </c>
      <c r="E50" s="75"/>
      <c r="H50" s="75"/>
      <c r="K50" s="75" t="s">
        <v>1957</v>
      </c>
      <c r="L50" s="68" t="s">
        <v>4223</v>
      </c>
      <c r="M50" s="76">
        <v>2020</v>
      </c>
      <c r="N50" s="76">
        <v>2019</v>
      </c>
      <c r="O50" s="82" t="s">
        <v>4170</v>
      </c>
      <c r="P50" s="75" t="s">
        <v>4217</v>
      </c>
      <c r="Q50" s="68" t="s">
        <v>4420</v>
      </c>
      <c r="R50" s="68">
        <v>2050</v>
      </c>
      <c r="S50" s="68">
        <v>2021</v>
      </c>
      <c r="T50" s="82" t="s">
        <v>4170</v>
      </c>
      <c r="U50" s="75" t="s">
        <v>361</v>
      </c>
      <c r="V50" s="195" t="str" cm="1">
        <f t="array" ref="V50">_xlfn.IFS(
  C50="United States","North America",
  C50="Canada","North America",
  C50="Mexico","North America",
  C50="Bermuda","North America",
  C50="United Kingdom","Europe",
  C50="Germany","Europe",
  C50="France","Europe",
  C50="Italy","Europe",
  C50="Switzerland","Europe",
  C50="Spain","Europe",
  C50="Netherlands","Europe",
  C50="Sweden","Europe",
  C50="Norway","Europe",
  C50="Finland","Europe",
  C50="Denmark","Europe",
  C50="Russia","Europe",
  C50="China","Asia",
  C50="Japan","Asia",
  C50="Taiwan, Province of China","Asia",
  C50="Hong Kong","Asia",
  C50="South Korea","Asia",
  C50="India","Asia",
  C50="Singapore","Asia",
  C50="Thailand","Asia",
  C50="Indonesia","Asia",
  C50="Malaysia","Asia",
  TRUE,"Other"
)</f>
        <v>Europe</v>
      </c>
      <c r="W50" s="195" t="str">
        <f>_xlfn.XLOOKUP(Table2[[#This Row],[Column3]],Sheet1!G:G,Sheet1!H:H)</f>
        <v>Financial services</v>
      </c>
      <c r="X50" s="195"/>
      <c r="Y50" s="195"/>
    </row>
    <row r="51" spans="1:41" ht="16">
      <c r="A51" s="194" t="s">
        <v>3873</v>
      </c>
      <c r="B51" s="68">
        <v>77</v>
      </c>
      <c r="C51" s="68" t="s">
        <v>82</v>
      </c>
      <c r="D51" s="77" t="s">
        <v>4465</v>
      </c>
      <c r="E51" s="75" t="s">
        <v>4174</v>
      </c>
      <c r="F51" s="68">
        <v>2020</v>
      </c>
      <c r="G51" s="68">
        <v>2016</v>
      </c>
      <c r="H51" s="75"/>
      <c r="K51" s="75" t="s">
        <v>1957</v>
      </c>
      <c r="L51" s="68" t="s">
        <v>4419</v>
      </c>
      <c r="M51" s="76">
        <v>2019</v>
      </c>
      <c r="N51" s="94">
        <v>2016</v>
      </c>
      <c r="O51" s="93" t="s">
        <v>4170</v>
      </c>
      <c r="P51" s="75" t="s">
        <v>4172</v>
      </c>
      <c r="Q51" s="68" t="s">
        <v>4418</v>
      </c>
      <c r="R51" s="81">
        <v>2050</v>
      </c>
      <c r="S51" s="81">
        <v>2021</v>
      </c>
      <c r="T51" s="92" t="s">
        <v>4170</v>
      </c>
      <c r="U51" s="75" t="s">
        <v>361</v>
      </c>
      <c r="V51" s="195" t="str" cm="1">
        <f t="array" ref="V51">_xlfn.IFS(
  C51="United States","North America",
  C51="Canada","North America",
  C51="Mexico","North America",
  C51="Bermuda","North America",
  C51="United Kingdom","Europe",
  C51="Germany","Europe",
  C51="France","Europe",
  C51="Italy","Europe",
  C51="Switzerland","Europe",
  C51="Spain","Europe",
  C51="Netherlands","Europe",
  C51="Sweden","Europe",
  C51="Norway","Europe",
  C51="Finland","Europe",
  C51="Denmark","Europe",
  C51="Russia","Europe",
  C51="China","Asia",
  C51="Japan","Asia",
  C51="Taiwan, Province of China","Asia",
  C51="Hong Kong","Asia",
  C51="South Korea","Asia",
  C51="India","Asia",
  C51="Singapore","Asia",
  C51="Thailand","Asia",
  C51="Indonesia","Asia",
  C51="Malaysia","Asia",
  TRUE,"Other"
)</f>
        <v>North America</v>
      </c>
      <c r="W51" s="195" t="str">
        <f>_xlfn.XLOOKUP(Table2[[#This Row],[Column3]],Sheet1!G:G,Sheet1!H:H)</f>
        <v>Financial services</v>
      </c>
      <c r="X51" s="195"/>
      <c r="Y51" s="195"/>
    </row>
    <row r="52" spans="1:41" ht="16">
      <c r="A52" s="194" t="s">
        <v>1736</v>
      </c>
      <c r="B52" s="68">
        <v>39</v>
      </c>
      <c r="C52" s="68" t="s">
        <v>73</v>
      </c>
      <c r="D52" s="77" t="s">
        <v>4465</v>
      </c>
      <c r="E52" s="75"/>
      <c r="H52" s="75"/>
      <c r="K52" s="75" t="s">
        <v>4224</v>
      </c>
      <c r="L52" s="68" t="s">
        <v>4417</v>
      </c>
      <c r="M52" s="76"/>
      <c r="N52" s="76">
        <v>2021</v>
      </c>
      <c r="O52" s="82" t="s">
        <v>4170</v>
      </c>
      <c r="P52" s="75"/>
      <c r="U52" s="75" t="s">
        <v>1</v>
      </c>
      <c r="V52" s="195" t="str" cm="1">
        <f t="array" ref="V52">_xlfn.IFS(
  C52="United States","North America",
  C52="Canada","North America",
  C52="Mexico","North America",
  C52="Bermuda","North America",
  C52="United Kingdom","Europe",
  C52="Germany","Europe",
  C52="France","Europe",
  C52="Italy","Europe",
  C52="Switzerland","Europe",
  C52="Spain","Europe",
  C52="Netherlands","Europe",
  C52="Sweden","Europe",
  C52="Norway","Europe",
  C52="Finland","Europe",
  C52="Denmark","Europe",
  C52="Russia","Europe",
  C52="China","Asia",
  C52="Japan","Asia",
  C52="Taiwan, Province of China","Asia",
  C52="Hong Kong","Asia",
  C52="South Korea","Asia",
  C52="India","Asia",
  C52="Singapore","Asia",
  C52="Thailand","Asia",
  C52="Indonesia","Asia",
  C52="Malaysia","Asia",
  TRUE,"Other"
)</f>
        <v>Asia</v>
      </c>
      <c r="W52" s="195" t="str">
        <f>_xlfn.XLOOKUP(Table2[[#This Row],[Column3]],Sheet1!G:G,Sheet1!H:H)</f>
        <v>Financial services</v>
      </c>
      <c r="X52" s="195"/>
      <c r="Y52" s="195"/>
    </row>
    <row r="53" spans="1:41">
      <c r="A53" s="194" t="s">
        <v>1327</v>
      </c>
      <c r="B53" s="68">
        <v>137</v>
      </c>
      <c r="C53" s="68" t="s">
        <v>73</v>
      </c>
      <c r="D53" s="77" t="s">
        <v>4465</v>
      </c>
      <c r="E53" s="75"/>
      <c r="H53" s="75"/>
      <c r="K53" s="75"/>
      <c r="M53" s="76"/>
      <c r="N53" s="76"/>
      <c r="P53" s="75"/>
      <c r="U53" s="75" t="s">
        <v>1</v>
      </c>
      <c r="V53" s="195" t="str" cm="1">
        <f t="array" ref="V53">_xlfn.IFS(
  C53="United States","North America",
  C53="Canada","North America",
  C53="Mexico","North America",
  C53="Bermuda","North America",
  C53="United Kingdom","Europe",
  C53="Germany","Europe",
  C53="France","Europe",
  C53="Italy","Europe",
  C53="Switzerland","Europe",
  C53="Spain","Europe",
  C53="Netherlands","Europe",
  C53="Sweden","Europe",
  C53="Norway","Europe",
  C53="Finland","Europe",
  C53="Denmark","Europe",
  C53="Russia","Europe",
  C53="China","Asia",
  C53="Japan","Asia",
  C53="Taiwan, Province of China","Asia",
  C53="Hong Kong","Asia",
  C53="South Korea","Asia",
  C53="India","Asia",
  C53="Singapore","Asia",
  C53="Thailand","Asia",
  C53="Indonesia","Asia",
  C53="Malaysia","Asia",
  TRUE,"Other"
)</f>
        <v>Asia</v>
      </c>
      <c r="W53" s="195" t="str">
        <f>_xlfn.XLOOKUP(Table2[[#This Row],[Column3]],Sheet1!G:G,Sheet1!H:H)</f>
        <v>Financial services</v>
      </c>
      <c r="X53" s="195"/>
      <c r="Y53" s="195"/>
    </row>
    <row r="54" spans="1:41" ht="16">
      <c r="A54" s="194" t="s">
        <v>77</v>
      </c>
      <c r="B54" s="68">
        <v>472</v>
      </c>
      <c r="C54" s="68" t="s">
        <v>78</v>
      </c>
      <c r="D54" s="77" t="s">
        <v>4465</v>
      </c>
      <c r="E54" s="75"/>
      <c r="H54" s="75"/>
      <c r="K54" s="75" t="s">
        <v>1957</v>
      </c>
      <c r="L54" s="68" t="s">
        <v>4416</v>
      </c>
      <c r="M54" s="76">
        <v>2010</v>
      </c>
      <c r="N54" s="76">
        <v>2008</v>
      </c>
      <c r="O54" s="78" t="s">
        <v>4170</v>
      </c>
      <c r="P54" s="75" t="s">
        <v>4217</v>
      </c>
      <c r="Q54" s="68" t="s">
        <v>4415</v>
      </c>
      <c r="R54" s="68">
        <v>2050</v>
      </c>
      <c r="S54" s="68">
        <v>2021</v>
      </c>
      <c r="T54" s="79" t="s">
        <v>4170</v>
      </c>
      <c r="U54" s="75" t="s">
        <v>361</v>
      </c>
      <c r="V54" s="195" t="str" cm="1">
        <f t="array" ref="V54">_xlfn.IFS(
  C54="United States","North America",
  C54="Canada","North America",
  C54="Mexico","North America",
  C54="Bermuda","North America",
  C54="United Kingdom","Europe",
  C54="Germany","Europe",
  C54="France","Europe",
  C54="Italy","Europe",
  C54="Switzerland","Europe",
  C54="Spain","Europe",
  C54="Netherlands","Europe",
  C54="Sweden","Europe",
  C54="Norway","Europe",
  C54="Finland","Europe",
  C54="Denmark","Europe",
  C54="Russia","Europe",
  C54="China","Asia",
  C54="Japan","Asia",
  C54="Taiwan, Province of China","Asia",
  C54="Hong Kong","Asia",
  C54="South Korea","Asia",
  C54="India","Asia",
  C54="Singapore","Asia",
  C54="Thailand","Asia",
  C54="Indonesia","Asia",
  C54="Malaysia","Asia",
  TRUE,"Other"
)</f>
        <v>North America</v>
      </c>
      <c r="W54" s="195" t="str">
        <f>_xlfn.XLOOKUP(Table2[[#This Row],[Column3]],Sheet1!G:G,Sheet1!H:H)</f>
        <v>Financial services</v>
      </c>
      <c r="X54" s="195"/>
      <c r="Y54" s="195"/>
    </row>
    <row r="55" spans="1:41">
      <c r="A55" s="194" t="s">
        <v>496</v>
      </c>
      <c r="B55" s="68">
        <v>376</v>
      </c>
      <c r="C55" s="68" t="s">
        <v>78</v>
      </c>
      <c r="D55" s="77" t="s">
        <v>4465</v>
      </c>
      <c r="E55" s="75"/>
      <c r="H55" s="75"/>
      <c r="K55" s="75"/>
      <c r="M55" s="76"/>
      <c r="N55" s="76"/>
      <c r="P55" s="75"/>
      <c r="U55" s="75" t="s">
        <v>1</v>
      </c>
      <c r="V55" s="195" t="str" cm="1">
        <f t="array" ref="V55">_xlfn.IFS(
  C55="United States","North America",
  C55="Canada","North America",
  C55="Mexico","North America",
  C55="Bermuda","North America",
  C55="United Kingdom","Europe",
  C55="Germany","Europe",
  C55="France","Europe",
  C55="Italy","Europe",
  C55="Switzerland","Europe",
  C55="Spain","Europe",
  C55="Netherlands","Europe",
  C55="Sweden","Europe",
  C55="Norway","Europe",
  C55="Finland","Europe",
  C55="Denmark","Europe",
  C55="Russia","Europe",
  C55="China","Asia",
  C55="Japan","Asia",
  C55="Taiwan, Province of China","Asia",
  C55="Hong Kong","Asia",
  C55="South Korea","Asia",
  C55="India","Asia",
  C55="Singapore","Asia",
  C55="Thailand","Asia",
  C55="Indonesia","Asia",
  C55="Malaysia","Asia",
  TRUE,"Other"
)</f>
        <v>North America</v>
      </c>
      <c r="W55" s="195" t="str">
        <f>_xlfn.XLOOKUP(Table2[[#This Row],[Column3]],Sheet1!G:G,Sheet1!H:H)</f>
        <v>Financial services</v>
      </c>
      <c r="X55" s="195"/>
      <c r="Y55" s="195"/>
    </row>
    <row r="56" spans="1:41">
      <c r="A56" s="194" t="s">
        <v>757</v>
      </c>
      <c r="B56" s="68">
        <v>345</v>
      </c>
      <c r="C56" s="68" t="s">
        <v>4195</v>
      </c>
      <c r="D56" s="77" t="s">
        <v>4465</v>
      </c>
      <c r="E56" s="75" t="s">
        <v>4174</v>
      </c>
      <c r="F56" s="68">
        <v>2030</v>
      </c>
      <c r="G56" s="68">
        <v>2019</v>
      </c>
      <c r="H56" s="75"/>
      <c r="K56" s="75"/>
      <c r="M56" s="76"/>
      <c r="N56" s="76"/>
      <c r="P56" s="75" t="s">
        <v>4217</v>
      </c>
      <c r="Q56" s="68" t="s">
        <v>4414</v>
      </c>
      <c r="R56" s="81">
        <v>2050</v>
      </c>
      <c r="S56" s="68">
        <v>2020</v>
      </c>
      <c r="T56" s="80" t="s">
        <v>4170</v>
      </c>
      <c r="U56" s="75" t="s">
        <v>361</v>
      </c>
      <c r="V56" s="195" t="str" cm="1">
        <f t="array" ref="V56">_xlfn.IFS(
  C56="United States","North America",
  C56="Canada","North America",
  C56="Mexico","North America",
  C56="Bermuda","North America",
  C56="United Kingdom","Europe",
  C56="Germany","Europe",
  C56="France","Europe",
  C56="Italy","Europe",
  C56="Switzerland","Europe",
  C56="Spain","Europe",
  C56="Netherlands","Europe",
  C56="Sweden","Europe",
  C56="Norway","Europe",
  C56="Finland","Europe",
  C56="Denmark","Europe",
  C56="Russia","Europe",
  C56="China","Asia",
  C56="Japan","Asia",
  C56="Taiwan, Province of China","Asia",
  C56="Hong Kong","Asia",
  C56="South Korea","Asia",
  C56="India","Asia",
  C56="Singapore","Asia",
  C56="Thailand","Asia",
  C56="Indonesia","Asia",
  C56="Malaysia","Asia",
  TRUE,"Other"
)</f>
        <v>Europe</v>
      </c>
      <c r="W56" s="195" t="str">
        <f>_xlfn.XLOOKUP(Table2[[#This Row],[Column3]],Sheet1!G:G,Sheet1!H:H)</f>
        <v>Financial services</v>
      </c>
      <c r="X56" s="195"/>
      <c r="Y56" s="195"/>
    </row>
    <row r="57" spans="1:41">
      <c r="A57" s="194" t="s">
        <v>1446</v>
      </c>
      <c r="B57" s="68">
        <v>134</v>
      </c>
      <c r="C57" s="68" t="s">
        <v>146</v>
      </c>
      <c r="D57" s="77" t="s">
        <v>66</v>
      </c>
      <c r="E57" s="75"/>
      <c r="H57" s="75"/>
      <c r="K57" s="75" t="s">
        <v>1957</v>
      </c>
      <c r="L57" s="68" t="s">
        <v>4413</v>
      </c>
      <c r="M57" s="76">
        <v>2050</v>
      </c>
      <c r="N57" s="76">
        <v>2021</v>
      </c>
      <c r="O57" s="79" t="s">
        <v>4170</v>
      </c>
      <c r="P57" s="75"/>
      <c r="U57" s="75" t="s">
        <v>1</v>
      </c>
      <c r="V57" s="195" t="str" cm="1">
        <f t="array" ref="V57">_xlfn.IFS(
  C57="United States","North America",
  C57="Canada","North America",
  C57="Mexico","North America",
  C57="Bermuda","North America",
  C57="United Kingdom","Europe",
  C57="Germany","Europe",
  C57="France","Europe",
  C57="Italy","Europe",
  C57="Switzerland","Europe",
  C57="Spain","Europe",
  C57="Netherlands","Europe",
  C57="Sweden","Europe",
  C57="Norway","Europe",
  C57="Finland","Europe",
  C57="Denmark","Europe",
  C57="Russia","Europe",
  C57="China","Asia",
  C57="Japan","Asia",
  C57="Taiwan, Province of China","Asia",
  C57="Hong Kong","Asia",
  C57="South Korea","Asia",
  C57="India","Asia",
  C57="Singapore","Asia",
  C57="Thailand","Asia",
  C57="Indonesia","Asia",
  C57="Malaysia","Asia",
  TRUE,"Other"
)</f>
        <v>Europe</v>
      </c>
      <c r="W57" s="195" t="str">
        <f>_xlfn.XLOOKUP(Table2[[#This Row],[Column3]],Sheet1!G:G,Sheet1!H:H)</f>
        <v>Chemicals</v>
      </c>
      <c r="X57" s="195"/>
      <c r="Y57" s="195"/>
    </row>
    <row r="58" spans="1:41" ht="16">
      <c r="A58" s="194" t="s">
        <v>1019</v>
      </c>
      <c r="B58" s="68">
        <v>227</v>
      </c>
      <c r="C58" s="68" t="s">
        <v>146</v>
      </c>
      <c r="D58" s="77" t="s">
        <v>4201</v>
      </c>
      <c r="E58" s="75"/>
      <c r="H58" s="75" t="s">
        <v>4183</v>
      </c>
      <c r="I58" s="68">
        <v>2029</v>
      </c>
      <c r="J58" s="68">
        <v>2020</v>
      </c>
      <c r="K58" s="75" t="s">
        <v>1957</v>
      </c>
      <c r="L58" s="68" t="s">
        <v>4412</v>
      </c>
      <c r="M58" s="76">
        <v>2030</v>
      </c>
      <c r="N58" s="76">
        <v>2019</v>
      </c>
      <c r="O58" s="82" t="s">
        <v>4170</v>
      </c>
      <c r="P58" s="75" t="s">
        <v>4172</v>
      </c>
      <c r="Q58" s="68" t="s">
        <v>4411</v>
      </c>
      <c r="R58" s="68">
        <v>2050</v>
      </c>
      <c r="S58" s="68">
        <v>2020</v>
      </c>
      <c r="T58" s="85" t="s">
        <v>4170</v>
      </c>
      <c r="U58" s="75" t="s">
        <v>361</v>
      </c>
      <c r="V58" s="195" t="str" cm="1">
        <f t="array" ref="V58">_xlfn.IFS(
  C58="United States","North America",
  C58="Canada","North America",
  C58="Mexico","North America",
  C58="Bermuda","North America",
  C58="United Kingdom","Europe",
  C58="Germany","Europe",
  C58="France","Europe",
  C58="Italy","Europe",
  C58="Switzerland","Europe",
  C58="Spain","Europe",
  C58="Netherlands","Europe",
  C58="Sweden","Europe",
  C58="Norway","Europe",
  C58="Finland","Europe",
  C58="Denmark","Europe",
  C58="Russia","Europe",
  C58="China","Asia",
  C58="Japan","Asia",
  C58="Taiwan, Province of China","Asia",
  C58="Hong Kong","Asia",
  C58="South Korea","Asia",
  C58="India","Asia",
  C58="Singapore","Asia",
  C58="Thailand","Asia",
  C58="Indonesia","Asia",
  C58="Malaysia","Asia",
  TRUE,"Other"
)</f>
        <v>Europe</v>
      </c>
      <c r="W58" s="195" t="str">
        <f>_xlfn.XLOOKUP(Table2[[#This Row],[Column3]],Sheet1!G:G,Sheet1!H:H)</f>
        <v>Health care and pharmaceuticals</v>
      </c>
      <c r="X58" s="195"/>
      <c r="Y58" s="195"/>
    </row>
    <row r="59" spans="1:41">
      <c r="A59" s="194" t="s">
        <v>1410</v>
      </c>
      <c r="B59" s="68">
        <v>124</v>
      </c>
      <c r="C59" s="68" t="s">
        <v>73</v>
      </c>
      <c r="D59" s="77" t="s">
        <v>4476</v>
      </c>
      <c r="E59" s="75"/>
      <c r="H59" s="75"/>
      <c r="K59" s="75"/>
      <c r="M59" s="76"/>
      <c r="N59" s="76"/>
      <c r="P59" s="75"/>
      <c r="U59" s="75" t="s">
        <v>1</v>
      </c>
      <c r="V59" s="195" t="str" cm="1">
        <f t="array" ref="V59">_xlfn.IFS(
  C59="United States","North America",
  C59="Canada","North America",
  C59="Mexico","North America",
  C59="Bermuda","North America",
  C59="United Kingdom","Europe",
  C59="Germany","Europe",
  C59="France","Europe",
  C59="Italy","Europe",
  C59="Switzerland","Europe",
  C59="Spain","Europe",
  C59="Netherlands","Europe",
  C59="Sweden","Europe",
  C59="Norway","Europe",
  C59="Finland","Europe",
  C59="Denmark","Europe",
  C59="Russia","Europe",
  C59="China","Asia",
  C59="Japan","Asia",
  C59="Taiwan, Province of China","Asia",
  C59="Hong Kong","Asia",
  C59="South Korea","Asia",
  C59="India","Asia",
  C59="Singapore","Asia",
  C59="Thailand","Asia",
  C59="Indonesia","Asia",
  C59="Malaysia","Asia",
  TRUE,"Other"
)</f>
        <v>Asia</v>
      </c>
      <c r="W59" s="195" t="str">
        <f>_xlfn.XLOOKUP(Table2[[#This Row],[Column3]],Sheet1!G:G,Sheet1!H:H)</f>
        <v>Automotive</v>
      </c>
      <c r="X59" s="195"/>
      <c r="Y59" s="195"/>
    </row>
    <row r="60" spans="1:41">
      <c r="A60" s="194" t="s">
        <v>4410</v>
      </c>
      <c r="B60" s="68">
        <v>431</v>
      </c>
      <c r="C60" s="68" t="s">
        <v>73</v>
      </c>
      <c r="D60" s="77" t="s">
        <v>4459</v>
      </c>
      <c r="E60" s="75"/>
      <c r="H60" s="75"/>
      <c r="K60" s="75"/>
      <c r="M60" s="76"/>
      <c r="N60" s="76"/>
      <c r="P60" s="75"/>
      <c r="U60" s="75" t="s">
        <v>1</v>
      </c>
      <c r="V60" s="195" t="str" cm="1">
        <f t="array" ref="V60">_xlfn.IFS(
  C60="United States","North America",
  C60="Canada","North America",
  C60="Mexico","North America",
  C60="Bermuda","North America",
  C60="United Kingdom","Europe",
  C60="Germany","Europe",
  C60="France","Europe",
  C60="Italy","Europe",
  C60="Switzerland","Europe",
  C60="Spain","Europe",
  C60="Netherlands","Europe",
  C60="Sweden","Europe",
  C60="Norway","Europe",
  C60="Finland","Europe",
  C60="Denmark","Europe",
  C60="Russia","Europe",
  C60="China","Asia",
  C60="Japan","Asia",
  C60="Taiwan, Province of China","Asia",
  C60="Hong Kong","Asia",
  C60="South Korea","Asia",
  C60="India","Asia",
  C60="Singapore","Asia",
  C60="Thailand","Asia",
  C60="Indonesia","Asia",
  C60="Malaysia","Asia",
  TRUE,"Other"
)</f>
        <v>Asia</v>
      </c>
      <c r="W60" s="195" t="str">
        <f>_xlfn.XLOOKUP(Table2[[#This Row],[Column3]],Sheet1!G:G,Sheet1!H:H)</f>
        <v>Industrial goods</v>
      </c>
      <c r="X60" s="195"/>
      <c r="Y60" s="195"/>
    </row>
    <row r="61" spans="1:41">
      <c r="A61" s="194" t="s">
        <v>1843</v>
      </c>
      <c r="B61" s="68">
        <v>11</v>
      </c>
      <c r="C61" s="68" t="s">
        <v>82</v>
      </c>
      <c r="D61" s="77" t="s">
        <v>4465</v>
      </c>
      <c r="E61" s="75"/>
      <c r="H61" s="75"/>
      <c r="K61" s="75"/>
      <c r="M61" s="76"/>
      <c r="N61" s="76"/>
      <c r="P61" s="75"/>
      <c r="U61" s="75" t="s">
        <v>1</v>
      </c>
      <c r="V61" s="195" t="str" cm="1">
        <f t="array" ref="V61">_xlfn.IFS(
  C61="United States","North America",
  C61="Canada","North America",
  C61="Mexico","North America",
  C61="Bermuda","North America",
  C61="United Kingdom","Europe",
  C61="Germany","Europe",
  C61="France","Europe",
  C61="Italy","Europe",
  C61="Switzerland","Europe",
  C61="Spain","Europe",
  C61="Netherlands","Europe",
  C61="Sweden","Europe",
  C61="Norway","Europe",
  C61="Finland","Europe",
  C61="Denmark","Europe",
  C61="Russia","Europe",
  C61="China","Asia",
  C61="Japan","Asia",
  C61="Taiwan, Province of China","Asia",
  C61="Hong Kong","Asia",
  C61="South Korea","Asia",
  C61="India","Asia",
  C61="Singapore","Asia",
  C61="Thailand","Asia",
  C61="Indonesia","Asia",
  C61="Malaysia","Asia",
  TRUE,"Other"
)</f>
        <v>North America</v>
      </c>
      <c r="W61" s="195" t="str">
        <f>_xlfn.XLOOKUP(Table2[[#This Row],[Column3]],Sheet1!G:G,Sheet1!H:H)</f>
        <v>Financial services</v>
      </c>
      <c r="X61" s="195"/>
      <c r="Y61" s="195"/>
      <c r="Z61" s="207"/>
      <c r="AA61" s="207"/>
      <c r="AB61" s="207"/>
      <c r="AC61" s="207"/>
      <c r="AD61" s="207"/>
      <c r="AE61" s="207"/>
      <c r="AF61" s="207"/>
      <c r="AG61" s="207"/>
      <c r="AH61" s="207"/>
      <c r="AI61" s="207"/>
      <c r="AJ61" s="207"/>
      <c r="AK61" s="207"/>
      <c r="AL61" s="207"/>
      <c r="AM61" s="207"/>
    </row>
    <row r="62" spans="1:41">
      <c r="A62" s="194" t="s">
        <v>913</v>
      </c>
      <c r="B62" s="68">
        <v>238</v>
      </c>
      <c r="C62" s="68" t="s">
        <v>82</v>
      </c>
      <c r="D62" s="77" t="s">
        <v>4467</v>
      </c>
      <c r="E62" s="75"/>
      <c r="H62" s="75" t="s">
        <v>4183</v>
      </c>
      <c r="I62" s="68">
        <v>2030</v>
      </c>
      <c r="J62" s="68">
        <v>2019</v>
      </c>
      <c r="K62" s="75" t="s">
        <v>1957</v>
      </c>
      <c r="L62" s="68" t="s">
        <v>4409</v>
      </c>
      <c r="M62" s="76">
        <v>2040</v>
      </c>
      <c r="N62" s="76">
        <v>2020</v>
      </c>
      <c r="O62" s="79" t="s">
        <v>4170</v>
      </c>
      <c r="P62" s="75"/>
      <c r="U62" s="75" t="s">
        <v>361</v>
      </c>
      <c r="V62" s="195" t="str" cm="1">
        <f t="array" ref="V62">_xlfn.IFS(
  C62="United States","North America",
  C62="Canada","North America",
  C62="Mexico","North America",
  C62="Bermuda","North America",
  C62="United Kingdom","Europe",
  C62="Germany","Europe",
  C62="France","Europe",
  C62="Italy","Europe",
  C62="Switzerland","Europe",
  C62="Spain","Europe",
  C62="Netherlands","Europe",
  C62="Sweden","Europe",
  C62="Norway","Europe",
  C62="Finland","Europe",
  C62="Denmark","Europe",
  C62="Russia","Europe",
  C62="China","Asia",
  C62="Japan","Asia",
  C62="Taiwan, Province of China","Asia",
  C62="Hong Kong","Asia",
  C62="South Korea","Asia",
  C62="India","Asia",
  C62="Singapore","Asia",
  C62="Thailand","Asia",
  C62="Indonesia","Asia",
  C62="Malaysia","Asia",
  TRUE,"Other"
)</f>
        <v>North America</v>
      </c>
      <c r="W62" s="195" t="str">
        <f>_xlfn.XLOOKUP(Table2[[#This Row],[Column3]],Sheet1!G:G,Sheet1!H:H)</f>
        <v>Retail</v>
      </c>
      <c r="X62" s="195"/>
      <c r="Y62" s="195"/>
      <c r="Z62" s="207"/>
      <c r="AA62" s="207"/>
      <c r="AB62" s="207"/>
      <c r="AC62" s="207"/>
      <c r="AD62" s="207"/>
      <c r="AE62" s="207"/>
      <c r="AF62" s="207"/>
      <c r="AG62" s="207"/>
      <c r="AH62" s="207"/>
      <c r="AI62" s="207"/>
      <c r="AJ62" s="207"/>
      <c r="AK62" s="207"/>
      <c r="AL62" s="207"/>
      <c r="AM62" s="207"/>
      <c r="AN62" s="207"/>
      <c r="AO62" s="207"/>
    </row>
    <row r="63" spans="1:41">
      <c r="A63" s="194" t="s">
        <v>917</v>
      </c>
      <c r="B63" s="68">
        <v>394</v>
      </c>
      <c r="C63" s="68" t="s">
        <v>87</v>
      </c>
      <c r="D63" s="77" t="s">
        <v>3498</v>
      </c>
      <c r="E63" s="75"/>
      <c r="H63" s="75"/>
      <c r="K63" s="75"/>
      <c r="M63" s="76"/>
      <c r="N63" s="76"/>
      <c r="P63" s="75"/>
      <c r="U63" s="75" t="s">
        <v>1</v>
      </c>
      <c r="V63" s="195" t="str" cm="1">
        <f t="array" ref="V63">_xlfn.IFS(
  C63="United States","North America",
  C63="Canada","North America",
  C63="Mexico","North America",
  C63="Bermuda","North America",
  C63="United Kingdom","Europe",
  C63="Germany","Europe",
  C63="France","Europe",
  C63="Italy","Europe",
  C63="Switzerland","Europe",
  C63="Spain","Europe",
  C63="Netherlands","Europe",
  C63="Sweden","Europe",
  C63="Norway","Europe",
  C63="Finland","Europe",
  C63="Denmark","Europe",
  C63="Russia","Europe",
  C63="China","Asia",
  C63="Japan","Asia",
  C63="Taiwan, Province of China","Asia",
  C63="Hong Kong","Asia",
  C63="South Korea","Asia",
  C63="India","Asia",
  C63="Singapore","Asia",
  C63="Thailand","Asia",
  C63="Indonesia","Asia",
  C63="Malaysia","Asia",
  TRUE,"Other"
)</f>
        <v>Asia</v>
      </c>
      <c r="W63" s="195" t="str">
        <f>_xlfn.XLOOKUP(Table2[[#This Row],[Column3]],Sheet1!G:G,Sheet1!H:H)</f>
        <v>Oil and gas</v>
      </c>
      <c r="X63" s="195"/>
      <c r="Y63" s="195"/>
      <c r="Z63" s="207"/>
      <c r="AA63" s="207"/>
      <c r="AB63" s="207"/>
      <c r="AC63" s="207"/>
      <c r="AD63" s="207"/>
      <c r="AE63" s="207"/>
      <c r="AF63" s="207"/>
      <c r="AG63" s="207"/>
      <c r="AH63" s="207"/>
      <c r="AI63" s="207"/>
      <c r="AJ63" s="207"/>
      <c r="AK63" s="207"/>
      <c r="AL63" s="207"/>
      <c r="AM63" s="207"/>
      <c r="AN63" s="207"/>
      <c r="AO63" s="207"/>
    </row>
    <row r="64" spans="1:41" ht="16">
      <c r="A64" s="194" t="s">
        <v>1005</v>
      </c>
      <c r="B64" s="68">
        <v>273</v>
      </c>
      <c r="C64" s="68" t="s">
        <v>4408</v>
      </c>
      <c r="D64" s="77" t="s">
        <v>4459</v>
      </c>
      <c r="E64" s="75"/>
      <c r="H64" s="75"/>
      <c r="K64" s="75"/>
      <c r="M64" s="76"/>
      <c r="N64" s="76"/>
      <c r="P64" s="75" t="s">
        <v>1957</v>
      </c>
      <c r="Q64" s="68" t="s">
        <v>4407</v>
      </c>
      <c r="R64" s="68">
        <v>2050</v>
      </c>
      <c r="S64" s="68">
        <v>2020</v>
      </c>
      <c r="T64" s="78" t="s">
        <v>4170</v>
      </c>
      <c r="U64" s="75" t="s">
        <v>1</v>
      </c>
      <c r="V64" s="195" t="str" cm="1">
        <f t="array" ref="V64">_xlfn.IFS(
  C64="United States","North America",
  C64="Canada","North America",
  C64="Mexico","North America",
  C64="Bermuda","North America",
  C64="United Kingdom","Europe",
  C64="Germany","Europe",
  C64="France","Europe",
  C64="Italy","Europe",
  C64="Switzerland","Europe",
  C64="Spain","Europe",
  C64="Netherlands","Europe",
  C64="Sweden","Europe",
  C64="Norway","Europe",
  C64="Finland","Europe",
  C64="Denmark","Europe",
  C64="Russia","Europe",
  C64="China","Asia",
  C64="Japan","Asia",
  C64="Taiwan, Province of China","Asia",
  C64="Hong Kong","Asia",
  C64="South Korea","Asia",
  C64="India","Asia",
  C64="Singapore","Asia",
  C64="Thailand","Asia",
  C64="Indonesia","Asia",
  C64="Malaysia","Asia",
  TRUE,"Other"
)</f>
        <v>Other</v>
      </c>
      <c r="W64" s="195" t="str">
        <f>_xlfn.XLOOKUP(Table2[[#This Row],[Column3]],Sheet1!G:G,Sheet1!H:H)</f>
        <v>Industrial goods</v>
      </c>
      <c r="X64" s="195"/>
      <c r="Y64" s="195"/>
      <c r="Z64" s="207"/>
      <c r="AA64" s="207"/>
      <c r="AB64" s="207"/>
      <c r="AC64" s="207"/>
      <c r="AD64" s="207"/>
      <c r="AE64" s="207"/>
      <c r="AF64" s="207"/>
      <c r="AG64" s="207"/>
      <c r="AH64" s="207"/>
      <c r="AI64" s="207"/>
      <c r="AJ64" s="207"/>
      <c r="AK64" s="207"/>
      <c r="AL64" s="207"/>
      <c r="AM64" s="207"/>
      <c r="AN64" s="207"/>
      <c r="AO64" s="207"/>
    </row>
    <row r="65" spans="1:41" ht="16">
      <c r="A65" s="194" t="s">
        <v>1711</v>
      </c>
      <c r="B65" s="68">
        <v>54</v>
      </c>
      <c r="C65" s="68" t="s">
        <v>146</v>
      </c>
      <c r="D65" s="77" t="s">
        <v>4476</v>
      </c>
      <c r="E65" s="75" t="s">
        <v>4174</v>
      </c>
      <c r="F65" s="68">
        <v>2025</v>
      </c>
      <c r="G65" s="68">
        <v>2015</v>
      </c>
      <c r="H65" s="75" t="s">
        <v>4183</v>
      </c>
      <c r="I65" s="68">
        <v>2030</v>
      </c>
      <c r="J65" s="68">
        <v>2021</v>
      </c>
      <c r="K65" s="75" t="s">
        <v>4213</v>
      </c>
      <c r="L65" s="68" t="s">
        <v>2098</v>
      </c>
      <c r="M65" s="76">
        <v>2021</v>
      </c>
      <c r="N65" s="76">
        <v>2021</v>
      </c>
      <c r="O65" s="82" t="s">
        <v>4170</v>
      </c>
      <c r="P65" s="75"/>
      <c r="U65" s="75" t="s">
        <v>361</v>
      </c>
      <c r="V65" s="195" t="str" cm="1">
        <f t="array" ref="V65">_xlfn.IFS(
  C65="United States","North America",
  C65="Canada","North America",
  C65="Mexico","North America",
  C65="Bermuda","North America",
  C65="United Kingdom","Europe",
  C65="Germany","Europe",
  C65="France","Europe",
  C65="Italy","Europe",
  C65="Switzerland","Europe",
  C65="Spain","Europe",
  C65="Netherlands","Europe",
  C65="Sweden","Europe",
  C65="Norway","Europe",
  C65="Finland","Europe",
  C65="Denmark","Europe",
  C65="Russia","Europe",
  C65="China","Asia",
  C65="Japan","Asia",
  C65="Taiwan, Province of China","Asia",
  C65="Hong Kong","Asia",
  C65="South Korea","Asia",
  C65="India","Asia",
  C65="Singapore","Asia",
  C65="Thailand","Asia",
  C65="Indonesia","Asia",
  C65="Malaysia","Asia",
  TRUE,"Other"
)</f>
        <v>Europe</v>
      </c>
      <c r="W65" s="195" t="str">
        <f>_xlfn.XLOOKUP(Table2[[#This Row],[Column3]],Sheet1!G:G,Sheet1!H:H)</f>
        <v>Automotive</v>
      </c>
      <c r="X65" s="195"/>
      <c r="Y65" s="195"/>
      <c r="Z65" s="207"/>
      <c r="AA65" s="207"/>
      <c r="AB65" s="207"/>
      <c r="AC65" s="207"/>
      <c r="AD65" s="207"/>
      <c r="AE65" s="207"/>
      <c r="AF65" s="207"/>
      <c r="AG65" s="207"/>
      <c r="AH65" s="207"/>
      <c r="AI65" s="207"/>
      <c r="AJ65" s="207"/>
      <c r="AK65" s="207"/>
      <c r="AL65" s="207"/>
      <c r="AM65" s="207"/>
      <c r="AN65" s="207"/>
      <c r="AO65" s="207"/>
    </row>
    <row r="66" spans="1:41">
      <c r="A66" s="194" t="s">
        <v>1510</v>
      </c>
      <c r="B66" s="68">
        <v>97</v>
      </c>
      <c r="C66" s="68" t="s">
        <v>63</v>
      </c>
      <c r="D66" s="77" t="s">
        <v>4465</v>
      </c>
      <c r="E66" s="75"/>
      <c r="H66" s="75" t="s">
        <v>1957</v>
      </c>
      <c r="J66" s="68">
        <v>2016</v>
      </c>
      <c r="K66" s="75" t="s">
        <v>1957</v>
      </c>
      <c r="L66" s="68" t="s">
        <v>3804</v>
      </c>
      <c r="M66" s="76">
        <v>2017</v>
      </c>
      <c r="N66" s="76">
        <v>2017</v>
      </c>
      <c r="O66" s="79" t="s">
        <v>4170</v>
      </c>
      <c r="P66" s="75" t="s">
        <v>4172</v>
      </c>
      <c r="Q66" s="68" t="s">
        <v>4406</v>
      </c>
      <c r="R66" s="68">
        <v>2050</v>
      </c>
      <c r="S66" s="68">
        <v>2021</v>
      </c>
      <c r="T66" s="79" t="s">
        <v>4170</v>
      </c>
      <c r="U66" s="75" t="s">
        <v>361</v>
      </c>
      <c r="V66" s="195" t="str" cm="1">
        <f t="array" ref="V66">_xlfn.IFS(
  C66="United States","North America",
  C66="Canada","North America",
  C66="Mexico","North America",
  C66="Bermuda","North America",
  C66="United Kingdom","Europe",
  C66="Germany","Europe",
  C66="France","Europe",
  C66="Italy","Europe",
  C66="Switzerland","Europe",
  C66="Spain","Europe",
  C66="Netherlands","Europe",
  C66="Sweden","Europe",
  C66="Norway","Europe",
  C66="Finland","Europe",
  C66="Denmark","Europe",
  C66="Russia","Europe",
  C66="China","Asia",
  C66="Japan","Asia",
  C66="Taiwan, Province of China","Asia",
  C66="Hong Kong","Asia",
  C66="South Korea","Asia",
  C66="India","Asia",
  C66="Singapore","Asia",
  C66="Thailand","Asia",
  C66="Indonesia","Asia",
  C66="Malaysia","Asia",
  TRUE,"Other"
)</f>
        <v>Europe</v>
      </c>
      <c r="W66" s="195" t="str">
        <f>_xlfn.XLOOKUP(Table2[[#This Row],[Column3]],Sheet1!G:G,Sheet1!H:H)</f>
        <v>Financial services</v>
      </c>
      <c r="X66" s="195"/>
      <c r="Y66" s="195"/>
      <c r="Z66" s="207"/>
      <c r="AA66" s="207"/>
      <c r="AB66" s="207"/>
      <c r="AC66" s="207"/>
      <c r="AD66" s="207"/>
      <c r="AE66" s="207"/>
      <c r="AF66" s="207"/>
      <c r="AG66" s="207"/>
      <c r="AH66" s="207"/>
      <c r="AI66" s="207"/>
      <c r="AJ66" s="207"/>
      <c r="AK66" s="207"/>
      <c r="AL66" s="207"/>
      <c r="AM66" s="207"/>
      <c r="AN66" s="207"/>
      <c r="AO66" s="207"/>
    </row>
    <row r="67" spans="1:41">
      <c r="A67" s="194" t="s">
        <v>4405</v>
      </c>
      <c r="B67" s="68">
        <v>464</v>
      </c>
      <c r="C67" s="68" t="s">
        <v>146</v>
      </c>
      <c r="D67" s="77" t="s">
        <v>4201</v>
      </c>
      <c r="E67" s="75"/>
      <c r="H67" s="75"/>
      <c r="K67" s="75"/>
      <c r="M67" s="76"/>
      <c r="N67" s="76"/>
      <c r="P67" s="75"/>
      <c r="U67" s="75" t="s">
        <v>1</v>
      </c>
      <c r="V67" s="195" t="str" cm="1">
        <f t="array" ref="V67">_xlfn.IFS(
  C67="United States","North America",
  C67="Canada","North America",
  C67="Mexico","North America",
  C67="Bermuda","North America",
  C67="United Kingdom","Europe",
  C67="Germany","Europe",
  C67="France","Europe",
  C67="Italy","Europe",
  C67="Switzerland","Europe",
  C67="Spain","Europe",
  C67="Netherlands","Europe",
  C67="Sweden","Europe",
  C67="Norway","Europe",
  C67="Finland","Europe",
  C67="Denmark","Europe",
  C67="Russia","Europe",
  C67="China","Asia",
  C67="Japan","Asia",
  C67="Taiwan, Province of China","Asia",
  C67="Hong Kong","Asia",
  C67="South Korea","Asia",
  C67="India","Asia",
  C67="Singapore","Asia",
  C67="Thailand","Asia",
  C67="Indonesia","Asia",
  C67="Malaysia","Asia",
  TRUE,"Other"
)</f>
        <v>Europe</v>
      </c>
      <c r="W67" s="195" t="str">
        <f>_xlfn.XLOOKUP(Table2[[#This Row],[Column3]],Sheet1!G:G,Sheet1!H:H)</f>
        <v>Health care and pharmaceuticals</v>
      </c>
      <c r="X67" s="195"/>
      <c r="Y67" s="195"/>
      <c r="Z67" s="207"/>
      <c r="AA67" s="207"/>
      <c r="AB67" s="207"/>
      <c r="AC67" s="207"/>
      <c r="AD67" s="207"/>
      <c r="AE67" s="207"/>
      <c r="AF67" s="207"/>
      <c r="AG67" s="207"/>
      <c r="AH67" s="207"/>
      <c r="AI67" s="207"/>
      <c r="AJ67" s="207"/>
      <c r="AK67" s="207"/>
      <c r="AL67" s="207"/>
      <c r="AM67" s="207"/>
      <c r="AN67" s="207"/>
      <c r="AO67" s="207"/>
    </row>
    <row r="68" spans="1:41" ht="16">
      <c r="A68" s="194" t="s">
        <v>1664</v>
      </c>
      <c r="B68" s="68">
        <v>173</v>
      </c>
      <c r="C68" s="68" t="s">
        <v>82</v>
      </c>
      <c r="D68" s="77" t="s">
        <v>4260</v>
      </c>
      <c r="E68" s="75"/>
      <c r="H68" s="75"/>
      <c r="K68" s="75"/>
      <c r="M68" s="76"/>
      <c r="N68" s="76"/>
      <c r="P68" s="75" t="s">
        <v>1957</v>
      </c>
      <c r="Q68" s="68" t="s">
        <v>4404</v>
      </c>
      <c r="R68" s="68">
        <v>2020</v>
      </c>
      <c r="S68" s="68">
        <v>2020</v>
      </c>
      <c r="T68" s="78" t="s">
        <v>4170</v>
      </c>
      <c r="U68" s="75" t="s">
        <v>361</v>
      </c>
      <c r="V68" s="195" t="str" cm="1">
        <f t="array" ref="V68">_xlfn.IFS(
  C68="United States","North America",
  C68="Canada","North America",
  C68="Mexico","North America",
  C68="Bermuda","North America",
  C68="United Kingdom","Europe",
  C68="Germany","Europe",
  C68="France","Europe",
  C68="Italy","Europe",
  C68="Switzerland","Europe",
  C68="Spain","Europe",
  C68="Netherlands","Europe",
  C68="Sweden","Europe",
  C68="Norway","Europe",
  C68="Finland","Europe",
  C68="Denmark","Europe",
  C68="Russia","Europe",
  C68="China","Asia",
  C68="Japan","Asia",
  C68="Taiwan, Province of China","Asia",
  C68="Hong Kong","Asia",
  C68="South Korea","Asia",
  C68="India","Asia",
  C68="Singapore","Asia",
  C68="Thailand","Asia",
  C68="Indonesia","Asia",
  C68="Malaysia","Asia",
  TRUE,"Other"
)</f>
        <v>North America</v>
      </c>
      <c r="W68" s="195" t="str">
        <f>_xlfn.XLOOKUP(Table2[[#This Row],[Column3]],Sheet1!G:G,Sheet1!H:H)</f>
        <v>Aerospace and defense</v>
      </c>
      <c r="X68" s="195"/>
      <c r="Y68" s="195"/>
      <c r="Z68" s="208"/>
      <c r="AA68" s="209"/>
      <c r="AB68" s="209"/>
      <c r="AC68" s="208"/>
      <c r="AD68" s="209"/>
      <c r="AE68" s="209"/>
      <c r="AF68" s="208"/>
      <c r="AG68" s="209"/>
      <c r="AH68" s="209"/>
      <c r="AI68" s="208"/>
      <c r="AJ68" s="209"/>
      <c r="AK68" s="209"/>
      <c r="AL68" s="210"/>
      <c r="AM68" s="207"/>
      <c r="AN68" s="207"/>
      <c r="AO68" s="207"/>
    </row>
    <row r="69" spans="1:41" ht="16">
      <c r="A69" s="194" t="s">
        <v>1635</v>
      </c>
      <c r="B69" s="68">
        <v>98</v>
      </c>
      <c r="C69" s="68" t="s">
        <v>146</v>
      </c>
      <c r="D69" s="77" t="s">
        <v>4476</v>
      </c>
      <c r="E69" s="75"/>
      <c r="H69" s="75"/>
      <c r="K69" s="75" t="s">
        <v>1957</v>
      </c>
      <c r="L69" s="68" t="s">
        <v>2126</v>
      </c>
      <c r="M69" s="76">
        <v>2020</v>
      </c>
      <c r="N69" s="76">
        <v>2019</v>
      </c>
      <c r="O69" s="82" t="s">
        <v>4170</v>
      </c>
      <c r="P69" s="75"/>
      <c r="U69" s="75" t="s">
        <v>361</v>
      </c>
      <c r="V69" s="195" t="str" cm="1">
        <f t="array" ref="V69">_xlfn.IFS(
  C69="United States","North America",
  C69="Canada","North America",
  C69="Mexico","North America",
  C69="Bermuda","North America",
  C69="United Kingdom","Europe",
  C69="Germany","Europe",
  C69="France","Europe",
  C69="Italy","Europe",
  C69="Switzerland","Europe",
  C69="Spain","Europe",
  C69="Netherlands","Europe",
  C69="Sweden","Europe",
  C69="Norway","Europe",
  C69="Finland","Europe",
  C69="Denmark","Europe",
  C69="Russia","Europe",
  C69="China","Asia",
  C69="Japan","Asia",
  C69="Taiwan, Province of China","Asia",
  C69="Hong Kong","Asia",
  C69="South Korea","Asia",
  C69="India","Asia",
  C69="Singapore","Asia",
  C69="Thailand","Asia",
  C69="Indonesia","Asia",
  C69="Malaysia","Asia",
  TRUE,"Other"
)</f>
        <v>Europe</v>
      </c>
      <c r="W69" s="195" t="str">
        <f>_xlfn.XLOOKUP(Table2[[#This Row],[Column3]],Sheet1!G:G,Sheet1!H:H)</f>
        <v>Automotive</v>
      </c>
      <c r="X69" s="195"/>
      <c r="Y69" s="195"/>
      <c r="Z69" s="211"/>
      <c r="AA69" s="211"/>
      <c r="AB69" s="211"/>
      <c r="AC69" s="211"/>
      <c r="AD69" s="211"/>
      <c r="AE69" s="211"/>
      <c r="AF69" s="211"/>
      <c r="AG69" s="211"/>
      <c r="AH69" s="211"/>
      <c r="AI69" s="211"/>
      <c r="AJ69" s="211"/>
      <c r="AK69" s="211"/>
      <c r="AL69" s="211"/>
      <c r="AM69" s="207"/>
      <c r="AN69" s="207"/>
      <c r="AO69" s="207"/>
    </row>
    <row r="70" spans="1:41">
      <c r="A70" s="194" t="s">
        <v>883</v>
      </c>
      <c r="B70" s="68">
        <v>299</v>
      </c>
      <c r="C70" s="68" t="s">
        <v>63</v>
      </c>
      <c r="D70" s="77" t="s">
        <v>4197</v>
      </c>
      <c r="E70" s="75"/>
      <c r="H70" s="75"/>
      <c r="K70" s="75"/>
      <c r="M70" s="76"/>
      <c r="N70" s="76"/>
      <c r="P70" s="75"/>
      <c r="U70" s="75" t="s">
        <v>1</v>
      </c>
      <c r="V70" s="195" t="str" cm="1">
        <f t="array" ref="V70">_xlfn.IFS(
  C70="United States","North America",
  C70="Canada","North America",
  C70="Mexico","North America",
  C70="Bermuda","North America",
  C70="United Kingdom","Europe",
  C70="Germany","Europe",
  C70="France","Europe",
  C70="Italy","Europe",
  C70="Switzerland","Europe",
  C70="Spain","Europe",
  C70="Netherlands","Europe",
  C70="Sweden","Europe",
  C70="Norway","Europe",
  C70="Finland","Europe",
  C70="Denmark","Europe",
  C70="Russia","Europe",
  C70="China","Asia",
  C70="Japan","Asia",
  C70="Taiwan, Province of China","Asia",
  C70="Hong Kong","Asia",
  C70="South Korea","Asia",
  C70="India","Asia",
  C70="Singapore","Asia",
  C70="Thailand","Asia",
  C70="Indonesia","Asia",
  C70="Malaysia","Asia",
  TRUE,"Other"
)</f>
        <v>Europe</v>
      </c>
      <c r="W70" s="195" t="str">
        <f>_xlfn.XLOOKUP(Table2[[#This Row],[Column3]],Sheet1!G:G,Sheet1!H:H)</f>
        <v>Engineering and construction</v>
      </c>
      <c r="X70" s="195"/>
      <c r="Y70" s="195"/>
      <c r="Z70" s="212"/>
      <c r="AA70" s="212"/>
      <c r="AB70" s="212"/>
      <c r="AC70" s="212"/>
      <c r="AD70" s="212"/>
      <c r="AE70" s="212"/>
      <c r="AF70" s="212"/>
      <c r="AG70" s="212"/>
      <c r="AH70" s="212"/>
      <c r="AI70" s="212"/>
      <c r="AJ70" s="212"/>
      <c r="AK70" s="212"/>
      <c r="AL70" s="212"/>
      <c r="AM70" s="207"/>
      <c r="AN70" s="207"/>
      <c r="AO70" s="207"/>
    </row>
    <row r="71" spans="1:41" ht="16">
      <c r="A71" s="194" t="s">
        <v>1873</v>
      </c>
      <c r="B71" s="68">
        <v>18</v>
      </c>
      <c r="C71" s="68" t="s">
        <v>4195</v>
      </c>
      <c r="D71" s="77" t="s">
        <v>3498</v>
      </c>
      <c r="E71" s="75"/>
      <c r="H71" s="75"/>
      <c r="K71" s="75"/>
      <c r="M71" s="76"/>
      <c r="N71" s="88"/>
      <c r="P71" s="75" t="s">
        <v>4256</v>
      </c>
      <c r="Q71" s="68" t="s">
        <v>4403</v>
      </c>
      <c r="R71" s="81">
        <v>2050</v>
      </c>
      <c r="S71" s="81">
        <v>2020</v>
      </c>
      <c r="T71" s="92" t="s">
        <v>4170</v>
      </c>
      <c r="U71" s="75" t="s">
        <v>1</v>
      </c>
      <c r="V71" s="195" t="str" cm="1">
        <f t="array" ref="V71">_xlfn.IFS(
  C71="United States","North America",
  C71="Canada","North America",
  C71="Mexico","North America",
  C71="Bermuda","North America",
  C71="United Kingdom","Europe",
  C71="Germany","Europe",
  C71="France","Europe",
  C71="Italy","Europe",
  C71="Switzerland","Europe",
  C71="Spain","Europe",
  C71="Netherlands","Europe",
  C71="Sweden","Europe",
  C71="Norway","Europe",
  C71="Finland","Europe",
  C71="Denmark","Europe",
  C71="Russia","Europe",
  C71="China","Asia",
  C71="Japan","Asia",
  C71="Taiwan, Province of China","Asia",
  C71="Hong Kong","Asia",
  C71="South Korea","Asia",
  C71="India","Asia",
  C71="Singapore","Asia",
  C71="Thailand","Asia",
  C71="Indonesia","Asia",
  C71="Malaysia","Asia",
  TRUE,"Other"
)</f>
        <v>Europe</v>
      </c>
      <c r="W71" s="195" t="str">
        <f>_xlfn.XLOOKUP(Table2[[#This Row],[Column3]],Sheet1!G:G,Sheet1!H:H)</f>
        <v>Oil and gas</v>
      </c>
      <c r="X71" s="195"/>
      <c r="Y71" s="195"/>
      <c r="Z71" s="212"/>
      <c r="AA71" s="212"/>
      <c r="AB71" s="212"/>
      <c r="AC71" s="212"/>
      <c r="AD71" s="212"/>
      <c r="AE71" s="212"/>
      <c r="AF71" s="212"/>
      <c r="AG71" s="212"/>
      <c r="AH71" s="212"/>
      <c r="AI71" s="212"/>
      <c r="AJ71" s="212"/>
      <c r="AK71" s="212"/>
      <c r="AL71" s="212"/>
      <c r="AM71" s="207"/>
      <c r="AN71" s="207"/>
      <c r="AO71" s="207"/>
    </row>
    <row r="72" spans="1:41" ht="16">
      <c r="A72" s="194" t="s">
        <v>591</v>
      </c>
      <c r="B72" s="68">
        <v>434</v>
      </c>
      <c r="C72" s="68" t="s">
        <v>207</v>
      </c>
      <c r="D72" s="77" t="s">
        <v>4476</v>
      </c>
      <c r="E72" s="75"/>
      <c r="H72" s="75"/>
      <c r="K72" s="75" t="s">
        <v>4193</v>
      </c>
      <c r="L72" s="68" t="s">
        <v>4402</v>
      </c>
      <c r="M72" s="76">
        <v>2050</v>
      </c>
      <c r="N72" s="76">
        <v>2021</v>
      </c>
      <c r="O72" s="82" t="s">
        <v>4170</v>
      </c>
      <c r="P72" s="75"/>
      <c r="U72" s="75" t="s">
        <v>1</v>
      </c>
      <c r="V72" s="195" t="str" cm="1">
        <f t="array" ref="V72">_xlfn.IFS(
  C72="United States","North America",
  C72="Canada","North America",
  C72="Mexico","North America",
  C72="Bermuda","North America",
  C72="United Kingdom","Europe",
  C72="Germany","Europe",
  C72="France","Europe",
  C72="Italy","Europe",
  C72="Switzerland","Europe",
  C72="Spain","Europe",
  C72="Netherlands","Europe",
  C72="Sweden","Europe",
  C72="Norway","Europe",
  C72="Finland","Europe",
  C72="Denmark","Europe",
  C72="Russia","Europe",
  C72="China","Asia",
  C72="Japan","Asia",
  C72="Taiwan, Province of China","Asia",
  C72="Hong Kong","Asia",
  C72="South Korea","Asia",
  C72="India","Asia",
  C72="Singapore","Asia",
  C72="Thailand","Asia",
  C72="Indonesia","Asia",
  C72="Malaysia","Asia",
  TRUE,"Other"
)</f>
        <v>Asia</v>
      </c>
      <c r="W72" s="195" t="str">
        <f>_xlfn.XLOOKUP(Table2[[#This Row],[Column3]],Sheet1!G:G,Sheet1!H:H)</f>
        <v>Automotive</v>
      </c>
      <c r="X72" s="195"/>
      <c r="Y72" s="195"/>
      <c r="Z72" s="212"/>
      <c r="AA72" s="212"/>
      <c r="AB72" s="212"/>
      <c r="AC72" s="212"/>
      <c r="AD72" s="212"/>
      <c r="AE72" s="212"/>
      <c r="AF72" s="212"/>
      <c r="AG72" s="212"/>
      <c r="AH72" s="212"/>
      <c r="AI72" s="212"/>
      <c r="AJ72" s="212"/>
      <c r="AK72" s="212"/>
      <c r="AL72" s="212"/>
      <c r="AM72" s="207"/>
      <c r="AN72" s="207"/>
      <c r="AO72" s="207"/>
    </row>
    <row r="73" spans="1:41" ht="16">
      <c r="A73" s="194" t="s">
        <v>3770</v>
      </c>
      <c r="B73" s="68">
        <v>278</v>
      </c>
      <c r="C73" s="68" t="s">
        <v>82</v>
      </c>
      <c r="D73" s="77" t="s">
        <v>4201</v>
      </c>
      <c r="E73" s="75"/>
      <c r="H73" s="75"/>
      <c r="K73" s="75" t="s">
        <v>1957</v>
      </c>
      <c r="L73" s="68" t="s">
        <v>4401</v>
      </c>
      <c r="M73" s="76">
        <v>2040</v>
      </c>
      <c r="N73" s="76">
        <v>2020</v>
      </c>
      <c r="O73" s="82" t="s">
        <v>4170</v>
      </c>
      <c r="P73" s="75"/>
      <c r="U73" s="75" t="s">
        <v>1</v>
      </c>
      <c r="V73" s="195" t="str" cm="1">
        <f t="array" ref="V73">_xlfn.IFS(
  C73="United States","North America",
  C73="Canada","North America",
  C73="Mexico","North America",
  C73="Bermuda","North America",
  C73="United Kingdom","Europe",
  C73="Germany","Europe",
  C73="France","Europe",
  C73="Italy","Europe",
  C73="Switzerland","Europe",
  C73="Spain","Europe",
  C73="Netherlands","Europe",
  C73="Sweden","Europe",
  C73="Norway","Europe",
  C73="Finland","Europe",
  C73="Denmark","Europe",
  C73="Russia","Europe",
  C73="China","Asia",
  C73="Japan","Asia",
  C73="Taiwan, Province of China","Asia",
  C73="Hong Kong","Asia",
  C73="South Korea","Asia",
  C73="India","Asia",
  C73="Singapore","Asia",
  C73="Thailand","Asia",
  C73="Indonesia","Asia",
  C73="Malaysia","Asia",
  TRUE,"Other"
)</f>
        <v>North America</v>
      </c>
      <c r="W73" s="195" t="str">
        <f>_xlfn.XLOOKUP(Table2[[#This Row],[Column3]],Sheet1!G:G,Sheet1!H:H)</f>
        <v>Health care and pharmaceuticals</v>
      </c>
      <c r="X73" s="195"/>
      <c r="Y73" s="195"/>
      <c r="Z73" s="212"/>
      <c r="AA73" s="212"/>
      <c r="AB73" s="212"/>
      <c r="AC73" s="212"/>
      <c r="AD73" s="212"/>
      <c r="AE73" s="212"/>
      <c r="AF73" s="212"/>
      <c r="AG73" s="212"/>
      <c r="AH73" s="212"/>
      <c r="AI73" s="212"/>
      <c r="AJ73" s="212"/>
      <c r="AK73" s="212"/>
      <c r="AL73" s="212"/>
      <c r="AM73" s="207"/>
      <c r="AN73" s="207"/>
      <c r="AO73" s="207"/>
    </row>
    <row r="74" spans="1:41" ht="16">
      <c r="A74" s="194" t="s">
        <v>551</v>
      </c>
      <c r="B74" s="68">
        <v>368</v>
      </c>
      <c r="C74" s="68" t="s">
        <v>4195</v>
      </c>
      <c r="D74" s="77" t="s">
        <v>4455</v>
      </c>
      <c r="E74" s="75"/>
      <c r="H74" s="75" t="s">
        <v>4183</v>
      </c>
      <c r="I74" s="68">
        <v>2030</v>
      </c>
      <c r="J74" s="68">
        <v>2019</v>
      </c>
      <c r="K74" s="75" t="s">
        <v>4213</v>
      </c>
      <c r="L74" s="68" t="s">
        <v>4400</v>
      </c>
      <c r="M74" s="76">
        <v>2030</v>
      </c>
      <c r="N74" s="76">
        <v>2021</v>
      </c>
      <c r="O74" s="85" t="s">
        <v>4170</v>
      </c>
      <c r="P74" s="75"/>
      <c r="R74" s="81"/>
      <c r="U74" s="75" t="s">
        <v>361</v>
      </c>
      <c r="V74" s="195" t="str" cm="1">
        <f t="array" ref="V74">_xlfn.IFS(
  C74="United States","North America",
  C74="Canada","North America",
  C74="Mexico","North America",
  C74="Bermuda","North America",
  C74="United Kingdom","Europe",
  C74="Germany","Europe",
  C74="France","Europe",
  C74="Italy","Europe",
  C74="Switzerland","Europe",
  C74="Spain","Europe",
  C74="Netherlands","Europe",
  C74="Sweden","Europe",
  C74="Norway","Europe",
  C74="Finland","Europe",
  C74="Denmark","Europe",
  C74="Russia","Europe",
  C74="China","Asia",
  C74="Japan","Asia",
  C74="Taiwan, Province of China","Asia",
  C74="Hong Kong","Asia",
  C74="South Korea","Asia",
  C74="India","Asia",
  C74="Singapore","Asia",
  C74="Thailand","Asia",
  C74="Indonesia","Asia",
  C74="Malaysia","Asia",
  TRUE,"Other"
)</f>
        <v>Europe</v>
      </c>
      <c r="W74" s="195" t="str">
        <f>_xlfn.XLOOKUP(Table2[[#This Row],[Column3]],Sheet1!G:G,Sheet1!H:H)</f>
        <v>Food, beverages and agriculture</v>
      </c>
      <c r="X74" s="195"/>
      <c r="Y74" s="195"/>
      <c r="Z74" s="212"/>
      <c r="AA74" s="212"/>
      <c r="AB74" s="212"/>
      <c r="AC74" s="212"/>
      <c r="AD74" s="212"/>
      <c r="AE74" s="212"/>
      <c r="AF74" s="212"/>
      <c r="AG74" s="212"/>
      <c r="AH74" s="212"/>
      <c r="AI74" s="212"/>
      <c r="AJ74" s="212"/>
      <c r="AK74" s="212"/>
      <c r="AL74" s="212"/>
      <c r="AM74" s="207"/>
      <c r="AN74" s="207"/>
      <c r="AO74" s="207"/>
    </row>
    <row r="75" spans="1:41">
      <c r="A75" s="194" t="s">
        <v>1225</v>
      </c>
      <c r="B75" s="68">
        <v>156</v>
      </c>
      <c r="C75" s="68" t="s">
        <v>78</v>
      </c>
      <c r="D75" s="77" t="s">
        <v>4465</v>
      </c>
      <c r="E75" s="75"/>
      <c r="H75" s="75"/>
      <c r="K75" s="75"/>
      <c r="M75" s="76"/>
      <c r="N75" s="76"/>
      <c r="P75" s="75" t="s">
        <v>4342</v>
      </c>
      <c r="Q75" s="68" t="s">
        <v>4399</v>
      </c>
      <c r="R75" s="68">
        <v>2050</v>
      </c>
      <c r="S75" s="68">
        <v>2021</v>
      </c>
      <c r="T75" s="80" t="s">
        <v>4170</v>
      </c>
      <c r="U75" s="75" t="s">
        <v>1</v>
      </c>
      <c r="V75" s="195" t="str" cm="1">
        <f t="array" ref="V75">_xlfn.IFS(
  C75="United States","North America",
  C75="Canada","North America",
  C75="Mexico","North America",
  C75="Bermuda","North America",
  C75="United Kingdom","Europe",
  C75="Germany","Europe",
  C75="France","Europe",
  C75="Italy","Europe",
  C75="Switzerland","Europe",
  C75="Spain","Europe",
  C75="Netherlands","Europe",
  C75="Sweden","Europe",
  C75="Norway","Europe",
  C75="Finland","Europe",
  C75="Denmark","Europe",
  C75="Russia","Europe",
  C75="China","Asia",
  C75="Japan","Asia",
  C75="Taiwan, Province of China","Asia",
  C75="Hong Kong","Asia",
  C75="South Korea","Asia",
  C75="India","Asia",
  C75="Singapore","Asia",
  C75="Thailand","Asia",
  C75="Indonesia","Asia",
  C75="Malaysia","Asia",
  TRUE,"Other"
)</f>
        <v>North America</v>
      </c>
      <c r="W75" s="195" t="str">
        <f>_xlfn.XLOOKUP(Table2[[#This Row],[Column3]],Sheet1!G:G,Sheet1!H:H)</f>
        <v>Financial services</v>
      </c>
      <c r="X75" s="195"/>
      <c r="Y75" s="195"/>
      <c r="Z75" s="212"/>
      <c r="AA75" s="212"/>
      <c r="AB75" s="212"/>
      <c r="AC75" s="212"/>
      <c r="AD75" s="212"/>
      <c r="AE75" s="212"/>
      <c r="AF75" s="212"/>
      <c r="AG75" s="212"/>
      <c r="AH75" s="212"/>
      <c r="AI75" s="212"/>
      <c r="AJ75" s="212"/>
      <c r="AK75" s="212"/>
      <c r="AL75" s="212"/>
      <c r="AM75" s="207"/>
      <c r="AN75" s="207"/>
      <c r="AO75" s="207"/>
    </row>
    <row r="76" spans="1:41" ht="16">
      <c r="A76" s="194" t="s">
        <v>458</v>
      </c>
      <c r="B76" s="68">
        <v>436</v>
      </c>
      <c r="C76" s="68" t="s">
        <v>4195</v>
      </c>
      <c r="D76" s="77" t="s">
        <v>4190</v>
      </c>
      <c r="E76" s="75" t="s">
        <v>4174</v>
      </c>
      <c r="F76" s="68">
        <v>2020</v>
      </c>
      <c r="G76" s="68">
        <v>2014</v>
      </c>
      <c r="H76" s="75" t="s">
        <v>4183</v>
      </c>
      <c r="I76" s="68">
        <v>2030</v>
      </c>
      <c r="J76" s="68">
        <v>2017</v>
      </c>
      <c r="K76" s="75"/>
      <c r="M76" s="76"/>
      <c r="N76" s="76"/>
      <c r="P76" s="75" t="s">
        <v>4172</v>
      </c>
      <c r="Q76" s="68" t="s">
        <v>4398</v>
      </c>
      <c r="R76" s="81">
        <v>2045</v>
      </c>
      <c r="S76" s="81">
        <v>2018</v>
      </c>
      <c r="T76" s="78" t="s">
        <v>4170</v>
      </c>
      <c r="U76" s="75" t="s">
        <v>361</v>
      </c>
      <c r="V76" s="195" t="str" cm="1">
        <f t="array" ref="V76">_xlfn.IFS(
  C76="United States","North America",
  C76="Canada","North America",
  C76="Mexico","North America",
  C76="Bermuda","North America",
  C76="United Kingdom","Europe",
  C76="Germany","Europe",
  C76="France","Europe",
  C76="Italy","Europe",
  C76="Switzerland","Europe",
  C76="Spain","Europe",
  C76="Netherlands","Europe",
  C76="Sweden","Europe",
  C76="Norway","Europe",
  C76="Finland","Europe",
  C76="Denmark","Europe",
  C76="Russia","Europe",
  C76="China","Asia",
  C76="Japan","Asia",
  C76="Taiwan, Province of China","Asia",
  C76="Hong Kong","Asia",
  C76="South Korea","Asia",
  C76="India","Asia",
  C76="Singapore","Asia",
  C76="Thailand","Asia",
  C76="Indonesia","Asia",
  C76="Malaysia","Asia",
  TRUE,"Other"
)</f>
        <v>Europe</v>
      </c>
      <c r="W76" s="195" t="str">
        <f>_xlfn.XLOOKUP(Table2[[#This Row],[Column3]],Sheet1!G:G,Sheet1!H:H)</f>
        <v>Telecommunications and media</v>
      </c>
      <c r="X76" s="195"/>
      <c r="Y76" s="195"/>
      <c r="Z76" s="212"/>
      <c r="AA76" s="212"/>
      <c r="AB76" s="212"/>
      <c r="AC76" s="212"/>
      <c r="AD76" s="212"/>
      <c r="AE76" s="212"/>
      <c r="AF76" s="212"/>
      <c r="AG76" s="212"/>
      <c r="AH76" s="212"/>
      <c r="AI76" s="212"/>
      <c r="AJ76" s="212"/>
      <c r="AK76" s="212"/>
      <c r="AL76" s="212"/>
      <c r="AM76" s="207"/>
      <c r="AN76" s="207"/>
      <c r="AO76" s="207"/>
    </row>
    <row r="77" spans="1:41">
      <c r="A77" s="194" t="s">
        <v>995</v>
      </c>
      <c r="B77" s="68">
        <v>289</v>
      </c>
      <c r="C77" s="68" t="s">
        <v>82</v>
      </c>
      <c r="D77" s="77" t="s">
        <v>4455</v>
      </c>
      <c r="E77" s="75"/>
      <c r="H77" s="75"/>
      <c r="K77" s="75"/>
      <c r="M77" s="76"/>
      <c r="N77" s="76"/>
      <c r="P77" s="75"/>
      <c r="U77" s="75" t="s">
        <v>1</v>
      </c>
      <c r="V77" s="195" t="str" cm="1">
        <f t="array" ref="V77">_xlfn.IFS(
  C77="United States","North America",
  C77="Canada","North America",
  C77="Mexico","North America",
  C77="Bermuda","North America",
  C77="United Kingdom","Europe",
  C77="Germany","Europe",
  C77="France","Europe",
  C77="Italy","Europe",
  C77="Switzerland","Europe",
  C77="Spain","Europe",
  C77="Netherlands","Europe",
  C77="Sweden","Europe",
  C77="Norway","Europe",
  C77="Finland","Europe",
  C77="Denmark","Europe",
  C77="Russia","Europe",
  C77="China","Asia",
  C77="Japan","Asia",
  C77="Taiwan, Province of China","Asia",
  C77="Hong Kong","Asia",
  C77="South Korea","Asia",
  C77="India","Asia",
  C77="Singapore","Asia",
  C77="Thailand","Asia",
  C77="Indonesia","Asia",
  C77="Malaysia","Asia",
  TRUE,"Other"
)</f>
        <v>North America</v>
      </c>
      <c r="W77" s="195" t="str">
        <f>_xlfn.XLOOKUP(Table2[[#This Row],[Column3]],Sheet1!G:G,Sheet1!H:H)</f>
        <v>Food, beverages and agriculture</v>
      </c>
      <c r="X77" s="195"/>
      <c r="Y77" s="195"/>
      <c r="Z77" s="212"/>
      <c r="AA77" s="212"/>
      <c r="AB77" s="212"/>
      <c r="AC77" s="212"/>
      <c r="AD77" s="212"/>
      <c r="AE77" s="212"/>
      <c r="AF77" s="212"/>
      <c r="AG77" s="212"/>
      <c r="AH77" s="212"/>
      <c r="AI77" s="212"/>
      <c r="AJ77" s="212"/>
      <c r="AK77" s="212"/>
      <c r="AL77" s="212"/>
      <c r="AM77" s="207"/>
      <c r="AN77" s="207"/>
      <c r="AO77" s="207"/>
    </row>
    <row r="78" spans="1:41">
      <c r="A78" s="194" t="s">
        <v>682</v>
      </c>
      <c r="B78" s="68">
        <v>414</v>
      </c>
      <c r="C78" s="68" t="s">
        <v>207</v>
      </c>
      <c r="D78" s="77" t="s">
        <v>186</v>
      </c>
      <c r="E78" s="75"/>
      <c r="H78" s="75"/>
      <c r="K78" s="75"/>
      <c r="M78" s="76"/>
      <c r="N78" s="76"/>
      <c r="P78" s="75" t="s">
        <v>4256</v>
      </c>
      <c r="Q78" s="68" t="s">
        <v>4397</v>
      </c>
      <c r="R78" s="68">
        <v>2050</v>
      </c>
      <c r="S78" s="68">
        <v>2019</v>
      </c>
      <c r="T78" s="79" t="s">
        <v>4170</v>
      </c>
      <c r="U78" s="75" t="s">
        <v>1</v>
      </c>
      <c r="V78" s="195" t="str" cm="1">
        <f t="array" ref="V78">_xlfn.IFS(
  C78="United States","North America",
  C78="Canada","North America",
  C78="Mexico","North America",
  C78="Bermuda","North America",
  C78="United Kingdom","Europe",
  C78="Germany","Europe",
  C78="France","Europe",
  C78="Italy","Europe",
  C78="Switzerland","Europe",
  C78="Spain","Europe",
  C78="Netherlands","Europe",
  C78="Sweden","Europe",
  C78="Norway","Europe",
  C78="Finland","Europe",
  C78="Denmark","Europe",
  C78="Russia","Europe",
  C78="China","Asia",
  C78="Japan","Asia",
  C78="Taiwan, Province of China","Asia",
  C78="Hong Kong","Asia",
  C78="South Korea","Asia",
  C78="India","Asia",
  C78="Singapore","Asia",
  C78="Thailand","Asia",
  C78="Indonesia","Asia",
  C78="Malaysia","Asia",
  TRUE,"Other"
)</f>
        <v>Asia</v>
      </c>
      <c r="W78" s="195" t="str">
        <f>_xlfn.XLOOKUP(Table2[[#This Row],[Column3]],Sheet1!G:G,Sheet1!H:H)</f>
        <v>Technology</v>
      </c>
      <c r="X78" s="195"/>
      <c r="Y78" s="195"/>
      <c r="Z78" s="212"/>
      <c r="AA78" s="212"/>
      <c r="AB78" s="212"/>
      <c r="AC78" s="212"/>
      <c r="AD78" s="212"/>
      <c r="AE78" s="212"/>
      <c r="AF78" s="212"/>
      <c r="AG78" s="212"/>
      <c r="AH78" s="212"/>
      <c r="AI78" s="212"/>
      <c r="AJ78" s="212"/>
      <c r="AK78" s="212"/>
      <c r="AL78" s="212"/>
      <c r="AM78" s="207"/>
      <c r="AN78" s="207"/>
      <c r="AO78" s="207"/>
    </row>
    <row r="79" spans="1:41">
      <c r="A79" s="194" t="s">
        <v>542</v>
      </c>
      <c r="B79" s="68">
        <v>389</v>
      </c>
      <c r="C79" s="68" t="s">
        <v>82</v>
      </c>
      <c r="D79" s="77" t="s">
        <v>4465</v>
      </c>
      <c r="E79" s="75" t="s">
        <v>4174</v>
      </c>
      <c r="F79" s="68">
        <v>2017</v>
      </c>
      <c r="G79" s="68">
        <v>2018</v>
      </c>
      <c r="H79" s="75"/>
      <c r="K79" s="75"/>
      <c r="M79" s="76"/>
      <c r="N79" s="76"/>
      <c r="P79" s="75"/>
      <c r="U79" s="75" t="s">
        <v>361</v>
      </c>
      <c r="V79" s="195" t="str" cm="1">
        <f t="array" ref="V79">_xlfn.IFS(
  C79="United States","North America",
  C79="Canada","North America",
  C79="Mexico","North America",
  C79="Bermuda","North America",
  C79="United Kingdom","Europe",
  C79="Germany","Europe",
  C79="France","Europe",
  C79="Italy","Europe",
  C79="Switzerland","Europe",
  C79="Spain","Europe",
  C79="Netherlands","Europe",
  C79="Sweden","Europe",
  C79="Norway","Europe",
  C79="Finland","Europe",
  C79="Denmark","Europe",
  C79="Russia","Europe",
  C79="China","Asia",
  C79="Japan","Asia",
  C79="Taiwan, Province of China","Asia",
  C79="Hong Kong","Asia",
  C79="South Korea","Asia",
  C79="India","Asia",
  C79="Singapore","Asia",
  C79="Thailand","Asia",
  C79="Indonesia","Asia",
  C79="Malaysia","Asia",
  TRUE,"Other"
)</f>
        <v>North America</v>
      </c>
      <c r="W79" s="195" t="str">
        <f>_xlfn.XLOOKUP(Table2[[#This Row],[Column3]],Sheet1!G:G,Sheet1!H:H)</f>
        <v>Financial services</v>
      </c>
      <c r="X79" s="195"/>
      <c r="Y79" s="195"/>
      <c r="Z79" s="212"/>
      <c r="AA79" s="212"/>
      <c r="AB79" s="212"/>
      <c r="AC79" s="212"/>
      <c r="AD79" s="212"/>
      <c r="AE79" s="212"/>
      <c r="AF79" s="212"/>
      <c r="AG79" s="212"/>
      <c r="AH79" s="212"/>
      <c r="AI79" s="212"/>
      <c r="AJ79" s="212"/>
      <c r="AK79" s="212"/>
      <c r="AL79" s="212"/>
      <c r="AM79" s="207"/>
      <c r="AN79" s="207"/>
      <c r="AO79" s="207"/>
    </row>
    <row r="80" spans="1:41">
      <c r="A80" s="194" t="s">
        <v>1756</v>
      </c>
      <c r="B80" s="68">
        <v>30</v>
      </c>
      <c r="C80" s="68" t="s">
        <v>82</v>
      </c>
      <c r="D80" s="77" t="s">
        <v>4201</v>
      </c>
      <c r="E80" s="75"/>
      <c r="H80" s="75"/>
      <c r="K80" s="75"/>
      <c r="M80" s="76"/>
      <c r="N80" s="76"/>
      <c r="P80" s="75"/>
      <c r="U80" s="75" t="s">
        <v>1</v>
      </c>
      <c r="V80" s="195" t="str" cm="1">
        <f t="array" ref="V80">_xlfn.IFS(
  C80="United States","North America",
  C80="Canada","North America",
  C80="Mexico","North America",
  C80="Bermuda","North America",
  C80="United Kingdom","Europe",
  C80="Germany","Europe",
  C80="France","Europe",
  C80="Italy","Europe",
  C80="Switzerland","Europe",
  C80="Spain","Europe",
  C80="Netherlands","Europe",
  C80="Sweden","Europe",
  C80="Norway","Europe",
  C80="Finland","Europe",
  C80="Denmark","Europe",
  C80="Russia","Europe",
  C80="China","Asia",
  C80="Japan","Asia",
  C80="Taiwan, Province of China","Asia",
  C80="Hong Kong","Asia",
  C80="South Korea","Asia",
  C80="India","Asia",
  C80="Singapore","Asia",
  C80="Thailand","Asia",
  C80="Indonesia","Asia",
  C80="Malaysia","Asia",
  TRUE,"Other"
)</f>
        <v>North America</v>
      </c>
      <c r="W80" s="195" t="str">
        <f>_xlfn.XLOOKUP(Table2[[#This Row],[Column3]],Sheet1!G:G,Sheet1!H:H)</f>
        <v>Health care and pharmaceuticals</v>
      </c>
      <c r="X80" s="195"/>
      <c r="Y80" s="195"/>
      <c r="Z80" s="212"/>
      <c r="AA80" s="212"/>
      <c r="AB80" s="212"/>
      <c r="AC80" s="212"/>
      <c r="AD80" s="212"/>
      <c r="AE80" s="212"/>
      <c r="AF80" s="212"/>
      <c r="AG80" s="212"/>
      <c r="AH80" s="212"/>
      <c r="AI80" s="212"/>
      <c r="AJ80" s="212"/>
      <c r="AK80" s="212"/>
      <c r="AL80" s="212"/>
      <c r="AM80" s="207"/>
      <c r="AN80" s="207"/>
      <c r="AO80" s="207"/>
    </row>
    <row r="81" spans="1:41">
      <c r="A81" s="194" t="s">
        <v>1615</v>
      </c>
      <c r="B81" s="68">
        <v>96</v>
      </c>
      <c r="C81" s="68" t="s">
        <v>63</v>
      </c>
      <c r="D81" s="77" t="s">
        <v>4455</v>
      </c>
      <c r="E81" s="75"/>
      <c r="H81" s="75" t="s">
        <v>4183</v>
      </c>
      <c r="I81" s="68">
        <v>2030</v>
      </c>
      <c r="J81" s="68">
        <v>2020</v>
      </c>
      <c r="K81" s="75"/>
      <c r="M81" s="76"/>
      <c r="N81" s="76"/>
      <c r="P81" s="75"/>
      <c r="U81" s="75" t="s">
        <v>361</v>
      </c>
      <c r="V81" s="195" t="str" cm="1">
        <f t="array" ref="V81">_xlfn.IFS(
  C81="United States","North America",
  C81="Canada","North America",
  C81="Mexico","North America",
  C81="Bermuda","North America",
  C81="United Kingdom","Europe",
  C81="Germany","Europe",
  C81="France","Europe",
  C81="Italy","Europe",
  C81="Switzerland","Europe",
  C81="Spain","Europe",
  C81="Netherlands","Europe",
  C81="Sweden","Europe",
  C81="Norway","Europe",
  C81="Finland","Europe",
  C81="Denmark","Europe",
  C81="Russia","Europe",
  C81="China","Asia",
  C81="Japan","Asia",
  C81="Taiwan, Province of China","Asia",
  C81="Hong Kong","Asia",
  C81="South Korea","Asia",
  C81="India","Asia",
  C81="Singapore","Asia",
  C81="Thailand","Asia",
  C81="Indonesia","Asia",
  C81="Malaysia","Asia",
  TRUE,"Other"
)</f>
        <v>Europe</v>
      </c>
      <c r="W81" s="195" t="str">
        <f>_xlfn.XLOOKUP(Table2[[#This Row],[Column3]],Sheet1!G:G,Sheet1!H:H)</f>
        <v>Food, beverages and agriculture</v>
      </c>
      <c r="X81" s="195"/>
      <c r="Y81" s="195"/>
      <c r="Z81" s="212"/>
      <c r="AA81" s="212"/>
      <c r="AB81" s="212"/>
      <c r="AC81" s="212"/>
      <c r="AD81" s="212"/>
      <c r="AE81" s="212"/>
      <c r="AF81" s="212"/>
      <c r="AG81" s="212"/>
      <c r="AH81" s="212"/>
      <c r="AI81" s="212"/>
      <c r="AJ81" s="212"/>
      <c r="AK81" s="212"/>
      <c r="AL81" s="212"/>
      <c r="AM81" s="207"/>
      <c r="AN81" s="207"/>
      <c r="AO81" s="207"/>
    </row>
    <row r="82" spans="1:41">
      <c r="A82" s="194" t="s">
        <v>1197</v>
      </c>
      <c r="B82" s="68">
        <v>283</v>
      </c>
      <c r="C82" s="68" t="s">
        <v>82</v>
      </c>
      <c r="D82" s="77" t="s">
        <v>4459</v>
      </c>
      <c r="E82" s="75"/>
      <c r="H82" s="75"/>
      <c r="K82" s="75"/>
      <c r="M82" s="76"/>
      <c r="N82" s="76"/>
      <c r="P82" s="75"/>
      <c r="U82" s="75" t="s">
        <v>1</v>
      </c>
      <c r="V82" s="195" t="str" cm="1">
        <f t="array" ref="V82">_xlfn.IFS(
  C82="United States","North America",
  C82="Canada","North America",
  C82="Mexico","North America",
  C82="Bermuda","North America",
  C82="United Kingdom","Europe",
  C82="Germany","Europe",
  C82="France","Europe",
  C82="Italy","Europe",
  C82="Switzerland","Europe",
  C82="Spain","Europe",
  C82="Netherlands","Europe",
  C82="Sweden","Europe",
  C82="Norway","Europe",
  C82="Finland","Europe",
  C82="Denmark","Europe",
  C82="Russia","Europe",
  C82="China","Asia",
  C82="Japan","Asia",
  C82="Taiwan, Province of China","Asia",
  C82="Hong Kong","Asia",
  C82="South Korea","Asia",
  C82="India","Asia",
  C82="Singapore","Asia",
  C82="Thailand","Asia",
  C82="Indonesia","Asia",
  C82="Malaysia","Asia",
  TRUE,"Other"
)</f>
        <v>North America</v>
      </c>
      <c r="W82" s="195" t="str">
        <f>_xlfn.XLOOKUP(Table2[[#This Row],[Column3]],Sheet1!G:G,Sheet1!H:H)</f>
        <v>Industrial goods</v>
      </c>
      <c r="X82" s="195"/>
      <c r="Y82" s="195"/>
      <c r="Z82" s="212"/>
      <c r="AA82" s="212"/>
      <c r="AB82" s="212"/>
      <c r="AC82" s="212"/>
      <c r="AD82" s="212"/>
      <c r="AE82" s="212"/>
      <c r="AF82" s="212"/>
      <c r="AG82" s="212"/>
      <c r="AH82" s="212"/>
      <c r="AI82" s="212"/>
      <c r="AJ82" s="212"/>
      <c r="AK82" s="212"/>
      <c r="AL82" s="212"/>
      <c r="AM82" s="207"/>
      <c r="AN82" s="207"/>
      <c r="AO82" s="207"/>
    </row>
    <row r="83" spans="1:41">
      <c r="A83" s="194" t="s">
        <v>3719</v>
      </c>
      <c r="B83" s="68">
        <v>346</v>
      </c>
      <c r="C83" s="68" t="s">
        <v>3277</v>
      </c>
      <c r="D83" s="77" t="s">
        <v>4465</v>
      </c>
      <c r="E83" s="75"/>
      <c r="H83" s="75"/>
      <c r="K83" s="75"/>
      <c r="M83" s="76"/>
      <c r="N83" s="76"/>
      <c r="P83" s="75"/>
      <c r="U83" s="75" t="s">
        <v>1</v>
      </c>
      <c r="V83" s="195" t="str" cm="1">
        <f t="array" ref="V83">_xlfn.IFS(
  C83="United States","North America",
  C83="Canada","North America",
  C83="Mexico","North America",
  C83="Bermuda","North America",
  C83="United Kingdom","Europe",
  C83="Germany","Europe",
  C83="France","Europe",
  C83="Italy","Europe",
  C83="Switzerland","Europe",
  C83="Spain","Europe",
  C83="Netherlands","Europe",
  C83="Sweden","Europe",
  C83="Norway","Europe",
  C83="Finland","Europe",
  C83="Denmark","Europe",
  C83="Russia","Europe",
  C83="China","Asia",
  C83="Japan","Asia",
  C83="Taiwan, Province of China","Asia",
  C83="Hong Kong","Asia",
  C83="South Korea","Asia",
  C83="India","Asia",
  C83="Singapore","Asia",
  C83="Thailand","Asia",
  C83="Indonesia","Asia",
  C83="Malaysia","Asia",
  TRUE,"Other"
)</f>
        <v>Asia</v>
      </c>
      <c r="W83" s="195" t="str">
        <f>_xlfn.XLOOKUP(Table2[[#This Row],[Column3]],Sheet1!G:G,Sheet1!H:H)</f>
        <v>Financial services</v>
      </c>
      <c r="X83" s="195"/>
      <c r="Y83" s="195"/>
      <c r="Z83" s="212"/>
      <c r="AA83" s="212"/>
      <c r="AB83" s="212"/>
      <c r="AC83" s="212"/>
      <c r="AD83" s="212"/>
      <c r="AE83" s="212"/>
      <c r="AF83" s="212"/>
      <c r="AG83" s="212"/>
      <c r="AH83" s="212"/>
      <c r="AI83" s="212"/>
      <c r="AJ83" s="212"/>
      <c r="AK83" s="212"/>
      <c r="AL83" s="212"/>
      <c r="AM83" s="207"/>
      <c r="AN83" s="207"/>
      <c r="AO83" s="207"/>
    </row>
    <row r="84" spans="1:41">
      <c r="A84" s="194" t="s">
        <v>824</v>
      </c>
      <c r="B84" s="68">
        <v>359</v>
      </c>
      <c r="C84" s="68" t="s">
        <v>73</v>
      </c>
      <c r="D84" s="77" t="s">
        <v>4465</v>
      </c>
      <c r="E84" s="75"/>
      <c r="H84" s="75"/>
      <c r="K84" s="75"/>
      <c r="M84" s="76"/>
      <c r="N84" s="76"/>
      <c r="P84" s="75"/>
      <c r="U84" s="75" t="s">
        <v>1</v>
      </c>
      <c r="V84" s="195" t="str" cm="1">
        <f t="array" ref="V84">_xlfn.IFS(
  C84="United States","North America",
  C84="Canada","North America",
  C84="Mexico","North America",
  C84="Bermuda","North America",
  C84="United Kingdom","Europe",
  C84="Germany","Europe",
  C84="France","Europe",
  C84="Italy","Europe",
  C84="Switzerland","Europe",
  C84="Spain","Europe",
  C84="Netherlands","Europe",
  C84="Sweden","Europe",
  C84="Norway","Europe",
  C84="Finland","Europe",
  C84="Denmark","Europe",
  C84="Russia","Europe",
  C84="China","Asia",
  C84="Japan","Asia",
  C84="Taiwan, Province of China","Asia",
  C84="Hong Kong","Asia",
  C84="South Korea","Asia",
  C84="India","Asia",
  C84="Singapore","Asia",
  C84="Thailand","Asia",
  C84="Indonesia","Asia",
  C84="Malaysia","Asia",
  TRUE,"Other"
)</f>
        <v>Asia</v>
      </c>
      <c r="W84" s="195" t="str">
        <f>_xlfn.XLOOKUP(Table2[[#This Row],[Column3]],Sheet1!G:G,Sheet1!H:H)</f>
        <v>Financial services</v>
      </c>
      <c r="X84" s="195"/>
      <c r="Y84" s="195"/>
      <c r="Z84" s="212"/>
      <c r="AA84" s="212"/>
      <c r="AB84" s="212"/>
      <c r="AC84" s="212"/>
      <c r="AD84" s="212"/>
      <c r="AE84" s="212"/>
      <c r="AF84" s="212"/>
      <c r="AG84" s="212"/>
      <c r="AH84" s="212"/>
      <c r="AI84" s="212"/>
      <c r="AJ84" s="212"/>
      <c r="AK84" s="212"/>
      <c r="AL84" s="212"/>
      <c r="AM84" s="207"/>
      <c r="AN84" s="207"/>
      <c r="AO84" s="207"/>
    </row>
    <row r="85" spans="1:41">
      <c r="A85" s="194" t="s">
        <v>1269</v>
      </c>
      <c r="B85" s="68">
        <v>57</v>
      </c>
      <c r="C85" s="68" t="s">
        <v>82</v>
      </c>
      <c r="D85" s="77" t="s">
        <v>4201</v>
      </c>
      <c r="E85" s="75"/>
      <c r="H85" s="75"/>
      <c r="K85" s="75"/>
      <c r="M85" s="76"/>
      <c r="N85" s="76"/>
      <c r="P85" s="75"/>
      <c r="U85" s="75" t="s">
        <v>1</v>
      </c>
      <c r="V85" s="195" t="str" cm="1">
        <f t="array" ref="V85">_xlfn.IFS(
  C85="United States","North America",
  C85="Canada","North America",
  C85="Mexico","North America",
  C85="Bermuda","North America",
  C85="United Kingdom","Europe",
  C85="Germany","Europe",
  C85="France","Europe",
  C85="Italy","Europe",
  C85="Switzerland","Europe",
  C85="Spain","Europe",
  C85="Netherlands","Europe",
  C85="Sweden","Europe",
  C85="Norway","Europe",
  C85="Finland","Europe",
  C85="Denmark","Europe",
  C85="Russia","Europe",
  C85="China","Asia",
  C85="Japan","Asia",
  C85="Taiwan, Province of China","Asia",
  C85="Hong Kong","Asia",
  C85="South Korea","Asia",
  C85="India","Asia",
  C85="Singapore","Asia",
  C85="Thailand","Asia",
  C85="Indonesia","Asia",
  C85="Malaysia","Asia",
  TRUE,"Other"
)</f>
        <v>North America</v>
      </c>
      <c r="W85" s="195" t="str">
        <f>_xlfn.XLOOKUP(Table2[[#This Row],[Column3]],Sheet1!G:G,Sheet1!H:H)</f>
        <v>Health care and pharmaceuticals</v>
      </c>
      <c r="X85" s="195"/>
      <c r="Y85" s="195"/>
      <c r="Z85" s="212"/>
      <c r="AA85" s="212"/>
      <c r="AB85" s="212"/>
      <c r="AC85" s="212"/>
      <c r="AD85" s="212"/>
      <c r="AE85" s="212"/>
      <c r="AF85" s="212"/>
      <c r="AG85" s="212"/>
      <c r="AH85" s="212"/>
      <c r="AI85" s="212"/>
      <c r="AJ85" s="212"/>
      <c r="AK85" s="212"/>
      <c r="AL85" s="212"/>
      <c r="AM85" s="207"/>
      <c r="AN85" s="207"/>
      <c r="AO85" s="207"/>
    </row>
    <row r="86" spans="1:41" ht="16">
      <c r="A86" s="194" t="s">
        <v>782</v>
      </c>
      <c r="B86" s="68">
        <v>458</v>
      </c>
      <c r="C86" s="68" t="s">
        <v>4195</v>
      </c>
      <c r="D86" s="77" t="s">
        <v>4199</v>
      </c>
      <c r="E86" s="75"/>
      <c r="H86" s="75"/>
      <c r="K86" s="75"/>
      <c r="M86" s="76"/>
      <c r="N86" s="76"/>
      <c r="P86" s="75" t="s">
        <v>4217</v>
      </c>
      <c r="Q86" s="68" t="s">
        <v>4396</v>
      </c>
      <c r="R86" s="68">
        <v>2045</v>
      </c>
      <c r="S86" s="68">
        <v>2021</v>
      </c>
      <c r="T86" s="78" t="s">
        <v>4170</v>
      </c>
      <c r="U86" s="75" t="s">
        <v>1</v>
      </c>
      <c r="V86" s="195" t="str" cm="1">
        <f t="array" ref="V86">_xlfn.IFS(
  C86="United States","North America",
  C86="Canada","North America",
  C86="Mexico","North America",
  C86="Bermuda","North America",
  C86="United Kingdom","Europe",
  C86="Germany","Europe",
  C86="France","Europe",
  C86="Italy","Europe",
  C86="Switzerland","Europe",
  C86="Spain","Europe",
  C86="Netherlands","Europe",
  C86="Sweden","Europe",
  C86="Norway","Europe",
  C86="Finland","Europe",
  C86="Denmark","Europe",
  C86="Russia","Europe",
  C86="China","Asia",
  C86="Japan","Asia",
  C86="Taiwan, Province of China","Asia",
  C86="Hong Kong","Asia",
  C86="South Korea","Asia",
  C86="India","Asia",
  C86="Singapore","Asia",
  C86="Thailand","Asia",
  C86="Indonesia","Asia",
  C86="Malaysia","Asia",
  TRUE,"Other"
)</f>
        <v>Europe</v>
      </c>
      <c r="W86" s="195" t="str">
        <f>_xlfn.XLOOKUP(Table2[[#This Row],[Column3]],Sheet1!G:G,Sheet1!H:H)</f>
        <v>Energy and utilities</v>
      </c>
      <c r="X86" s="195"/>
      <c r="Y86" s="195"/>
      <c r="Z86" s="212"/>
      <c r="AA86" s="212"/>
      <c r="AB86" s="212"/>
      <c r="AC86" s="212"/>
      <c r="AD86" s="212"/>
      <c r="AE86" s="212"/>
      <c r="AF86" s="212"/>
      <c r="AG86" s="212"/>
      <c r="AH86" s="212"/>
      <c r="AI86" s="212"/>
      <c r="AJ86" s="212"/>
      <c r="AK86" s="212"/>
      <c r="AL86" s="212"/>
      <c r="AM86" s="207"/>
      <c r="AN86" s="207"/>
      <c r="AO86" s="207"/>
    </row>
    <row r="87" spans="1:41">
      <c r="A87" s="194" t="s">
        <v>950</v>
      </c>
      <c r="B87" s="68">
        <v>230</v>
      </c>
      <c r="C87" s="68" t="s">
        <v>82</v>
      </c>
      <c r="D87" s="77" t="s">
        <v>4190</v>
      </c>
      <c r="E87" s="75"/>
      <c r="H87" s="75"/>
      <c r="K87" s="75" t="s">
        <v>1957</v>
      </c>
      <c r="L87" s="68" t="s">
        <v>4395</v>
      </c>
      <c r="M87" s="76">
        <v>2035</v>
      </c>
      <c r="N87" s="76">
        <v>2021</v>
      </c>
      <c r="O87" s="79" t="s">
        <v>4170</v>
      </c>
      <c r="P87" s="75"/>
      <c r="U87" s="75" t="s">
        <v>1</v>
      </c>
      <c r="V87" s="195" t="str" cm="1">
        <f t="array" ref="V87">_xlfn.IFS(
  C87="United States","North America",
  C87="Canada","North America",
  C87="Mexico","North America",
  C87="Bermuda","North America",
  C87="United Kingdom","Europe",
  C87="Germany","Europe",
  C87="France","Europe",
  C87="Italy","Europe",
  C87="Switzerland","Europe",
  C87="Spain","Europe",
  C87="Netherlands","Europe",
  C87="Sweden","Europe",
  C87="Norway","Europe",
  C87="Finland","Europe",
  C87="Denmark","Europe",
  C87="Russia","Europe",
  C87="China","Asia",
  C87="Japan","Asia",
  C87="Taiwan, Province of China","Asia",
  C87="Hong Kong","Asia",
  C87="South Korea","Asia",
  C87="India","Asia",
  C87="Singapore","Asia",
  C87="Thailand","Asia",
  C87="Indonesia","Asia",
  C87="Malaysia","Asia",
  TRUE,"Other"
)</f>
        <v>North America</v>
      </c>
      <c r="W87" s="195" t="str">
        <f>_xlfn.XLOOKUP(Table2[[#This Row],[Column3]],Sheet1!G:G,Sheet1!H:H)</f>
        <v>Telecommunications and media</v>
      </c>
      <c r="X87" s="195"/>
      <c r="Y87" s="195"/>
      <c r="Z87" s="213"/>
      <c r="AA87" s="213"/>
      <c r="AB87" s="213"/>
      <c r="AC87" s="213"/>
      <c r="AD87" s="213"/>
      <c r="AE87" s="214"/>
      <c r="AF87" s="213"/>
      <c r="AG87" s="213"/>
      <c r="AH87" s="213"/>
      <c r="AI87" s="213"/>
      <c r="AJ87" s="213"/>
      <c r="AK87" s="213"/>
      <c r="AL87" s="213"/>
      <c r="AM87" s="207"/>
      <c r="AN87" s="207"/>
      <c r="AO87" s="207"/>
    </row>
    <row r="88" spans="1:41">
      <c r="A88" s="194" t="s">
        <v>1352</v>
      </c>
      <c r="B88" s="68">
        <v>161</v>
      </c>
      <c r="C88" s="68" t="s">
        <v>73</v>
      </c>
      <c r="D88" s="77" t="s">
        <v>66</v>
      </c>
      <c r="E88" s="75"/>
      <c r="H88" s="75"/>
      <c r="K88" s="75"/>
      <c r="M88" s="76"/>
      <c r="N88" s="76"/>
      <c r="P88" s="75"/>
      <c r="U88" s="75" t="s">
        <v>1</v>
      </c>
      <c r="V88" s="195" t="str" cm="1">
        <f t="array" ref="V88">_xlfn.IFS(
  C88="United States","North America",
  C88="Canada","North America",
  C88="Mexico","North America",
  C88="Bermuda","North America",
  C88="United Kingdom","Europe",
  C88="Germany","Europe",
  C88="France","Europe",
  C88="Italy","Europe",
  C88="Switzerland","Europe",
  C88="Spain","Europe",
  C88="Netherlands","Europe",
  C88="Sweden","Europe",
  C88="Norway","Europe",
  C88="Finland","Europe",
  C88="Denmark","Europe",
  C88="Russia","Europe",
  C88="China","Asia",
  C88="Japan","Asia",
  C88="Taiwan, Province of China","Asia",
  C88="Hong Kong","Asia",
  C88="South Korea","Asia",
  C88="India","Asia",
  C88="Singapore","Asia",
  C88="Thailand","Asia",
  C88="Indonesia","Asia",
  C88="Malaysia","Asia",
  TRUE,"Other"
)</f>
        <v>Asia</v>
      </c>
      <c r="W88" s="195" t="str">
        <f>_xlfn.XLOOKUP(Table2[[#This Row],[Column3]],Sheet1!G:G,Sheet1!H:H)</f>
        <v>Chemicals</v>
      </c>
      <c r="X88" s="195"/>
      <c r="Y88" s="195"/>
      <c r="Z88" s="208"/>
      <c r="AA88" s="209"/>
      <c r="AB88" s="209"/>
      <c r="AC88" s="208"/>
      <c r="AD88" s="209"/>
      <c r="AE88" s="209"/>
      <c r="AF88" s="208"/>
      <c r="AG88" s="209"/>
      <c r="AH88" s="209"/>
      <c r="AI88" s="208"/>
      <c r="AJ88" s="209"/>
      <c r="AK88" s="209"/>
      <c r="AL88" s="210"/>
      <c r="AM88" s="207"/>
      <c r="AN88" s="207"/>
      <c r="AO88" s="207"/>
    </row>
    <row r="89" spans="1:41">
      <c r="A89" s="194" t="s">
        <v>1793</v>
      </c>
      <c r="B89" s="68">
        <v>75</v>
      </c>
      <c r="C89" s="68" t="s">
        <v>82</v>
      </c>
      <c r="D89" s="77" t="s">
        <v>3498</v>
      </c>
      <c r="E89" s="75"/>
      <c r="H89" s="75"/>
      <c r="K89" s="75"/>
      <c r="M89" s="76"/>
      <c r="N89" s="76"/>
      <c r="P89" s="75"/>
      <c r="U89" s="75" t="s">
        <v>1</v>
      </c>
      <c r="V89" s="195" t="str" cm="1">
        <f t="array" ref="V89">_xlfn.IFS(
  C89="United States","North America",
  C89="Canada","North America",
  C89="Mexico","North America",
  C89="Bermuda","North America",
  C89="United Kingdom","Europe",
  C89="Germany","Europe",
  C89="France","Europe",
  C89="Italy","Europe",
  C89="Switzerland","Europe",
  C89="Spain","Europe",
  C89="Netherlands","Europe",
  C89="Sweden","Europe",
  C89="Norway","Europe",
  C89="Finland","Europe",
  C89="Denmark","Europe",
  C89="Russia","Europe",
  C89="China","Asia",
  C89="Japan","Asia",
  C89="Taiwan, Province of China","Asia",
  C89="Hong Kong","Asia",
  C89="South Korea","Asia",
  C89="India","Asia",
  C89="Singapore","Asia",
  C89="Thailand","Asia",
  C89="Indonesia","Asia",
  C89="Malaysia","Asia",
  TRUE,"Other"
)</f>
        <v>North America</v>
      </c>
      <c r="W89" s="195" t="str">
        <f>_xlfn.XLOOKUP(Table2[[#This Row],[Column3]],Sheet1!G:G,Sheet1!H:H)</f>
        <v>Oil and gas</v>
      </c>
      <c r="X89" s="195"/>
      <c r="Y89" s="195"/>
      <c r="Z89" s="211"/>
      <c r="AA89" s="211"/>
      <c r="AB89" s="211"/>
      <c r="AC89" s="211"/>
      <c r="AD89" s="211"/>
      <c r="AE89" s="211"/>
      <c r="AF89" s="211"/>
      <c r="AG89" s="211"/>
      <c r="AH89" s="211"/>
      <c r="AI89" s="211"/>
      <c r="AJ89" s="211"/>
      <c r="AK89" s="211"/>
      <c r="AL89" s="211"/>
      <c r="AM89" s="207"/>
      <c r="AN89" s="207"/>
      <c r="AO89" s="207"/>
    </row>
    <row r="90" spans="1:41">
      <c r="A90" s="194" t="s">
        <v>751</v>
      </c>
      <c r="B90" s="68">
        <v>320</v>
      </c>
      <c r="C90" s="68" t="s">
        <v>73</v>
      </c>
      <c r="D90" s="77" t="s">
        <v>4260</v>
      </c>
      <c r="E90" s="75"/>
      <c r="H90" s="75"/>
      <c r="K90" s="75"/>
      <c r="M90" s="76"/>
      <c r="N90" s="76"/>
      <c r="P90" s="75"/>
      <c r="U90" s="75" t="s">
        <v>1</v>
      </c>
      <c r="V90" s="195" t="str" cm="1">
        <f t="array" ref="V90">_xlfn.IFS(
  C90="United States","North America",
  C90="Canada","North America",
  C90="Mexico","North America",
  C90="Bermuda","North America",
  C90="United Kingdom","Europe",
  C90="Germany","Europe",
  C90="France","Europe",
  C90="Italy","Europe",
  C90="Switzerland","Europe",
  C90="Spain","Europe",
  C90="Netherlands","Europe",
  C90="Sweden","Europe",
  C90="Norway","Europe",
  C90="Finland","Europe",
  C90="Denmark","Europe",
  C90="Russia","Europe",
  C90="China","Asia",
  C90="Japan","Asia",
  C90="Taiwan, Province of China","Asia",
  C90="Hong Kong","Asia",
  C90="South Korea","Asia",
  C90="India","Asia",
  C90="Singapore","Asia",
  C90="Thailand","Asia",
  C90="Indonesia","Asia",
  C90="Malaysia","Asia",
  TRUE,"Other"
)</f>
        <v>Asia</v>
      </c>
      <c r="W90" s="195" t="str">
        <f>_xlfn.XLOOKUP(Table2[[#This Row],[Column3]],Sheet1!G:G,Sheet1!H:H)</f>
        <v>Aerospace and defense</v>
      </c>
      <c r="X90" s="195"/>
      <c r="Y90" s="195"/>
      <c r="Z90" s="212"/>
      <c r="AA90" s="212"/>
      <c r="AB90" s="212"/>
      <c r="AC90" s="212"/>
      <c r="AD90" s="212"/>
      <c r="AE90" s="212"/>
      <c r="AF90" s="212"/>
      <c r="AG90" s="212"/>
      <c r="AH90" s="212"/>
      <c r="AI90" s="212"/>
      <c r="AJ90" s="212"/>
      <c r="AK90" s="212"/>
      <c r="AL90" s="212"/>
      <c r="AM90" s="207"/>
      <c r="AN90" s="207"/>
      <c r="AO90" s="207"/>
    </row>
    <row r="91" spans="1:41">
      <c r="A91" s="194" t="s">
        <v>749</v>
      </c>
      <c r="B91" s="68">
        <v>307</v>
      </c>
      <c r="C91" s="68" t="s">
        <v>73</v>
      </c>
      <c r="D91" s="77" t="s">
        <v>4260</v>
      </c>
      <c r="E91" s="75"/>
      <c r="H91" s="75"/>
      <c r="K91" s="75"/>
      <c r="M91" s="76"/>
      <c r="N91" s="76"/>
      <c r="P91" s="75"/>
      <c r="U91" s="75" t="s">
        <v>1</v>
      </c>
      <c r="V91" s="195" t="str" cm="1">
        <f t="array" ref="V91">_xlfn.IFS(
  C91="United States","North America",
  C91="Canada","North America",
  C91="Mexico","North America",
  C91="Bermuda","North America",
  C91="United Kingdom","Europe",
  C91="Germany","Europe",
  C91="France","Europe",
  C91="Italy","Europe",
  C91="Switzerland","Europe",
  C91="Spain","Europe",
  C91="Netherlands","Europe",
  C91="Sweden","Europe",
  C91="Norway","Europe",
  C91="Finland","Europe",
  C91="Denmark","Europe",
  C91="Russia","Europe",
  C91="China","Asia",
  C91="Japan","Asia",
  C91="Taiwan, Province of China","Asia",
  C91="Hong Kong","Asia",
  C91="South Korea","Asia",
  C91="India","Asia",
  C91="Singapore","Asia",
  C91="Thailand","Asia",
  C91="Indonesia","Asia",
  C91="Malaysia","Asia",
  TRUE,"Other"
)</f>
        <v>Asia</v>
      </c>
      <c r="W91" s="195" t="str">
        <f>_xlfn.XLOOKUP(Table2[[#This Row],[Column3]],Sheet1!G:G,Sheet1!H:H)</f>
        <v>Aerospace and defense</v>
      </c>
      <c r="X91" s="195"/>
      <c r="Y91" s="195"/>
      <c r="Z91" s="212"/>
      <c r="AA91" s="212"/>
      <c r="AB91" s="212"/>
      <c r="AC91" s="212"/>
      <c r="AD91" s="212"/>
      <c r="AE91" s="212"/>
      <c r="AF91" s="212"/>
      <c r="AG91" s="212"/>
      <c r="AH91" s="212"/>
      <c r="AI91" s="212"/>
      <c r="AJ91" s="212"/>
      <c r="AK91" s="212"/>
      <c r="AL91" s="212"/>
      <c r="AM91" s="207"/>
      <c r="AN91" s="207"/>
      <c r="AO91" s="207"/>
    </row>
    <row r="92" spans="1:41" ht="16">
      <c r="A92" s="194" t="s">
        <v>1329</v>
      </c>
      <c r="B92" s="68">
        <v>72</v>
      </c>
      <c r="C92" s="68" t="s">
        <v>73</v>
      </c>
      <c r="D92" s="77" t="s">
        <v>4459</v>
      </c>
      <c r="E92" s="75"/>
      <c r="H92" s="75"/>
      <c r="K92" s="75" t="s">
        <v>2082</v>
      </c>
      <c r="M92" s="76">
        <v>2050</v>
      </c>
      <c r="N92" s="76">
        <v>2021</v>
      </c>
      <c r="O92" s="78" t="s">
        <v>4170</v>
      </c>
      <c r="P92" s="75"/>
      <c r="U92" s="75" t="s">
        <v>1</v>
      </c>
      <c r="V92" s="195" t="str" cm="1">
        <f t="array" ref="V92">_xlfn.IFS(
  C92="United States","North America",
  C92="Canada","North America",
  C92="Mexico","North America",
  C92="Bermuda","North America",
  C92="United Kingdom","Europe",
  C92="Germany","Europe",
  C92="France","Europe",
  C92="Italy","Europe",
  C92="Switzerland","Europe",
  C92="Spain","Europe",
  C92="Netherlands","Europe",
  C92="Sweden","Europe",
  C92="Norway","Europe",
  C92="Finland","Europe",
  C92="Denmark","Europe",
  C92="Russia","Europe",
  C92="China","Asia",
  C92="Japan","Asia",
  C92="Taiwan, Province of China","Asia",
  C92="Hong Kong","Asia",
  C92="South Korea","Asia",
  C92="India","Asia",
  C92="Singapore","Asia",
  C92="Thailand","Asia",
  C92="Indonesia","Asia",
  C92="Malaysia","Asia",
  TRUE,"Other"
)</f>
        <v>Asia</v>
      </c>
      <c r="W92" s="195" t="str">
        <f>_xlfn.XLOOKUP(Table2[[#This Row],[Column3]],Sheet1!G:G,Sheet1!H:H)</f>
        <v>Industrial goods</v>
      </c>
      <c r="X92" s="195"/>
      <c r="Y92" s="195"/>
      <c r="Z92" s="212"/>
      <c r="AA92" s="212"/>
      <c r="AB92" s="212"/>
      <c r="AC92" s="212"/>
      <c r="AD92" s="212"/>
      <c r="AE92" s="212"/>
      <c r="AF92" s="212"/>
      <c r="AG92" s="212"/>
      <c r="AH92" s="212"/>
      <c r="AI92" s="212"/>
      <c r="AJ92" s="212"/>
      <c r="AK92" s="212"/>
      <c r="AL92" s="212"/>
      <c r="AM92" s="207"/>
      <c r="AN92" s="207"/>
      <c r="AO92" s="207"/>
    </row>
    <row r="93" spans="1:41">
      <c r="A93" s="194" t="s">
        <v>1560</v>
      </c>
      <c r="B93" s="68">
        <v>61</v>
      </c>
      <c r="C93" s="68" t="s">
        <v>73</v>
      </c>
      <c r="D93" s="77" t="s">
        <v>4197</v>
      </c>
      <c r="E93" s="75"/>
      <c r="H93" s="75"/>
      <c r="K93" s="75"/>
      <c r="M93" s="76"/>
      <c r="N93" s="76"/>
      <c r="P93" s="75"/>
      <c r="U93" s="75" t="s">
        <v>1</v>
      </c>
      <c r="V93" s="195" t="str" cm="1">
        <f t="array" ref="V93">_xlfn.IFS(
  C93="United States","North America",
  C93="Canada","North America",
  C93="Mexico","North America",
  C93="Bermuda","North America",
  C93="United Kingdom","Europe",
  C93="Germany","Europe",
  C93="France","Europe",
  C93="Italy","Europe",
  C93="Switzerland","Europe",
  C93="Spain","Europe",
  C93="Netherlands","Europe",
  C93="Sweden","Europe",
  C93="Norway","Europe",
  C93="Finland","Europe",
  C93="Denmark","Europe",
  C93="Russia","Europe",
  C93="China","Asia",
  C93="Japan","Asia",
  C93="Taiwan, Province of China","Asia",
  C93="Hong Kong","Asia",
  C93="South Korea","Asia",
  C93="India","Asia",
  C93="Singapore","Asia",
  C93="Thailand","Asia",
  C93="Indonesia","Asia",
  C93="Malaysia","Asia",
  TRUE,"Other"
)</f>
        <v>Asia</v>
      </c>
      <c r="W93" s="195" t="str">
        <f>_xlfn.XLOOKUP(Table2[[#This Row],[Column3]],Sheet1!G:G,Sheet1!H:H)</f>
        <v>Engineering and construction</v>
      </c>
      <c r="X93" s="195"/>
      <c r="Y93" s="195"/>
      <c r="Z93" s="212"/>
      <c r="AA93" s="212"/>
      <c r="AB93" s="212"/>
      <c r="AC93" s="212"/>
      <c r="AD93" s="212"/>
      <c r="AE93" s="212"/>
      <c r="AF93" s="212"/>
      <c r="AG93" s="212"/>
      <c r="AH93" s="212"/>
      <c r="AI93" s="212"/>
      <c r="AJ93" s="212"/>
      <c r="AK93" s="212"/>
      <c r="AL93" s="212"/>
      <c r="AM93" s="207"/>
      <c r="AN93" s="207"/>
      <c r="AO93" s="207"/>
    </row>
    <row r="94" spans="1:41">
      <c r="A94" s="194" t="s">
        <v>1785</v>
      </c>
      <c r="B94" s="68">
        <v>25</v>
      </c>
      <c r="C94" s="68" t="s">
        <v>73</v>
      </c>
      <c r="D94" s="77" t="s">
        <v>4465</v>
      </c>
      <c r="E94" s="75"/>
      <c r="H94" s="75"/>
      <c r="K94" s="75"/>
      <c r="M94" s="76"/>
      <c r="N94" s="76"/>
      <c r="P94" s="75"/>
      <c r="U94" s="75" t="s">
        <v>1</v>
      </c>
      <c r="V94" s="195" t="str" cm="1">
        <f t="array" ref="V94">_xlfn.IFS(
  C94="United States","North America",
  C94="Canada","North America",
  C94="Mexico","North America",
  C94="Bermuda","North America",
  C94="United Kingdom","Europe",
  C94="Germany","Europe",
  C94="France","Europe",
  C94="Italy","Europe",
  C94="Switzerland","Europe",
  C94="Spain","Europe",
  C94="Netherlands","Europe",
  C94="Sweden","Europe",
  C94="Norway","Europe",
  C94="Finland","Europe",
  C94="Denmark","Europe",
  C94="Russia","Europe",
  C94="China","Asia",
  C94="Japan","Asia",
  C94="Taiwan, Province of China","Asia",
  C94="Hong Kong","Asia",
  C94="South Korea","Asia",
  C94="India","Asia",
  C94="Singapore","Asia",
  C94="Thailand","Asia",
  C94="Indonesia","Asia",
  C94="Malaysia","Asia",
  TRUE,"Other"
)</f>
        <v>Asia</v>
      </c>
      <c r="W94" s="195" t="str">
        <f>_xlfn.XLOOKUP(Table2[[#This Row],[Column3]],Sheet1!G:G,Sheet1!H:H)</f>
        <v>Financial services</v>
      </c>
      <c r="X94" s="195"/>
      <c r="Y94" s="195"/>
      <c r="Z94" s="212"/>
      <c r="AA94" s="212"/>
      <c r="AB94" s="212"/>
      <c r="AC94" s="212"/>
      <c r="AD94" s="212"/>
      <c r="AE94" s="212"/>
      <c r="AF94" s="212"/>
      <c r="AG94" s="212"/>
      <c r="AH94" s="212"/>
      <c r="AI94" s="212"/>
      <c r="AJ94" s="212"/>
      <c r="AK94" s="212"/>
      <c r="AL94" s="212"/>
      <c r="AM94" s="207"/>
      <c r="AN94" s="207"/>
      <c r="AO94" s="207"/>
    </row>
    <row r="95" spans="1:41">
      <c r="A95" s="194" t="s">
        <v>906</v>
      </c>
      <c r="B95" s="68">
        <v>231</v>
      </c>
      <c r="C95" s="68" t="s">
        <v>73</v>
      </c>
      <c r="D95" s="77" t="s">
        <v>4179</v>
      </c>
      <c r="E95" s="75"/>
      <c r="H95" s="75"/>
      <c r="K95" s="75"/>
      <c r="M95" s="76"/>
      <c r="N95" s="76"/>
      <c r="P95" s="75"/>
      <c r="U95" s="75" t="s">
        <v>1</v>
      </c>
      <c r="V95" s="195" t="str" cm="1">
        <f t="array" ref="V95">_xlfn.IFS(
  C95="United States","North America",
  C95="Canada","North America",
  C95="Mexico","North America",
  C95="Bermuda","North America",
  C95="United Kingdom","Europe",
  C95="Germany","Europe",
  C95="France","Europe",
  C95="Italy","Europe",
  C95="Switzerland","Europe",
  C95="Spain","Europe",
  C95="Netherlands","Europe",
  C95="Sweden","Europe",
  C95="Norway","Europe",
  C95="Finland","Europe",
  C95="Denmark","Europe",
  C95="Russia","Europe",
  C95="China","Asia",
  C95="Japan","Asia",
  C95="Taiwan, Province of China","Asia",
  C95="Hong Kong","Asia",
  C95="South Korea","Asia",
  C95="India","Asia",
  C95="Singapore","Asia",
  C95="Thailand","Asia",
  C95="Indonesia","Asia",
  C95="Malaysia","Asia",
  TRUE,"Other"
)</f>
        <v>Asia</v>
      </c>
      <c r="W95" s="195" t="str">
        <f>_xlfn.XLOOKUP(Table2[[#This Row],[Column3]],Sheet1!G:G,Sheet1!H:H)</f>
        <v>Transportation and logistics</v>
      </c>
      <c r="X95" s="195"/>
      <c r="Y95" s="195"/>
      <c r="Z95" s="213"/>
      <c r="AA95" s="213"/>
      <c r="AB95" s="213"/>
      <c r="AC95" s="213"/>
      <c r="AD95" s="213"/>
      <c r="AE95" s="215"/>
      <c r="AF95" s="215"/>
      <c r="AG95" s="215"/>
      <c r="AH95" s="214"/>
      <c r="AI95" s="215"/>
      <c r="AJ95" s="215"/>
      <c r="AK95" s="215"/>
      <c r="AL95" s="215"/>
      <c r="AM95" s="207"/>
      <c r="AN95" s="207"/>
      <c r="AO95" s="207"/>
    </row>
    <row r="96" spans="1:41" ht="16">
      <c r="A96" s="194" t="s">
        <v>312</v>
      </c>
      <c r="B96" s="68">
        <v>435</v>
      </c>
      <c r="C96" s="68" t="s">
        <v>73</v>
      </c>
      <c r="D96" s="77" t="s">
        <v>4199</v>
      </c>
      <c r="E96" s="75"/>
      <c r="H96" s="75"/>
      <c r="K96" s="75" t="s">
        <v>2082</v>
      </c>
      <c r="M96" s="76">
        <v>2060</v>
      </c>
      <c r="N96" s="76">
        <v>2021</v>
      </c>
      <c r="O96" s="78" t="s">
        <v>4170</v>
      </c>
      <c r="P96" s="75"/>
      <c r="U96" s="75" t="s">
        <v>1</v>
      </c>
      <c r="V96" s="195" t="str" cm="1">
        <f t="array" ref="V96">_xlfn.IFS(
  C96="United States","North America",
  C96="Canada","North America",
  C96="Mexico","North America",
  C96="Bermuda","North America",
  C96="United Kingdom","Europe",
  C96="Germany","Europe",
  C96="France","Europe",
  C96="Italy","Europe",
  C96="Switzerland","Europe",
  C96="Spain","Europe",
  C96="Netherlands","Europe",
  C96="Sweden","Europe",
  C96="Norway","Europe",
  C96="Finland","Europe",
  C96="Denmark","Europe",
  C96="Russia","Europe",
  C96="China","Asia",
  C96="Japan","Asia",
  C96="Taiwan, Province of China","Asia",
  C96="Hong Kong","Asia",
  C96="South Korea","Asia",
  C96="India","Asia",
  C96="Singapore","Asia",
  C96="Thailand","Asia",
  C96="Indonesia","Asia",
  C96="Malaysia","Asia",
  TRUE,"Other"
)</f>
        <v>Asia</v>
      </c>
      <c r="W96" s="195" t="str">
        <f>_xlfn.XLOOKUP(Table2[[#This Row],[Column3]],Sheet1!G:G,Sheet1!H:H)</f>
        <v>Energy and utilities</v>
      </c>
      <c r="X96" s="195"/>
      <c r="Y96" s="195"/>
      <c r="Z96" s="207"/>
      <c r="AA96" s="207"/>
      <c r="AB96" s="207"/>
      <c r="AC96" s="207"/>
      <c r="AD96" s="207"/>
      <c r="AE96" s="207"/>
      <c r="AF96" s="207"/>
      <c r="AG96" s="207"/>
      <c r="AH96" s="207"/>
      <c r="AI96" s="207"/>
      <c r="AJ96" s="207"/>
      <c r="AK96" s="207"/>
      <c r="AL96" s="207"/>
      <c r="AM96" s="207"/>
      <c r="AN96" s="207"/>
      <c r="AO96" s="207"/>
    </row>
    <row r="97" spans="1:41">
      <c r="A97" s="194" t="s">
        <v>589</v>
      </c>
      <c r="B97" s="68">
        <v>334</v>
      </c>
      <c r="C97" s="68" t="s">
        <v>73</v>
      </c>
      <c r="D97" s="77" t="s">
        <v>186</v>
      </c>
      <c r="E97" s="75"/>
      <c r="H97" s="75"/>
      <c r="K97" s="75"/>
      <c r="M97" s="76"/>
      <c r="N97" s="76"/>
      <c r="P97" s="75"/>
      <c r="U97" s="75" t="s">
        <v>1</v>
      </c>
      <c r="V97" s="195" t="str" cm="1">
        <f t="array" ref="V97">_xlfn.IFS(
  C97="United States","North America",
  C97="Canada","North America",
  C97="Mexico","North America",
  C97="Bermuda","North America",
  C97="United Kingdom","Europe",
  C97="Germany","Europe",
  C97="France","Europe",
  C97="Italy","Europe",
  C97="Switzerland","Europe",
  C97="Spain","Europe",
  C97="Netherlands","Europe",
  C97="Sweden","Europe",
  C97="Norway","Europe",
  C97="Finland","Europe",
  C97="Denmark","Europe",
  C97="Russia","Europe",
  C97="China","Asia",
  C97="Japan","Asia",
  C97="Taiwan, Province of China","Asia",
  C97="Hong Kong","Asia",
  C97="South Korea","Asia",
  C97="India","Asia",
  C97="Singapore","Asia",
  C97="Thailand","Asia",
  C97="Indonesia","Asia",
  C97="Malaysia","Asia",
  TRUE,"Other"
)</f>
        <v>Asia</v>
      </c>
      <c r="W97" s="195" t="str">
        <f>_xlfn.XLOOKUP(Table2[[#This Row],[Column3]],Sheet1!G:G,Sheet1!H:H)</f>
        <v>Technology</v>
      </c>
      <c r="X97" s="195"/>
      <c r="Y97" s="195"/>
      <c r="Z97" s="207"/>
      <c r="AA97" s="207"/>
      <c r="AB97" s="207"/>
      <c r="AC97" s="207"/>
      <c r="AD97" s="207"/>
      <c r="AE97" s="207"/>
      <c r="AF97" s="207"/>
      <c r="AG97" s="207"/>
      <c r="AH97" s="207"/>
      <c r="AI97" s="207"/>
      <c r="AJ97" s="207"/>
      <c r="AK97" s="207"/>
      <c r="AL97" s="207"/>
      <c r="AM97" s="207"/>
      <c r="AN97" s="207"/>
      <c r="AO97" s="207"/>
    </row>
    <row r="98" spans="1:41">
      <c r="A98" s="194" t="s">
        <v>611</v>
      </c>
      <c r="B98" s="68">
        <v>354</v>
      </c>
      <c r="C98" s="68" t="s">
        <v>73</v>
      </c>
      <c r="D98" s="77" t="s">
        <v>4260</v>
      </c>
      <c r="E98" s="75"/>
      <c r="H98" s="75"/>
      <c r="K98" s="75"/>
      <c r="M98" s="76"/>
      <c r="N98" s="76"/>
      <c r="P98" s="75"/>
      <c r="U98" s="75" t="s">
        <v>1</v>
      </c>
      <c r="V98" s="195" t="str" cm="1">
        <f t="array" ref="V98">_xlfn.IFS(
  C98="United States","North America",
  C98="Canada","North America",
  C98="Mexico","North America",
  C98="Bermuda","North America",
  C98="United Kingdom","Europe",
  C98="Germany","Europe",
  C98="France","Europe",
  C98="Italy","Europe",
  C98="Switzerland","Europe",
  C98="Spain","Europe",
  C98="Netherlands","Europe",
  C98="Sweden","Europe",
  C98="Norway","Europe",
  C98="Finland","Europe",
  C98="Denmark","Europe",
  C98="Russia","Europe",
  C98="China","Asia",
  C98="Japan","Asia",
  C98="Taiwan, Province of China","Asia",
  C98="Hong Kong","Asia",
  C98="South Korea","Asia",
  C98="India","Asia",
  C98="Singapore","Asia",
  C98="Thailand","Asia",
  C98="Indonesia","Asia",
  C98="Malaysia","Asia",
  TRUE,"Other"
)</f>
        <v>Asia</v>
      </c>
      <c r="W98" s="195" t="str">
        <f>_xlfn.XLOOKUP(Table2[[#This Row],[Column3]],Sheet1!G:G,Sheet1!H:H)</f>
        <v>Aerospace and defense</v>
      </c>
      <c r="X98" s="195"/>
      <c r="Y98" s="195"/>
      <c r="Z98" s="207"/>
      <c r="AA98" s="207"/>
      <c r="AB98" s="207"/>
      <c r="AC98" s="207"/>
      <c r="AD98" s="207"/>
      <c r="AE98" s="207"/>
      <c r="AF98" s="207"/>
      <c r="AG98" s="207"/>
      <c r="AH98" s="207"/>
      <c r="AI98" s="207"/>
      <c r="AJ98" s="207"/>
      <c r="AK98" s="207"/>
      <c r="AL98" s="207"/>
      <c r="AM98" s="207"/>
      <c r="AN98" s="207"/>
      <c r="AO98" s="207"/>
    </row>
    <row r="99" spans="1:41">
      <c r="A99" s="194" t="s">
        <v>624</v>
      </c>
      <c r="B99" s="68">
        <v>301</v>
      </c>
      <c r="C99" s="68" t="s">
        <v>73</v>
      </c>
      <c r="D99" s="77" t="s">
        <v>4197</v>
      </c>
      <c r="E99" s="75"/>
      <c r="H99" s="75"/>
      <c r="K99" s="75"/>
      <c r="M99" s="76"/>
      <c r="N99" s="76"/>
      <c r="P99" s="75"/>
      <c r="U99" s="75" t="s">
        <v>1</v>
      </c>
      <c r="V99" s="195" t="str" cm="1">
        <f t="array" ref="V99">_xlfn.IFS(
  C99="United States","North America",
  C99="Canada","North America",
  C99="Mexico","North America",
  C99="Bermuda","North America",
  C99="United Kingdom","Europe",
  C99="Germany","Europe",
  C99="France","Europe",
  C99="Italy","Europe",
  C99="Switzerland","Europe",
  C99="Spain","Europe",
  C99="Netherlands","Europe",
  C99="Sweden","Europe",
  C99="Norway","Europe",
  C99="Finland","Europe",
  C99="Denmark","Europe",
  C99="Russia","Europe",
  C99="China","Asia",
  C99="Japan","Asia",
  C99="Taiwan, Province of China","Asia",
  C99="Hong Kong","Asia",
  C99="South Korea","Asia",
  C99="India","Asia",
  C99="Singapore","Asia",
  C99="Thailand","Asia",
  C99="Indonesia","Asia",
  C99="Malaysia","Asia",
  TRUE,"Other"
)</f>
        <v>Asia</v>
      </c>
      <c r="W99" s="195" t="str">
        <f>_xlfn.XLOOKUP(Table2[[#This Row],[Column3]],Sheet1!G:G,Sheet1!H:H)</f>
        <v>Engineering and construction</v>
      </c>
      <c r="X99" s="195"/>
      <c r="Y99" s="195"/>
      <c r="AN99" s="207"/>
      <c r="AO99" s="207"/>
    </row>
    <row r="100" spans="1:41">
      <c r="A100" s="194" t="s">
        <v>1503</v>
      </c>
      <c r="B100" s="68">
        <v>101</v>
      </c>
      <c r="C100" s="68" t="s">
        <v>73</v>
      </c>
      <c r="D100" s="77" t="s">
        <v>3498</v>
      </c>
      <c r="E100" s="75"/>
      <c r="H100" s="75"/>
      <c r="K100" s="75"/>
      <c r="M100" s="76"/>
      <c r="N100" s="76"/>
      <c r="P100" s="75"/>
      <c r="U100" s="75" t="s">
        <v>1</v>
      </c>
      <c r="V100" s="195" t="str" cm="1">
        <f t="array" ref="V100">_xlfn.IFS(
  C100="United States","North America",
  C100="Canada","North America",
  C100="Mexico","North America",
  C100="Bermuda","North America",
  C100="United Kingdom","Europe",
  C100="Germany","Europe",
  C100="France","Europe",
  C100="Italy","Europe",
  C100="Switzerland","Europe",
  C100="Spain","Europe",
  C100="Netherlands","Europe",
  C100="Sweden","Europe",
  C100="Norway","Europe",
  C100="Finland","Europe",
  C100="Denmark","Europe",
  C100="Russia","Europe",
  C100="China","Asia",
  C100="Japan","Asia",
  C100="Taiwan, Province of China","Asia",
  C100="Hong Kong","Asia",
  C100="South Korea","Asia",
  C100="India","Asia",
  C100="Singapore","Asia",
  C100="Thailand","Asia",
  C100="Indonesia","Asia",
  C100="Malaysia","Asia",
  TRUE,"Other"
)</f>
        <v>Asia</v>
      </c>
      <c r="W100" s="195" t="str">
        <f>_xlfn.XLOOKUP(Table2[[#This Row],[Column3]],Sheet1!G:G,Sheet1!H:H)</f>
        <v>Oil and gas</v>
      </c>
      <c r="X100" s="195"/>
      <c r="Y100" s="195"/>
    </row>
    <row r="101" spans="1:41">
      <c r="A101" s="194" t="s">
        <v>878</v>
      </c>
      <c r="B101" s="68">
        <v>194</v>
      </c>
      <c r="C101" s="68" t="s">
        <v>73</v>
      </c>
      <c r="D101" s="77" t="s">
        <v>4465</v>
      </c>
      <c r="E101" s="75"/>
      <c r="H101" s="75"/>
      <c r="K101" s="75"/>
      <c r="M101" s="76"/>
      <c r="N101" s="76"/>
      <c r="P101" s="75"/>
      <c r="U101" s="75" t="s">
        <v>1</v>
      </c>
      <c r="V101" s="195" t="str" cm="1">
        <f t="array" ref="V101">_xlfn.IFS(
  C101="United States","North America",
  C101="Canada","North America",
  C101="Mexico","North America",
  C101="Bermuda","North America",
  C101="United Kingdom","Europe",
  C101="Germany","Europe",
  C101="France","Europe",
  C101="Italy","Europe",
  C101="Switzerland","Europe",
  C101="Spain","Europe",
  C101="Netherlands","Europe",
  C101="Sweden","Europe",
  C101="Norway","Europe",
  C101="Finland","Europe",
  C101="Denmark","Europe",
  C101="Russia","Europe",
  C101="China","Asia",
  C101="Japan","Asia",
  C101="Taiwan, Province of China","Asia",
  C101="Hong Kong","Asia",
  C101="South Korea","Asia",
  C101="India","Asia",
  C101="Singapore","Asia",
  C101="Thailand","Asia",
  C101="Indonesia","Asia",
  C101="Malaysia","Asia",
  TRUE,"Other"
)</f>
        <v>Asia</v>
      </c>
      <c r="W101" s="195" t="str">
        <f>_xlfn.XLOOKUP(Table2[[#This Row],[Column3]],Sheet1!G:G,Sheet1!H:H)</f>
        <v>Financial services</v>
      </c>
      <c r="X101" s="195"/>
      <c r="Y101" s="195"/>
    </row>
    <row r="102" spans="1:41">
      <c r="A102" s="194" t="s">
        <v>1372</v>
      </c>
      <c r="B102" s="68">
        <v>122</v>
      </c>
      <c r="C102" s="68" t="s">
        <v>73</v>
      </c>
      <c r="D102" s="77" t="s">
        <v>976</v>
      </c>
      <c r="E102" s="75"/>
      <c r="H102" s="75"/>
      <c r="K102" s="75"/>
      <c r="M102" s="76"/>
      <c r="N102" s="76"/>
      <c r="P102" s="75"/>
      <c r="U102" s="75" t="s">
        <v>1</v>
      </c>
      <c r="V102" s="195" t="str" cm="1">
        <f t="array" ref="V102">_xlfn.IFS(
  C102="United States","North America",
  C102="Canada","North America",
  C102="Mexico","North America",
  C102="Bermuda","North America",
  C102="United Kingdom","Europe",
  C102="Germany","Europe",
  C102="France","Europe",
  C102="Italy","Europe",
  C102="Switzerland","Europe",
  C102="Spain","Europe",
  C102="Netherlands","Europe",
  C102="Sweden","Europe",
  C102="Norway","Europe",
  C102="Finland","Europe",
  C102="Denmark","Europe",
  C102="Russia","Europe",
  C102="China","Asia",
  C102="Japan","Asia",
  C102="Taiwan, Province of China","Asia",
  C102="Hong Kong","Asia",
  C102="South Korea","Asia",
  C102="India","Asia",
  C102="Singapore","Asia",
  C102="Thailand","Asia",
  C102="Indonesia","Asia",
  C102="Malaysia","Asia",
  TRUE,"Other"
)</f>
        <v>Asia</v>
      </c>
      <c r="W102" s="195" t="str">
        <f>_xlfn.XLOOKUP(Table2[[#This Row],[Column3]],Sheet1!G:G,Sheet1!H:H)</f>
        <v>Real estate</v>
      </c>
      <c r="X102" s="195"/>
      <c r="Y102" s="195"/>
    </row>
    <row r="103" spans="1:41">
      <c r="A103" s="194" t="s">
        <v>1593</v>
      </c>
      <c r="B103" s="68">
        <v>66</v>
      </c>
      <c r="C103" s="68" t="s">
        <v>73</v>
      </c>
      <c r="D103" s="77" t="s">
        <v>4476</v>
      </c>
      <c r="E103" s="75"/>
      <c r="H103" s="75"/>
      <c r="K103" s="75"/>
      <c r="M103" s="76"/>
      <c r="N103" s="76"/>
      <c r="P103" s="75"/>
      <c r="U103" s="75" t="s">
        <v>1</v>
      </c>
      <c r="V103" s="195" t="str" cm="1">
        <f t="array" ref="V103">_xlfn.IFS(
  C103="United States","North America",
  C103="Canada","North America",
  C103="Mexico","North America",
  C103="Bermuda","North America",
  C103="United Kingdom","Europe",
  C103="Germany","Europe",
  C103="France","Europe",
  C103="Italy","Europe",
  C103="Switzerland","Europe",
  C103="Spain","Europe",
  C103="Netherlands","Europe",
  C103="Sweden","Europe",
  C103="Norway","Europe",
  C103="Finland","Europe",
  C103="Denmark","Europe",
  C103="Russia","Europe",
  C103="China","Asia",
  C103="Japan","Asia",
  C103="Taiwan, Province of China","Asia",
  C103="Hong Kong","Asia",
  C103="South Korea","Asia",
  C103="India","Asia",
  C103="Singapore","Asia",
  C103="Thailand","Asia",
  C103="Indonesia","Asia",
  C103="Malaysia","Asia",
  TRUE,"Other"
)</f>
        <v>Asia</v>
      </c>
      <c r="W103" s="195" t="str">
        <f>_xlfn.XLOOKUP(Table2[[#This Row],[Column3]],Sheet1!G:G,Sheet1!H:H)</f>
        <v>Automotive</v>
      </c>
      <c r="X103" s="195"/>
      <c r="Y103" s="195"/>
    </row>
    <row r="104" spans="1:41">
      <c r="A104" s="194" t="s">
        <v>133</v>
      </c>
      <c r="B104" s="68">
        <v>430</v>
      </c>
      <c r="C104" s="68" t="s">
        <v>73</v>
      </c>
      <c r="D104" s="77" t="s">
        <v>4197</v>
      </c>
      <c r="E104" s="75"/>
      <c r="H104" s="75"/>
      <c r="K104" s="75"/>
      <c r="M104" s="76"/>
      <c r="N104" s="76"/>
      <c r="P104" s="75"/>
      <c r="U104" s="75" t="s">
        <v>1</v>
      </c>
      <c r="V104" s="195" t="str" cm="1">
        <f t="array" ref="V104">_xlfn.IFS(
  C104="United States","North America",
  C104="Canada","North America",
  C104="Mexico","North America",
  C104="Bermuda","North America",
  C104="United Kingdom","Europe",
  C104="Germany","Europe",
  C104="France","Europe",
  C104="Italy","Europe",
  C104="Switzerland","Europe",
  C104="Spain","Europe",
  C104="Netherlands","Europe",
  C104="Sweden","Europe",
  C104="Norway","Europe",
  C104="Finland","Europe",
  C104="Denmark","Europe",
  C104="Russia","Europe",
  C104="China","Asia",
  C104="Japan","Asia",
  C104="Taiwan, Province of China","Asia",
  C104="Hong Kong","Asia",
  C104="South Korea","Asia",
  C104="India","Asia",
  C104="Singapore","Asia",
  C104="Thailand","Asia",
  C104="Indonesia","Asia",
  C104="Malaysia","Asia",
  TRUE,"Other"
)</f>
        <v>Asia</v>
      </c>
      <c r="W104" s="195" t="str">
        <f>_xlfn.XLOOKUP(Table2[[#This Row],[Column3]],Sheet1!G:G,Sheet1!H:H)</f>
        <v>Engineering and construction</v>
      </c>
      <c r="X104" s="195"/>
      <c r="Y104" s="195"/>
    </row>
    <row r="105" spans="1:41">
      <c r="A105" s="194" t="s">
        <v>547</v>
      </c>
      <c r="B105" s="68">
        <v>352</v>
      </c>
      <c r="C105" s="68" t="s">
        <v>73</v>
      </c>
      <c r="D105" s="77" t="s">
        <v>4199</v>
      </c>
      <c r="E105" s="75"/>
      <c r="H105" s="75"/>
      <c r="K105" s="75"/>
      <c r="M105" s="76"/>
      <c r="N105" s="76"/>
      <c r="P105" s="75"/>
      <c r="U105" s="75" t="s">
        <v>1</v>
      </c>
      <c r="V105" s="195" t="str" cm="1">
        <f t="array" ref="V105">_xlfn.IFS(
  C105="United States","North America",
  C105="Canada","North America",
  C105="Mexico","North America",
  C105="Bermuda","North America",
  C105="United Kingdom","Europe",
  C105="Germany","Europe",
  C105="France","Europe",
  C105="Italy","Europe",
  C105="Switzerland","Europe",
  C105="Spain","Europe",
  C105="Netherlands","Europe",
  C105="Sweden","Europe",
  C105="Norway","Europe",
  C105="Finland","Europe",
  C105="Denmark","Europe",
  C105="Russia","Europe",
  C105="China","Asia",
  C105="Japan","Asia",
  C105="Taiwan, Province of China","Asia",
  C105="Hong Kong","Asia",
  C105="South Korea","Asia",
  C105="India","Asia",
  C105="Singapore","Asia",
  C105="Thailand","Asia",
  C105="Indonesia","Asia",
  C105="Malaysia","Asia",
  TRUE,"Other"
)</f>
        <v>Asia</v>
      </c>
      <c r="W105" s="195" t="str">
        <f>_xlfn.XLOOKUP(Table2[[#This Row],[Column3]],Sheet1!G:G,Sheet1!H:H)</f>
        <v>Energy and utilities</v>
      </c>
      <c r="X105" s="195"/>
      <c r="Y105" s="195"/>
    </row>
    <row r="106" spans="1:41">
      <c r="A106" s="194" t="s">
        <v>885</v>
      </c>
      <c r="B106" s="68">
        <v>248</v>
      </c>
      <c r="C106" s="68" t="s">
        <v>73</v>
      </c>
      <c r="D106" s="77" t="s">
        <v>4199</v>
      </c>
      <c r="E106" s="75"/>
      <c r="H106" s="75"/>
      <c r="K106" s="75"/>
      <c r="M106" s="76"/>
      <c r="N106" s="76"/>
      <c r="P106" s="75"/>
      <c r="U106" s="75" t="s">
        <v>1</v>
      </c>
      <c r="V106" s="195" t="str" cm="1">
        <f t="array" ref="V106">_xlfn.IFS(
  C106="United States","North America",
  C106="Canada","North America",
  C106="Mexico","North America",
  C106="Bermuda","North America",
  C106="United Kingdom","Europe",
  C106="Germany","Europe",
  C106="France","Europe",
  C106="Italy","Europe",
  C106="Switzerland","Europe",
  C106="Spain","Europe",
  C106="Netherlands","Europe",
  C106="Sweden","Europe",
  C106="Norway","Europe",
  C106="Finland","Europe",
  C106="Denmark","Europe",
  C106="Russia","Europe",
  C106="China","Asia",
  C106="Japan","Asia",
  C106="Taiwan, Province of China","Asia",
  C106="Hong Kong","Asia",
  C106="South Korea","Asia",
  C106="India","Asia",
  C106="Singapore","Asia",
  C106="Thailand","Asia",
  C106="Indonesia","Asia",
  C106="Malaysia","Asia",
  TRUE,"Other"
)</f>
        <v>Asia</v>
      </c>
      <c r="W106" s="195" t="str">
        <f>_xlfn.XLOOKUP(Table2[[#This Row],[Column3]],Sheet1!G:G,Sheet1!H:H)</f>
        <v>Energy and utilities</v>
      </c>
      <c r="X106" s="195"/>
      <c r="Y106" s="195"/>
    </row>
    <row r="107" spans="1:41">
      <c r="A107" s="194" t="s">
        <v>1714</v>
      </c>
      <c r="B107" s="68">
        <v>32</v>
      </c>
      <c r="C107" s="68" t="s">
        <v>73</v>
      </c>
      <c r="D107" s="77" t="s">
        <v>4465</v>
      </c>
      <c r="E107" s="75"/>
      <c r="H107" s="75"/>
      <c r="K107" s="75"/>
      <c r="M107" s="76"/>
      <c r="N107" s="76"/>
      <c r="P107" s="75"/>
      <c r="U107" s="75" t="s">
        <v>1</v>
      </c>
      <c r="V107" s="195" t="str" cm="1">
        <f t="array" ref="V107">_xlfn.IFS(
  C107="United States","North America",
  C107="Canada","North America",
  C107="Mexico","North America",
  C107="Bermuda","North America",
  C107="United Kingdom","Europe",
  C107="Germany","Europe",
  C107="France","Europe",
  C107="Italy","Europe",
  C107="Switzerland","Europe",
  C107="Spain","Europe",
  C107="Netherlands","Europe",
  C107="Sweden","Europe",
  C107="Norway","Europe",
  C107="Finland","Europe",
  C107="Denmark","Europe",
  C107="Russia","Europe",
  C107="China","Asia",
  C107="Japan","Asia",
  C107="Taiwan, Province of China","Asia",
  C107="Hong Kong","Asia",
  C107="South Korea","Asia",
  C107="India","Asia",
  C107="Singapore","Asia",
  C107="Thailand","Asia",
  C107="Indonesia","Asia",
  C107="Malaysia","Asia",
  TRUE,"Other"
)</f>
        <v>Asia</v>
      </c>
      <c r="W107" s="195" t="str">
        <f>_xlfn.XLOOKUP(Table2[[#This Row],[Column3]],Sheet1!G:G,Sheet1!H:H)</f>
        <v>Financial services</v>
      </c>
      <c r="X107" s="195"/>
      <c r="Y107" s="195"/>
    </row>
    <row r="108" spans="1:41">
      <c r="A108" s="194" t="s">
        <v>1201</v>
      </c>
      <c r="B108" s="68">
        <v>162</v>
      </c>
      <c r="C108" s="68" t="s">
        <v>73</v>
      </c>
      <c r="D108" s="77" t="s">
        <v>4465</v>
      </c>
      <c r="E108" s="75"/>
      <c r="H108" s="75"/>
      <c r="K108" s="75"/>
      <c r="M108" s="76"/>
      <c r="N108" s="76"/>
      <c r="P108" s="75"/>
      <c r="U108" s="75" t="s">
        <v>1</v>
      </c>
      <c r="V108" s="195" t="str" cm="1">
        <f t="array" ref="V108">_xlfn.IFS(
  C108="United States","North America",
  C108="Canada","North America",
  C108="Mexico","North America",
  C108="Bermuda","North America",
  C108="United Kingdom","Europe",
  C108="Germany","Europe",
  C108="France","Europe",
  C108="Italy","Europe",
  C108="Switzerland","Europe",
  C108="Spain","Europe",
  C108="Netherlands","Europe",
  C108="Sweden","Europe",
  C108="Norway","Europe",
  C108="Finland","Europe",
  C108="Denmark","Europe",
  C108="Russia","Europe",
  C108="China","Asia",
  C108="Japan","Asia",
  C108="Taiwan, Province of China","Asia",
  C108="Hong Kong","Asia",
  C108="South Korea","Asia",
  C108="India","Asia",
  C108="Singapore","Asia",
  C108="Thailand","Asia",
  C108="Indonesia","Asia",
  C108="Malaysia","Asia",
  TRUE,"Other"
)</f>
        <v>Asia</v>
      </c>
      <c r="W108" s="195" t="str">
        <f>_xlfn.XLOOKUP(Table2[[#This Row],[Column3]],Sheet1!G:G,Sheet1!H:H)</f>
        <v>Financial services</v>
      </c>
      <c r="X108" s="195"/>
      <c r="Y108" s="195"/>
    </row>
    <row r="109" spans="1:41">
      <c r="A109" s="194" t="s">
        <v>1010</v>
      </c>
      <c r="B109" s="68">
        <v>163</v>
      </c>
      <c r="C109" s="68" t="s">
        <v>73</v>
      </c>
      <c r="D109" s="77" t="s">
        <v>4179</v>
      </c>
      <c r="E109" s="75"/>
      <c r="H109" s="75"/>
      <c r="K109" s="75"/>
      <c r="M109" s="76"/>
      <c r="N109" s="76"/>
      <c r="P109" s="75"/>
      <c r="U109" s="75" t="s">
        <v>1</v>
      </c>
      <c r="V109" s="195" t="str" cm="1">
        <f t="array" ref="V109">_xlfn.IFS(
  C109="United States","North America",
  C109="Canada","North America",
  C109="Mexico","North America",
  C109="Bermuda","North America",
  C109="United Kingdom","Europe",
  C109="Germany","Europe",
  C109="France","Europe",
  C109="Italy","Europe",
  C109="Switzerland","Europe",
  C109="Spain","Europe",
  C109="Netherlands","Europe",
  C109="Sweden","Europe",
  C109="Norway","Europe",
  C109="Finland","Europe",
  C109="Denmark","Europe",
  C109="Russia","Europe",
  C109="China","Asia",
  C109="Japan","Asia",
  C109="Taiwan, Province of China","Asia",
  C109="Hong Kong","Asia",
  C109="South Korea","Asia",
  C109="India","Asia",
  C109="Singapore","Asia",
  C109="Thailand","Asia",
  C109="Indonesia","Asia",
  C109="Malaysia","Asia",
  TRUE,"Other"
)</f>
        <v>Asia</v>
      </c>
      <c r="W109" s="195" t="str">
        <f>_xlfn.XLOOKUP(Table2[[#This Row],[Column3]],Sheet1!G:G,Sheet1!H:H)</f>
        <v>Transportation and logistics</v>
      </c>
      <c r="X109" s="195"/>
      <c r="Y109" s="195"/>
    </row>
    <row r="110" spans="1:41">
      <c r="A110" s="194" t="s">
        <v>1483</v>
      </c>
      <c r="B110" s="68">
        <v>65</v>
      </c>
      <c r="C110" s="68" t="s">
        <v>73</v>
      </c>
      <c r="D110" s="77" t="s">
        <v>4459</v>
      </c>
      <c r="E110" s="75"/>
      <c r="H110" s="75"/>
      <c r="K110" s="75"/>
      <c r="M110" s="76"/>
      <c r="N110" s="76"/>
      <c r="P110" s="75"/>
      <c r="U110" s="75" t="s">
        <v>1</v>
      </c>
      <c r="V110" s="195" t="str" cm="1">
        <f t="array" ref="V110">_xlfn.IFS(
  C110="United States","North America",
  C110="Canada","North America",
  C110="Mexico","North America",
  C110="Bermuda","North America",
  C110="United Kingdom","Europe",
  C110="Germany","Europe",
  C110="France","Europe",
  C110="Italy","Europe",
  C110="Switzerland","Europe",
  C110="Spain","Europe",
  C110="Netherlands","Europe",
  C110="Sweden","Europe",
  C110="Norway","Europe",
  C110="Finland","Europe",
  C110="Denmark","Europe",
  C110="Russia","Europe",
  C110="China","Asia",
  C110="Japan","Asia",
  C110="Taiwan, Province of China","Asia",
  C110="Hong Kong","Asia",
  C110="South Korea","Asia",
  C110="India","Asia",
  C110="Singapore","Asia",
  C110="Thailand","Asia",
  C110="Indonesia","Asia",
  C110="Malaysia","Asia",
  TRUE,"Other"
)</f>
        <v>Asia</v>
      </c>
      <c r="W110" s="195" t="str">
        <f>_xlfn.XLOOKUP(Table2[[#This Row],[Column3]],Sheet1!G:G,Sheet1!H:H)</f>
        <v>Industrial goods</v>
      </c>
      <c r="X110" s="195"/>
      <c r="Y110" s="195"/>
    </row>
    <row r="111" spans="1:41">
      <c r="A111" s="194" t="s">
        <v>1052</v>
      </c>
      <c r="B111" s="68">
        <v>224</v>
      </c>
      <c r="C111" s="68" t="s">
        <v>73</v>
      </c>
      <c r="D111" s="77" t="s">
        <v>4465</v>
      </c>
      <c r="E111" s="75"/>
      <c r="H111" s="75"/>
      <c r="K111" s="75"/>
      <c r="M111" s="76"/>
      <c r="N111" s="76"/>
      <c r="P111" s="75"/>
      <c r="U111" s="75" t="s">
        <v>1</v>
      </c>
      <c r="V111" s="195" t="str" cm="1">
        <f t="array" ref="V111">_xlfn.IFS(
  C111="United States","North America",
  C111="Canada","North America",
  C111="Mexico","North America",
  C111="Bermuda","North America",
  C111="United Kingdom","Europe",
  C111="Germany","Europe",
  C111="France","Europe",
  C111="Italy","Europe",
  C111="Switzerland","Europe",
  C111="Spain","Europe",
  C111="Netherlands","Europe",
  C111="Sweden","Europe",
  C111="Norway","Europe",
  C111="Finland","Europe",
  C111="Denmark","Europe",
  C111="Russia","Europe",
  C111="China","Asia",
  C111="Japan","Asia",
  C111="Taiwan, Province of China","Asia",
  C111="Hong Kong","Asia",
  C111="South Korea","Asia",
  C111="India","Asia",
  C111="Singapore","Asia",
  C111="Thailand","Asia",
  C111="Indonesia","Asia",
  C111="Malaysia","Asia",
  TRUE,"Other"
)</f>
        <v>Asia</v>
      </c>
      <c r="W111" s="195" t="str">
        <f>_xlfn.XLOOKUP(Table2[[#This Row],[Column3]],Sheet1!G:G,Sheet1!H:H)</f>
        <v>Financial services</v>
      </c>
      <c r="X111" s="195"/>
      <c r="Y111" s="195"/>
    </row>
    <row r="112" spans="1:41" ht="16">
      <c r="A112" s="194" t="s">
        <v>1700</v>
      </c>
      <c r="B112" s="68">
        <v>56</v>
      </c>
      <c r="C112" s="68" t="s">
        <v>73</v>
      </c>
      <c r="D112" s="77" t="s">
        <v>4190</v>
      </c>
      <c r="E112" s="75"/>
      <c r="H112" s="75"/>
      <c r="K112" s="75" t="s">
        <v>1957</v>
      </c>
      <c r="L112" s="68" t="s">
        <v>1659</v>
      </c>
      <c r="M112" s="76">
        <v>2060</v>
      </c>
      <c r="N112" s="76">
        <v>2021</v>
      </c>
      <c r="O112" s="82" t="s">
        <v>4170</v>
      </c>
      <c r="P112" s="75"/>
      <c r="U112" s="75" t="s">
        <v>1</v>
      </c>
      <c r="V112" s="195" t="str" cm="1">
        <f t="array" ref="V112">_xlfn.IFS(
  C112="United States","North America",
  C112="Canada","North America",
  C112="Mexico","North America",
  C112="Bermuda","North America",
  C112="United Kingdom","Europe",
  C112="Germany","Europe",
  C112="France","Europe",
  C112="Italy","Europe",
  C112="Switzerland","Europe",
  C112="Spain","Europe",
  C112="Netherlands","Europe",
  C112="Sweden","Europe",
  C112="Norway","Europe",
  C112="Finland","Europe",
  C112="Denmark","Europe",
  C112="Russia","Europe",
  C112="China","Asia",
  C112="Japan","Asia",
  C112="Taiwan, Province of China","Asia",
  C112="Hong Kong","Asia",
  C112="South Korea","Asia",
  C112="India","Asia",
  C112="Singapore","Asia",
  C112="Thailand","Asia",
  C112="Indonesia","Asia",
  C112="Malaysia","Asia",
  TRUE,"Other"
)</f>
        <v>Asia</v>
      </c>
      <c r="W112" s="195" t="str">
        <f>_xlfn.XLOOKUP(Table2[[#This Row],[Column3]],Sheet1!G:G,Sheet1!H:H)</f>
        <v>Telecommunications and media</v>
      </c>
      <c r="X112" s="195"/>
      <c r="Y112" s="195"/>
    </row>
    <row r="113" spans="1:25">
      <c r="A113" s="194" t="s">
        <v>1151</v>
      </c>
      <c r="B113" s="68">
        <v>177</v>
      </c>
      <c r="C113" s="68" t="s">
        <v>73</v>
      </c>
      <c r="D113" s="77" t="s">
        <v>4459</v>
      </c>
      <c r="E113" s="75"/>
      <c r="H113" s="75"/>
      <c r="K113" s="75"/>
      <c r="M113" s="76"/>
      <c r="N113" s="76"/>
      <c r="P113" s="75"/>
      <c r="U113" s="75" t="s">
        <v>1</v>
      </c>
      <c r="V113" s="195" t="str" cm="1">
        <f t="array" ref="V113">_xlfn.IFS(
  C113="United States","North America",
  C113="Canada","North America",
  C113="Mexico","North America",
  C113="Bermuda","North America",
  C113="United Kingdom","Europe",
  C113="Germany","Europe",
  C113="France","Europe",
  C113="Italy","Europe",
  C113="Switzerland","Europe",
  C113="Spain","Europe",
  C113="Netherlands","Europe",
  C113="Sweden","Europe",
  C113="Norway","Europe",
  C113="Finland","Europe",
  C113="Denmark","Europe",
  C113="Russia","Europe",
  C113="China","Asia",
  C113="Japan","Asia",
  C113="Taiwan, Province of China","Asia",
  C113="Hong Kong","Asia",
  C113="South Korea","Asia",
  C113="India","Asia",
  C113="Singapore","Asia",
  C113="Thailand","Asia",
  C113="Indonesia","Asia",
  C113="Malaysia","Asia",
  TRUE,"Other"
)</f>
        <v>Asia</v>
      </c>
      <c r="W113" s="195" t="str">
        <f>_xlfn.XLOOKUP(Table2[[#This Row],[Column3]],Sheet1!G:G,Sheet1!H:H)</f>
        <v>Industrial goods</v>
      </c>
      <c r="X113" s="195"/>
      <c r="Y113" s="195"/>
    </row>
    <row r="114" spans="1:25">
      <c r="A114" s="194" t="s">
        <v>3638</v>
      </c>
      <c r="B114" s="68">
        <v>451</v>
      </c>
      <c r="C114" s="68" t="s">
        <v>73</v>
      </c>
      <c r="D114" s="77" t="s">
        <v>3498</v>
      </c>
      <c r="E114" s="75"/>
      <c r="H114" s="75"/>
      <c r="K114" s="75"/>
      <c r="M114" s="76"/>
      <c r="N114" s="76"/>
      <c r="P114" s="75"/>
      <c r="U114" s="75" t="s">
        <v>1</v>
      </c>
      <c r="V114" s="195" t="str" cm="1">
        <f t="array" ref="V114">_xlfn.IFS(
  C114="United States","North America",
  C114="Canada","North America",
  C114="Mexico","North America",
  C114="Bermuda","North America",
  C114="United Kingdom","Europe",
  C114="Germany","Europe",
  C114="France","Europe",
  C114="Italy","Europe",
  C114="Switzerland","Europe",
  C114="Spain","Europe",
  C114="Netherlands","Europe",
  C114="Sweden","Europe",
  C114="Norway","Europe",
  C114="Finland","Europe",
  C114="Denmark","Europe",
  C114="Russia","Europe",
  C114="China","Asia",
  C114="Japan","Asia",
  C114="Taiwan, Province of China","Asia",
  C114="Hong Kong","Asia",
  C114="South Korea","Asia",
  C114="India","Asia",
  C114="Singapore","Asia",
  C114="Thailand","Asia",
  C114="Indonesia","Asia",
  C114="Malaysia","Asia",
  TRUE,"Other"
)</f>
        <v>Asia</v>
      </c>
      <c r="W114" s="195" t="str">
        <f>_xlfn.XLOOKUP(Table2[[#This Row],[Column3]],Sheet1!G:G,Sheet1!H:H)</f>
        <v>Oil and gas</v>
      </c>
      <c r="X114" s="195"/>
      <c r="Y114" s="195"/>
    </row>
    <row r="115" spans="1:25">
      <c r="A115" s="194" t="s">
        <v>3635</v>
      </c>
      <c r="B115" s="68">
        <v>371</v>
      </c>
      <c r="C115" s="68" t="s">
        <v>73</v>
      </c>
      <c r="D115" s="77" t="s">
        <v>4199</v>
      </c>
      <c r="E115" s="75"/>
      <c r="H115" s="75"/>
      <c r="K115" s="75"/>
      <c r="M115" s="76"/>
      <c r="N115" s="76"/>
      <c r="P115" s="75"/>
      <c r="U115" s="75" t="s">
        <v>1</v>
      </c>
      <c r="V115" s="195" t="str" cm="1">
        <f t="array" ref="V115">_xlfn.IFS(
  C115="United States","North America",
  C115="Canada","North America",
  C115="Mexico","North America",
  C115="Bermuda","North America",
  C115="United Kingdom","Europe",
  C115="Germany","Europe",
  C115="France","Europe",
  C115="Italy","Europe",
  C115="Switzerland","Europe",
  C115="Spain","Europe",
  C115="Netherlands","Europe",
  C115="Sweden","Europe",
  C115="Norway","Europe",
  C115="Finland","Europe",
  C115="Denmark","Europe",
  C115="Russia","Europe",
  C115="China","Asia",
  C115="Japan","Asia",
  C115="Taiwan, Province of China","Asia",
  C115="Hong Kong","Asia",
  C115="South Korea","Asia",
  C115="India","Asia",
  C115="Singapore","Asia",
  C115="Thailand","Asia",
  C115="Indonesia","Asia",
  C115="Malaysia","Asia",
  TRUE,"Other"
)</f>
        <v>Asia</v>
      </c>
      <c r="W115" s="195" t="str">
        <f>_xlfn.XLOOKUP(Table2[[#This Row],[Column3]],Sheet1!G:G,Sheet1!H:H)</f>
        <v>Energy and utilities</v>
      </c>
      <c r="X115" s="195"/>
      <c r="Y115" s="195"/>
    </row>
    <row r="116" spans="1:25">
      <c r="A116" s="194" t="s">
        <v>1679</v>
      </c>
      <c r="B116" s="68">
        <v>92</v>
      </c>
      <c r="C116" s="68" t="s">
        <v>73</v>
      </c>
      <c r="D116" s="77" t="s">
        <v>3498</v>
      </c>
      <c r="E116" s="75"/>
      <c r="H116" s="75"/>
      <c r="K116" s="75"/>
      <c r="M116" s="76"/>
      <c r="N116" s="76"/>
      <c r="P116" s="75"/>
      <c r="U116" s="75" t="s">
        <v>1</v>
      </c>
      <c r="V116" s="195" t="str" cm="1">
        <f t="array" ref="V116">_xlfn.IFS(
  C116="United States","North America",
  C116="Canada","North America",
  C116="Mexico","North America",
  C116="Bermuda","North America",
  C116="United Kingdom","Europe",
  C116="Germany","Europe",
  C116="France","Europe",
  C116="Italy","Europe",
  C116="Switzerland","Europe",
  C116="Spain","Europe",
  C116="Netherlands","Europe",
  C116="Sweden","Europe",
  C116="Norway","Europe",
  C116="Finland","Europe",
  C116="Denmark","Europe",
  C116="Russia","Europe",
  C116="China","Asia",
  C116="Japan","Asia",
  C116="Taiwan, Province of China","Asia",
  C116="Hong Kong","Asia",
  C116="South Korea","Asia",
  C116="India","Asia",
  C116="Singapore","Asia",
  C116="Thailand","Asia",
  C116="Indonesia","Asia",
  C116="Malaysia","Asia",
  TRUE,"Other"
)</f>
        <v>Asia</v>
      </c>
      <c r="W116" s="195" t="str">
        <f>_xlfn.XLOOKUP(Table2[[#This Row],[Column3]],Sheet1!G:G,Sheet1!H:H)</f>
        <v>Oil and gas</v>
      </c>
      <c r="X116" s="195"/>
      <c r="Y116" s="195"/>
    </row>
    <row r="117" spans="1:25" ht="16">
      <c r="A117" s="194" t="s">
        <v>1880</v>
      </c>
      <c r="B117" s="68">
        <v>4</v>
      </c>
      <c r="C117" s="68" t="s">
        <v>73</v>
      </c>
      <c r="D117" s="77" t="s">
        <v>3498</v>
      </c>
      <c r="E117" s="75"/>
      <c r="H117" s="75"/>
      <c r="K117" s="75"/>
      <c r="M117" s="76"/>
      <c r="N117" s="76"/>
      <c r="P117" s="75" t="s">
        <v>2082</v>
      </c>
      <c r="R117" s="68">
        <v>2050</v>
      </c>
      <c r="S117" s="68">
        <v>2021</v>
      </c>
      <c r="T117" s="78" t="s">
        <v>4170</v>
      </c>
      <c r="U117" s="75" t="s">
        <v>1</v>
      </c>
      <c r="V117" s="195" t="str" cm="1">
        <f t="array" ref="V117">_xlfn.IFS(
  C117="United States","North America",
  C117="Canada","North America",
  C117="Mexico","North America",
  C117="Bermuda","North America",
  C117="United Kingdom","Europe",
  C117="Germany","Europe",
  C117="France","Europe",
  C117="Italy","Europe",
  C117="Switzerland","Europe",
  C117="Spain","Europe",
  C117="Netherlands","Europe",
  C117="Sweden","Europe",
  C117="Norway","Europe",
  C117="Finland","Europe",
  C117="Denmark","Europe",
  C117="Russia","Europe",
  C117="China","Asia",
  C117="Japan","Asia",
  C117="Taiwan, Province of China","Asia",
  C117="Hong Kong","Asia",
  C117="South Korea","Asia",
  C117="India","Asia",
  C117="Singapore","Asia",
  C117="Thailand","Asia",
  C117="Indonesia","Asia",
  C117="Malaysia","Asia",
  TRUE,"Other"
)</f>
        <v>Asia</v>
      </c>
      <c r="W117" s="195" t="str">
        <f>_xlfn.XLOOKUP(Table2[[#This Row],[Column3]],Sheet1!G:G,Sheet1!H:H)</f>
        <v>Oil and gas</v>
      </c>
      <c r="X117" s="195"/>
      <c r="Y117" s="195"/>
    </row>
    <row r="118" spans="1:25">
      <c r="A118" s="194" t="s">
        <v>1366</v>
      </c>
      <c r="B118" s="68">
        <v>127</v>
      </c>
      <c r="C118" s="68" t="s">
        <v>73</v>
      </c>
      <c r="D118" s="77" t="s">
        <v>4260</v>
      </c>
      <c r="E118" s="75"/>
      <c r="H118" s="75"/>
      <c r="K118" s="75"/>
      <c r="M118" s="76"/>
      <c r="N118" s="76"/>
      <c r="P118" s="75"/>
      <c r="U118" s="75" t="s">
        <v>1</v>
      </c>
      <c r="V118" s="195" t="str" cm="1">
        <f t="array" ref="V118">_xlfn.IFS(
  C118="United States","North America",
  C118="Canada","North America",
  C118="Mexico","North America",
  C118="Bermuda","North America",
  C118="United Kingdom","Europe",
  C118="Germany","Europe",
  C118="France","Europe",
  C118="Italy","Europe",
  C118="Switzerland","Europe",
  C118="Spain","Europe",
  C118="Netherlands","Europe",
  C118="Sweden","Europe",
  C118="Norway","Europe",
  C118="Finland","Europe",
  C118="Denmark","Europe",
  C118="Russia","Europe",
  C118="China","Asia",
  C118="Japan","Asia",
  C118="Taiwan, Province of China","Asia",
  C118="Hong Kong","Asia",
  C118="South Korea","Asia",
  C118="India","Asia",
  C118="Singapore","Asia",
  C118="Thailand","Asia",
  C118="Indonesia","Asia",
  C118="Malaysia","Asia",
  TRUE,"Other"
)</f>
        <v>Asia</v>
      </c>
      <c r="W118" s="195" t="str">
        <f>_xlfn.XLOOKUP(Table2[[#This Row],[Column3]],Sheet1!G:G,Sheet1!H:H)</f>
        <v>Aerospace and defense</v>
      </c>
      <c r="X118" s="195"/>
      <c r="Y118" s="195"/>
    </row>
    <row r="119" spans="1:25">
      <c r="A119" s="194" t="s">
        <v>1170</v>
      </c>
      <c r="B119" s="68">
        <v>158</v>
      </c>
      <c r="C119" s="68" t="s">
        <v>73</v>
      </c>
      <c r="D119" s="77" t="s">
        <v>4465</v>
      </c>
      <c r="E119" s="75"/>
      <c r="H119" s="75"/>
      <c r="K119" s="75"/>
      <c r="M119" s="76"/>
      <c r="N119" s="76"/>
      <c r="P119" s="75"/>
      <c r="U119" s="75" t="s">
        <v>1</v>
      </c>
      <c r="V119" s="195" t="str" cm="1">
        <f t="array" ref="V119">_xlfn.IFS(
  C119="United States","North America",
  C119="Canada","North America",
  C119="Mexico","North America",
  C119="Bermuda","North America",
  C119="United Kingdom","Europe",
  C119="Germany","Europe",
  C119="France","Europe",
  C119="Italy","Europe",
  C119="Switzerland","Europe",
  C119="Spain","Europe",
  C119="Netherlands","Europe",
  C119="Sweden","Europe",
  C119="Norway","Europe",
  C119="Finland","Europe",
  C119="Denmark","Europe",
  C119="Russia","Europe",
  C119="China","Asia",
  C119="Japan","Asia",
  C119="Taiwan, Province of China","Asia",
  C119="Hong Kong","Asia",
  C119="South Korea","Asia",
  C119="India","Asia",
  C119="Singapore","Asia",
  C119="Thailand","Asia",
  C119="Indonesia","Asia",
  C119="Malaysia","Asia",
  TRUE,"Other"
)</f>
        <v>Asia</v>
      </c>
      <c r="W119" s="195" t="str">
        <f>_xlfn.XLOOKUP(Table2[[#This Row],[Column3]],Sheet1!G:G,Sheet1!H:H)</f>
        <v>Financial services</v>
      </c>
      <c r="X119" s="195"/>
      <c r="Y119" s="195"/>
    </row>
    <row r="120" spans="1:25">
      <c r="A120" s="194" t="s">
        <v>1014</v>
      </c>
      <c r="B120" s="68">
        <v>174</v>
      </c>
      <c r="C120" s="68" t="s">
        <v>73</v>
      </c>
      <c r="D120" s="77" t="s">
        <v>976</v>
      </c>
      <c r="E120" s="75"/>
      <c r="H120" s="75"/>
      <c r="K120" s="75"/>
      <c r="M120" s="76"/>
      <c r="N120" s="76"/>
      <c r="P120" s="75"/>
      <c r="U120" s="75" t="s">
        <v>1</v>
      </c>
      <c r="V120" s="195" t="str" cm="1">
        <f t="array" ref="V120">_xlfn.IFS(
  C120="United States","North America",
  C120="Canada","North America",
  C120="Mexico","North America",
  C120="Bermuda","North America",
  C120="United Kingdom","Europe",
  C120="Germany","Europe",
  C120="France","Europe",
  C120="Italy","Europe",
  C120="Switzerland","Europe",
  C120="Spain","Europe",
  C120="Netherlands","Europe",
  C120="Sweden","Europe",
  C120="Norway","Europe",
  C120="Finland","Europe",
  C120="Denmark","Europe",
  C120="Russia","Europe",
  C120="China","Asia",
  C120="Japan","Asia",
  C120="Taiwan, Province of China","Asia",
  C120="Hong Kong","Asia",
  C120="South Korea","Asia",
  C120="India","Asia",
  C120="Singapore","Asia",
  C120="Thailand","Asia",
  C120="Indonesia","Asia",
  C120="Malaysia","Asia",
  TRUE,"Other"
)</f>
        <v>Asia</v>
      </c>
      <c r="W120" s="195" t="str">
        <f>_xlfn.XLOOKUP(Table2[[#This Row],[Column3]],Sheet1!G:G,Sheet1!H:H)</f>
        <v>Real estate</v>
      </c>
      <c r="X120" s="195"/>
      <c r="Y120" s="195"/>
    </row>
    <row r="121" spans="1:25">
      <c r="A121" s="194" t="s">
        <v>1534</v>
      </c>
      <c r="B121" s="68">
        <v>74</v>
      </c>
      <c r="C121" s="68" t="s">
        <v>73</v>
      </c>
      <c r="D121" s="77" t="s">
        <v>4179</v>
      </c>
      <c r="E121" s="75"/>
      <c r="H121" s="75"/>
      <c r="K121" s="75"/>
      <c r="M121" s="76"/>
      <c r="N121" s="76"/>
      <c r="P121" s="75"/>
      <c r="U121" s="75" t="s">
        <v>1</v>
      </c>
      <c r="V121" s="195" t="str" cm="1">
        <f t="array" ref="V121">_xlfn.IFS(
  C121="United States","North America",
  C121="Canada","North America",
  C121="Mexico","North America",
  C121="Bermuda","North America",
  C121="United Kingdom","Europe",
  C121="Germany","Europe",
  C121="France","Europe",
  C121="Italy","Europe",
  C121="Switzerland","Europe",
  C121="Spain","Europe",
  C121="Netherlands","Europe",
  C121="Sweden","Europe",
  C121="Norway","Europe",
  C121="Finland","Europe",
  C121="Denmark","Europe",
  C121="Russia","Europe",
  C121="China","Asia",
  C121="Japan","Asia",
  C121="Taiwan, Province of China","Asia",
  C121="Hong Kong","Asia",
  C121="South Korea","Asia",
  C121="India","Asia",
  C121="Singapore","Asia",
  C121="Thailand","Asia",
  C121="Indonesia","Asia",
  C121="Malaysia","Asia",
  TRUE,"Other"
)</f>
        <v>Asia</v>
      </c>
      <c r="W121" s="195" t="str">
        <f>_xlfn.XLOOKUP(Table2[[#This Row],[Column3]],Sheet1!G:G,Sheet1!H:H)</f>
        <v>Transportation and logistics</v>
      </c>
      <c r="X121" s="195"/>
      <c r="Y121" s="195"/>
    </row>
    <row r="122" spans="1:25">
      <c r="A122" s="194" t="s">
        <v>1691</v>
      </c>
      <c r="B122" s="68">
        <v>42</v>
      </c>
      <c r="C122" s="68" t="s">
        <v>73</v>
      </c>
      <c r="D122" s="77" t="s">
        <v>4197</v>
      </c>
      <c r="E122" s="75"/>
      <c r="H122" s="75"/>
      <c r="K122" s="75"/>
      <c r="M122" s="76"/>
      <c r="N122" s="76"/>
      <c r="P122" s="75"/>
      <c r="U122" s="75" t="s">
        <v>1</v>
      </c>
      <c r="V122" s="195" t="str" cm="1">
        <f t="array" ref="V122">_xlfn.IFS(
  C122="United States","North America",
  C122="Canada","North America",
  C122="Mexico","North America",
  C122="Bermuda","North America",
  C122="United Kingdom","Europe",
  C122="Germany","Europe",
  C122="France","Europe",
  C122="Italy","Europe",
  C122="Switzerland","Europe",
  C122="Spain","Europe",
  C122="Netherlands","Europe",
  C122="Sweden","Europe",
  C122="Norway","Europe",
  C122="Finland","Europe",
  C122="Denmark","Europe",
  C122="Russia","Europe",
  C122="China","Asia",
  C122="Japan","Asia",
  C122="Taiwan, Province of China","Asia",
  C122="Hong Kong","Asia",
  C122="South Korea","Asia",
  C122="India","Asia",
  C122="Singapore","Asia",
  C122="Thailand","Asia",
  C122="Indonesia","Asia",
  C122="Malaysia","Asia",
  TRUE,"Other"
)</f>
        <v>Asia</v>
      </c>
      <c r="W122" s="195" t="str">
        <f>_xlfn.XLOOKUP(Table2[[#This Row],[Column3]],Sheet1!G:G,Sheet1!H:H)</f>
        <v>Engineering and construction</v>
      </c>
      <c r="X122" s="195"/>
      <c r="Y122" s="195"/>
    </row>
    <row r="123" spans="1:25">
      <c r="A123" s="194" t="s">
        <v>1704</v>
      </c>
      <c r="B123" s="68">
        <v>35</v>
      </c>
      <c r="C123" s="68" t="s">
        <v>73</v>
      </c>
      <c r="D123" s="77" t="s">
        <v>4197</v>
      </c>
      <c r="E123" s="75"/>
      <c r="H123" s="75"/>
      <c r="K123" s="75"/>
      <c r="M123" s="76"/>
      <c r="N123" s="76"/>
      <c r="P123" s="75"/>
      <c r="U123" s="75" t="s">
        <v>1</v>
      </c>
      <c r="V123" s="195" t="str" cm="1">
        <f t="array" ref="V123">_xlfn.IFS(
  C123="United States","North America",
  C123="Canada","North America",
  C123="Mexico","North America",
  C123="Bermuda","North America",
  C123="United Kingdom","Europe",
  C123="Germany","Europe",
  C123="France","Europe",
  C123="Italy","Europe",
  C123="Switzerland","Europe",
  C123="Spain","Europe",
  C123="Netherlands","Europe",
  C123="Sweden","Europe",
  C123="Norway","Europe",
  C123="Finland","Europe",
  C123="Denmark","Europe",
  C123="Russia","Europe",
  C123="China","Asia",
  C123="Japan","Asia",
  C123="Taiwan, Province of China","Asia",
  C123="Hong Kong","Asia",
  C123="South Korea","Asia",
  C123="India","Asia",
  C123="Singapore","Asia",
  C123="Thailand","Asia",
  C123="Indonesia","Asia",
  C123="Malaysia","Asia",
  TRUE,"Other"
)</f>
        <v>Asia</v>
      </c>
      <c r="W123" s="195" t="str">
        <f>_xlfn.XLOOKUP(Table2[[#This Row],[Column3]],Sheet1!G:G,Sheet1!H:H)</f>
        <v>Engineering and construction</v>
      </c>
      <c r="X123" s="195"/>
      <c r="Y123" s="195"/>
    </row>
    <row r="124" spans="1:25">
      <c r="A124" s="194" t="s">
        <v>4394</v>
      </c>
      <c r="B124" s="68">
        <v>497</v>
      </c>
      <c r="C124" s="68" t="s">
        <v>73</v>
      </c>
      <c r="D124" s="77" t="s">
        <v>4465</v>
      </c>
      <c r="E124" s="75"/>
      <c r="H124" s="75"/>
      <c r="K124" s="75"/>
      <c r="M124" s="76"/>
      <c r="N124" s="76"/>
      <c r="P124" s="75"/>
      <c r="U124" s="75" t="s">
        <v>1</v>
      </c>
      <c r="V124" s="195" t="str" cm="1">
        <f t="array" ref="V124">_xlfn.IFS(
  C124="United States","North America",
  C124="Canada","North America",
  C124="Mexico","North America",
  C124="Bermuda","North America",
  C124="United Kingdom","Europe",
  C124="Germany","Europe",
  C124="France","Europe",
  C124="Italy","Europe",
  C124="Switzerland","Europe",
  C124="Spain","Europe",
  C124="Netherlands","Europe",
  C124="Sweden","Europe",
  C124="Norway","Europe",
  C124="Finland","Europe",
  C124="Denmark","Europe",
  C124="Russia","Europe",
  C124="China","Asia",
  C124="Japan","Asia",
  C124="Taiwan, Province of China","Asia",
  C124="Hong Kong","Asia",
  C124="South Korea","Asia",
  C124="India","Asia",
  C124="Singapore","Asia",
  C124="Thailand","Asia",
  C124="Indonesia","Asia",
  C124="Malaysia","Asia",
  TRUE,"Other"
)</f>
        <v>Asia</v>
      </c>
      <c r="W124" s="195" t="str">
        <f>_xlfn.XLOOKUP(Table2[[#This Row],[Column3]],Sheet1!G:G,Sheet1!H:H)</f>
        <v>Financial services</v>
      </c>
      <c r="X124" s="195"/>
      <c r="Y124" s="195"/>
    </row>
    <row r="125" spans="1:25">
      <c r="A125" s="194" t="s">
        <v>1623</v>
      </c>
      <c r="B125" s="68">
        <v>69</v>
      </c>
      <c r="C125" s="68" t="s">
        <v>73</v>
      </c>
      <c r="D125" s="77" t="s">
        <v>4201</v>
      </c>
      <c r="E125" s="75"/>
      <c r="H125" s="75"/>
      <c r="K125" s="75"/>
      <c r="M125" s="76"/>
      <c r="N125" s="76"/>
      <c r="P125" s="75"/>
      <c r="U125" s="75" t="s">
        <v>1</v>
      </c>
      <c r="V125" s="195" t="str" cm="1">
        <f t="array" ref="V125">_xlfn.IFS(
  C125="United States","North America",
  C125="Canada","North America",
  C125="Mexico","North America",
  C125="Bermuda","North America",
  C125="United Kingdom","Europe",
  C125="Germany","Europe",
  C125="France","Europe",
  C125="Italy","Europe",
  C125="Switzerland","Europe",
  C125="Spain","Europe",
  C125="Netherlands","Europe",
  C125="Sweden","Europe",
  C125="Norway","Europe",
  C125="Finland","Europe",
  C125="Denmark","Europe",
  C125="Russia","Europe",
  C125="China","Asia",
  C125="Japan","Asia",
  C125="Taiwan, Province of China","Asia",
  C125="Hong Kong","Asia",
  C125="South Korea","Asia",
  C125="India","Asia",
  C125="Singapore","Asia",
  C125="Thailand","Asia",
  C125="Indonesia","Asia",
  C125="Malaysia","Asia",
  TRUE,"Other"
)</f>
        <v>Asia</v>
      </c>
      <c r="W125" s="195" t="str">
        <f>_xlfn.XLOOKUP(Table2[[#This Row],[Column3]],Sheet1!G:G,Sheet1!H:H)</f>
        <v>Health care and pharmaceuticals</v>
      </c>
      <c r="X125" s="195"/>
      <c r="Y125" s="195"/>
    </row>
    <row r="126" spans="1:25">
      <c r="A126" s="194" t="s">
        <v>4393</v>
      </c>
      <c r="B126" s="68">
        <v>470</v>
      </c>
      <c r="C126" s="68" t="s">
        <v>73</v>
      </c>
      <c r="D126" s="77" t="s">
        <v>976</v>
      </c>
      <c r="E126" s="75"/>
      <c r="H126" s="75"/>
      <c r="K126" s="75"/>
      <c r="M126" s="76"/>
      <c r="N126" s="76"/>
      <c r="P126" s="75"/>
      <c r="U126" s="75" t="s">
        <v>1</v>
      </c>
      <c r="V126" s="195" t="str" cm="1">
        <f t="array" ref="V126">_xlfn.IFS(
  C126="United States","North America",
  C126="Canada","North America",
  C126="Mexico","North America",
  C126="Bermuda","North America",
  C126="United Kingdom","Europe",
  C126="Germany","Europe",
  C126="France","Europe",
  C126="Italy","Europe",
  C126="Switzerland","Europe",
  C126="Spain","Europe",
  C126="Netherlands","Europe",
  C126="Sweden","Europe",
  C126="Norway","Europe",
  C126="Finland","Europe",
  C126="Denmark","Europe",
  C126="Russia","Europe",
  C126="China","Asia",
  C126="Japan","Asia",
  C126="Taiwan, Province of China","Asia",
  C126="Hong Kong","Asia",
  C126="South Korea","Asia",
  C126="India","Asia",
  C126="Singapore","Asia",
  C126="Thailand","Asia",
  C126="Indonesia","Asia",
  C126="Malaysia","Asia",
  TRUE,"Other"
)</f>
        <v>Asia</v>
      </c>
      <c r="W126" s="195" t="str">
        <f>_xlfn.XLOOKUP(Table2[[#This Row],[Column3]],Sheet1!G:G,Sheet1!H:H)</f>
        <v>Real estate</v>
      </c>
      <c r="X126" s="195"/>
      <c r="Y126" s="195"/>
    </row>
    <row r="127" spans="1:25">
      <c r="A127" s="194" t="s">
        <v>617</v>
      </c>
      <c r="B127" s="68">
        <v>351</v>
      </c>
      <c r="C127" s="68" t="s">
        <v>73</v>
      </c>
      <c r="D127" s="77" t="s">
        <v>4260</v>
      </c>
      <c r="E127" s="75"/>
      <c r="H127" s="75"/>
      <c r="K127" s="75"/>
      <c r="M127" s="76"/>
      <c r="N127" s="76"/>
      <c r="P127" s="75"/>
      <c r="U127" s="75" t="s">
        <v>1</v>
      </c>
      <c r="V127" s="195" t="str" cm="1">
        <f t="array" ref="V127">_xlfn.IFS(
  C127="United States","North America",
  C127="Canada","North America",
  C127="Mexico","North America",
  C127="Bermuda","North America",
  C127="United Kingdom","Europe",
  C127="Germany","Europe",
  C127="France","Europe",
  C127="Italy","Europe",
  C127="Switzerland","Europe",
  C127="Spain","Europe",
  C127="Netherlands","Europe",
  C127="Sweden","Europe",
  C127="Norway","Europe",
  C127="Finland","Europe",
  C127="Denmark","Europe",
  C127="Russia","Europe",
  C127="China","Asia",
  C127="Japan","Asia",
  C127="Taiwan, Province of China","Asia",
  C127="Hong Kong","Asia",
  C127="South Korea","Asia",
  C127="India","Asia",
  C127="Singapore","Asia",
  C127="Thailand","Asia",
  C127="Indonesia","Asia",
  C127="Malaysia","Asia",
  TRUE,"Other"
)</f>
        <v>Asia</v>
      </c>
      <c r="W127" s="195" t="str">
        <f>_xlfn.XLOOKUP(Table2[[#This Row],[Column3]],Sheet1!G:G,Sheet1!H:H)</f>
        <v>Aerospace and defense</v>
      </c>
      <c r="X127" s="195"/>
      <c r="Y127" s="195"/>
    </row>
    <row r="128" spans="1:25">
      <c r="A128" s="194" t="s">
        <v>1485</v>
      </c>
      <c r="B128" s="68">
        <v>91</v>
      </c>
      <c r="C128" s="68" t="s">
        <v>73</v>
      </c>
      <c r="D128" s="77" t="s">
        <v>4199</v>
      </c>
      <c r="E128" s="75"/>
      <c r="H128" s="75"/>
      <c r="K128" s="75"/>
      <c r="M128" s="76"/>
      <c r="N128" s="76"/>
      <c r="P128" s="75"/>
      <c r="U128" s="75" t="s">
        <v>1</v>
      </c>
      <c r="V128" s="195" t="str" cm="1">
        <f t="array" ref="V128">_xlfn.IFS(
  C128="United States","North America",
  C128="Canada","North America",
  C128="Mexico","North America",
  C128="Bermuda","North America",
  C128="United Kingdom","Europe",
  C128="Germany","Europe",
  C128="France","Europe",
  C128="Italy","Europe",
  C128="Switzerland","Europe",
  C128="Spain","Europe",
  C128="Netherlands","Europe",
  C128="Sweden","Europe",
  C128="Norway","Europe",
  C128="Finland","Europe",
  C128="Denmark","Europe",
  C128="Russia","Europe",
  C128="China","Asia",
  C128="Japan","Asia",
  C128="Taiwan, Province of China","Asia",
  C128="Hong Kong","Asia",
  C128="South Korea","Asia",
  C128="India","Asia",
  C128="Singapore","Asia",
  C128="Thailand","Asia",
  C128="Indonesia","Asia",
  C128="Malaysia","Asia",
  TRUE,"Other"
)</f>
        <v>Asia</v>
      </c>
      <c r="W128" s="195" t="str">
        <f>_xlfn.XLOOKUP(Table2[[#This Row],[Column3]],Sheet1!G:G,Sheet1!H:H)</f>
        <v>Energy and utilities</v>
      </c>
      <c r="X128" s="195"/>
      <c r="Y128" s="195"/>
    </row>
    <row r="129" spans="1:25">
      <c r="A129" s="194" t="s">
        <v>1811</v>
      </c>
      <c r="B129" s="68">
        <v>13</v>
      </c>
      <c r="C129" s="68" t="s">
        <v>73</v>
      </c>
      <c r="D129" s="77" t="s">
        <v>4197</v>
      </c>
      <c r="E129" s="75"/>
      <c r="H129" s="75"/>
      <c r="K129" s="75"/>
      <c r="M129" s="76"/>
      <c r="N129" s="76"/>
      <c r="P129" s="75"/>
      <c r="U129" s="75" t="s">
        <v>1</v>
      </c>
      <c r="V129" s="195" t="str" cm="1">
        <f t="array" ref="V129">_xlfn.IFS(
  C129="United States","North America",
  C129="Canada","North America",
  C129="Mexico","North America",
  C129="Bermuda","North America",
  C129="United Kingdom","Europe",
  C129="Germany","Europe",
  C129="France","Europe",
  C129="Italy","Europe",
  C129="Switzerland","Europe",
  C129="Spain","Europe",
  C129="Netherlands","Europe",
  C129="Sweden","Europe",
  C129="Norway","Europe",
  C129="Finland","Europe",
  C129="Denmark","Europe",
  C129="Russia","Europe",
  C129="China","Asia",
  C129="Japan","Asia",
  C129="Taiwan, Province of China","Asia",
  C129="Hong Kong","Asia",
  C129="South Korea","Asia",
  C129="India","Asia",
  C129="Singapore","Asia",
  C129="Thailand","Asia",
  C129="Indonesia","Asia",
  C129="Malaysia","Asia",
  TRUE,"Other"
)</f>
        <v>Asia</v>
      </c>
      <c r="W129" s="195" t="str">
        <f>_xlfn.XLOOKUP(Table2[[#This Row],[Column3]],Sheet1!G:G,Sheet1!H:H)</f>
        <v>Engineering and construction</v>
      </c>
      <c r="X129" s="195"/>
      <c r="Y129" s="195"/>
    </row>
    <row r="130" spans="1:25">
      <c r="A130" s="194" t="s">
        <v>4392</v>
      </c>
      <c r="B130" s="68">
        <v>240</v>
      </c>
      <c r="C130" s="68" t="s">
        <v>73</v>
      </c>
      <c r="D130" s="77" t="s">
        <v>4179</v>
      </c>
      <c r="E130" s="75"/>
      <c r="H130" s="75"/>
      <c r="K130" s="75"/>
      <c r="M130" s="76"/>
      <c r="N130" s="76"/>
      <c r="P130" s="75"/>
      <c r="U130" s="75" t="s">
        <v>1</v>
      </c>
      <c r="V130" s="195" t="str" cm="1">
        <f t="array" ref="V130">_xlfn.IFS(
  C130="United States","North America",
  C130="Canada","North America",
  C130="Mexico","North America",
  C130="Bermuda","North America",
  C130="United Kingdom","Europe",
  C130="Germany","Europe",
  C130="France","Europe",
  C130="Italy","Europe",
  C130="Switzerland","Europe",
  C130="Spain","Europe",
  C130="Netherlands","Europe",
  C130="Sweden","Europe",
  C130="Norway","Europe",
  C130="Finland","Europe",
  C130="Denmark","Europe",
  C130="Russia","Europe",
  C130="China","Asia",
  C130="Japan","Asia",
  C130="Taiwan, Province of China","Asia",
  C130="Hong Kong","Asia",
  C130="South Korea","Asia",
  C130="India","Asia",
  C130="Singapore","Asia",
  C130="Thailand","Asia",
  C130="Indonesia","Asia",
  C130="Malaysia","Asia",
  TRUE,"Other"
)</f>
        <v>Asia</v>
      </c>
      <c r="W130" s="195" t="str">
        <f>_xlfn.XLOOKUP(Table2[[#This Row],[Column3]],Sheet1!G:G,Sheet1!H:H)</f>
        <v>Transportation and logistics</v>
      </c>
      <c r="X130" s="195"/>
      <c r="Y130" s="195"/>
    </row>
    <row r="131" spans="1:25">
      <c r="A131" s="194" t="s">
        <v>270</v>
      </c>
      <c r="B131" s="68">
        <v>344</v>
      </c>
      <c r="C131" s="68" t="s">
        <v>73</v>
      </c>
      <c r="D131" s="77" t="s">
        <v>4465</v>
      </c>
      <c r="E131" s="75"/>
      <c r="H131" s="75"/>
      <c r="K131" s="75"/>
      <c r="M131" s="76"/>
      <c r="N131" s="76"/>
      <c r="P131" s="75"/>
      <c r="U131" s="75" t="s">
        <v>1</v>
      </c>
      <c r="V131" s="195" t="str" cm="1">
        <f t="array" ref="V131">_xlfn.IFS(
  C131="United States","North America",
  C131="Canada","North America",
  C131="Mexico","North America",
  C131="Bermuda","North America",
  C131="United Kingdom","Europe",
  C131="Germany","Europe",
  C131="France","Europe",
  C131="Italy","Europe",
  C131="Switzerland","Europe",
  C131="Spain","Europe",
  C131="Netherlands","Europe",
  C131="Sweden","Europe",
  C131="Norway","Europe",
  C131="Finland","Europe",
  C131="Denmark","Europe",
  C131="Russia","Europe",
  C131="China","Asia",
  C131="Japan","Asia",
  C131="Taiwan, Province of China","Asia",
  C131="Hong Kong","Asia",
  C131="South Korea","Asia",
  C131="India","Asia",
  C131="Singapore","Asia",
  C131="Thailand","Asia",
  C131="Indonesia","Asia",
  C131="Malaysia","Asia",
  TRUE,"Other"
)</f>
        <v>Asia</v>
      </c>
      <c r="W131" s="195" t="str">
        <f>_xlfn.XLOOKUP(Table2[[#This Row],[Column3]],Sheet1!G:G,Sheet1!H:H)</f>
        <v>Financial services</v>
      </c>
      <c r="X131" s="195"/>
      <c r="Y131" s="195"/>
    </row>
    <row r="132" spans="1:25">
      <c r="A132" s="194" t="s">
        <v>1362</v>
      </c>
      <c r="B132" s="68">
        <v>126</v>
      </c>
      <c r="C132" s="68" t="s">
        <v>73</v>
      </c>
      <c r="D132" s="77" t="s">
        <v>4190</v>
      </c>
      <c r="E132" s="75"/>
      <c r="H132" s="75"/>
      <c r="K132" s="75"/>
      <c r="M132" s="76"/>
      <c r="N132" s="76"/>
      <c r="P132" s="75"/>
      <c r="U132" s="75" t="s">
        <v>1</v>
      </c>
      <c r="V132" s="195" t="str" cm="1">
        <f t="array" ref="V132">_xlfn.IFS(
  C132="United States","North America",
  C132="Canada","North America",
  C132="Mexico","North America",
  C132="Bermuda","North America",
  C132="United Kingdom","Europe",
  C132="Germany","Europe",
  C132="France","Europe",
  C132="Italy","Europe",
  C132="Switzerland","Europe",
  C132="Spain","Europe",
  C132="Netherlands","Europe",
  C132="Sweden","Europe",
  C132="Norway","Europe",
  C132="Finland","Europe",
  C132="Denmark","Europe",
  C132="Russia","Europe",
  C132="China","Asia",
  C132="Japan","Asia",
  C132="Taiwan, Province of China","Asia",
  C132="Hong Kong","Asia",
  C132="South Korea","Asia",
  C132="India","Asia",
  C132="Singapore","Asia",
  C132="Thailand","Asia",
  C132="Indonesia","Asia",
  C132="Malaysia","Asia",
  TRUE,"Other"
)</f>
        <v>Asia</v>
      </c>
      <c r="W132" s="195" t="str">
        <f>_xlfn.XLOOKUP(Table2[[#This Row],[Column3]],Sheet1!G:G,Sheet1!H:H)</f>
        <v>Telecommunications and media</v>
      </c>
      <c r="X132" s="195"/>
      <c r="Y132" s="195"/>
    </row>
    <row r="133" spans="1:25">
      <c r="A133" s="194" t="s">
        <v>954</v>
      </c>
      <c r="B133" s="68">
        <v>260</v>
      </c>
      <c r="C133" s="68" t="s">
        <v>73</v>
      </c>
      <c r="D133" s="77" t="s">
        <v>4190</v>
      </c>
      <c r="E133" s="75"/>
      <c r="H133" s="75"/>
      <c r="K133" s="75"/>
      <c r="M133" s="76"/>
      <c r="N133" s="76"/>
      <c r="P133" s="75"/>
      <c r="U133" s="75" t="s">
        <v>1</v>
      </c>
      <c r="V133" s="195" t="str" cm="1">
        <f t="array" ref="V133">_xlfn.IFS(
  C133="United States","North America",
  C133="Canada","North America",
  C133="Mexico","North America",
  C133="Bermuda","North America",
  C133="United Kingdom","Europe",
  C133="Germany","Europe",
  C133="France","Europe",
  C133="Italy","Europe",
  C133="Switzerland","Europe",
  C133="Spain","Europe",
  C133="Netherlands","Europe",
  C133="Sweden","Europe",
  C133="Norway","Europe",
  C133="Finland","Europe",
  C133="Denmark","Europe",
  C133="Russia","Europe",
  C133="China","Asia",
  C133="Japan","Asia",
  C133="Taiwan, Province of China","Asia",
  C133="Hong Kong","Asia",
  C133="South Korea","Asia",
  C133="India","Asia",
  C133="Singapore","Asia",
  C133="Thailand","Asia",
  C133="Indonesia","Asia",
  C133="Malaysia","Asia",
  TRUE,"Other"
)</f>
        <v>Asia</v>
      </c>
      <c r="W133" s="195" t="str">
        <f>_xlfn.XLOOKUP(Table2[[#This Row],[Column3]],Sheet1!G:G,Sheet1!H:H)</f>
        <v>Telecommunications and media</v>
      </c>
      <c r="X133" s="195"/>
      <c r="Y133" s="195"/>
    </row>
    <row r="134" spans="1:25">
      <c r="A134" s="194" t="s">
        <v>974</v>
      </c>
      <c r="B134" s="68">
        <v>160</v>
      </c>
      <c r="C134" s="68" t="s">
        <v>73</v>
      </c>
      <c r="D134" s="77" t="s">
        <v>976</v>
      </c>
      <c r="E134" s="75"/>
      <c r="H134" s="75"/>
      <c r="K134" s="75"/>
      <c r="M134" s="76"/>
      <c r="N134" s="76"/>
      <c r="P134" s="75"/>
      <c r="U134" s="75" t="s">
        <v>1</v>
      </c>
      <c r="V134" s="195" t="str" cm="1">
        <f t="array" ref="V134">_xlfn.IFS(
  C134="United States","North America",
  C134="Canada","North America",
  C134="Mexico","North America",
  C134="Bermuda","North America",
  C134="United Kingdom","Europe",
  C134="Germany","Europe",
  C134="France","Europe",
  C134="Italy","Europe",
  C134="Switzerland","Europe",
  C134="Spain","Europe",
  C134="Netherlands","Europe",
  C134="Sweden","Europe",
  C134="Norway","Europe",
  C134="Finland","Europe",
  C134="Denmark","Europe",
  C134="Russia","Europe",
  C134="China","Asia",
  C134="Japan","Asia",
  C134="Taiwan, Province of China","Asia",
  C134="Hong Kong","Asia",
  C134="South Korea","Asia",
  C134="India","Asia",
  C134="Singapore","Asia",
  C134="Thailand","Asia",
  C134="Indonesia","Asia",
  C134="Malaysia","Asia",
  TRUE,"Other"
)</f>
        <v>Asia</v>
      </c>
      <c r="W134" s="195" t="str">
        <f>_xlfn.XLOOKUP(Table2[[#This Row],[Column3]],Sheet1!G:G,Sheet1!H:H)</f>
        <v>Real estate</v>
      </c>
      <c r="X134" s="195"/>
      <c r="Y134" s="195"/>
    </row>
    <row r="135" spans="1:25">
      <c r="A135" s="194" t="s">
        <v>1203</v>
      </c>
      <c r="B135" s="68">
        <v>210</v>
      </c>
      <c r="C135" s="68" t="s">
        <v>63</v>
      </c>
      <c r="D135" s="77" t="s">
        <v>8318</v>
      </c>
      <c r="E135" s="75"/>
      <c r="H135" s="75"/>
      <c r="K135" s="75"/>
      <c r="M135" s="76"/>
      <c r="N135" s="76"/>
      <c r="P135" s="75"/>
      <c r="U135" s="75" t="s">
        <v>1</v>
      </c>
      <c r="V135" s="195" t="str" cm="1">
        <f t="array" ref="V135">_xlfn.IFS(
  C135="United States","North America",
  C135="Canada","North America",
  C135="Mexico","North America",
  C135="Bermuda","North America",
  C135="United Kingdom","Europe",
  C135="Germany","Europe",
  C135="France","Europe",
  C135="Italy","Europe",
  C135="Switzerland","Europe",
  C135="Spain","Europe",
  C135="Netherlands","Europe",
  C135="Sweden","Europe",
  C135="Norway","Europe",
  C135="Finland","Europe",
  C135="Denmark","Europe",
  C135="Russia","Europe",
  C135="China","Asia",
  C135="Japan","Asia",
  C135="Taiwan, Province of China","Asia",
  C135="Hong Kong","Asia",
  C135="South Korea","Asia",
  C135="India","Asia",
  C135="Singapore","Asia",
  C135="Thailand","Asia",
  C135="Indonesia","Asia",
  C135="Malaysia","Asia",
  TRUE,"Other"
)</f>
        <v>Europe</v>
      </c>
      <c r="W135" s="195" t="str">
        <f>_xlfn.XLOOKUP(Table2[[#This Row],[Column3]],Sheet1!G:G,Sheet1!H:H)</f>
        <v>Retail</v>
      </c>
      <c r="X135" s="195"/>
      <c r="Y135" s="195"/>
    </row>
    <row r="136" spans="1:25">
      <c r="A136" s="194" t="s">
        <v>558</v>
      </c>
      <c r="B136" s="68">
        <v>429</v>
      </c>
      <c r="C136" s="68" t="s">
        <v>82</v>
      </c>
      <c r="D136" s="77" t="s">
        <v>4455</v>
      </c>
      <c r="E136" s="75"/>
      <c r="H136" s="75"/>
      <c r="K136" s="75"/>
      <c r="M136" s="76"/>
      <c r="N136" s="76"/>
      <c r="P136" s="75"/>
      <c r="U136" s="75" t="s">
        <v>1</v>
      </c>
      <c r="V136" s="195" t="str" cm="1">
        <f t="array" ref="V136">_xlfn.IFS(
  C136="United States","North America",
  C136="Canada","North America",
  C136="Mexico","North America",
  C136="Bermuda","North America",
  C136="United Kingdom","Europe",
  C136="Germany","Europe",
  C136="France","Europe",
  C136="Italy","Europe",
  C136="Switzerland","Europe",
  C136="Spain","Europe",
  C136="Netherlands","Europe",
  C136="Sweden","Europe",
  C136="Norway","Europe",
  C136="Finland","Europe",
  C136="Denmark","Europe",
  C136="Russia","Europe",
  C136="China","Asia",
  C136="Japan","Asia",
  C136="Taiwan, Province of China","Asia",
  C136="Hong Kong","Asia",
  C136="South Korea","Asia",
  C136="India","Asia",
  C136="Singapore","Asia",
  C136="Thailand","Asia",
  C136="Indonesia","Asia",
  C136="Malaysia","Asia",
  TRUE,"Other"
)</f>
        <v>North America</v>
      </c>
      <c r="W136" s="195" t="str">
        <f>_xlfn.XLOOKUP(Table2[[#This Row],[Column3]],Sheet1!G:G,Sheet1!H:H)</f>
        <v>Food, beverages and agriculture</v>
      </c>
      <c r="X136" s="195"/>
      <c r="Y136" s="195"/>
    </row>
    <row r="137" spans="1:25">
      <c r="A137" s="194" t="s">
        <v>561</v>
      </c>
      <c r="B137" s="68">
        <v>333</v>
      </c>
      <c r="C137" s="68" t="s">
        <v>287</v>
      </c>
      <c r="D137" s="77" t="s">
        <v>4465</v>
      </c>
      <c r="E137" s="75"/>
      <c r="H137" s="75"/>
      <c r="K137" s="75"/>
      <c r="M137" s="76"/>
      <c r="N137" s="76"/>
      <c r="P137" s="75"/>
      <c r="U137" s="75" t="s">
        <v>1</v>
      </c>
      <c r="V137" s="195" t="str" cm="1">
        <f t="array" ref="V137">_xlfn.IFS(
  C137="United States","North America",
  C137="Canada","North America",
  C137="Mexico","North America",
  C137="Bermuda","North America",
  C137="United Kingdom","Europe",
  C137="Germany","Europe",
  C137="France","Europe",
  C137="Italy","Europe",
  C137="Switzerland","Europe",
  C137="Spain","Europe",
  C137="Netherlands","Europe",
  C137="Sweden","Europe",
  C137="Norway","Europe",
  C137="Finland","Europe",
  C137="Denmark","Europe",
  C137="Russia","Europe",
  C137="China","Asia",
  C137="Japan","Asia",
  C137="Taiwan, Province of China","Asia",
  C137="Hong Kong","Asia",
  C137="South Korea","Asia",
  C137="India","Asia",
  C137="Singapore","Asia",
  C137="Thailand","Asia",
  C137="Indonesia","Asia",
  C137="Malaysia","Asia",
  TRUE,"Other"
)</f>
        <v>Europe</v>
      </c>
      <c r="W137" s="195" t="str">
        <f>_xlfn.XLOOKUP(Table2[[#This Row],[Column3]],Sheet1!G:G,Sheet1!H:H)</f>
        <v>Financial services</v>
      </c>
      <c r="X137" s="195"/>
      <c r="Y137" s="195"/>
    </row>
    <row r="138" spans="1:25" ht="16">
      <c r="A138" s="194" t="s">
        <v>263</v>
      </c>
      <c r="B138" s="68">
        <v>440</v>
      </c>
      <c r="C138" s="68" t="s">
        <v>207</v>
      </c>
      <c r="D138" s="77" t="s">
        <v>4199</v>
      </c>
      <c r="E138" s="75"/>
      <c r="H138" s="75"/>
      <c r="K138" s="75"/>
      <c r="M138" s="76"/>
      <c r="N138" s="76"/>
      <c r="P138" s="75" t="s">
        <v>4256</v>
      </c>
      <c r="Q138" s="68" t="s">
        <v>4282</v>
      </c>
      <c r="R138" s="68">
        <v>2050</v>
      </c>
      <c r="S138" s="68">
        <v>2021</v>
      </c>
      <c r="T138" s="78" t="s">
        <v>4170</v>
      </c>
      <c r="U138" s="75" t="s">
        <v>1</v>
      </c>
      <c r="V138" s="195" t="str" cm="1">
        <f t="array" ref="V138">_xlfn.IFS(
  C138="United States","North America",
  C138="Canada","North America",
  C138="Mexico","North America",
  C138="Bermuda","North America",
  C138="United Kingdom","Europe",
  C138="Germany","Europe",
  C138="France","Europe",
  C138="Italy","Europe",
  C138="Switzerland","Europe",
  C138="Spain","Europe",
  C138="Netherlands","Europe",
  C138="Sweden","Europe",
  C138="Norway","Europe",
  C138="Finland","Europe",
  C138="Denmark","Europe",
  C138="Russia","Europe",
  C138="China","Asia",
  C138="Japan","Asia",
  C138="Taiwan, Province of China","Asia",
  C138="Hong Kong","Asia",
  C138="South Korea","Asia",
  C138="India","Asia",
  C138="Singapore","Asia",
  C138="Thailand","Asia",
  C138="Indonesia","Asia",
  C138="Malaysia","Asia",
  TRUE,"Other"
)</f>
        <v>Asia</v>
      </c>
      <c r="W138" s="195" t="str">
        <f>_xlfn.XLOOKUP(Table2[[#This Row],[Column3]],Sheet1!G:G,Sheet1!H:H)</f>
        <v>Energy and utilities</v>
      </c>
      <c r="X138" s="195"/>
      <c r="Y138" s="195"/>
    </row>
    <row r="139" spans="1:25" ht="16">
      <c r="A139" s="194" t="s">
        <v>1065</v>
      </c>
      <c r="B139" s="68">
        <v>28</v>
      </c>
      <c r="C139" s="68" t="s">
        <v>82</v>
      </c>
      <c r="D139" s="77" t="s">
        <v>4201</v>
      </c>
      <c r="E139" s="75"/>
      <c r="H139" s="75"/>
      <c r="K139" s="75" t="s">
        <v>1957</v>
      </c>
      <c r="L139" s="68" t="s">
        <v>4391</v>
      </c>
      <c r="M139" s="76">
        <v>2040</v>
      </c>
      <c r="N139" s="76">
        <v>2021</v>
      </c>
      <c r="O139" s="82" t="s">
        <v>4170</v>
      </c>
      <c r="P139" s="75"/>
      <c r="U139" s="75" t="s">
        <v>1</v>
      </c>
      <c r="V139" s="195" t="str" cm="1">
        <f t="array" ref="V139">_xlfn.IFS(
  C139="United States","North America",
  C139="Canada","North America",
  C139="Mexico","North America",
  C139="Bermuda","North America",
  C139="United Kingdom","Europe",
  C139="Germany","Europe",
  C139="France","Europe",
  C139="Italy","Europe",
  C139="Switzerland","Europe",
  C139="Spain","Europe",
  C139="Netherlands","Europe",
  C139="Sweden","Europe",
  C139="Norway","Europe",
  C139="Finland","Europe",
  C139="Denmark","Europe",
  C139="Russia","Europe",
  C139="China","Asia",
  C139="Japan","Asia",
  C139="Taiwan, Province of China","Asia",
  C139="Hong Kong","Asia",
  C139="South Korea","Asia",
  C139="India","Asia",
  C139="Singapore","Asia",
  C139="Thailand","Asia",
  C139="Indonesia","Asia",
  C139="Malaysia","Asia",
  TRUE,"Other"
)</f>
        <v>North America</v>
      </c>
      <c r="W139" s="195" t="str">
        <f>_xlfn.XLOOKUP(Table2[[#This Row],[Column3]],Sheet1!G:G,Sheet1!H:H)</f>
        <v>Health care and pharmaceuticals</v>
      </c>
      <c r="X139" s="195"/>
      <c r="Y139" s="195"/>
    </row>
    <row r="140" spans="1:25">
      <c r="A140" s="194" t="s">
        <v>1078</v>
      </c>
      <c r="B140" s="68">
        <v>221</v>
      </c>
      <c r="C140" s="68" t="s">
        <v>82</v>
      </c>
      <c r="D140" s="77" t="s">
        <v>186</v>
      </c>
      <c r="E140" s="75"/>
      <c r="H140" s="75" t="s">
        <v>4183</v>
      </c>
      <c r="I140" s="68">
        <v>2022</v>
      </c>
      <c r="J140" s="68">
        <v>2018</v>
      </c>
      <c r="K140" s="75"/>
      <c r="M140" s="76"/>
      <c r="N140" s="76"/>
      <c r="P140" s="75"/>
      <c r="U140" s="75" t="s">
        <v>361</v>
      </c>
      <c r="V140" s="195" t="str" cm="1">
        <f t="array" ref="V140">_xlfn.IFS(
  C140="United States","North America",
  C140="Canada","North America",
  C140="Mexico","North America",
  C140="Bermuda","North America",
  C140="United Kingdom","Europe",
  C140="Germany","Europe",
  C140="France","Europe",
  C140="Italy","Europe",
  C140="Switzerland","Europe",
  C140="Spain","Europe",
  C140="Netherlands","Europe",
  C140="Sweden","Europe",
  C140="Norway","Europe",
  C140="Finland","Europe",
  C140="Denmark","Europe",
  C140="Russia","Europe",
  C140="China","Asia",
  C140="Japan","Asia",
  C140="Taiwan, Province of China","Asia",
  C140="Hong Kong","Asia",
  C140="South Korea","Asia",
  C140="India","Asia",
  C140="Singapore","Asia",
  C140="Thailand","Asia",
  C140="Indonesia","Asia",
  C140="Malaysia","Asia",
  TRUE,"Other"
)</f>
        <v>North America</v>
      </c>
      <c r="W140" s="195" t="str">
        <f>_xlfn.XLOOKUP(Table2[[#This Row],[Column3]],Sheet1!G:G,Sheet1!H:H)</f>
        <v>Technology</v>
      </c>
      <c r="X140" s="195"/>
      <c r="Y140" s="195"/>
    </row>
    <row r="141" spans="1:25" ht="16">
      <c r="A141" s="194" t="s">
        <v>1373</v>
      </c>
      <c r="B141" s="68">
        <v>115</v>
      </c>
      <c r="C141" s="68" t="s">
        <v>73</v>
      </c>
      <c r="D141" s="77" t="s">
        <v>4465</v>
      </c>
      <c r="E141" s="75"/>
      <c r="H141" s="75"/>
      <c r="K141" s="75" t="s">
        <v>2082</v>
      </c>
      <c r="M141" s="76">
        <v>2050</v>
      </c>
      <c r="N141" s="76">
        <v>2021</v>
      </c>
      <c r="O141" s="78" t="s">
        <v>4170</v>
      </c>
      <c r="P141" s="75"/>
      <c r="U141" s="75" t="s">
        <v>1</v>
      </c>
      <c r="V141" s="195" t="str" cm="1">
        <f t="array" ref="V141">_xlfn.IFS(
  C141="United States","North America",
  C141="Canada","North America",
  C141="Mexico","North America",
  C141="Bermuda","North America",
  C141="United Kingdom","Europe",
  C141="Germany","Europe",
  C141="France","Europe",
  C141="Italy","Europe",
  C141="Switzerland","Europe",
  C141="Spain","Europe",
  C141="Netherlands","Europe",
  C141="Sweden","Europe",
  C141="Norway","Europe",
  C141="Finland","Europe",
  C141="Denmark","Europe",
  C141="Russia","Europe",
  C141="China","Asia",
  C141="Japan","Asia",
  C141="Taiwan, Province of China","Asia",
  C141="Hong Kong","Asia",
  C141="South Korea","Asia",
  C141="India","Asia",
  C141="Singapore","Asia",
  C141="Thailand","Asia",
  C141="Indonesia","Asia",
  C141="Malaysia","Asia",
  TRUE,"Other"
)</f>
        <v>Asia</v>
      </c>
      <c r="W141" s="195" t="str">
        <f>_xlfn.XLOOKUP(Table2[[#This Row],[Column3]],Sheet1!G:G,Sheet1!H:H)</f>
        <v>Financial services</v>
      </c>
      <c r="X141" s="195"/>
      <c r="Y141" s="195"/>
    </row>
    <row r="142" spans="1:25">
      <c r="A142" s="194" t="s">
        <v>1653</v>
      </c>
      <c r="B142" s="68">
        <v>82</v>
      </c>
      <c r="C142" s="68" t="s">
        <v>82</v>
      </c>
      <c r="D142" s="77" t="s">
        <v>4465</v>
      </c>
      <c r="E142" s="75" t="s">
        <v>4174</v>
      </c>
      <c r="F142" s="68">
        <v>2020</v>
      </c>
      <c r="G142" s="68">
        <v>2017</v>
      </c>
      <c r="H142" s="75"/>
      <c r="K142" s="75" t="s">
        <v>1957</v>
      </c>
      <c r="L142" s="68" t="s">
        <v>2896</v>
      </c>
      <c r="M142" s="76">
        <v>2020</v>
      </c>
      <c r="N142" s="88">
        <v>2017</v>
      </c>
      <c r="O142" s="86" t="s">
        <v>4170</v>
      </c>
      <c r="P142" s="75" t="s">
        <v>4217</v>
      </c>
      <c r="Q142" s="68" t="s">
        <v>4390</v>
      </c>
      <c r="R142" s="81">
        <v>2050</v>
      </c>
      <c r="S142" s="81">
        <v>2021</v>
      </c>
      <c r="T142" s="86" t="s">
        <v>4170</v>
      </c>
      <c r="U142" s="75" t="s">
        <v>361</v>
      </c>
      <c r="V142" s="195" t="str" cm="1">
        <f t="array" ref="V142">_xlfn.IFS(
  C142="United States","North America",
  C142="Canada","North America",
  C142="Mexico","North America",
  C142="Bermuda","North America",
  C142="United Kingdom","Europe",
  C142="Germany","Europe",
  C142="France","Europe",
  C142="Italy","Europe",
  C142="Switzerland","Europe",
  C142="Spain","Europe",
  C142="Netherlands","Europe",
  C142="Sweden","Europe",
  C142="Norway","Europe",
  C142="Finland","Europe",
  C142="Denmark","Europe",
  C142="Russia","Europe",
  C142="China","Asia",
  C142="Japan","Asia",
  C142="Taiwan, Province of China","Asia",
  C142="Hong Kong","Asia",
  C142="South Korea","Asia",
  C142="India","Asia",
  C142="Singapore","Asia",
  C142="Thailand","Asia",
  C142="Indonesia","Asia",
  C142="Malaysia","Asia",
  TRUE,"Other"
)</f>
        <v>North America</v>
      </c>
      <c r="W142" s="195" t="str">
        <f>_xlfn.XLOOKUP(Table2[[#This Row],[Column3]],Sheet1!G:G,Sheet1!H:H)</f>
        <v>Financial services</v>
      </c>
      <c r="X142" s="195"/>
      <c r="Y142" s="195"/>
    </row>
    <row r="143" spans="1:25">
      <c r="A143" s="194" t="s">
        <v>235</v>
      </c>
      <c r="B143" s="68">
        <v>450</v>
      </c>
      <c r="C143" s="68" t="s">
        <v>114</v>
      </c>
      <c r="D143" s="77" t="s">
        <v>4467</v>
      </c>
      <c r="E143" s="75"/>
      <c r="H143" s="75"/>
      <c r="K143" s="75"/>
      <c r="M143" s="76"/>
      <c r="N143" s="76"/>
      <c r="P143" s="75"/>
      <c r="U143" s="75" t="s">
        <v>1</v>
      </c>
      <c r="V143" s="195" t="str" cm="1">
        <f t="array" ref="V143">_xlfn.IFS(
  C143="United States","North America",
  C143="Canada","North America",
  C143="Mexico","North America",
  C143="Bermuda","North America",
  C143="United Kingdom","Europe",
  C143="Germany","Europe",
  C143="France","Europe",
  C143="Italy","Europe",
  C143="Switzerland","Europe",
  C143="Spain","Europe",
  C143="Netherlands","Europe",
  C143="Sweden","Europe",
  C143="Norway","Europe",
  C143="Finland","Europe",
  C143="Denmark","Europe",
  C143="Russia","Europe",
  C143="China","Asia",
  C143="Japan","Asia",
  C143="Taiwan, Province of China","Asia",
  C143="Hong Kong","Asia",
  C143="South Korea","Asia",
  C143="India","Asia",
  C143="Singapore","Asia",
  C143="Thailand","Asia",
  C143="Indonesia","Asia",
  C143="Malaysia","Asia",
  TRUE,"Other"
)</f>
        <v>Asia</v>
      </c>
      <c r="W143" s="195" t="str">
        <f>_xlfn.XLOOKUP(Table2[[#This Row],[Column3]],Sheet1!G:G,Sheet1!H:H)</f>
        <v>Retail</v>
      </c>
      <c r="X143" s="195"/>
      <c r="Y143" s="195"/>
    </row>
    <row r="144" spans="1:25">
      <c r="A144" s="194" t="s">
        <v>656</v>
      </c>
      <c r="B144" s="68">
        <v>353</v>
      </c>
      <c r="C144" s="68" t="s">
        <v>4338</v>
      </c>
      <c r="D144" s="77" t="s">
        <v>4467</v>
      </c>
      <c r="E144" s="75"/>
      <c r="H144" s="75"/>
      <c r="K144" s="75"/>
      <c r="M144" s="76"/>
      <c r="N144" s="76"/>
      <c r="P144" s="75" t="s">
        <v>4256</v>
      </c>
      <c r="R144" s="68">
        <v>2050</v>
      </c>
      <c r="S144" s="68">
        <v>2021</v>
      </c>
      <c r="T144" s="79" t="s">
        <v>4170</v>
      </c>
      <c r="U144" s="75" t="s">
        <v>1</v>
      </c>
      <c r="V144" s="195" t="str" cm="1">
        <f t="array" ref="V144">_xlfn.IFS(
  C144="United States","North America",
  C144="Canada","North America",
  C144="Mexico","North America",
  C144="Bermuda","North America",
  C144="United Kingdom","Europe",
  C144="Germany","Europe",
  C144="France","Europe",
  C144="Italy","Europe",
  C144="Switzerland","Europe",
  C144="Spain","Europe",
  C144="Netherlands","Europe",
  C144="Sweden","Europe",
  C144="Norway","Europe",
  C144="Finland","Europe",
  C144="Denmark","Europe",
  C144="Russia","Europe",
  C144="China","Asia",
  C144="Japan","Asia",
  C144="Taiwan, Province of China","Asia",
  C144="Hong Kong","Asia",
  C144="South Korea","Asia",
  C144="India","Asia",
  C144="Singapore","Asia",
  C144="Thailand","Asia",
  C144="Indonesia","Asia",
  C144="Malaysia","Asia",
  TRUE,"Other"
)</f>
        <v>Asia</v>
      </c>
      <c r="W144" s="195" t="str">
        <f>_xlfn.XLOOKUP(Table2[[#This Row],[Column3]],Sheet1!G:G,Sheet1!H:H)</f>
        <v>Retail</v>
      </c>
      <c r="X144" s="195"/>
      <c r="Y144" s="195"/>
    </row>
    <row r="145" spans="1:25" ht="16">
      <c r="A145" s="194" t="s">
        <v>3555</v>
      </c>
      <c r="B145" s="68">
        <v>393</v>
      </c>
      <c r="C145" s="68" t="s">
        <v>63</v>
      </c>
      <c r="D145" s="77" t="s">
        <v>4179</v>
      </c>
      <c r="E145" s="75"/>
      <c r="H145" s="75" t="s">
        <v>1957</v>
      </c>
      <c r="J145" s="68">
        <v>2018</v>
      </c>
      <c r="K145" s="75" t="s">
        <v>1957</v>
      </c>
      <c r="L145" s="68" t="s">
        <v>4389</v>
      </c>
      <c r="M145" s="76">
        <v>2050</v>
      </c>
      <c r="N145" s="76">
        <v>2020</v>
      </c>
      <c r="O145" s="78" t="s">
        <v>4170</v>
      </c>
      <c r="P145" s="75"/>
      <c r="U145" s="75" t="s">
        <v>361</v>
      </c>
      <c r="V145" s="195" t="str" cm="1">
        <f t="array" ref="V145">_xlfn.IFS(
  C145="United States","North America",
  C145="Canada","North America",
  C145="Mexico","North America",
  C145="Bermuda","North America",
  C145="United Kingdom","Europe",
  C145="Germany","Europe",
  C145="France","Europe",
  C145="Italy","Europe",
  C145="Switzerland","Europe",
  C145="Spain","Europe",
  C145="Netherlands","Europe",
  C145="Sweden","Europe",
  C145="Norway","Europe",
  C145="Finland","Europe",
  C145="Denmark","Europe",
  C145="Russia","Europe",
  C145="China","Asia",
  C145="Japan","Asia",
  C145="Taiwan, Province of China","Asia",
  C145="Hong Kong","Asia",
  C145="South Korea","Asia",
  C145="India","Asia",
  C145="Singapore","Asia",
  C145="Thailand","Asia",
  C145="Indonesia","Asia",
  C145="Malaysia","Asia",
  TRUE,"Other"
)</f>
        <v>Europe</v>
      </c>
      <c r="W145" s="195" t="str">
        <f>_xlfn.XLOOKUP(Table2[[#This Row],[Column3]],Sheet1!G:G,Sheet1!H:H)</f>
        <v>Transportation and logistics</v>
      </c>
      <c r="X145" s="195"/>
      <c r="Y145" s="195"/>
    </row>
    <row r="146" spans="1:25" ht="16">
      <c r="A146" s="194" t="s">
        <v>517</v>
      </c>
      <c r="B146" s="68">
        <v>370</v>
      </c>
      <c r="C146" s="68" t="s">
        <v>82</v>
      </c>
      <c r="D146" s="77" t="s">
        <v>4455</v>
      </c>
      <c r="E146" s="75"/>
      <c r="H146" s="75" t="s">
        <v>4183</v>
      </c>
      <c r="I146" s="68">
        <v>2030</v>
      </c>
      <c r="J146" s="68">
        <v>2019</v>
      </c>
      <c r="K146" s="75"/>
      <c r="M146" s="76"/>
      <c r="N146" s="76"/>
      <c r="P146" s="75" t="s">
        <v>4172</v>
      </c>
      <c r="Q146" s="68" t="s">
        <v>2760</v>
      </c>
      <c r="R146" s="68">
        <v>2040</v>
      </c>
      <c r="S146" s="68">
        <v>2020</v>
      </c>
      <c r="T146" s="78" t="s">
        <v>4170</v>
      </c>
      <c r="U146" s="75" t="s">
        <v>361</v>
      </c>
      <c r="V146" s="195" t="str" cm="1">
        <f t="array" ref="V146">_xlfn.IFS(
  C146="United States","North America",
  C146="Canada","North America",
  C146="Mexico","North America",
  C146="Bermuda","North America",
  C146="United Kingdom","Europe",
  C146="Germany","Europe",
  C146="France","Europe",
  C146="Italy","Europe",
  C146="Switzerland","Europe",
  C146="Spain","Europe",
  C146="Netherlands","Europe",
  C146="Sweden","Europe",
  C146="Norway","Europe",
  C146="Finland","Europe",
  C146="Denmark","Europe",
  C146="Russia","Europe",
  C146="China","Asia",
  C146="Japan","Asia",
  C146="Taiwan, Province of China","Asia",
  C146="Hong Kong","Asia",
  C146="South Korea","Asia",
  C146="India","Asia",
  C146="Singapore","Asia",
  C146="Thailand","Asia",
  C146="Indonesia","Asia",
  C146="Malaysia","Asia",
  TRUE,"Other"
)</f>
        <v>North America</v>
      </c>
      <c r="W146" s="195" t="str">
        <f>_xlfn.XLOOKUP(Table2[[#This Row],[Column3]],Sheet1!G:G,Sheet1!H:H)</f>
        <v>Food, beverages and agriculture</v>
      </c>
      <c r="X146" s="195"/>
      <c r="Y146" s="195"/>
    </row>
    <row r="147" spans="1:25">
      <c r="A147" s="194" t="s">
        <v>1387</v>
      </c>
      <c r="B147" s="68">
        <v>112</v>
      </c>
      <c r="C147" s="68" t="s">
        <v>73</v>
      </c>
      <c r="D147" s="77" t="s">
        <v>4465</v>
      </c>
      <c r="E147" s="75"/>
      <c r="H147" s="75"/>
      <c r="K147" s="75"/>
      <c r="M147" s="76"/>
      <c r="N147" s="76"/>
      <c r="P147" s="75"/>
      <c r="U147" s="75" t="s">
        <v>1</v>
      </c>
      <c r="V147" s="195" t="str" cm="1">
        <f t="array" ref="V147">_xlfn.IFS(
  C147="United States","North America",
  C147="Canada","North America",
  C147="Mexico","North America",
  C147="Bermuda","North America",
  C147="United Kingdom","Europe",
  C147="Germany","Europe",
  C147="France","Europe",
  C147="Italy","Europe",
  C147="Switzerland","Europe",
  C147="Spain","Europe",
  C147="Netherlands","Europe",
  C147="Sweden","Europe",
  C147="Norway","Europe",
  C147="Finland","Europe",
  C147="Denmark","Europe",
  C147="Russia","Europe",
  C147="China","Asia",
  C147="Japan","Asia",
  C147="Taiwan, Province of China","Asia",
  C147="Hong Kong","Asia",
  C147="South Korea","Asia",
  C147="India","Asia",
  C147="Singapore","Asia",
  C147="Thailand","Asia",
  C147="Indonesia","Asia",
  C147="Malaysia","Asia",
  TRUE,"Other"
)</f>
        <v>Asia</v>
      </c>
      <c r="W147" s="195" t="str">
        <f>_xlfn.XLOOKUP(Table2[[#This Row],[Column3]],Sheet1!G:G,Sheet1!H:H)</f>
        <v>Financial services</v>
      </c>
      <c r="X147" s="195"/>
      <c r="Y147" s="195"/>
    </row>
    <row r="148" spans="1:25" ht="16">
      <c r="A148" s="194" t="s">
        <v>3537</v>
      </c>
      <c r="B148" s="68">
        <v>478</v>
      </c>
      <c r="C148" s="68" t="s">
        <v>161</v>
      </c>
      <c r="D148" s="77" t="s">
        <v>4455</v>
      </c>
      <c r="E148" s="75"/>
      <c r="H148" s="75"/>
      <c r="K148" s="75"/>
      <c r="M148" s="76"/>
      <c r="N148" s="76"/>
      <c r="P148" s="75" t="s">
        <v>4388</v>
      </c>
      <c r="R148" s="68">
        <v>2050</v>
      </c>
      <c r="S148" s="68">
        <v>2021</v>
      </c>
      <c r="T148" s="78" t="s">
        <v>4170</v>
      </c>
      <c r="U148" s="75" t="s">
        <v>1</v>
      </c>
      <c r="V148" s="195" t="str" cm="1">
        <f t="array" ref="V148">_xlfn.IFS(
  C148="United States","North America",
  C148="Canada","North America",
  C148="Mexico","North America",
  C148="Bermuda","North America",
  C148="United Kingdom","Europe",
  C148="Germany","Europe",
  C148="France","Europe",
  C148="Italy","Europe",
  C148="Switzerland","Europe",
  C148="Spain","Europe",
  C148="Netherlands","Europe",
  C148="Sweden","Europe",
  C148="Norway","Europe",
  C148="Finland","Europe",
  C148="Denmark","Europe",
  C148="Russia","Europe",
  C148="China","Asia",
  C148="Japan","Asia",
  C148="Taiwan, Province of China","Asia",
  C148="Hong Kong","Asia",
  C148="South Korea","Asia",
  C148="India","Asia",
  C148="Singapore","Asia",
  C148="Thailand","Asia",
  C148="Indonesia","Asia",
  C148="Malaysia","Asia",
  TRUE,"Other"
)</f>
        <v>Other</v>
      </c>
      <c r="W148" s="195" t="str">
        <f>_xlfn.XLOOKUP(Table2[[#This Row],[Column3]],Sheet1!G:G,Sheet1!H:H)</f>
        <v>Food, beverages and agriculture</v>
      </c>
      <c r="X148" s="195"/>
      <c r="Y148" s="195"/>
    </row>
    <row r="149" spans="1:25">
      <c r="A149" s="194" t="s">
        <v>1642</v>
      </c>
      <c r="B149" s="68">
        <v>64</v>
      </c>
      <c r="C149" s="68" t="s">
        <v>82</v>
      </c>
      <c r="D149" s="77" t="s">
        <v>4190</v>
      </c>
      <c r="E149" s="75"/>
      <c r="H149" s="75"/>
      <c r="K149" s="75" t="s">
        <v>1957</v>
      </c>
      <c r="L149" s="68" t="s">
        <v>4387</v>
      </c>
      <c r="M149" s="76">
        <v>2035</v>
      </c>
      <c r="N149" s="76">
        <v>2021</v>
      </c>
      <c r="O149" s="79" t="s">
        <v>4170</v>
      </c>
      <c r="P149" s="75"/>
      <c r="U149" s="75" t="s">
        <v>1</v>
      </c>
      <c r="V149" s="195" t="str" cm="1">
        <f t="array" ref="V149">_xlfn.IFS(
  C149="United States","North America",
  C149="Canada","North America",
  C149="Mexico","North America",
  C149="Bermuda","North America",
  C149="United Kingdom","Europe",
  C149="Germany","Europe",
  C149="France","Europe",
  C149="Italy","Europe",
  C149="Switzerland","Europe",
  C149="Spain","Europe",
  C149="Netherlands","Europe",
  C149="Sweden","Europe",
  C149="Norway","Europe",
  C149="Finland","Europe",
  C149="Denmark","Europe",
  C149="Russia","Europe",
  C149="China","Asia",
  C149="Japan","Asia",
  C149="Taiwan, Province of China","Asia",
  C149="Hong Kong","Asia",
  C149="South Korea","Asia",
  C149="India","Asia",
  C149="Singapore","Asia",
  C149="Thailand","Asia",
  C149="Indonesia","Asia",
  C149="Malaysia","Asia",
  TRUE,"Other"
)</f>
        <v>North America</v>
      </c>
      <c r="W149" s="195" t="str">
        <f>_xlfn.XLOOKUP(Table2[[#This Row],[Column3]],Sheet1!G:G,Sheet1!H:H)</f>
        <v>Telecommunications and media</v>
      </c>
      <c r="X149" s="195"/>
      <c r="Y149" s="195"/>
    </row>
    <row r="150" spans="1:25">
      <c r="A150" s="194" t="s">
        <v>600</v>
      </c>
      <c r="B150" s="68">
        <v>498</v>
      </c>
      <c r="C150" s="68" t="s">
        <v>161</v>
      </c>
      <c r="D150" s="77" t="s">
        <v>4465</v>
      </c>
      <c r="E150" s="75" t="s">
        <v>4174</v>
      </c>
      <c r="F150" s="68">
        <v>2030</v>
      </c>
      <c r="G150" s="68">
        <v>2018</v>
      </c>
      <c r="H150" s="75"/>
      <c r="K150" s="75"/>
      <c r="M150" s="76"/>
      <c r="N150" s="76"/>
      <c r="P150" s="75"/>
      <c r="U150" s="75" t="s">
        <v>361</v>
      </c>
      <c r="V150" s="195" t="str" cm="1">
        <f t="array" ref="V150">_xlfn.IFS(
  C150="United States","North America",
  C150="Canada","North America",
  C150="Mexico","North America",
  C150="Bermuda","North America",
  C150="United Kingdom","Europe",
  C150="Germany","Europe",
  C150="France","Europe",
  C150="Italy","Europe",
  C150="Switzerland","Europe",
  C150="Spain","Europe",
  C150="Netherlands","Europe",
  C150="Sweden","Europe",
  C150="Norway","Europe",
  C150="Finland","Europe",
  C150="Denmark","Europe",
  C150="Russia","Europe",
  C150="China","Asia",
  C150="Japan","Asia",
  C150="Taiwan, Province of China","Asia",
  C150="Hong Kong","Asia",
  C150="South Korea","Asia",
  C150="India","Asia",
  C150="Singapore","Asia",
  C150="Thailand","Asia",
  C150="Indonesia","Asia",
  C150="Malaysia","Asia",
  TRUE,"Other"
)</f>
        <v>Other</v>
      </c>
      <c r="W150" s="195" t="str">
        <f>_xlfn.XLOOKUP(Table2[[#This Row],[Column3]],Sheet1!G:G,Sheet1!H:H)</f>
        <v>Financial services</v>
      </c>
      <c r="X150" s="195"/>
      <c r="Y150" s="195"/>
    </row>
    <row r="151" spans="1:25">
      <c r="A151" s="194" t="s">
        <v>529</v>
      </c>
      <c r="B151" s="68">
        <v>339</v>
      </c>
      <c r="C151" s="68" t="s">
        <v>3277</v>
      </c>
      <c r="D151" s="77" t="s">
        <v>186</v>
      </c>
      <c r="E151" s="75"/>
      <c r="H151" s="75"/>
      <c r="K151" s="75"/>
      <c r="M151" s="76"/>
      <c r="N151" s="76"/>
      <c r="P151" s="75"/>
      <c r="U151" s="75" t="s">
        <v>1</v>
      </c>
      <c r="V151" s="195" t="str" cm="1">
        <f t="array" ref="V151">_xlfn.IFS(
  C151="United States","North America",
  C151="Canada","North America",
  C151="Mexico","North America",
  C151="Bermuda","North America",
  C151="United Kingdom","Europe",
  C151="Germany","Europe",
  C151="France","Europe",
  C151="Italy","Europe",
  C151="Switzerland","Europe",
  C151="Spain","Europe",
  C151="Netherlands","Europe",
  C151="Sweden","Europe",
  C151="Norway","Europe",
  C151="Finland","Europe",
  C151="Denmark","Europe",
  C151="Russia","Europe",
  C151="China","Asia",
  C151="Japan","Asia",
  C151="Taiwan, Province of China","Asia",
  C151="Hong Kong","Asia",
  C151="South Korea","Asia",
  C151="India","Asia",
  C151="Singapore","Asia",
  C151="Thailand","Asia",
  C151="Indonesia","Asia",
  C151="Malaysia","Asia",
  TRUE,"Other"
)</f>
        <v>Asia</v>
      </c>
      <c r="W151" s="195" t="str">
        <f>_xlfn.XLOOKUP(Table2[[#This Row],[Column3]],Sheet1!G:G,Sheet1!H:H)</f>
        <v>Technology</v>
      </c>
      <c r="X151" s="195"/>
      <c r="Y151" s="195"/>
    </row>
    <row r="152" spans="1:25">
      <c r="A152" s="194" t="s">
        <v>477</v>
      </c>
      <c r="B152" s="68">
        <v>477</v>
      </c>
      <c r="C152" s="68" t="s">
        <v>4195</v>
      </c>
      <c r="D152" s="77" t="s">
        <v>4455</v>
      </c>
      <c r="E152" s="75"/>
      <c r="H152" s="75" t="s">
        <v>1957</v>
      </c>
      <c r="J152" s="68">
        <v>2019</v>
      </c>
      <c r="K152" s="75"/>
      <c r="M152" s="76"/>
      <c r="N152" s="76"/>
      <c r="P152" s="75"/>
      <c r="R152" s="81"/>
      <c r="U152" s="75" t="s">
        <v>361</v>
      </c>
      <c r="V152" s="195" t="str" cm="1">
        <f t="array" ref="V152">_xlfn.IFS(
  C152="United States","North America",
  C152="Canada","North America",
  C152="Mexico","North America",
  C152="Bermuda","North America",
  C152="United Kingdom","Europe",
  C152="Germany","Europe",
  C152="France","Europe",
  C152="Italy","Europe",
  C152="Switzerland","Europe",
  C152="Spain","Europe",
  C152="Netherlands","Europe",
  C152="Sweden","Europe",
  C152="Norway","Europe",
  C152="Finland","Europe",
  C152="Denmark","Europe",
  C152="Russia","Europe",
  C152="China","Asia",
  C152="Japan","Asia",
  C152="Taiwan, Province of China","Asia",
  C152="Hong Kong","Asia",
  C152="South Korea","Asia",
  C152="India","Asia",
  C152="Singapore","Asia",
  C152="Thailand","Asia",
  C152="Indonesia","Asia",
  C152="Malaysia","Asia",
  TRUE,"Other"
)</f>
        <v>Europe</v>
      </c>
      <c r="W152" s="195" t="str">
        <f>_xlfn.XLOOKUP(Table2[[#This Row],[Column3]],Sheet1!G:G,Sheet1!H:H)</f>
        <v>Food, beverages and agriculture</v>
      </c>
      <c r="X152" s="195"/>
      <c r="Y152" s="195"/>
    </row>
    <row r="153" spans="1:25" ht="16">
      <c r="A153" s="194" t="s">
        <v>1143</v>
      </c>
      <c r="B153" s="68">
        <v>272</v>
      </c>
      <c r="C153" s="68" t="s">
        <v>146</v>
      </c>
      <c r="D153" s="77" t="s">
        <v>4476</v>
      </c>
      <c r="E153" s="75" t="s">
        <v>4174</v>
      </c>
      <c r="F153" s="68">
        <v>2040</v>
      </c>
      <c r="G153" s="68">
        <v>2020</v>
      </c>
      <c r="H153" s="75" t="s">
        <v>4183</v>
      </c>
      <c r="I153" s="68">
        <v>2030</v>
      </c>
      <c r="J153" s="68">
        <v>2020</v>
      </c>
      <c r="K153" s="75" t="s">
        <v>4213</v>
      </c>
      <c r="L153" s="68" t="s">
        <v>4386</v>
      </c>
      <c r="M153" s="76">
        <v>2040</v>
      </c>
      <c r="N153" s="76">
        <v>2020</v>
      </c>
      <c r="O153" s="78" t="s">
        <v>4170</v>
      </c>
      <c r="P153" s="75"/>
      <c r="U153" s="75" t="s">
        <v>361</v>
      </c>
      <c r="V153" s="195" t="str" cm="1">
        <f t="array" ref="V153">_xlfn.IFS(
  C153="United States","North America",
  C153="Canada","North America",
  C153="Mexico","North America",
  C153="Bermuda","North America",
  C153="United Kingdom","Europe",
  C153="Germany","Europe",
  C153="France","Europe",
  C153="Italy","Europe",
  C153="Switzerland","Europe",
  C153="Spain","Europe",
  C153="Netherlands","Europe",
  C153="Sweden","Europe",
  C153="Norway","Europe",
  C153="Finland","Europe",
  C153="Denmark","Europe",
  C153="Russia","Europe",
  C153="China","Asia",
  C153="Japan","Asia",
  C153="Taiwan, Province of China","Asia",
  C153="Hong Kong","Asia",
  C153="South Korea","Asia",
  C153="India","Asia",
  C153="Singapore","Asia",
  C153="Thailand","Asia",
  C153="Indonesia","Asia",
  C153="Malaysia","Asia",
  TRUE,"Other"
)</f>
        <v>Europe</v>
      </c>
      <c r="W153" s="195" t="str">
        <f>_xlfn.XLOOKUP(Table2[[#This Row],[Column3]],Sheet1!G:G,Sheet1!H:H)</f>
        <v>Automotive</v>
      </c>
      <c r="X153" s="195"/>
      <c r="Y153" s="195"/>
    </row>
    <row r="154" spans="1:25">
      <c r="A154" s="194" t="s">
        <v>415</v>
      </c>
      <c r="B154" s="68">
        <v>397</v>
      </c>
      <c r="C154" s="68" t="s">
        <v>287</v>
      </c>
      <c r="D154" s="77" t="s">
        <v>4455</v>
      </c>
      <c r="E154" s="75"/>
      <c r="H154" s="75"/>
      <c r="K154" s="75" t="s">
        <v>1957</v>
      </c>
      <c r="L154" s="68" t="s">
        <v>4385</v>
      </c>
      <c r="M154" s="76">
        <v>2023</v>
      </c>
      <c r="N154" s="76">
        <v>2008</v>
      </c>
      <c r="O154" s="79" t="s">
        <v>4170</v>
      </c>
      <c r="P154" s="75"/>
      <c r="U154" s="75" t="s">
        <v>361</v>
      </c>
      <c r="V154" s="195" t="str" cm="1">
        <f t="array" ref="V154">_xlfn.IFS(
  C154="United States","North America",
  C154="Canada","North America",
  C154="Mexico","North America",
  C154="Bermuda","North America",
  C154="United Kingdom","Europe",
  C154="Germany","Europe",
  C154="France","Europe",
  C154="Italy","Europe",
  C154="Switzerland","Europe",
  C154="Spain","Europe",
  C154="Netherlands","Europe",
  C154="Sweden","Europe",
  C154="Norway","Europe",
  C154="Finland","Europe",
  C154="Denmark","Europe",
  C154="Russia","Europe",
  C154="China","Asia",
  C154="Japan","Asia",
  C154="Taiwan, Province of China","Asia",
  C154="Hong Kong","Asia",
  C154="South Korea","Asia",
  C154="India","Asia",
  C154="Singapore","Asia",
  C154="Thailand","Asia",
  C154="Indonesia","Asia",
  C154="Malaysia","Asia",
  TRUE,"Other"
)</f>
        <v>Europe</v>
      </c>
      <c r="W154" s="195" t="str">
        <f>_xlfn.XLOOKUP(Table2[[#This Row],[Column3]],Sheet1!G:G,Sheet1!H:H)</f>
        <v>Food, beverages and agriculture</v>
      </c>
      <c r="X154" s="195"/>
      <c r="Y154" s="195"/>
    </row>
    <row r="155" spans="1:25">
      <c r="A155" s="194" t="s">
        <v>1767</v>
      </c>
      <c r="B155" s="68">
        <v>27</v>
      </c>
      <c r="C155" s="68" t="s">
        <v>82</v>
      </c>
      <c r="D155" s="77" t="s">
        <v>4467</v>
      </c>
      <c r="E155" s="75"/>
      <c r="H155" s="75"/>
      <c r="K155" s="75"/>
      <c r="M155" s="76"/>
      <c r="N155" s="76"/>
      <c r="P155" s="75"/>
      <c r="U155" s="75" t="s">
        <v>1</v>
      </c>
      <c r="V155" s="195" t="str" cm="1">
        <f t="array" ref="V155">_xlfn.IFS(
  C155="United States","North America",
  C155="Canada","North America",
  C155="Mexico","North America",
  C155="Bermuda","North America",
  C155="United Kingdom","Europe",
  C155="Germany","Europe",
  C155="France","Europe",
  C155="Italy","Europe",
  C155="Switzerland","Europe",
  C155="Spain","Europe",
  C155="Netherlands","Europe",
  C155="Sweden","Europe",
  C155="Norway","Europe",
  C155="Finland","Europe",
  C155="Denmark","Europe",
  C155="Russia","Europe",
  C155="China","Asia",
  C155="Japan","Asia",
  C155="Taiwan, Province of China","Asia",
  C155="Hong Kong","Asia",
  C155="South Korea","Asia",
  C155="India","Asia",
  C155="Singapore","Asia",
  C155="Thailand","Asia",
  C155="Indonesia","Asia",
  C155="Malaysia","Asia",
  TRUE,"Other"
)</f>
        <v>North America</v>
      </c>
      <c r="W155" s="195" t="str">
        <f>_xlfn.XLOOKUP(Table2[[#This Row],[Column3]],Sheet1!G:G,Sheet1!H:H)</f>
        <v>Retail</v>
      </c>
      <c r="X155" s="195"/>
      <c r="Y155" s="195"/>
    </row>
    <row r="156" spans="1:25">
      <c r="A156" s="194" t="s">
        <v>1232</v>
      </c>
      <c r="B156" s="68">
        <v>139</v>
      </c>
      <c r="C156" s="68" t="s">
        <v>73</v>
      </c>
      <c r="D156" s="77" t="s">
        <v>976</v>
      </c>
      <c r="E156" s="75"/>
      <c r="H156" s="75"/>
      <c r="K156" s="75" t="s">
        <v>4224</v>
      </c>
      <c r="M156" s="76">
        <v>2060</v>
      </c>
      <c r="N156" s="76">
        <v>2021</v>
      </c>
      <c r="O156" s="79" t="s">
        <v>4170</v>
      </c>
      <c r="P156" s="75"/>
      <c r="U156" s="75" t="s">
        <v>1</v>
      </c>
      <c r="V156" s="195" t="str" cm="1">
        <f t="array" ref="V156">_xlfn.IFS(
  C156="United States","North America",
  C156="Canada","North America",
  C156="Mexico","North America",
  C156="Bermuda","North America",
  C156="United Kingdom","Europe",
  C156="Germany","Europe",
  C156="France","Europe",
  C156="Italy","Europe",
  C156="Switzerland","Europe",
  C156="Spain","Europe",
  C156="Netherlands","Europe",
  C156="Sweden","Europe",
  C156="Norway","Europe",
  C156="Finland","Europe",
  C156="Denmark","Europe",
  C156="Russia","Europe",
  C156="China","Asia",
  C156="Japan","Asia",
  C156="Taiwan, Province of China","Asia",
  C156="Hong Kong","Asia",
  C156="South Korea","Asia",
  C156="India","Asia",
  C156="Singapore","Asia",
  C156="Thailand","Asia",
  C156="Indonesia","Asia",
  C156="Malaysia","Asia",
  TRUE,"Other"
)</f>
        <v>Asia</v>
      </c>
      <c r="W156" s="195" t="str">
        <f>_xlfn.XLOOKUP(Table2[[#This Row],[Column3]],Sheet1!G:G,Sheet1!H:H)</f>
        <v>Real estate</v>
      </c>
      <c r="X156" s="195"/>
      <c r="Y156" s="195"/>
    </row>
    <row r="157" spans="1:25">
      <c r="A157" s="194" t="s">
        <v>1573</v>
      </c>
      <c r="B157" s="68">
        <v>93</v>
      </c>
      <c r="C157" s="68" t="s">
        <v>63</v>
      </c>
      <c r="D157" s="77" t="s">
        <v>4465</v>
      </c>
      <c r="E157" s="75" t="s">
        <v>4174</v>
      </c>
      <c r="F157" s="68" t="s">
        <v>1251</v>
      </c>
      <c r="G157" s="68">
        <v>2016</v>
      </c>
      <c r="H157" s="75" t="s">
        <v>1957</v>
      </c>
      <c r="J157" s="68">
        <v>2016</v>
      </c>
      <c r="K157" s="75"/>
      <c r="M157" s="76"/>
      <c r="N157" s="76"/>
      <c r="P157" s="75" t="s">
        <v>4172</v>
      </c>
      <c r="Q157" s="68" t="s">
        <v>4384</v>
      </c>
      <c r="R157" s="68">
        <v>2050</v>
      </c>
      <c r="S157" s="68">
        <v>2021</v>
      </c>
      <c r="T157" s="80" t="s">
        <v>4170</v>
      </c>
      <c r="U157" s="75" t="s">
        <v>361</v>
      </c>
      <c r="V157" s="195" t="str" cm="1">
        <f t="array" ref="V157">_xlfn.IFS(
  C157="United States","North America",
  C157="Canada","North America",
  C157="Mexico","North America",
  C157="Bermuda","North America",
  C157="United Kingdom","Europe",
  C157="Germany","Europe",
  C157="France","Europe",
  C157="Italy","Europe",
  C157="Switzerland","Europe",
  C157="Spain","Europe",
  C157="Netherlands","Europe",
  C157="Sweden","Europe",
  C157="Norway","Europe",
  C157="Finland","Europe",
  C157="Denmark","Europe",
  C157="Russia","Europe",
  C157="China","Asia",
  C157="Japan","Asia",
  C157="Taiwan, Province of China","Asia",
  C157="Hong Kong","Asia",
  C157="South Korea","Asia",
  C157="India","Asia",
  C157="Singapore","Asia",
  C157="Thailand","Asia",
  C157="Indonesia","Asia",
  C157="Malaysia","Asia",
  TRUE,"Other"
)</f>
        <v>Europe</v>
      </c>
      <c r="W157" s="195" t="str">
        <f>_xlfn.XLOOKUP(Table2[[#This Row],[Column3]],Sheet1!G:G,Sheet1!H:H)</f>
        <v>Financial services</v>
      </c>
      <c r="X157" s="195"/>
      <c r="Y157" s="195"/>
    </row>
    <row r="158" spans="1:25" ht="16">
      <c r="A158" s="194" t="s">
        <v>634</v>
      </c>
      <c r="B158" s="68">
        <v>378</v>
      </c>
      <c r="C158" s="68" t="s">
        <v>287</v>
      </c>
      <c r="D158" s="77" t="s">
        <v>4465</v>
      </c>
      <c r="E158" s="75" t="s">
        <v>4174</v>
      </c>
      <c r="F158" s="68">
        <v>2025</v>
      </c>
      <c r="G158" s="68">
        <v>2020</v>
      </c>
      <c r="H158" s="75" t="s">
        <v>1957</v>
      </c>
      <c r="J158" s="68">
        <v>2021</v>
      </c>
      <c r="K158" s="75" t="s">
        <v>1957</v>
      </c>
      <c r="L158" s="68" t="s">
        <v>1659</v>
      </c>
      <c r="M158" s="76">
        <v>2010</v>
      </c>
      <c r="N158" s="76">
        <v>2008</v>
      </c>
      <c r="O158" s="78" t="s">
        <v>4170</v>
      </c>
      <c r="P158" s="75" t="s">
        <v>4172</v>
      </c>
      <c r="Q158" s="68" t="s">
        <v>4383</v>
      </c>
      <c r="R158" s="68">
        <v>2050</v>
      </c>
      <c r="S158" s="68">
        <v>2020</v>
      </c>
      <c r="T158" s="78" t="s">
        <v>4170</v>
      </c>
      <c r="U158" s="75" t="s">
        <v>361</v>
      </c>
      <c r="V158" s="195" t="str" cm="1">
        <f t="array" ref="V158">_xlfn.IFS(
  C158="United States","North America",
  C158="Canada","North America",
  C158="Mexico","North America",
  C158="Bermuda","North America",
  C158="United Kingdom","Europe",
  C158="Germany","Europe",
  C158="France","Europe",
  C158="Italy","Europe",
  C158="Switzerland","Europe",
  C158="Spain","Europe",
  C158="Netherlands","Europe",
  C158="Sweden","Europe",
  C158="Norway","Europe",
  C158="Finland","Europe",
  C158="Denmark","Europe",
  C158="Russia","Europe",
  C158="China","Asia",
  C158="Japan","Asia",
  C158="Taiwan, Province of China","Asia",
  C158="Hong Kong","Asia",
  C158="South Korea","Asia",
  C158="India","Asia",
  C158="Singapore","Asia",
  C158="Thailand","Asia",
  C158="Indonesia","Asia",
  C158="Malaysia","Asia",
  TRUE,"Other"
)</f>
        <v>Europe</v>
      </c>
      <c r="W158" s="195" t="str">
        <f>_xlfn.XLOOKUP(Table2[[#This Row],[Column3]],Sheet1!G:G,Sheet1!H:H)</f>
        <v>Financial services</v>
      </c>
      <c r="X158" s="195"/>
      <c r="Y158" s="195"/>
    </row>
    <row r="159" spans="1:25">
      <c r="A159" s="194" t="s">
        <v>498</v>
      </c>
      <c r="B159" s="68">
        <v>441</v>
      </c>
      <c r="C159" s="68" t="s">
        <v>400</v>
      </c>
      <c r="D159" s="77" t="s">
        <v>4459</v>
      </c>
      <c r="E159" s="75"/>
      <c r="H159" s="75"/>
      <c r="K159" s="75" t="s">
        <v>4193</v>
      </c>
      <c r="L159" s="68" t="s">
        <v>4382</v>
      </c>
      <c r="M159" s="76">
        <v>2050</v>
      </c>
      <c r="N159" s="76">
        <v>2020</v>
      </c>
      <c r="O159" s="79" t="s">
        <v>4170</v>
      </c>
      <c r="P159" s="75"/>
      <c r="U159" s="75" t="s">
        <v>1</v>
      </c>
      <c r="V159" s="195" t="str" cm="1">
        <f t="array" ref="V159">_xlfn.IFS(
  C159="United States","North America",
  C159="Canada","North America",
  C159="Mexico","North America",
  C159="Bermuda","North America",
  C159="United Kingdom","Europe",
  C159="Germany","Europe",
  C159="France","Europe",
  C159="Italy","Europe",
  C159="Switzerland","Europe",
  C159="Spain","Europe",
  C159="Netherlands","Europe",
  C159="Sweden","Europe",
  C159="Norway","Europe",
  C159="Finland","Europe",
  C159="Denmark","Europe",
  C159="Russia","Europe",
  C159="China","Asia",
  C159="Japan","Asia",
  C159="Taiwan, Province of China","Asia",
  C159="Hong Kong","Asia",
  C159="South Korea","Asia",
  C159="India","Asia",
  C159="Singapore","Asia",
  C159="Thailand","Asia",
  C159="Indonesia","Asia",
  C159="Malaysia","Asia",
  TRUE,"Other"
)</f>
        <v>Other</v>
      </c>
      <c r="W159" s="195" t="str">
        <f>_xlfn.XLOOKUP(Table2[[#This Row],[Column3]],Sheet1!G:G,Sheet1!H:H)</f>
        <v>Industrial goods</v>
      </c>
      <c r="X159" s="195"/>
      <c r="Y159" s="195"/>
    </row>
    <row r="160" spans="1:25">
      <c r="A160" s="194" t="s">
        <v>638</v>
      </c>
      <c r="B160" s="68">
        <v>349</v>
      </c>
      <c r="C160" s="68" t="s">
        <v>73</v>
      </c>
      <c r="D160" s="77" t="s">
        <v>4459</v>
      </c>
      <c r="E160" s="75"/>
      <c r="H160" s="75"/>
      <c r="K160" s="75"/>
      <c r="M160" s="76"/>
      <c r="N160" s="76"/>
      <c r="P160" s="75"/>
      <c r="U160" s="75" t="s">
        <v>1</v>
      </c>
      <c r="V160" s="195" t="str" cm="1">
        <f t="array" ref="V160">_xlfn.IFS(
  C160="United States","North America",
  C160="Canada","North America",
  C160="Mexico","North America",
  C160="Bermuda","North America",
  C160="United Kingdom","Europe",
  C160="Germany","Europe",
  C160="France","Europe",
  C160="Italy","Europe",
  C160="Switzerland","Europe",
  C160="Spain","Europe",
  C160="Netherlands","Europe",
  C160="Sweden","Europe",
  C160="Norway","Europe",
  C160="Finland","Europe",
  C160="Denmark","Europe",
  C160="Russia","Europe",
  C160="China","Asia",
  C160="Japan","Asia",
  C160="Taiwan, Province of China","Asia",
  C160="Hong Kong","Asia",
  C160="South Korea","Asia",
  C160="India","Asia",
  C160="Singapore","Asia",
  C160="Thailand","Asia",
  C160="Indonesia","Asia",
  C160="Malaysia","Asia",
  TRUE,"Other"
)</f>
        <v>Asia</v>
      </c>
      <c r="W160" s="195" t="str">
        <f>_xlfn.XLOOKUP(Table2[[#This Row],[Column3]],Sheet1!G:G,Sheet1!H:H)</f>
        <v>Industrial goods</v>
      </c>
      <c r="X160" s="195"/>
      <c r="Y160" s="195"/>
    </row>
    <row r="161" spans="1:25">
      <c r="A161" s="194" t="s">
        <v>1815</v>
      </c>
      <c r="B161" s="68">
        <v>7</v>
      </c>
      <c r="C161" s="68" t="s">
        <v>82</v>
      </c>
      <c r="D161" s="77" t="s">
        <v>4201</v>
      </c>
      <c r="E161" s="75"/>
      <c r="H161" s="75" t="s">
        <v>4183</v>
      </c>
      <c r="I161" s="68">
        <v>2030</v>
      </c>
      <c r="J161" s="68">
        <v>2018</v>
      </c>
      <c r="K161" s="75"/>
      <c r="M161" s="76"/>
      <c r="N161" s="76"/>
      <c r="P161" s="75"/>
      <c r="U161" s="75" t="s">
        <v>361</v>
      </c>
      <c r="V161" s="195" t="str" cm="1">
        <f t="array" ref="V161">_xlfn.IFS(
  C161="United States","North America",
  C161="Canada","North America",
  C161="Mexico","North America",
  C161="Bermuda","North America",
  C161="United Kingdom","Europe",
  C161="Germany","Europe",
  C161="France","Europe",
  C161="Italy","Europe",
  C161="Switzerland","Europe",
  C161="Spain","Europe",
  C161="Netherlands","Europe",
  C161="Sweden","Europe",
  C161="Norway","Europe",
  C161="Finland","Europe",
  C161="Denmark","Europe",
  C161="Russia","Europe",
  C161="China","Asia",
  C161="Japan","Asia",
  C161="Taiwan, Province of China","Asia",
  C161="Hong Kong","Asia",
  C161="South Korea","Asia",
  C161="India","Asia",
  C161="Singapore","Asia",
  C161="Thailand","Asia",
  C161="Indonesia","Asia",
  C161="Malaysia","Asia",
  TRUE,"Other"
)</f>
        <v>North America</v>
      </c>
      <c r="W161" s="195" t="str">
        <f>_xlfn.XLOOKUP(Table2[[#This Row],[Column3]],Sheet1!G:G,Sheet1!H:H)</f>
        <v>Health care and pharmaceuticals</v>
      </c>
      <c r="X161" s="195"/>
      <c r="Y161" s="195"/>
    </row>
    <row r="162" spans="1:25" ht="16">
      <c r="A162" s="194" t="s">
        <v>1318</v>
      </c>
      <c r="B162" s="68">
        <v>119</v>
      </c>
      <c r="C162" s="68" t="s">
        <v>207</v>
      </c>
      <c r="D162" s="77" t="s">
        <v>4465</v>
      </c>
      <c r="E162" s="75"/>
      <c r="H162" s="75"/>
      <c r="K162" s="75"/>
      <c r="M162" s="76"/>
      <c r="N162" s="76"/>
      <c r="P162" s="75" t="s">
        <v>4256</v>
      </c>
      <c r="Q162" s="68" t="s">
        <v>4381</v>
      </c>
      <c r="R162" s="68">
        <v>2050</v>
      </c>
      <c r="S162" s="68">
        <v>2020</v>
      </c>
      <c r="T162" s="78" t="s">
        <v>4170</v>
      </c>
      <c r="U162" s="75" t="s">
        <v>1</v>
      </c>
      <c r="V162" s="195" t="str" cm="1">
        <f t="array" ref="V162">_xlfn.IFS(
  C162="United States","North America",
  C162="Canada","North America",
  C162="Mexico","North America",
  C162="Bermuda","North America",
  C162="United Kingdom","Europe",
  C162="Germany","Europe",
  C162="France","Europe",
  C162="Italy","Europe",
  C162="Switzerland","Europe",
  C162="Spain","Europe",
  C162="Netherlands","Europe",
  C162="Sweden","Europe",
  C162="Norway","Europe",
  C162="Finland","Europe",
  C162="Denmark","Europe",
  C162="Russia","Europe",
  C162="China","Asia",
  C162="Japan","Asia",
  C162="Taiwan, Province of China","Asia",
  C162="Hong Kong","Asia",
  C162="South Korea","Asia",
  C162="India","Asia",
  C162="Singapore","Asia",
  C162="Thailand","Asia",
  C162="Indonesia","Asia",
  C162="Malaysia","Asia",
  TRUE,"Other"
)</f>
        <v>Asia</v>
      </c>
      <c r="W162" s="195" t="str">
        <f>_xlfn.XLOOKUP(Table2[[#This Row],[Column3]],Sheet1!G:G,Sheet1!H:H)</f>
        <v>Financial services</v>
      </c>
      <c r="X162" s="195"/>
      <c r="Y162" s="195"/>
    </row>
    <row r="163" spans="1:25" ht="16">
      <c r="A163" s="194" t="s">
        <v>1821</v>
      </c>
      <c r="B163" s="68">
        <v>24</v>
      </c>
      <c r="C163" s="68" t="s">
        <v>146</v>
      </c>
      <c r="D163" s="77" t="s">
        <v>4476</v>
      </c>
      <c r="E163" s="75"/>
      <c r="H163" s="75"/>
      <c r="K163" s="75" t="s">
        <v>4213</v>
      </c>
      <c r="L163" s="68" t="s">
        <v>4380</v>
      </c>
      <c r="M163" s="76">
        <v>2022</v>
      </c>
      <c r="N163" s="76">
        <v>2020</v>
      </c>
      <c r="O163" s="82" t="s">
        <v>4170</v>
      </c>
      <c r="P163" s="75"/>
      <c r="U163" s="75" t="s">
        <v>361</v>
      </c>
      <c r="V163" s="195" t="str" cm="1">
        <f t="array" ref="V163">_xlfn.IFS(
  C163="United States","North America",
  C163="Canada","North America",
  C163="Mexico","North America",
  C163="Bermuda","North America",
  C163="United Kingdom","Europe",
  C163="Germany","Europe",
  C163="France","Europe",
  C163="Italy","Europe",
  C163="Switzerland","Europe",
  C163="Spain","Europe",
  C163="Netherlands","Europe",
  C163="Sweden","Europe",
  C163="Norway","Europe",
  C163="Finland","Europe",
  C163="Denmark","Europe",
  C163="Russia","Europe",
  C163="China","Asia",
  C163="Japan","Asia",
  C163="Taiwan, Province of China","Asia",
  C163="Hong Kong","Asia",
  C163="South Korea","Asia",
  C163="India","Asia",
  C163="Singapore","Asia",
  C163="Thailand","Asia",
  C163="Indonesia","Asia",
  C163="Malaysia","Asia",
  TRUE,"Other"
)</f>
        <v>Europe</v>
      </c>
      <c r="W163" s="195" t="str">
        <f>_xlfn.XLOOKUP(Table2[[#This Row],[Column3]],Sheet1!G:G,Sheet1!H:H)</f>
        <v>Automotive</v>
      </c>
      <c r="X163" s="195"/>
      <c r="Y163" s="195"/>
    </row>
    <row r="164" spans="1:25" ht="16">
      <c r="A164" s="194" t="s">
        <v>736</v>
      </c>
      <c r="B164" s="68">
        <v>306</v>
      </c>
      <c r="C164" s="68" t="s">
        <v>207</v>
      </c>
      <c r="D164" s="77" t="s">
        <v>976</v>
      </c>
      <c r="E164" s="75" t="s">
        <v>4174</v>
      </c>
      <c r="F164" s="68">
        <v>2040</v>
      </c>
      <c r="G164" s="68">
        <v>2018</v>
      </c>
      <c r="H164" s="75" t="s">
        <v>4183</v>
      </c>
      <c r="I164" s="68">
        <v>2030</v>
      </c>
      <c r="J164" s="68">
        <v>2021</v>
      </c>
      <c r="K164" s="75"/>
      <c r="M164" s="76"/>
      <c r="N164" s="76"/>
      <c r="P164" s="75" t="s">
        <v>4172</v>
      </c>
      <c r="Q164" s="68" t="s">
        <v>4379</v>
      </c>
      <c r="R164" s="68">
        <v>2055</v>
      </c>
      <c r="S164" s="68">
        <v>2016</v>
      </c>
      <c r="T164" s="78" t="s">
        <v>4170</v>
      </c>
      <c r="U164" s="75" t="s">
        <v>361</v>
      </c>
      <c r="V164" s="195" t="str" cm="1">
        <f t="array" ref="V164">_xlfn.IFS(
  C164="United States","North America",
  C164="Canada","North America",
  C164="Mexico","North America",
  C164="Bermuda","North America",
  C164="United Kingdom","Europe",
  C164="Germany","Europe",
  C164="France","Europe",
  C164="Italy","Europe",
  C164="Switzerland","Europe",
  C164="Spain","Europe",
  C164="Netherlands","Europe",
  C164="Sweden","Europe",
  C164="Norway","Europe",
  C164="Finland","Europe",
  C164="Denmark","Europe",
  C164="Russia","Europe",
  C164="China","Asia",
  C164="Japan","Asia",
  C164="Taiwan, Province of China","Asia",
  C164="Hong Kong","Asia",
  C164="South Korea","Asia",
  C164="India","Asia",
  C164="Singapore","Asia",
  C164="Thailand","Asia",
  C164="Indonesia","Asia",
  C164="Malaysia","Asia",
  TRUE,"Other"
)</f>
        <v>Asia</v>
      </c>
      <c r="W164" s="195" t="str">
        <f>_xlfn.XLOOKUP(Table2[[#This Row],[Column3]],Sheet1!G:G,Sheet1!H:H)</f>
        <v>Real estate</v>
      </c>
      <c r="X164" s="195"/>
      <c r="Y164" s="195"/>
    </row>
    <row r="165" spans="1:25">
      <c r="A165" s="194" t="s">
        <v>330</v>
      </c>
      <c r="B165" s="68">
        <v>454</v>
      </c>
      <c r="C165" s="68" t="s">
        <v>63</v>
      </c>
      <c r="D165" s="77" t="s">
        <v>4455</v>
      </c>
      <c r="E165" s="75" t="s">
        <v>4174</v>
      </c>
      <c r="F165" s="68">
        <v>2030</v>
      </c>
      <c r="G165" s="68">
        <v>2018</v>
      </c>
      <c r="H165" s="75" t="s">
        <v>4183</v>
      </c>
      <c r="I165" s="68">
        <v>2030</v>
      </c>
      <c r="J165" s="68">
        <v>2017</v>
      </c>
      <c r="K165" s="75" t="s">
        <v>4193</v>
      </c>
      <c r="L165" s="68" t="s">
        <v>3452</v>
      </c>
      <c r="M165" s="76">
        <v>2050</v>
      </c>
      <c r="N165" s="76">
        <v>2020</v>
      </c>
      <c r="O165" s="80" t="s">
        <v>4170</v>
      </c>
      <c r="P165" s="75"/>
      <c r="U165" s="75" t="s">
        <v>361</v>
      </c>
      <c r="V165" s="195" t="str" cm="1">
        <f t="array" ref="V165">_xlfn.IFS(
  C165="United States","North America",
  C165="Canada","North America",
  C165="Mexico","North America",
  C165="Bermuda","North America",
  C165="United Kingdom","Europe",
  C165="Germany","Europe",
  C165="France","Europe",
  C165="Italy","Europe",
  C165="Switzerland","Europe",
  C165="Spain","Europe",
  C165="Netherlands","Europe",
  C165="Sweden","Europe",
  C165="Norway","Europe",
  C165="Finland","Europe",
  C165="Denmark","Europe",
  C165="Russia","Europe",
  C165="China","Asia",
  C165="Japan","Asia",
  C165="Taiwan, Province of China","Asia",
  C165="Hong Kong","Asia",
  C165="South Korea","Asia",
  C165="India","Asia",
  C165="Singapore","Asia",
  C165="Thailand","Asia",
  C165="Indonesia","Asia",
  C165="Malaysia","Asia",
  TRUE,"Other"
)</f>
        <v>Europe</v>
      </c>
      <c r="W165" s="195" t="str">
        <f>_xlfn.XLOOKUP(Table2[[#This Row],[Column3]],Sheet1!G:G,Sheet1!H:H)</f>
        <v>Food, beverages and agriculture</v>
      </c>
      <c r="X165" s="195"/>
      <c r="Y165" s="195"/>
    </row>
    <row r="166" spans="1:25">
      <c r="A166" s="194" t="s">
        <v>727</v>
      </c>
      <c r="B166" s="68">
        <v>340</v>
      </c>
      <c r="C166" s="68" t="s">
        <v>82</v>
      </c>
      <c r="D166" s="77" t="s">
        <v>4459</v>
      </c>
      <c r="E166" s="75"/>
      <c r="H166" s="75"/>
      <c r="K166" s="75"/>
      <c r="M166" s="76"/>
      <c r="N166" s="76"/>
      <c r="P166" s="75"/>
      <c r="U166" s="75" t="s">
        <v>1</v>
      </c>
      <c r="V166" s="195" t="str" cm="1">
        <f t="array" ref="V166">_xlfn.IFS(
  C166="United States","North America",
  C166="Canada","North America",
  C166="Mexico","North America",
  C166="Bermuda","North America",
  C166="United Kingdom","Europe",
  C166="Germany","Europe",
  C166="France","Europe",
  C166="Italy","Europe",
  C166="Switzerland","Europe",
  C166="Spain","Europe",
  C166="Netherlands","Europe",
  C166="Sweden","Europe",
  C166="Norway","Europe",
  C166="Finland","Europe",
  C166="Denmark","Europe",
  C166="Russia","Europe",
  C166="China","Asia",
  C166="Japan","Asia",
  C166="Taiwan, Province of China","Asia",
  C166="Hong Kong","Asia",
  C166="South Korea","Asia",
  C166="India","Asia",
  C166="Singapore","Asia",
  C166="Thailand","Asia",
  C166="Indonesia","Asia",
  C166="Malaysia","Asia",
  TRUE,"Other"
)</f>
        <v>North America</v>
      </c>
      <c r="W166" s="195" t="str">
        <f>_xlfn.XLOOKUP(Table2[[#This Row],[Column3]],Sheet1!G:G,Sheet1!H:H)</f>
        <v>Industrial goods</v>
      </c>
      <c r="X166" s="195"/>
      <c r="Y166" s="195"/>
    </row>
    <row r="167" spans="1:25">
      <c r="A167" s="194" t="s">
        <v>1600</v>
      </c>
      <c r="B167" s="68">
        <v>76</v>
      </c>
      <c r="C167" s="68" t="s">
        <v>82</v>
      </c>
      <c r="D167" s="77" t="s">
        <v>186</v>
      </c>
      <c r="E167" s="75" t="s">
        <v>4174</v>
      </c>
      <c r="F167" s="68">
        <v>2040</v>
      </c>
      <c r="G167" s="68">
        <v>2019</v>
      </c>
      <c r="H167" s="75" t="s">
        <v>4183</v>
      </c>
      <c r="I167" s="68">
        <v>2030</v>
      </c>
      <c r="J167" s="68">
        <v>2021</v>
      </c>
      <c r="K167" s="75"/>
      <c r="M167" s="76"/>
      <c r="N167" s="76"/>
      <c r="P167" s="75" t="s">
        <v>4172</v>
      </c>
      <c r="Q167" s="68" t="s">
        <v>4378</v>
      </c>
      <c r="R167" s="68">
        <v>2050</v>
      </c>
      <c r="S167" s="68">
        <v>2021</v>
      </c>
      <c r="T167" s="79" t="s">
        <v>4170</v>
      </c>
      <c r="U167" s="75" t="s">
        <v>361</v>
      </c>
      <c r="V167" s="195" t="str" cm="1">
        <f t="array" ref="V167">_xlfn.IFS(
  C167="United States","North America",
  C167="Canada","North America",
  C167="Mexico","North America",
  C167="Bermuda","North America",
  C167="United Kingdom","Europe",
  C167="Germany","Europe",
  C167="France","Europe",
  C167="Italy","Europe",
  C167="Switzerland","Europe",
  C167="Spain","Europe",
  C167="Netherlands","Europe",
  C167="Sweden","Europe",
  C167="Norway","Europe",
  C167="Finland","Europe",
  C167="Denmark","Europe",
  C167="Russia","Europe",
  C167="China","Asia",
  C167="Japan","Asia",
  C167="Taiwan, Province of China","Asia",
  C167="Hong Kong","Asia",
  C167="South Korea","Asia",
  C167="India","Asia",
  C167="Singapore","Asia",
  C167="Thailand","Asia",
  C167="Indonesia","Asia",
  C167="Malaysia","Asia",
  TRUE,"Other"
)</f>
        <v>North America</v>
      </c>
      <c r="W167" s="195" t="str">
        <f>_xlfn.XLOOKUP(Table2[[#This Row],[Column3]],Sheet1!G:G,Sheet1!H:H)</f>
        <v>Technology</v>
      </c>
      <c r="X167" s="195"/>
      <c r="Y167" s="195"/>
    </row>
    <row r="168" spans="1:25">
      <c r="A168" s="194" t="s">
        <v>1060</v>
      </c>
      <c r="B168" s="68">
        <v>244</v>
      </c>
      <c r="C168" s="68" t="s">
        <v>207</v>
      </c>
      <c r="D168" s="77" t="s">
        <v>4476</v>
      </c>
      <c r="E168" s="75"/>
      <c r="H168" s="75"/>
      <c r="K168" s="75" t="s">
        <v>4193</v>
      </c>
      <c r="L168" s="68" t="s">
        <v>4377</v>
      </c>
      <c r="M168" s="76">
        <v>2035</v>
      </c>
      <c r="N168" s="76">
        <v>2020</v>
      </c>
      <c r="O168" s="79" t="s">
        <v>4170</v>
      </c>
      <c r="P168" s="75"/>
      <c r="U168" s="75" t="s">
        <v>1</v>
      </c>
      <c r="V168" s="195" t="str" cm="1">
        <f t="array" ref="V168">_xlfn.IFS(
  C168="United States","North America",
  C168="Canada","North America",
  C168="Mexico","North America",
  C168="Bermuda","North America",
  C168="United Kingdom","Europe",
  C168="Germany","Europe",
  C168="France","Europe",
  C168="Italy","Europe",
  C168="Switzerland","Europe",
  C168="Spain","Europe",
  C168="Netherlands","Europe",
  C168="Sweden","Europe",
  C168="Norway","Europe",
  C168="Finland","Europe",
  C168="Denmark","Europe",
  C168="Russia","Europe",
  C168="China","Asia",
  C168="Japan","Asia",
  C168="Taiwan, Province of China","Asia",
  C168="Hong Kong","Asia",
  C168="South Korea","Asia",
  C168="India","Asia",
  C168="Singapore","Asia",
  C168="Thailand","Asia",
  C168="Indonesia","Asia",
  C168="Malaysia","Asia",
  TRUE,"Other"
)</f>
        <v>Asia</v>
      </c>
      <c r="W168" s="195" t="str">
        <f>_xlfn.XLOOKUP(Table2[[#This Row],[Column3]],Sheet1!G:G,Sheet1!H:H)</f>
        <v>Automotive</v>
      </c>
      <c r="X168" s="195"/>
      <c r="Y168" s="195"/>
    </row>
    <row r="169" spans="1:25" ht="16">
      <c r="A169" s="194" t="s">
        <v>1134</v>
      </c>
      <c r="B169" s="68">
        <v>252</v>
      </c>
      <c r="C169" s="68" t="s">
        <v>146</v>
      </c>
      <c r="D169" s="77" t="s">
        <v>4179</v>
      </c>
      <c r="E169" s="75"/>
      <c r="H169" s="75" t="s">
        <v>4183</v>
      </c>
      <c r="I169" s="68">
        <v>2030</v>
      </c>
      <c r="J169" s="68">
        <v>2020</v>
      </c>
      <c r="K169" s="75" t="s">
        <v>1957</v>
      </c>
      <c r="L169" s="68" t="s">
        <v>4375</v>
      </c>
      <c r="M169" s="76">
        <v>2040</v>
      </c>
      <c r="N169" s="76">
        <v>2021</v>
      </c>
      <c r="O169" s="82" t="s">
        <v>4170</v>
      </c>
      <c r="P169" s="75"/>
      <c r="U169" s="75" t="s">
        <v>361</v>
      </c>
      <c r="V169" s="195" t="str" cm="1">
        <f t="array" ref="V169">_xlfn.IFS(
  C169="United States","North America",
  C169="Canada","North America",
  C169="Mexico","North America",
  C169="Bermuda","North America",
  C169="United Kingdom","Europe",
  C169="Germany","Europe",
  C169="France","Europe",
  C169="Italy","Europe",
  C169="Switzerland","Europe",
  C169="Spain","Europe",
  C169="Netherlands","Europe",
  C169="Sweden","Europe",
  C169="Norway","Europe",
  C169="Finland","Europe",
  C169="Denmark","Europe",
  C169="Russia","Europe",
  C169="China","Asia",
  C169="Japan","Asia",
  C169="Taiwan, Province of China","Asia",
  C169="Hong Kong","Asia",
  C169="South Korea","Asia",
  C169="India","Asia",
  C169="Singapore","Asia",
  C169="Thailand","Asia",
  C169="Indonesia","Asia",
  C169="Malaysia","Asia",
  TRUE,"Other"
)</f>
        <v>Europe</v>
      </c>
      <c r="W169" s="195" t="str">
        <f>_xlfn.XLOOKUP(Table2[[#This Row],[Column3]],Sheet1!G:G,Sheet1!H:H)</f>
        <v>Transportation and logistics</v>
      </c>
      <c r="X169" s="195"/>
      <c r="Y169" s="195"/>
    </row>
    <row r="170" spans="1:25" ht="16">
      <c r="A170" s="194" t="s">
        <v>1023</v>
      </c>
      <c r="B170" s="68">
        <v>317</v>
      </c>
      <c r="C170" s="68" t="s">
        <v>146</v>
      </c>
      <c r="D170" s="77" t="s">
        <v>4465</v>
      </c>
      <c r="E170" s="75"/>
      <c r="H170" s="75"/>
      <c r="K170" s="75" t="s">
        <v>1957</v>
      </c>
      <c r="L170" s="68" t="s">
        <v>4374</v>
      </c>
      <c r="M170" s="76">
        <v>2012</v>
      </c>
      <c r="N170" s="88">
        <v>2008</v>
      </c>
      <c r="O170" s="78" t="s">
        <v>4170</v>
      </c>
      <c r="P170" s="75" t="s">
        <v>4172</v>
      </c>
      <c r="Q170" s="68" t="s">
        <v>4373</v>
      </c>
      <c r="R170" s="81">
        <v>2050</v>
      </c>
      <c r="S170" s="81">
        <v>2020</v>
      </c>
      <c r="T170" s="78" t="s">
        <v>4170</v>
      </c>
      <c r="U170" s="75" t="s">
        <v>361</v>
      </c>
      <c r="V170" s="195" t="str" cm="1">
        <f t="array" ref="V170">_xlfn.IFS(
  C170="United States","North America",
  C170="Canada","North America",
  C170="Mexico","North America",
  C170="Bermuda","North America",
  C170="United Kingdom","Europe",
  C170="Germany","Europe",
  C170="France","Europe",
  C170="Italy","Europe",
  C170="Switzerland","Europe",
  C170="Spain","Europe",
  C170="Netherlands","Europe",
  C170="Sweden","Europe",
  C170="Norway","Europe",
  C170="Finland","Europe",
  C170="Denmark","Europe",
  C170="Russia","Europe",
  C170="China","Asia",
  C170="Japan","Asia",
  C170="Taiwan, Province of China","Asia",
  C170="Hong Kong","Asia",
  C170="South Korea","Asia",
  C170="India","Asia",
  C170="Singapore","Asia",
  C170="Thailand","Asia",
  C170="Indonesia","Asia",
  C170="Malaysia","Asia",
  TRUE,"Other"
)</f>
        <v>Europe</v>
      </c>
      <c r="W170" s="195" t="str">
        <f>_xlfn.XLOOKUP(Table2[[#This Row],[Column3]],Sheet1!G:G,Sheet1!H:H)</f>
        <v>Financial services</v>
      </c>
      <c r="X170" s="195"/>
      <c r="Y170" s="195"/>
    </row>
    <row r="171" spans="1:25" ht="16">
      <c r="A171" s="194" t="s">
        <v>1428</v>
      </c>
      <c r="B171" s="68">
        <v>113</v>
      </c>
      <c r="C171" s="68" t="s">
        <v>146</v>
      </c>
      <c r="D171" s="77" t="s">
        <v>4179</v>
      </c>
      <c r="E171" s="75"/>
      <c r="H171" s="75" t="s">
        <v>1957</v>
      </c>
      <c r="J171" s="68">
        <v>2017</v>
      </c>
      <c r="K171" s="75"/>
      <c r="M171" s="76"/>
      <c r="N171" s="76"/>
      <c r="P171" s="75" t="s">
        <v>4172</v>
      </c>
      <c r="Q171" s="68" t="s">
        <v>4372</v>
      </c>
      <c r="R171" s="81">
        <v>2050</v>
      </c>
      <c r="S171" s="81">
        <v>2017</v>
      </c>
      <c r="T171" s="78" t="s">
        <v>4170</v>
      </c>
      <c r="U171" s="75" t="s">
        <v>361</v>
      </c>
      <c r="V171" s="195" t="str" cm="1">
        <f t="array" ref="V171">_xlfn.IFS(
  C171="United States","North America",
  C171="Canada","North America",
  C171="Mexico","North America",
  C171="Bermuda","North America",
  C171="United Kingdom","Europe",
  C171="Germany","Europe",
  C171="France","Europe",
  C171="Italy","Europe",
  C171="Switzerland","Europe",
  C171="Spain","Europe",
  C171="Netherlands","Europe",
  C171="Sweden","Europe",
  C171="Norway","Europe",
  C171="Finland","Europe",
  C171="Denmark","Europe",
  C171="Russia","Europe",
  C171="China","Asia",
  C171="Japan","Asia",
  C171="Taiwan, Province of China","Asia",
  C171="Hong Kong","Asia",
  C171="South Korea","Asia",
  C171="India","Asia",
  C171="Singapore","Asia",
  C171="Thailand","Asia",
  C171="Indonesia","Asia",
  C171="Malaysia","Asia",
  TRUE,"Other"
)</f>
        <v>Europe</v>
      </c>
      <c r="W171" s="195" t="str">
        <f>_xlfn.XLOOKUP(Table2[[#This Row],[Column3]],Sheet1!G:G,Sheet1!H:H)</f>
        <v>Transportation and logistics</v>
      </c>
      <c r="X171" s="195"/>
      <c r="Y171" s="195"/>
    </row>
    <row r="172" spans="1:25">
      <c r="A172" s="194" t="s">
        <v>1574</v>
      </c>
      <c r="B172" s="68">
        <v>53</v>
      </c>
      <c r="C172" s="68" t="s">
        <v>146</v>
      </c>
      <c r="D172" s="77" t="s">
        <v>4190</v>
      </c>
      <c r="E172" s="75" t="s">
        <v>4174</v>
      </c>
      <c r="F172" s="68">
        <v>2021</v>
      </c>
      <c r="G172" s="68">
        <v>2019</v>
      </c>
      <c r="H172" s="75" t="s">
        <v>4183</v>
      </c>
      <c r="I172" s="68">
        <v>2030</v>
      </c>
      <c r="J172" s="68">
        <v>2019</v>
      </c>
      <c r="K172" s="75" t="s">
        <v>1957</v>
      </c>
      <c r="L172" s="68" t="s">
        <v>4371</v>
      </c>
      <c r="M172" s="76">
        <v>2025</v>
      </c>
      <c r="N172" s="76">
        <v>2021</v>
      </c>
      <c r="O172" s="79" t="s">
        <v>4170</v>
      </c>
      <c r="P172" s="75" t="s">
        <v>4172</v>
      </c>
      <c r="Q172" s="68" t="s">
        <v>4370</v>
      </c>
      <c r="R172" s="68">
        <v>2040</v>
      </c>
      <c r="S172" s="68">
        <v>2021</v>
      </c>
      <c r="T172" s="79" t="s">
        <v>4170</v>
      </c>
      <c r="U172" s="75" t="s">
        <v>361</v>
      </c>
      <c r="V172" s="195" t="str" cm="1">
        <f t="array" ref="V172">_xlfn.IFS(
  C172="United States","North America",
  C172="Canada","North America",
  C172="Mexico","North America",
  C172="Bermuda","North America",
  C172="United Kingdom","Europe",
  C172="Germany","Europe",
  C172="France","Europe",
  C172="Italy","Europe",
  C172="Switzerland","Europe",
  C172="Spain","Europe",
  C172="Netherlands","Europe",
  C172="Sweden","Europe",
  C172="Norway","Europe",
  C172="Finland","Europe",
  C172="Denmark","Europe",
  C172="Russia","Europe",
  C172="China","Asia",
  C172="Japan","Asia",
  C172="Taiwan, Province of China","Asia",
  C172="Hong Kong","Asia",
  C172="South Korea","Asia",
  C172="India","Asia",
  C172="Singapore","Asia",
  C172="Thailand","Asia",
  C172="Indonesia","Asia",
  C172="Malaysia","Asia",
  TRUE,"Other"
)</f>
        <v>Europe</v>
      </c>
      <c r="W172" s="195" t="str">
        <f>_xlfn.XLOOKUP(Table2[[#This Row],[Column3]],Sheet1!G:G,Sheet1!H:H)</f>
        <v>Telecommunications and media</v>
      </c>
      <c r="X172" s="195"/>
      <c r="Y172" s="195"/>
    </row>
    <row r="173" spans="1:25">
      <c r="A173" s="194" t="s">
        <v>116</v>
      </c>
      <c r="B173" s="68">
        <v>361</v>
      </c>
      <c r="C173" s="68" t="s">
        <v>82</v>
      </c>
      <c r="D173" s="77" t="s">
        <v>4467</v>
      </c>
      <c r="E173" s="75"/>
      <c r="H173" s="75"/>
      <c r="K173" s="75"/>
      <c r="M173" s="76"/>
      <c r="N173" s="76"/>
      <c r="P173" s="75"/>
      <c r="U173" s="75" t="s">
        <v>1</v>
      </c>
      <c r="V173" s="195" t="str" cm="1">
        <f t="array" ref="V173">_xlfn.IFS(
  C173="United States","North America",
  C173="Canada","North America",
  C173="Mexico","North America",
  C173="Bermuda","North America",
  C173="United Kingdom","Europe",
  C173="Germany","Europe",
  C173="France","Europe",
  C173="Italy","Europe",
  C173="Switzerland","Europe",
  C173="Spain","Europe",
  C173="Netherlands","Europe",
  C173="Sweden","Europe",
  C173="Norway","Europe",
  C173="Finland","Europe",
  C173="Denmark","Europe",
  C173="Russia","Europe",
  C173="China","Asia",
  C173="Japan","Asia",
  C173="Taiwan, Province of China","Asia",
  C173="Hong Kong","Asia",
  C173="South Korea","Asia",
  C173="India","Asia",
  C173="Singapore","Asia",
  C173="Thailand","Asia",
  C173="Indonesia","Asia",
  C173="Malaysia","Asia",
  TRUE,"Other"
)</f>
        <v>North America</v>
      </c>
      <c r="W173" s="195" t="str">
        <f>_xlfn.XLOOKUP(Table2[[#This Row],[Column3]],Sheet1!G:G,Sheet1!H:H)</f>
        <v>Retail</v>
      </c>
      <c r="X173" s="195"/>
      <c r="Y173" s="195"/>
    </row>
    <row r="174" spans="1:25">
      <c r="A174" s="194" t="s">
        <v>4369</v>
      </c>
      <c r="B174" s="68">
        <v>475</v>
      </c>
      <c r="C174" s="68" t="s">
        <v>82</v>
      </c>
      <c r="D174" s="77" t="s">
        <v>4467</v>
      </c>
      <c r="E174" s="75"/>
      <c r="H174" s="75"/>
      <c r="K174" s="75"/>
      <c r="M174" s="76"/>
      <c r="N174" s="76"/>
      <c r="P174" s="75"/>
      <c r="U174" s="75" t="s">
        <v>1</v>
      </c>
      <c r="V174" s="195" t="str" cm="1">
        <f t="array" ref="V174">_xlfn.IFS(
  C174="United States","North America",
  C174="Canada","North America",
  C174="Mexico","North America",
  C174="Bermuda","North America",
  C174="United Kingdom","Europe",
  C174="Germany","Europe",
  C174="France","Europe",
  C174="Italy","Europe",
  C174="Switzerland","Europe",
  C174="Spain","Europe",
  C174="Netherlands","Europe",
  C174="Sweden","Europe",
  C174="Norway","Europe",
  C174="Finland","Europe",
  C174="Denmark","Europe",
  C174="Russia","Europe",
  C174="China","Asia",
  C174="Japan","Asia",
  C174="Taiwan, Province of China","Asia",
  C174="Hong Kong","Asia",
  C174="South Korea","Asia",
  C174="India","Asia",
  C174="Singapore","Asia",
  C174="Thailand","Asia",
  C174="Indonesia","Asia",
  C174="Malaysia","Asia",
  TRUE,"Other"
)</f>
        <v>North America</v>
      </c>
      <c r="W174" s="195" t="str">
        <f>_xlfn.XLOOKUP(Table2[[#This Row],[Column3]],Sheet1!G:G,Sheet1!H:H)</f>
        <v>Retail</v>
      </c>
      <c r="X174" s="195"/>
      <c r="Y174" s="195"/>
    </row>
    <row r="175" spans="1:25">
      <c r="A175" s="194" t="s">
        <v>1614</v>
      </c>
      <c r="B175" s="68">
        <v>85</v>
      </c>
      <c r="C175" s="68" t="s">
        <v>73</v>
      </c>
      <c r="D175" s="77" t="s">
        <v>4476</v>
      </c>
      <c r="E175" s="75"/>
      <c r="H175" s="75"/>
      <c r="K175" s="75"/>
      <c r="M175" s="76"/>
      <c r="N175" s="76"/>
      <c r="P175" s="75"/>
      <c r="U175" s="75" t="s">
        <v>1</v>
      </c>
      <c r="V175" s="195" t="str" cm="1">
        <f t="array" ref="V175">_xlfn.IFS(
  C175="United States","North America",
  C175="Canada","North America",
  C175="Mexico","North America",
  C175="Bermuda","North America",
  C175="United Kingdom","Europe",
  C175="Germany","Europe",
  C175="France","Europe",
  C175="Italy","Europe",
  C175="Switzerland","Europe",
  C175="Spain","Europe",
  C175="Netherlands","Europe",
  C175="Sweden","Europe",
  C175="Norway","Europe",
  C175="Finland","Europe",
  C175="Denmark","Europe",
  C175="Russia","Europe",
  C175="China","Asia",
  C175="Japan","Asia",
  C175="Taiwan, Province of China","Asia",
  C175="Hong Kong","Asia",
  C175="South Korea","Asia",
  C175="India","Asia",
  C175="Singapore","Asia",
  C175="Thailand","Asia",
  C175="Indonesia","Asia",
  C175="Malaysia","Asia",
  TRUE,"Other"
)</f>
        <v>Asia</v>
      </c>
      <c r="W175" s="195" t="str">
        <f>_xlfn.XLOOKUP(Table2[[#This Row],[Column3]],Sheet1!G:G,Sheet1!H:H)</f>
        <v>Automotive</v>
      </c>
      <c r="X175" s="195"/>
      <c r="Y175" s="195"/>
    </row>
    <row r="176" spans="1:25" ht="16">
      <c r="A176" s="194" t="s">
        <v>3385</v>
      </c>
      <c r="B176" s="68">
        <v>310</v>
      </c>
      <c r="C176" s="68" t="s">
        <v>82</v>
      </c>
      <c r="D176" s="77" t="s">
        <v>66</v>
      </c>
      <c r="E176" s="75"/>
      <c r="H176" s="75"/>
      <c r="K176" s="75" t="s">
        <v>1957</v>
      </c>
      <c r="L176" s="68" t="s">
        <v>418</v>
      </c>
      <c r="M176" s="76">
        <v>2050</v>
      </c>
      <c r="N176" s="76">
        <v>2020</v>
      </c>
      <c r="O176" s="82" t="s">
        <v>4170</v>
      </c>
      <c r="P176" s="75"/>
      <c r="U176" s="75" t="s">
        <v>1</v>
      </c>
      <c r="V176" s="195" t="str" cm="1">
        <f t="array" ref="V176">_xlfn.IFS(
  C176="United States","North America",
  C176="Canada","North America",
  C176="Mexico","North America",
  C176="Bermuda","North America",
  C176="United Kingdom","Europe",
  C176="Germany","Europe",
  C176="France","Europe",
  C176="Italy","Europe",
  C176="Switzerland","Europe",
  C176="Spain","Europe",
  C176="Netherlands","Europe",
  C176="Sweden","Europe",
  C176="Norway","Europe",
  C176="Finland","Europe",
  C176="Denmark","Europe",
  C176="Russia","Europe",
  C176="China","Asia",
  C176="Japan","Asia",
  C176="Taiwan, Province of China","Asia",
  C176="Hong Kong","Asia",
  C176="South Korea","Asia",
  C176="India","Asia",
  C176="Singapore","Asia",
  C176="Thailand","Asia",
  C176="Indonesia","Asia",
  C176="Malaysia","Asia",
  TRUE,"Other"
)</f>
        <v>North America</v>
      </c>
      <c r="W176" s="195" t="str">
        <f>_xlfn.XLOOKUP(Table2[[#This Row],[Column3]],Sheet1!G:G,Sheet1!H:H)</f>
        <v>Chemicals</v>
      </c>
      <c r="X176" s="195"/>
      <c r="Y176" s="195"/>
    </row>
    <row r="177" spans="1:25">
      <c r="A177" s="194" t="s">
        <v>522</v>
      </c>
      <c r="B177" s="68">
        <v>342</v>
      </c>
      <c r="C177" s="68" t="s">
        <v>146</v>
      </c>
      <c r="D177" s="77" t="s">
        <v>4465</v>
      </c>
      <c r="E177" s="75"/>
      <c r="H177" s="75"/>
      <c r="K177" s="75"/>
      <c r="M177" s="76"/>
      <c r="N177" s="76"/>
      <c r="P177" s="75"/>
      <c r="U177" s="75" t="s">
        <v>1</v>
      </c>
      <c r="V177" s="195" t="str" cm="1">
        <f t="array" ref="V177">_xlfn.IFS(
  C177="United States","North America",
  C177="Canada","North America",
  C177="Mexico","North America",
  C177="Bermuda","North America",
  C177="United Kingdom","Europe",
  C177="Germany","Europe",
  C177="France","Europe",
  C177="Italy","Europe",
  C177="Switzerland","Europe",
  C177="Spain","Europe",
  C177="Netherlands","Europe",
  C177="Sweden","Europe",
  C177="Norway","Europe",
  C177="Finland","Europe",
  C177="Denmark","Europe",
  C177="Russia","Europe",
  C177="China","Asia",
  C177="Japan","Asia",
  C177="Taiwan, Province of China","Asia",
  C177="Hong Kong","Asia",
  C177="South Korea","Asia",
  C177="India","Asia",
  C177="Singapore","Asia",
  C177="Thailand","Asia",
  C177="Indonesia","Asia",
  C177="Malaysia","Asia",
  TRUE,"Other"
)</f>
        <v>Europe</v>
      </c>
      <c r="W177" s="195" t="str">
        <f>_xlfn.XLOOKUP(Table2[[#This Row],[Column3]],Sheet1!G:G,Sheet1!H:H)</f>
        <v>Financial services</v>
      </c>
      <c r="X177" s="195"/>
      <c r="Y177" s="195"/>
    </row>
    <row r="178" spans="1:25" ht="16">
      <c r="A178" s="194" t="s">
        <v>672</v>
      </c>
      <c r="B178" s="68">
        <v>130</v>
      </c>
      <c r="C178" s="68" t="s">
        <v>146</v>
      </c>
      <c r="D178" s="77" t="s">
        <v>4199</v>
      </c>
      <c r="E178" s="75"/>
      <c r="H178" s="75" t="s">
        <v>1957</v>
      </c>
      <c r="J178" s="68">
        <v>2021</v>
      </c>
      <c r="K178" s="75" t="s">
        <v>1957</v>
      </c>
      <c r="L178" s="68" t="s">
        <v>4368</v>
      </c>
      <c r="M178" s="76">
        <v>2040</v>
      </c>
      <c r="N178" s="76">
        <v>2020</v>
      </c>
      <c r="O178" s="78" t="s">
        <v>4170</v>
      </c>
      <c r="P178" s="75"/>
      <c r="U178" s="75" t="s">
        <v>361</v>
      </c>
      <c r="V178" s="195" t="str" cm="1">
        <f t="array" ref="V178">_xlfn.IFS(
  C178="United States","North America",
  C178="Canada","North America",
  C178="Mexico","North America",
  C178="Bermuda","North America",
  C178="United Kingdom","Europe",
  C178="Germany","Europe",
  C178="France","Europe",
  C178="Italy","Europe",
  C178="Switzerland","Europe",
  C178="Spain","Europe",
  C178="Netherlands","Europe",
  C178="Sweden","Europe",
  C178="Norway","Europe",
  C178="Finland","Europe",
  C178="Denmark","Europe",
  C178="Russia","Europe",
  C178="China","Asia",
  C178="Japan","Asia",
  C178="Taiwan, Province of China","Asia",
  C178="Hong Kong","Asia",
  C178="South Korea","Asia",
  C178="India","Asia",
  C178="Singapore","Asia",
  C178="Thailand","Asia",
  C178="Indonesia","Asia",
  C178="Malaysia","Asia",
  TRUE,"Other"
)</f>
        <v>Europe</v>
      </c>
      <c r="W178" s="195" t="str">
        <f>_xlfn.XLOOKUP(Table2[[#This Row],[Column3]],Sheet1!G:G,Sheet1!H:H)</f>
        <v>Energy and utilities</v>
      </c>
      <c r="X178" s="195"/>
      <c r="Y178" s="195"/>
    </row>
    <row r="179" spans="1:25">
      <c r="A179" s="194" t="s">
        <v>814</v>
      </c>
      <c r="B179" s="68">
        <v>259</v>
      </c>
      <c r="C179" s="68" t="s">
        <v>146</v>
      </c>
      <c r="D179" s="77" t="s">
        <v>4455</v>
      </c>
      <c r="E179" s="75"/>
      <c r="H179" s="75"/>
      <c r="K179" s="75"/>
      <c r="M179" s="76"/>
      <c r="N179" s="76"/>
      <c r="P179" s="75"/>
      <c r="U179" s="75" t="s">
        <v>1</v>
      </c>
      <c r="V179" s="195" t="str" cm="1">
        <f t="array" ref="V179">_xlfn.IFS(
  C179="United States","North America",
  C179="Canada","North America",
  C179="Mexico","North America",
  C179="Bermuda","North America",
  C179="United Kingdom","Europe",
  C179="Germany","Europe",
  C179="France","Europe",
  C179="Italy","Europe",
  C179="Switzerland","Europe",
  C179="Spain","Europe",
  C179="Netherlands","Europe",
  C179="Sweden","Europe",
  C179="Norway","Europe",
  C179="Finland","Europe",
  C179="Denmark","Europe",
  C179="Russia","Europe",
  C179="China","Asia",
  C179="Japan","Asia",
  C179="Taiwan, Province of China","Asia",
  C179="Hong Kong","Asia",
  C179="South Korea","Asia",
  C179="India","Asia",
  C179="Singapore","Asia",
  C179="Thailand","Asia",
  C179="Indonesia","Asia",
  C179="Malaysia","Asia",
  TRUE,"Other"
)</f>
        <v>Europe</v>
      </c>
      <c r="W179" s="195" t="str">
        <f>_xlfn.XLOOKUP(Table2[[#This Row],[Column3]],Sheet1!G:G,Sheet1!H:H)</f>
        <v>Food, beverages and agriculture</v>
      </c>
      <c r="X179" s="195"/>
      <c r="Y179" s="195"/>
    </row>
    <row r="180" spans="1:25" ht="16">
      <c r="A180" s="194" t="s">
        <v>1491</v>
      </c>
      <c r="B180" s="68">
        <v>105</v>
      </c>
      <c r="C180" s="68" t="s">
        <v>63</v>
      </c>
      <c r="D180" s="77" t="s">
        <v>4199</v>
      </c>
      <c r="E180" s="75"/>
      <c r="H180" s="75" t="s">
        <v>4183</v>
      </c>
      <c r="I180" s="68">
        <v>2030</v>
      </c>
      <c r="J180" s="68">
        <v>2020</v>
      </c>
      <c r="K180" s="75" t="s">
        <v>4193</v>
      </c>
      <c r="L180" s="68" t="s">
        <v>4367</v>
      </c>
      <c r="M180" s="76">
        <v>2050</v>
      </c>
      <c r="N180" s="76">
        <v>2020</v>
      </c>
      <c r="O180" s="82" t="s">
        <v>4170</v>
      </c>
      <c r="P180" s="75"/>
      <c r="U180" s="75" t="s">
        <v>361</v>
      </c>
      <c r="V180" s="195" t="str" cm="1">
        <f t="array" ref="V180">_xlfn.IFS(
  C180="United States","North America",
  C180="Canada","North America",
  C180="Mexico","North America",
  C180="Bermuda","North America",
  C180="United Kingdom","Europe",
  C180="Germany","Europe",
  C180="France","Europe",
  C180="Italy","Europe",
  C180="Switzerland","Europe",
  C180="Spain","Europe",
  C180="Netherlands","Europe",
  C180="Sweden","Europe",
  C180="Norway","Europe",
  C180="Finland","Europe",
  C180="Denmark","Europe",
  C180="Russia","Europe",
  C180="China","Asia",
  C180="Japan","Asia",
  C180="Taiwan, Province of China","Asia",
  C180="Hong Kong","Asia",
  C180="South Korea","Asia",
  C180="India","Asia",
  C180="Singapore","Asia",
  C180="Thailand","Asia",
  C180="Indonesia","Asia",
  C180="Malaysia","Asia",
  TRUE,"Other"
)</f>
        <v>Europe</v>
      </c>
      <c r="W180" s="195" t="str">
        <f>_xlfn.XLOOKUP(Table2[[#This Row],[Column3]],Sheet1!G:G,Sheet1!H:H)</f>
        <v>Energy and utilities</v>
      </c>
      <c r="X180" s="195"/>
      <c r="Y180" s="195"/>
    </row>
    <row r="181" spans="1:25" ht="16">
      <c r="A181" s="194" t="s">
        <v>4366</v>
      </c>
      <c r="B181" s="68">
        <v>495</v>
      </c>
      <c r="C181" s="68" t="s">
        <v>82</v>
      </c>
      <c r="D181" s="77" t="s">
        <v>4201</v>
      </c>
      <c r="E181" s="75"/>
      <c r="H181" s="75"/>
      <c r="K181" s="75" t="s">
        <v>1957</v>
      </c>
      <c r="L181" s="68" t="s">
        <v>4365</v>
      </c>
      <c r="M181" s="76">
        <v>2030</v>
      </c>
      <c r="N181" s="76">
        <v>2021</v>
      </c>
      <c r="O181" s="82" t="s">
        <v>4170</v>
      </c>
      <c r="P181" s="75"/>
      <c r="U181" s="75" t="s">
        <v>361</v>
      </c>
      <c r="V181" s="195" t="str" cm="1">
        <f t="array" ref="V181">_xlfn.IFS(
  C181="United States","North America",
  C181="Canada","North America",
  C181="Mexico","North America",
  C181="Bermuda","North America",
  C181="United Kingdom","Europe",
  C181="Germany","Europe",
  C181="France","Europe",
  C181="Italy","Europe",
  C181="Switzerland","Europe",
  C181="Spain","Europe",
  C181="Netherlands","Europe",
  C181="Sweden","Europe",
  C181="Norway","Europe",
  C181="Finland","Europe",
  C181="Denmark","Europe",
  C181="Russia","Europe",
  C181="China","Asia",
  C181="Japan","Asia",
  C181="Taiwan, Province of China","Asia",
  C181="Hong Kong","Asia",
  C181="South Korea","Asia",
  C181="India","Asia",
  C181="Singapore","Asia",
  C181="Thailand","Asia",
  C181="Indonesia","Asia",
  C181="Malaysia","Asia",
  TRUE,"Other"
)</f>
        <v>North America</v>
      </c>
      <c r="W181" s="195" t="str">
        <f>_xlfn.XLOOKUP(Table2[[#This Row],[Column3]],Sheet1!G:G,Sheet1!H:H)</f>
        <v>Health care and pharmaceuticals</v>
      </c>
      <c r="X181" s="195"/>
      <c r="Y181" s="195"/>
    </row>
    <row r="182" spans="1:25">
      <c r="A182" s="194" t="s">
        <v>4364</v>
      </c>
      <c r="B182" s="68">
        <v>233</v>
      </c>
      <c r="C182" s="68" t="s">
        <v>63</v>
      </c>
      <c r="D182" s="77" t="s">
        <v>4455</v>
      </c>
      <c r="E182" s="75"/>
      <c r="H182" s="75"/>
      <c r="K182" s="75"/>
      <c r="M182" s="76"/>
      <c r="N182" s="76"/>
      <c r="P182" s="75"/>
      <c r="U182" s="75" t="s">
        <v>1</v>
      </c>
      <c r="V182" s="195" t="str" cm="1">
        <f t="array" ref="V182">_xlfn.IFS(
  C182="United States","North America",
  C182="Canada","North America",
  C182="Mexico","North America",
  C182="Bermuda","North America",
  C182="United Kingdom","Europe",
  C182="Germany","Europe",
  C182="France","Europe",
  C182="Italy","Europe",
  C182="Switzerland","Europe",
  C182="Spain","Europe",
  C182="Netherlands","Europe",
  C182="Sweden","Europe",
  C182="Norway","Europe",
  C182="Finland","Europe",
  C182="Denmark","Europe",
  C182="Russia","Europe",
  C182="China","Asia",
  C182="Japan","Asia",
  C182="Taiwan, Province of China","Asia",
  C182="Hong Kong","Asia",
  C182="South Korea","Asia",
  C182="India","Asia",
  C182="Singapore","Asia",
  C182="Thailand","Asia",
  C182="Indonesia","Asia",
  C182="Malaysia","Asia",
  TRUE,"Other"
)</f>
        <v>Europe</v>
      </c>
      <c r="W182" s="195" t="str">
        <f>_xlfn.XLOOKUP(Table2[[#This Row],[Column3]],Sheet1!G:G,Sheet1!H:H)</f>
        <v>Food, beverages and agriculture</v>
      </c>
      <c r="X182" s="195"/>
      <c r="Y182" s="195"/>
    </row>
    <row r="183" spans="1:25" ht="16">
      <c r="A183" s="194" t="s">
        <v>680</v>
      </c>
      <c r="B183" s="68">
        <v>418</v>
      </c>
      <c r="C183" s="68" t="s">
        <v>78</v>
      </c>
      <c r="D183" s="77" t="s">
        <v>3498</v>
      </c>
      <c r="E183" s="75"/>
      <c r="H183" s="75"/>
      <c r="K183" s="75"/>
      <c r="M183" s="76"/>
      <c r="N183" s="76"/>
      <c r="P183" s="75" t="s">
        <v>1957</v>
      </c>
      <c r="Q183" s="68" t="s">
        <v>4363</v>
      </c>
      <c r="R183" s="68">
        <v>2050</v>
      </c>
      <c r="S183" s="68">
        <v>2020</v>
      </c>
      <c r="T183" s="78" t="s">
        <v>4170</v>
      </c>
      <c r="U183" s="75" t="s">
        <v>1</v>
      </c>
      <c r="V183" s="195" t="str" cm="1">
        <f t="array" ref="V183">_xlfn.IFS(
  C183="United States","North America",
  C183="Canada","North America",
  C183="Mexico","North America",
  C183="Bermuda","North America",
  C183="United Kingdom","Europe",
  C183="Germany","Europe",
  C183="France","Europe",
  C183="Italy","Europe",
  C183="Switzerland","Europe",
  C183="Spain","Europe",
  C183="Netherlands","Europe",
  C183="Sweden","Europe",
  C183="Norway","Europe",
  C183="Finland","Europe",
  C183="Denmark","Europe",
  C183="Russia","Europe",
  C183="China","Asia",
  C183="Japan","Asia",
  C183="Taiwan, Province of China","Asia",
  C183="Hong Kong","Asia",
  C183="South Korea","Asia",
  C183="India","Asia",
  C183="Singapore","Asia",
  C183="Thailand","Asia",
  C183="Indonesia","Asia",
  C183="Malaysia","Asia",
  TRUE,"Other"
)</f>
        <v>North America</v>
      </c>
      <c r="W183" s="195" t="str">
        <f>_xlfn.XLOOKUP(Table2[[#This Row],[Column3]],Sheet1!G:G,Sheet1!H:H)</f>
        <v>Oil and gas</v>
      </c>
      <c r="X183" s="195"/>
      <c r="Y183" s="195"/>
    </row>
    <row r="184" spans="1:25" ht="16">
      <c r="A184" s="194" t="s">
        <v>1582</v>
      </c>
      <c r="B184" s="68">
        <v>118</v>
      </c>
      <c r="C184" s="68" t="s">
        <v>376</v>
      </c>
      <c r="D184" s="77" t="s">
        <v>4199</v>
      </c>
      <c r="E184" s="75"/>
      <c r="H184" s="75" t="s">
        <v>4183</v>
      </c>
      <c r="I184" s="68">
        <v>2030</v>
      </c>
      <c r="J184" s="68">
        <v>2020</v>
      </c>
      <c r="K184" s="75"/>
      <c r="M184" s="76"/>
      <c r="N184" s="76"/>
      <c r="P184" s="75" t="s">
        <v>4172</v>
      </c>
      <c r="Q184" s="68" t="s">
        <v>2760</v>
      </c>
      <c r="R184" s="68">
        <v>2050</v>
      </c>
      <c r="S184" s="68">
        <v>2019</v>
      </c>
      <c r="T184" s="78" t="s">
        <v>4170</v>
      </c>
      <c r="U184" s="75" t="s">
        <v>361</v>
      </c>
      <c r="V184" s="195" t="str" cm="1">
        <f t="array" ref="V184">_xlfn.IFS(
  C184="United States","North America",
  C184="Canada","North America",
  C184="Mexico","North America",
  C184="Bermuda","North America",
  C184="United Kingdom","Europe",
  C184="Germany","Europe",
  C184="France","Europe",
  C184="Italy","Europe",
  C184="Switzerland","Europe",
  C184="Spain","Europe",
  C184="Netherlands","Europe",
  C184="Sweden","Europe",
  C184="Norway","Europe",
  C184="Finland","Europe",
  C184="Denmark","Europe",
  C184="Russia","Europe",
  C184="China","Asia",
  C184="Japan","Asia",
  C184="Taiwan, Province of China","Asia",
  C184="Hong Kong","Asia",
  C184="South Korea","Asia",
  C184="India","Asia",
  C184="Singapore","Asia",
  C184="Thailand","Asia",
  C184="Indonesia","Asia",
  C184="Malaysia","Asia",
  TRUE,"Other"
)</f>
        <v>Europe</v>
      </c>
      <c r="W184" s="195" t="str">
        <f>_xlfn.XLOOKUP(Table2[[#This Row],[Column3]],Sheet1!G:G,Sheet1!H:H)</f>
        <v>Energy and utilities</v>
      </c>
      <c r="X184" s="195"/>
      <c r="Y184" s="195"/>
    </row>
    <row r="185" spans="1:25" ht="16">
      <c r="A185" s="194" t="s">
        <v>3346</v>
      </c>
      <c r="B185" s="68">
        <v>166</v>
      </c>
      <c r="C185" s="68" t="s">
        <v>207</v>
      </c>
      <c r="D185" s="77" t="s">
        <v>3498</v>
      </c>
      <c r="E185" s="75"/>
      <c r="H185" s="75"/>
      <c r="K185" s="75" t="s">
        <v>1957</v>
      </c>
      <c r="L185" s="68" t="s">
        <v>4362</v>
      </c>
      <c r="M185" s="76">
        <v>2040</v>
      </c>
      <c r="N185" s="76">
        <v>2019</v>
      </c>
      <c r="O185" s="78" t="s">
        <v>4170</v>
      </c>
      <c r="P185" s="75"/>
      <c r="U185" s="75" t="s">
        <v>1</v>
      </c>
      <c r="V185" s="195" t="str" cm="1">
        <f t="array" ref="V185">_xlfn.IFS(
  C185="United States","North America",
  C185="Canada","North America",
  C185="Mexico","North America",
  C185="Bermuda","North America",
  C185="United Kingdom","Europe",
  C185="Germany","Europe",
  C185="France","Europe",
  C185="Italy","Europe",
  C185="Switzerland","Europe",
  C185="Spain","Europe",
  C185="Netherlands","Europe",
  C185="Sweden","Europe",
  C185="Norway","Europe",
  C185="Finland","Europe",
  C185="Denmark","Europe",
  C185="Russia","Europe",
  C185="China","Asia",
  C185="Japan","Asia",
  C185="Taiwan, Province of China","Asia",
  C185="Hong Kong","Asia",
  C185="South Korea","Asia",
  C185="India","Asia",
  C185="Singapore","Asia",
  C185="Thailand","Asia",
  C185="Indonesia","Asia",
  C185="Malaysia","Asia",
  TRUE,"Other"
)</f>
        <v>Asia</v>
      </c>
      <c r="W185" s="195" t="str">
        <f>_xlfn.XLOOKUP(Table2[[#This Row],[Column3]],Sheet1!G:G,Sheet1!H:H)</f>
        <v>Oil and gas</v>
      </c>
      <c r="X185" s="195"/>
      <c r="Y185" s="195"/>
    </row>
    <row r="186" spans="1:25">
      <c r="A186" s="194" t="s">
        <v>1185</v>
      </c>
      <c r="B186" s="68">
        <v>305</v>
      </c>
      <c r="C186" s="68" t="s">
        <v>82</v>
      </c>
      <c r="D186" s="77" t="s">
        <v>3498</v>
      </c>
      <c r="E186" s="75"/>
      <c r="H186" s="75"/>
      <c r="K186" s="75"/>
      <c r="M186" s="76"/>
      <c r="N186" s="76"/>
      <c r="P186" s="75"/>
      <c r="U186" s="75" t="s">
        <v>1</v>
      </c>
      <c r="V186" s="195" t="str" cm="1">
        <f t="array" ref="V186">_xlfn.IFS(
  C186="United States","North America",
  C186="Canada","North America",
  C186="Mexico","North America",
  C186="Bermuda","North America",
  C186="United Kingdom","Europe",
  C186="Germany","Europe",
  C186="France","Europe",
  C186="Italy","Europe",
  C186="Switzerland","Europe",
  C186="Spain","Europe",
  C186="Netherlands","Europe",
  C186="Sweden","Europe",
  C186="Norway","Europe",
  C186="Finland","Europe",
  C186="Denmark","Europe",
  C186="Russia","Europe",
  C186="China","Asia",
  C186="Japan","Asia",
  C186="Taiwan, Province of China","Asia",
  C186="Hong Kong","Asia",
  C186="South Korea","Asia",
  C186="India","Asia",
  C186="Singapore","Asia",
  C186="Thailand","Asia",
  C186="Indonesia","Asia",
  C186="Malaysia","Asia",
  TRUE,"Other"
)</f>
        <v>North America</v>
      </c>
      <c r="W186" s="195" t="str">
        <f>_xlfn.XLOOKUP(Table2[[#This Row],[Column3]],Sheet1!G:G,Sheet1!H:H)</f>
        <v>Oil and gas</v>
      </c>
      <c r="X186" s="195"/>
      <c r="Y186" s="195"/>
    </row>
    <row r="187" spans="1:25">
      <c r="A187" s="194" t="s">
        <v>1416</v>
      </c>
      <c r="B187" s="68">
        <v>152</v>
      </c>
      <c r="C187" s="68" t="s">
        <v>63</v>
      </c>
      <c r="D187" s="77" t="s">
        <v>4199</v>
      </c>
      <c r="E187" s="75"/>
      <c r="H187" s="75" t="s">
        <v>4183</v>
      </c>
      <c r="I187" s="68">
        <v>2030</v>
      </c>
      <c r="J187" s="68">
        <v>2020</v>
      </c>
      <c r="K187" s="75"/>
      <c r="M187" s="76"/>
      <c r="N187" s="76"/>
      <c r="P187" s="75" t="s">
        <v>4172</v>
      </c>
      <c r="Q187" s="68" t="s">
        <v>4361</v>
      </c>
      <c r="R187" s="68">
        <v>2045</v>
      </c>
      <c r="S187" s="68">
        <v>2021</v>
      </c>
      <c r="T187" s="79" t="s">
        <v>4170</v>
      </c>
      <c r="U187" s="75" t="s">
        <v>361</v>
      </c>
      <c r="V187" s="195" t="str" cm="1">
        <f t="array" ref="V187">_xlfn.IFS(
  C187="United States","North America",
  C187="Canada","North America",
  C187="Mexico","North America",
  C187="Bermuda","North America",
  C187="United Kingdom","Europe",
  C187="Germany","Europe",
  C187="France","Europe",
  C187="Italy","Europe",
  C187="Switzerland","Europe",
  C187="Spain","Europe",
  C187="Netherlands","Europe",
  C187="Sweden","Europe",
  C187="Norway","Europe",
  C187="Finland","Europe",
  C187="Denmark","Europe",
  C187="Russia","Europe",
  C187="China","Asia",
  C187="Japan","Asia",
  C187="Taiwan, Province of China","Asia",
  C187="Hong Kong","Asia",
  C187="South Korea","Asia",
  C187="India","Asia",
  C187="Singapore","Asia",
  C187="Thailand","Asia",
  C187="Indonesia","Asia",
  C187="Malaysia","Asia",
  TRUE,"Other"
)</f>
        <v>Europe</v>
      </c>
      <c r="W187" s="195" t="str">
        <f>_xlfn.XLOOKUP(Table2[[#This Row],[Column3]],Sheet1!G:G,Sheet1!H:H)</f>
        <v>Energy and utilities</v>
      </c>
      <c r="X187" s="195"/>
      <c r="Y187" s="195"/>
    </row>
    <row r="188" spans="1:25" ht="16">
      <c r="A188" s="194" t="s">
        <v>1607</v>
      </c>
      <c r="B188" s="68">
        <v>216</v>
      </c>
      <c r="C188" s="68" t="s">
        <v>376</v>
      </c>
      <c r="D188" s="77" t="s">
        <v>3498</v>
      </c>
      <c r="E188" s="75"/>
      <c r="H188" s="75"/>
      <c r="K188" s="75" t="s">
        <v>1957</v>
      </c>
      <c r="L188" s="68" t="s">
        <v>4360</v>
      </c>
      <c r="M188" s="76">
        <v>2030</v>
      </c>
      <c r="N188" s="76">
        <v>2020</v>
      </c>
      <c r="O188" s="78" t="s">
        <v>4170</v>
      </c>
      <c r="P188" s="75" t="s">
        <v>4217</v>
      </c>
      <c r="Q188" s="68" t="s">
        <v>4359</v>
      </c>
      <c r="R188" s="68">
        <v>2050</v>
      </c>
      <c r="S188" s="68">
        <v>2021</v>
      </c>
      <c r="T188" s="78" t="s">
        <v>4170</v>
      </c>
      <c r="U188" s="75" t="s">
        <v>361</v>
      </c>
      <c r="V188" s="195" t="str" cm="1">
        <f t="array" ref="V188">_xlfn.IFS(
  C188="United States","North America",
  C188="Canada","North America",
  C188="Mexico","North America",
  C188="Bermuda","North America",
  C188="United Kingdom","Europe",
  C188="Germany","Europe",
  C188="France","Europe",
  C188="Italy","Europe",
  C188="Switzerland","Europe",
  C188="Spain","Europe",
  C188="Netherlands","Europe",
  C188="Sweden","Europe",
  C188="Norway","Europe",
  C188="Finland","Europe",
  C188="Denmark","Europe",
  C188="Russia","Europe",
  C188="China","Asia",
  C188="Japan","Asia",
  C188="Taiwan, Province of China","Asia",
  C188="Hong Kong","Asia",
  C188="South Korea","Asia",
  C188="India","Asia",
  C188="Singapore","Asia",
  C188="Thailand","Asia",
  C188="Indonesia","Asia",
  C188="Malaysia","Asia",
  TRUE,"Other"
)</f>
        <v>Europe</v>
      </c>
      <c r="W188" s="195" t="str">
        <f>_xlfn.XLOOKUP(Table2[[#This Row],[Column3]],Sheet1!G:G,Sheet1!H:H)</f>
        <v>Oil and gas</v>
      </c>
      <c r="X188" s="195"/>
      <c r="Y188" s="195"/>
    </row>
    <row r="189" spans="1:25">
      <c r="A189" s="194" t="s">
        <v>703</v>
      </c>
      <c r="B189" s="68">
        <v>448</v>
      </c>
      <c r="C189" s="68" t="s">
        <v>82</v>
      </c>
      <c r="D189" s="77" t="s">
        <v>3498</v>
      </c>
      <c r="E189" s="75"/>
      <c r="H189" s="75"/>
      <c r="K189" s="75"/>
      <c r="M189" s="76"/>
      <c r="N189" s="76"/>
      <c r="P189" s="75"/>
      <c r="U189" s="75" t="s">
        <v>1</v>
      </c>
      <c r="V189" s="195" t="str" cm="1">
        <f t="array" ref="V189">_xlfn.IFS(
  C189="United States","North America",
  C189="Canada","North America",
  C189="Mexico","North America",
  C189="Bermuda","North America",
  C189="United Kingdom","Europe",
  C189="Germany","Europe",
  C189="France","Europe",
  C189="Italy","Europe",
  C189="Switzerland","Europe",
  C189="Spain","Europe",
  C189="Netherlands","Europe",
  C189="Sweden","Europe",
  C189="Norway","Europe",
  C189="Finland","Europe",
  C189="Denmark","Europe",
  C189="Russia","Europe",
  C189="China","Asia",
  C189="Japan","Asia",
  C189="Taiwan, Province of China","Asia",
  C189="Hong Kong","Asia",
  C189="South Korea","Asia",
  C189="India","Asia",
  C189="Singapore","Asia",
  C189="Thailand","Asia",
  C189="Indonesia","Asia",
  C189="Malaysia","Asia",
  TRUE,"Other"
)</f>
        <v>North America</v>
      </c>
      <c r="W189" s="195" t="str">
        <f>_xlfn.XLOOKUP(Table2[[#This Row],[Column3]],Sheet1!G:G,Sheet1!H:H)</f>
        <v>Oil and gas</v>
      </c>
      <c r="X189" s="195"/>
      <c r="Y189" s="195"/>
    </row>
    <row r="190" spans="1:25" ht="16">
      <c r="A190" s="194" t="s">
        <v>1478</v>
      </c>
      <c r="B190" s="68">
        <v>246</v>
      </c>
      <c r="C190" s="68" t="s">
        <v>1481</v>
      </c>
      <c r="D190" s="77" t="s">
        <v>3498</v>
      </c>
      <c r="E190" s="75"/>
      <c r="H190" s="75"/>
      <c r="K190" s="75" t="s">
        <v>1957</v>
      </c>
      <c r="L190" s="68" t="s">
        <v>160</v>
      </c>
      <c r="M190" s="76">
        <v>2030</v>
      </c>
      <c r="N190" s="76">
        <v>2020</v>
      </c>
      <c r="O190" s="79" t="s">
        <v>4170</v>
      </c>
      <c r="P190" s="75" t="s">
        <v>4186</v>
      </c>
      <c r="Q190" s="68" t="s">
        <v>4302</v>
      </c>
      <c r="R190" s="68">
        <v>2050</v>
      </c>
      <c r="S190" s="68">
        <v>2020</v>
      </c>
      <c r="T190" s="78" t="s">
        <v>4170</v>
      </c>
      <c r="U190" s="75" t="s">
        <v>361</v>
      </c>
      <c r="V190" s="195" t="str" cm="1">
        <f t="array" ref="V190">_xlfn.IFS(
  C190="United States","North America",
  C190="Canada","North America",
  C190="Mexico","North America",
  C190="Bermuda","North America",
  C190="United Kingdom","Europe",
  C190="Germany","Europe",
  C190="France","Europe",
  C190="Italy","Europe",
  C190="Switzerland","Europe",
  C190="Spain","Europe",
  C190="Netherlands","Europe",
  C190="Sweden","Europe",
  C190="Norway","Europe",
  C190="Finland","Europe",
  C190="Denmark","Europe",
  C190="Russia","Europe",
  C190="China","Asia",
  C190="Japan","Asia",
  C190="Taiwan, Province of China","Asia",
  C190="Hong Kong","Asia",
  C190="South Korea","Asia",
  C190="India","Asia",
  C190="Singapore","Asia",
  C190="Thailand","Asia",
  C190="Indonesia","Asia",
  C190="Malaysia","Asia",
  TRUE,"Other"
)</f>
        <v>Europe</v>
      </c>
      <c r="W190" s="195" t="str">
        <f>_xlfn.XLOOKUP(Table2[[#This Row],[Column3]],Sheet1!G:G,Sheet1!H:H)</f>
        <v>Oil and gas</v>
      </c>
      <c r="X190" s="195"/>
      <c r="Y190" s="195"/>
    </row>
    <row r="191" spans="1:25">
      <c r="A191" s="194" t="s">
        <v>4358</v>
      </c>
      <c r="B191" s="68">
        <v>480</v>
      </c>
      <c r="C191" s="68" t="s">
        <v>980</v>
      </c>
      <c r="D191" s="77" t="s">
        <v>4190</v>
      </c>
      <c r="E191" s="75"/>
      <c r="H191" s="75" t="s">
        <v>4183</v>
      </c>
      <c r="I191" s="68">
        <v>2022</v>
      </c>
      <c r="J191" s="68">
        <v>2018</v>
      </c>
      <c r="K191" s="75" t="s">
        <v>1957</v>
      </c>
      <c r="L191" s="68" t="s">
        <v>4357</v>
      </c>
      <c r="M191" s="76">
        <v>2030</v>
      </c>
      <c r="N191" s="76">
        <v>2019</v>
      </c>
      <c r="O191" s="79" t="s">
        <v>4170</v>
      </c>
      <c r="P191" s="75"/>
      <c r="U191" s="75" t="s">
        <v>361</v>
      </c>
      <c r="V191" s="195" t="str" cm="1">
        <f t="array" ref="V191">_xlfn.IFS(
  C191="United States","North America",
  C191="Canada","North America",
  C191="Mexico","North America",
  C191="Bermuda","North America",
  C191="United Kingdom","Europe",
  C191="Germany","Europe",
  C191="France","Europe",
  C191="Italy","Europe",
  C191="Switzerland","Europe",
  C191="Spain","Europe",
  C191="Netherlands","Europe",
  C191="Sweden","Europe",
  C191="Norway","Europe",
  C191="Finland","Europe",
  C191="Denmark","Europe",
  C191="Russia","Europe",
  C191="China","Asia",
  C191="Japan","Asia",
  C191="Taiwan, Province of China","Asia",
  C191="Hong Kong","Asia",
  C191="South Korea","Asia",
  C191="India","Asia",
  C191="Singapore","Asia",
  C191="Thailand","Asia",
  C191="Indonesia","Asia",
  C191="Malaysia","Asia",
  TRUE,"Other"
)</f>
        <v>Europe</v>
      </c>
      <c r="W191" s="195" t="str">
        <f>_xlfn.XLOOKUP(Table2[[#This Row],[Column3]],Sheet1!G:G,Sheet1!H:H)</f>
        <v>Telecommunications and media</v>
      </c>
      <c r="X191" s="195"/>
      <c r="Y191" s="195"/>
    </row>
    <row r="192" spans="1:25">
      <c r="A192" s="194" t="s">
        <v>684</v>
      </c>
      <c r="B192" s="68">
        <v>369</v>
      </c>
      <c r="C192" s="68" t="s">
        <v>82</v>
      </c>
      <c r="D192" s="77" t="s">
        <v>4199</v>
      </c>
      <c r="E192" s="75"/>
      <c r="H192" s="75"/>
      <c r="K192" s="75"/>
      <c r="M192" s="76"/>
      <c r="N192" s="76"/>
      <c r="P192" s="75" t="s">
        <v>1957</v>
      </c>
      <c r="Q192" s="68" t="s">
        <v>4356</v>
      </c>
      <c r="R192" s="68">
        <v>2050</v>
      </c>
      <c r="S192" s="68">
        <v>2021</v>
      </c>
      <c r="T192" s="79" t="s">
        <v>4170</v>
      </c>
      <c r="U192" s="75" t="s">
        <v>1</v>
      </c>
      <c r="V192" s="195" t="str" cm="1">
        <f t="array" ref="V192">_xlfn.IFS(
  C192="United States","North America",
  C192="Canada","North America",
  C192="Mexico","North America",
  C192="Bermuda","North America",
  C192="United Kingdom","Europe",
  C192="Germany","Europe",
  C192="France","Europe",
  C192="Italy","Europe",
  C192="Switzerland","Europe",
  C192="Spain","Europe",
  C192="Netherlands","Europe",
  C192="Sweden","Europe",
  C192="Norway","Europe",
  C192="Finland","Europe",
  C192="Denmark","Europe",
  C192="Russia","Europe",
  C192="China","Asia",
  C192="Japan","Asia",
  C192="Taiwan, Province of China","Asia",
  C192="Hong Kong","Asia",
  C192="South Korea","Asia",
  C192="India","Asia",
  C192="Singapore","Asia",
  C192="Thailand","Asia",
  C192="Indonesia","Asia",
  C192="Malaysia","Asia",
  TRUE,"Other"
)</f>
        <v>North America</v>
      </c>
      <c r="W192" s="195" t="str">
        <f>_xlfn.XLOOKUP(Table2[[#This Row],[Column3]],Sheet1!G:G,Sheet1!H:H)</f>
        <v>Energy and utilities</v>
      </c>
      <c r="X192" s="195"/>
      <c r="Y192" s="195"/>
    </row>
    <row r="193" spans="1:25">
      <c r="A193" s="194" t="s">
        <v>1804</v>
      </c>
      <c r="B193" s="68">
        <v>37</v>
      </c>
      <c r="C193" s="68" t="s">
        <v>376</v>
      </c>
      <c r="D193" s="77" t="s">
        <v>4465</v>
      </c>
      <c r="E193" s="75"/>
      <c r="H193" s="75"/>
      <c r="K193" s="75"/>
      <c r="M193" s="76"/>
      <c r="N193" s="76"/>
      <c r="P193" s="75"/>
      <c r="U193" s="75" t="s">
        <v>1</v>
      </c>
      <c r="V193" s="195" t="str" cm="1">
        <f t="array" ref="V193">_xlfn.IFS(
  C193="United States","North America",
  C193="Canada","North America",
  C193="Mexico","North America",
  C193="Bermuda","North America",
  C193="United Kingdom","Europe",
  C193="Germany","Europe",
  C193="France","Europe",
  C193="Italy","Europe",
  C193="Switzerland","Europe",
  C193="Spain","Europe",
  C193="Netherlands","Europe",
  C193="Sweden","Europe",
  C193="Norway","Europe",
  C193="Finland","Europe",
  C193="Denmark","Europe",
  C193="Russia","Europe",
  C193="China","Asia",
  C193="Japan","Asia",
  C193="Taiwan, Province of China","Asia",
  C193="Hong Kong","Asia",
  C193="South Korea","Asia",
  C193="India","Asia",
  C193="Singapore","Asia",
  C193="Thailand","Asia",
  C193="Indonesia","Asia",
  C193="Malaysia","Asia",
  TRUE,"Other"
)</f>
        <v>Europe</v>
      </c>
      <c r="W193" s="195" t="str">
        <f>_xlfn.XLOOKUP(Table2[[#This Row],[Column3]],Sheet1!G:G,Sheet1!H:H)</f>
        <v>Financial services</v>
      </c>
      <c r="X193" s="195"/>
      <c r="Y193" s="195"/>
    </row>
    <row r="194" spans="1:25">
      <c r="A194" s="194" t="s">
        <v>1868</v>
      </c>
      <c r="B194" s="68">
        <v>23</v>
      </c>
      <c r="C194" s="68" t="s">
        <v>82</v>
      </c>
      <c r="D194" s="77" t="s">
        <v>3498</v>
      </c>
      <c r="E194" s="75"/>
      <c r="H194" s="75"/>
      <c r="K194" s="75"/>
      <c r="M194" s="76"/>
      <c r="N194" s="76"/>
      <c r="P194" s="75"/>
      <c r="U194" s="75" t="s">
        <v>1</v>
      </c>
      <c r="V194" s="195" t="str" cm="1">
        <f t="array" ref="V194">_xlfn.IFS(
  C194="United States","North America",
  C194="Canada","North America",
  C194="Mexico","North America",
  C194="Bermuda","North America",
  C194="United Kingdom","Europe",
  C194="Germany","Europe",
  C194="France","Europe",
  C194="Italy","Europe",
  C194="Switzerland","Europe",
  C194="Spain","Europe",
  C194="Netherlands","Europe",
  C194="Sweden","Europe",
  C194="Norway","Europe",
  C194="Finland","Europe",
  C194="Denmark","Europe",
  C194="Russia","Europe",
  C194="China","Asia",
  C194="Japan","Asia",
  C194="Taiwan, Province of China","Asia",
  C194="Hong Kong","Asia",
  C194="South Korea","Asia",
  C194="India","Asia",
  C194="Singapore","Asia",
  C194="Thailand","Asia",
  C194="Indonesia","Asia",
  C194="Malaysia","Asia",
  TRUE,"Other"
)</f>
        <v>North America</v>
      </c>
      <c r="W194" s="195" t="str">
        <f>_xlfn.XLOOKUP(Table2[[#This Row],[Column3]],Sheet1!G:G,Sheet1!H:H)</f>
        <v>Oil and gas</v>
      </c>
      <c r="X194" s="195"/>
      <c r="Y194" s="195"/>
    </row>
    <row r="195" spans="1:25" ht="17.149999999999999" customHeight="1">
      <c r="A195" s="194" t="s">
        <v>1214</v>
      </c>
      <c r="B195" s="68">
        <v>86</v>
      </c>
      <c r="C195" s="68" t="s">
        <v>82</v>
      </c>
      <c r="D195" s="77" t="s">
        <v>186</v>
      </c>
      <c r="E195" s="75" t="s">
        <v>4174</v>
      </c>
      <c r="F195" s="68">
        <v>2020</v>
      </c>
      <c r="G195" s="68">
        <v>2016</v>
      </c>
      <c r="H195" s="75" t="s">
        <v>1957</v>
      </c>
      <c r="J195" s="68">
        <v>2020</v>
      </c>
      <c r="K195" s="75"/>
      <c r="M195" s="76"/>
      <c r="N195" s="76"/>
      <c r="P195" s="75" t="s">
        <v>4226</v>
      </c>
      <c r="Q195" s="68" t="s">
        <v>4355</v>
      </c>
      <c r="R195" s="68">
        <v>2020</v>
      </c>
      <c r="S195" s="68">
        <v>2020</v>
      </c>
      <c r="T195" s="79" t="s">
        <v>4170</v>
      </c>
      <c r="U195" s="75" t="s">
        <v>361</v>
      </c>
      <c r="V195" s="195" t="str" cm="1">
        <f t="array" ref="V195">_xlfn.IFS(
  C195="United States","North America",
  C195="Canada","North America",
  C195="Mexico","North America",
  C195="Bermuda","North America",
  C195="United Kingdom","Europe",
  C195="Germany","Europe",
  C195="France","Europe",
  C195="Italy","Europe",
  C195="Switzerland","Europe",
  C195="Spain","Europe",
  C195="Netherlands","Europe",
  C195="Sweden","Europe",
  C195="Norway","Europe",
  C195="Finland","Europe",
  C195="Denmark","Europe",
  C195="Russia","Europe",
  C195="China","Asia",
  C195="Japan","Asia",
  C195="Taiwan, Province of China","Asia",
  C195="Hong Kong","Asia",
  C195="South Korea","Asia",
  C195="India","Asia",
  C195="Singapore","Asia",
  C195="Thailand","Asia",
  C195="Indonesia","Asia",
  C195="Malaysia","Asia",
  TRUE,"Other"
)</f>
        <v>North America</v>
      </c>
      <c r="W195" s="195" t="str">
        <f>_xlfn.XLOOKUP(Table2[[#This Row],[Column3]],Sheet1!G:G,Sheet1!H:H)</f>
        <v>Technology</v>
      </c>
      <c r="X195" s="195"/>
      <c r="Y195" s="195"/>
    </row>
    <row r="196" spans="1:25">
      <c r="A196" s="194" t="s">
        <v>1718</v>
      </c>
      <c r="B196" s="68">
        <v>62</v>
      </c>
      <c r="C196" s="68" t="s">
        <v>82</v>
      </c>
      <c r="D196" s="77" t="s">
        <v>4465</v>
      </c>
      <c r="E196" s="75"/>
      <c r="H196" s="75"/>
      <c r="K196" s="75"/>
      <c r="M196" s="76"/>
      <c r="N196" s="76"/>
      <c r="P196" s="75"/>
      <c r="U196" s="75" t="s">
        <v>1</v>
      </c>
      <c r="V196" s="195" t="str" cm="1">
        <f t="array" ref="V196">_xlfn.IFS(
  C196="United States","North America",
  C196="Canada","North America",
  C196="Mexico","North America",
  C196="Bermuda","North America",
  C196="United Kingdom","Europe",
  C196="Germany","Europe",
  C196="France","Europe",
  C196="Italy","Europe",
  C196="Switzerland","Europe",
  C196="Spain","Europe",
  C196="Netherlands","Europe",
  C196="Sweden","Europe",
  C196="Norway","Europe",
  C196="Finland","Europe",
  C196="Denmark","Europe",
  C196="Russia","Europe",
  C196="China","Asia",
  C196="Japan","Asia",
  C196="Taiwan, Province of China","Asia",
  C196="Hong Kong","Asia",
  C196="South Korea","Asia",
  C196="India","Asia",
  C196="Singapore","Asia",
  C196="Thailand","Asia",
  C196="Indonesia","Asia",
  C196="Malaysia","Asia",
  TRUE,"Other"
)</f>
        <v>North America</v>
      </c>
      <c r="W196" s="195" t="str">
        <f>_xlfn.XLOOKUP(Table2[[#This Row],[Column3]],Sheet1!G:G,Sheet1!H:H)</f>
        <v>Financial services</v>
      </c>
      <c r="X196" s="195"/>
      <c r="Y196" s="195"/>
    </row>
    <row r="197" spans="1:25">
      <c r="A197" s="194" t="s">
        <v>1319</v>
      </c>
      <c r="B197" s="68">
        <v>135</v>
      </c>
      <c r="C197" s="68" t="s">
        <v>82</v>
      </c>
      <c r="D197" s="77" t="s">
        <v>4179</v>
      </c>
      <c r="E197" s="75"/>
      <c r="H197" s="75"/>
      <c r="K197" s="75" t="s">
        <v>1957</v>
      </c>
      <c r="L197" s="68" t="s">
        <v>4354</v>
      </c>
      <c r="M197" s="76">
        <v>2040</v>
      </c>
      <c r="N197" s="76">
        <v>2021</v>
      </c>
      <c r="O197" s="79" t="s">
        <v>4170</v>
      </c>
      <c r="P197" s="75"/>
      <c r="U197" s="75" t="s">
        <v>1</v>
      </c>
      <c r="V197" s="195" t="str" cm="1">
        <f t="array" ref="V197">_xlfn.IFS(
  C197="United States","North America",
  C197="Canada","North America",
  C197="Mexico","North America",
  C197="Bermuda","North America",
  C197="United Kingdom","Europe",
  C197="Germany","Europe",
  C197="France","Europe",
  C197="Italy","Europe",
  C197="Switzerland","Europe",
  C197="Spain","Europe",
  C197="Netherlands","Europe",
  C197="Sweden","Europe",
  C197="Norway","Europe",
  C197="Finland","Europe",
  C197="Denmark","Europe",
  C197="Russia","Europe",
  C197="China","Asia",
  C197="Japan","Asia",
  C197="Taiwan, Province of China","Asia",
  C197="Hong Kong","Asia",
  C197="South Korea","Asia",
  C197="India","Asia",
  C197="Singapore","Asia",
  C197="Thailand","Asia",
  C197="Indonesia","Asia",
  C197="Malaysia","Asia",
  TRUE,"Other"
)</f>
        <v>North America</v>
      </c>
      <c r="W197" s="195" t="str">
        <f>_xlfn.XLOOKUP(Table2[[#This Row],[Column3]],Sheet1!G:G,Sheet1!H:H)</f>
        <v>Transportation and logistics</v>
      </c>
      <c r="X197" s="195"/>
      <c r="Y197" s="195"/>
    </row>
    <row r="198" spans="1:25" ht="16">
      <c r="A198" s="194" t="s">
        <v>255</v>
      </c>
      <c r="B198" s="68">
        <v>443</v>
      </c>
      <c r="C198" s="68" t="s">
        <v>63</v>
      </c>
      <c r="D198" s="77" t="s">
        <v>4190</v>
      </c>
      <c r="E198" s="75"/>
      <c r="H198" s="75"/>
      <c r="K198" s="75" t="s">
        <v>1957</v>
      </c>
      <c r="L198" s="68" t="s">
        <v>4353</v>
      </c>
      <c r="M198" s="76">
        <v>2025</v>
      </c>
      <c r="N198" s="76">
        <v>2020</v>
      </c>
      <c r="O198" s="78" t="s">
        <v>4170</v>
      </c>
      <c r="P198" s="75"/>
      <c r="U198" s="75" t="s">
        <v>361</v>
      </c>
      <c r="V198" s="195" t="str" cm="1">
        <f t="array" ref="V198">_xlfn.IFS(
  C198="United States","North America",
  C198="Canada","North America",
  C198="Mexico","North America",
  C198="Bermuda","North America",
  C198="United Kingdom","Europe",
  C198="Germany","Europe",
  C198="France","Europe",
  C198="Italy","Europe",
  C198="Switzerland","Europe",
  C198="Spain","Europe",
  C198="Netherlands","Europe",
  C198="Sweden","Europe",
  C198="Norway","Europe",
  C198="Finland","Europe",
  C198="Denmark","Europe",
  C198="Russia","Europe",
  C198="China","Asia",
  C198="Japan","Asia",
  C198="Taiwan, Province of China","Asia",
  C198="Hong Kong","Asia",
  C198="South Korea","Asia",
  C198="India","Asia",
  C198="Singapore","Asia",
  C198="Thailand","Asia",
  C198="Indonesia","Asia",
  C198="Malaysia","Asia",
  TRUE,"Other"
)</f>
        <v>Europe</v>
      </c>
      <c r="W198" s="195" t="str">
        <f>_xlfn.XLOOKUP(Table2[[#This Row],[Column3]],Sheet1!G:G,Sheet1!H:H)</f>
        <v>Telecommunications and media</v>
      </c>
      <c r="X198" s="195"/>
      <c r="Y198" s="195"/>
    </row>
    <row r="199" spans="1:25">
      <c r="A199" s="194" t="s">
        <v>1139</v>
      </c>
      <c r="B199" s="68">
        <v>303</v>
      </c>
      <c r="C199" s="68" t="s">
        <v>63</v>
      </c>
      <c r="D199" s="77" t="s">
        <v>4455</v>
      </c>
      <c r="E199" s="75"/>
      <c r="H199" s="75"/>
      <c r="K199" s="75"/>
      <c r="M199" s="76"/>
      <c r="N199" s="76"/>
      <c r="P199" s="75"/>
      <c r="U199" s="75" t="s">
        <v>1</v>
      </c>
      <c r="V199" s="195" t="str" cm="1">
        <f t="array" ref="V199">_xlfn.IFS(
  C199="United States","North America",
  C199="Canada","North America",
  C199="Mexico","North America",
  C199="Bermuda","North America",
  C199="United Kingdom","Europe",
  C199="Germany","Europe",
  C199="France","Europe",
  C199="Italy","Europe",
  C199="Switzerland","Europe",
  C199="Spain","Europe",
  C199="Netherlands","Europe",
  C199="Sweden","Europe",
  C199="Norway","Europe",
  C199="Finland","Europe",
  C199="Denmark","Europe",
  C199="Russia","Europe",
  C199="China","Asia",
  C199="Japan","Asia",
  C199="Taiwan, Province of China","Asia",
  C199="Hong Kong","Asia",
  C199="South Korea","Asia",
  C199="India","Asia",
  C199="Singapore","Asia",
  C199="Thailand","Asia",
  C199="Indonesia","Asia",
  C199="Malaysia","Asia",
  TRUE,"Other"
)</f>
        <v>Europe</v>
      </c>
      <c r="W199" s="195" t="str">
        <f>_xlfn.XLOOKUP(Table2[[#This Row],[Column3]],Sheet1!G:G,Sheet1!H:H)</f>
        <v>Food, beverages and agriculture</v>
      </c>
      <c r="X199" s="195"/>
      <c r="Y199" s="195"/>
    </row>
    <row r="200" spans="1:25">
      <c r="A200" s="194" t="s">
        <v>182</v>
      </c>
      <c r="B200" s="68">
        <v>499</v>
      </c>
      <c r="C200" s="68" t="s">
        <v>183</v>
      </c>
      <c r="D200" s="77" t="s">
        <v>186</v>
      </c>
      <c r="E200" s="75"/>
      <c r="H200" s="75" t="s">
        <v>4183</v>
      </c>
      <c r="I200" s="68">
        <v>2030</v>
      </c>
      <c r="J200" s="68">
        <v>2021</v>
      </c>
      <c r="K200" s="75"/>
      <c r="M200" s="76"/>
      <c r="N200" s="76"/>
      <c r="P200" s="75"/>
      <c r="U200" s="75" t="s">
        <v>361</v>
      </c>
      <c r="V200" s="195" t="str" cm="1">
        <f t="array" ref="V200">_xlfn.IFS(
  C200="United States","North America",
  C200="Canada","North America",
  C200="Mexico","North America",
  C200="Bermuda","North America",
  C200="United Kingdom","Europe",
  C200="Germany","Europe",
  C200="France","Europe",
  C200="Italy","Europe",
  C200="Switzerland","Europe",
  C200="Spain","Europe",
  C200="Netherlands","Europe",
  C200="Sweden","Europe",
  C200="Norway","Europe",
  C200="Finland","Europe",
  C200="Denmark","Europe",
  C200="Russia","Europe",
  C200="China","Asia",
  C200="Japan","Asia",
  C200="Taiwan, Province of China","Asia",
  C200="Hong Kong","Asia",
  C200="South Korea","Asia",
  C200="India","Asia",
  C200="Singapore","Asia",
  C200="Thailand","Asia",
  C200="Indonesia","Asia",
  C200="Malaysia","Asia",
  TRUE,"Other"
)</f>
        <v>Asia</v>
      </c>
      <c r="W200" s="195" t="str">
        <f>_xlfn.XLOOKUP(Table2[[#This Row],[Column3]],Sheet1!G:G,Sheet1!H:H)</f>
        <v>Technology</v>
      </c>
      <c r="X200" s="195"/>
      <c r="Y200" s="195"/>
    </row>
    <row r="201" spans="1:25">
      <c r="A201" s="194" t="s">
        <v>1787</v>
      </c>
      <c r="B201" s="68">
        <v>47</v>
      </c>
      <c r="C201" s="68" t="s">
        <v>82</v>
      </c>
      <c r="D201" s="77" t="s">
        <v>4476</v>
      </c>
      <c r="E201" s="75"/>
      <c r="H201" s="75" t="s">
        <v>4183</v>
      </c>
      <c r="I201" s="68">
        <v>2035</v>
      </c>
      <c r="J201" s="68">
        <v>2021</v>
      </c>
      <c r="K201" s="75" t="s">
        <v>1957</v>
      </c>
      <c r="L201" s="68" t="s">
        <v>4352</v>
      </c>
      <c r="M201" s="76">
        <v>2050</v>
      </c>
      <c r="N201" s="76">
        <v>2020</v>
      </c>
      <c r="O201" s="79" t="s">
        <v>4170</v>
      </c>
      <c r="P201" s="75"/>
      <c r="U201" s="75" t="s">
        <v>361</v>
      </c>
      <c r="V201" s="195" t="str" cm="1">
        <f t="array" ref="V201">_xlfn.IFS(
  C201="United States","North America",
  C201="Canada","North America",
  C201="Mexico","North America",
  C201="Bermuda","North America",
  C201="United Kingdom","Europe",
  C201="Germany","Europe",
  C201="France","Europe",
  C201="Italy","Europe",
  C201="Switzerland","Europe",
  C201="Spain","Europe",
  C201="Netherlands","Europe",
  C201="Sweden","Europe",
  C201="Norway","Europe",
  C201="Finland","Europe",
  C201="Denmark","Europe",
  C201="Russia","Europe",
  C201="China","Asia",
  C201="Japan","Asia",
  C201="Taiwan, Province of China","Asia",
  C201="Hong Kong","Asia",
  C201="South Korea","Asia",
  C201="India","Asia",
  C201="Singapore","Asia",
  C201="Thailand","Asia",
  C201="Indonesia","Asia",
  C201="Malaysia","Asia",
  TRUE,"Other"
)</f>
        <v>North America</v>
      </c>
      <c r="W201" s="195" t="str">
        <f>_xlfn.XLOOKUP(Table2[[#This Row],[Column3]],Sheet1!G:G,Sheet1!H:H)</f>
        <v>Automotive</v>
      </c>
      <c r="X201" s="195"/>
      <c r="Y201" s="195"/>
    </row>
    <row r="202" spans="1:25" ht="16">
      <c r="A202" s="194" t="s">
        <v>4351</v>
      </c>
      <c r="B202" s="68">
        <v>186</v>
      </c>
      <c r="C202" s="68" t="s">
        <v>228</v>
      </c>
      <c r="D202" s="77" t="s">
        <v>4199</v>
      </c>
      <c r="E202" s="75"/>
      <c r="H202" s="75"/>
      <c r="K202" s="75" t="s">
        <v>1957</v>
      </c>
      <c r="L202" s="68" t="s">
        <v>4350</v>
      </c>
      <c r="M202" s="76">
        <v>2050</v>
      </c>
      <c r="N202" s="76">
        <v>2020</v>
      </c>
      <c r="O202" s="78" t="s">
        <v>4170</v>
      </c>
      <c r="P202" s="75"/>
      <c r="U202" s="75" t="s">
        <v>1</v>
      </c>
      <c r="V202" s="195" t="str" cm="1">
        <f t="array" ref="V202">_xlfn.IFS(
  C202="United States","North America",
  C202="Canada","North America",
  C202="Mexico","North America",
  C202="Bermuda","North America",
  C202="United Kingdom","Europe",
  C202="Germany","Europe",
  C202="France","Europe",
  C202="Italy","Europe",
  C202="Switzerland","Europe",
  C202="Spain","Europe",
  C202="Netherlands","Europe",
  C202="Sweden","Europe",
  C202="Norway","Europe",
  C202="Finland","Europe",
  C202="Denmark","Europe",
  C202="Russia","Europe",
  C202="China","Asia",
  C202="Japan","Asia",
  C202="Taiwan, Province of China","Asia",
  C202="Hong Kong","Asia",
  C202="South Korea","Asia",
  C202="India","Asia",
  C202="Singapore","Asia",
  C202="Thailand","Asia",
  C202="Indonesia","Asia",
  C202="Malaysia","Asia",
  TRUE,"Other"
)</f>
        <v>Europe</v>
      </c>
      <c r="W202" s="195" t="str">
        <f>_xlfn.XLOOKUP(Table2[[#This Row],[Column3]],Sheet1!G:G,Sheet1!H:H)</f>
        <v>Energy and utilities</v>
      </c>
      <c r="X202" s="195"/>
      <c r="Y202" s="195"/>
    </row>
    <row r="203" spans="1:25">
      <c r="A203" s="194" t="s">
        <v>1412</v>
      </c>
      <c r="B203" s="68">
        <v>141</v>
      </c>
      <c r="C203" s="68" t="s">
        <v>82</v>
      </c>
      <c r="D203" s="77" t="s">
        <v>4465</v>
      </c>
      <c r="E203" s="75"/>
      <c r="H203" s="75"/>
      <c r="K203" s="75"/>
      <c r="M203" s="76"/>
      <c r="N203" s="76"/>
      <c r="P203" s="75"/>
      <c r="U203" s="75" t="s">
        <v>1</v>
      </c>
      <c r="V203" s="195" t="str" cm="1">
        <f t="array" ref="V203">_xlfn.IFS(
  C203="United States","North America",
  C203="Canada","North America",
  C203="Mexico","North America",
  C203="Bermuda","North America",
  C203="United Kingdom","Europe",
  C203="Germany","Europe",
  C203="France","Europe",
  C203="Italy","Europe",
  C203="Switzerland","Europe",
  C203="Spain","Europe",
  C203="Netherlands","Europe",
  C203="Sweden","Europe",
  C203="Norway","Europe",
  C203="Finland","Europe",
  C203="Denmark","Europe",
  C203="Russia","Europe",
  C203="China","Asia",
  C203="Japan","Asia",
  C203="Taiwan, Province of China","Asia",
  C203="Hong Kong","Asia",
  C203="South Korea","Asia",
  C203="India","Asia",
  C203="Singapore","Asia",
  C203="Thailand","Asia",
  C203="Indonesia","Asia",
  C203="Malaysia","Asia",
  TRUE,"Other"
)</f>
        <v>North America</v>
      </c>
      <c r="W203" s="195" t="str">
        <f>_xlfn.XLOOKUP(Table2[[#This Row],[Column3]],Sheet1!G:G,Sheet1!H:H)</f>
        <v>Financial services</v>
      </c>
      <c r="X203" s="195"/>
      <c r="Y203" s="195"/>
    </row>
    <row r="204" spans="1:25">
      <c r="A204" s="194" t="s">
        <v>777</v>
      </c>
      <c r="B204" s="68">
        <v>290</v>
      </c>
      <c r="C204" s="68" t="s">
        <v>146</v>
      </c>
      <c r="D204" s="77" t="s">
        <v>4201</v>
      </c>
      <c r="E204" s="75"/>
      <c r="H204" s="75"/>
      <c r="K204" s="75"/>
      <c r="M204" s="76"/>
      <c r="N204" s="76"/>
      <c r="P204" s="75"/>
      <c r="U204" s="75" t="s">
        <v>1</v>
      </c>
      <c r="V204" s="195" t="str" cm="1">
        <f t="array" ref="V204">_xlfn.IFS(
  C204="United States","North America",
  C204="Canada","North America",
  C204="Mexico","North America",
  C204="Bermuda","North America",
  C204="United Kingdom","Europe",
  C204="Germany","Europe",
  C204="France","Europe",
  C204="Italy","Europe",
  C204="Switzerland","Europe",
  C204="Spain","Europe",
  C204="Netherlands","Europe",
  C204="Sweden","Europe",
  C204="Norway","Europe",
  C204="Finland","Europe",
  C204="Denmark","Europe",
  C204="Russia","Europe",
  C204="China","Asia",
  C204="Japan","Asia",
  C204="Taiwan, Province of China","Asia",
  C204="Hong Kong","Asia",
  C204="South Korea","Asia",
  C204="India","Asia",
  C204="Singapore","Asia",
  C204="Thailand","Asia",
  C204="Indonesia","Asia",
  C204="Malaysia","Asia",
  TRUE,"Other"
)</f>
        <v>Europe</v>
      </c>
      <c r="W204" s="195" t="str">
        <f>_xlfn.XLOOKUP(Table2[[#This Row],[Column3]],Sheet1!G:G,Sheet1!H:H)</f>
        <v>Health care and pharmaceuticals</v>
      </c>
      <c r="X204" s="195"/>
      <c r="Y204" s="195"/>
    </row>
    <row r="205" spans="1:25">
      <c r="A205" s="194" t="s">
        <v>196</v>
      </c>
      <c r="B205" s="68">
        <v>388</v>
      </c>
      <c r="C205" s="68" t="s">
        <v>3277</v>
      </c>
      <c r="D205" s="77" t="s">
        <v>4465</v>
      </c>
      <c r="E205" s="75"/>
      <c r="H205" s="75" t="s">
        <v>1957</v>
      </c>
      <c r="J205" s="68">
        <v>2016</v>
      </c>
      <c r="K205" s="75"/>
      <c r="M205" s="76"/>
      <c r="N205" s="76"/>
      <c r="P205" s="75"/>
      <c r="U205" s="75" t="s">
        <v>361</v>
      </c>
      <c r="V205" s="195" t="str" cm="1">
        <f t="array" ref="V205">_xlfn.IFS(
  C205="United States","North America",
  C205="Canada","North America",
  C205="Mexico","North America",
  C205="Bermuda","North America",
  C205="United Kingdom","Europe",
  C205="Germany","Europe",
  C205="France","Europe",
  C205="Italy","Europe",
  C205="Switzerland","Europe",
  C205="Spain","Europe",
  C205="Netherlands","Europe",
  C205="Sweden","Europe",
  C205="Norway","Europe",
  C205="Finland","Europe",
  C205="Denmark","Europe",
  C205="Russia","Europe",
  C205="China","Asia",
  C205="Japan","Asia",
  C205="Taiwan, Province of China","Asia",
  C205="Hong Kong","Asia",
  C205="South Korea","Asia",
  C205="India","Asia",
  C205="Singapore","Asia",
  C205="Thailand","Asia",
  C205="Indonesia","Asia",
  C205="Malaysia","Asia",
  TRUE,"Other"
)</f>
        <v>Asia</v>
      </c>
      <c r="W205" s="195" t="str">
        <f>_xlfn.XLOOKUP(Table2[[#This Row],[Column3]],Sheet1!G:G,Sheet1!H:H)</f>
        <v>Financial services</v>
      </c>
      <c r="X205" s="195"/>
      <c r="Y205" s="195"/>
    </row>
    <row r="206" spans="1:25" ht="16">
      <c r="A206" s="194" t="s">
        <v>666</v>
      </c>
      <c r="B206" s="68">
        <v>358</v>
      </c>
      <c r="C206" s="68" t="s">
        <v>207</v>
      </c>
      <c r="D206" s="77" t="s">
        <v>186</v>
      </c>
      <c r="E206" s="75" t="s">
        <v>4174</v>
      </c>
      <c r="F206" s="68">
        <v>2050</v>
      </c>
      <c r="G206" s="68">
        <v>2018</v>
      </c>
      <c r="H206" s="75" t="s">
        <v>4183</v>
      </c>
      <c r="I206" s="68">
        <v>2030</v>
      </c>
      <c r="J206" s="68">
        <v>2017</v>
      </c>
      <c r="K206" s="75"/>
      <c r="M206" s="76"/>
      <c r="N206" s="76"/>
      <c r="P206" s="75" t="s">
        <v>2082</v>
      </c>
      <c r="R206" s="81">
        <v>2050</v>
      </c>
      <c r="S206" s="81">
        <v>2018</v>
      </c>
      <c r="T206" s="78" t="s">
        <v>4170</v>
      </c>
      <c r="U206" s="75" t="s">
        <v>361</v>
      </c>
      <c r="V206" s="195" t="str" cm="1">
        <f t="array" ref="V206">_xlfn.IFS(
  C206="United States","North America",
  C206="Canada","North America",
  C206="Mexico","North America",
  C206="Bermuda","North America",
  C206="United Kingdom","Europe",
  C206="Germany","Europe",
  C206="France","Europe",
  C206="Italy","Europe",
  C206="Switzerland","Europe",
  C206="Spain","Europe",
  C206="Netherlands","Europe",
  C206="Sweden","Europe",
  C206="Norway","Europe",
  C206="Finland","Europe",
  C206="Denmark","Europe",
  C206="Russia","Europe",
  C206="China","Asia",
  C206="Japan","Asia",
  C206="Taiwan, Province of China","Asia",
  C206="Hong Kong","Asia",
  C206="South Korea","Asia",
  C206="India","Asia",
  C206="Singapore","Asia",
  C206="Thailand","Asia",
  C206="Indonesia","Asia",
  C206="Malaysia","Asia",
  TRUE,"Other"
)</f>
        <v>Asia</v>
      </c>
      <c r="W206" s="195" t="str">
        <f>_xlfn.XLOOKUP(Table2[[#This Row],[Column3]],Sheet1!G:G,Sheet1!H:H)</f>
        <v>Technology</v>
      </c>
      <c r="X206" s="195"/>
      <c r="Y206" s="195"/>
    </row>
    <row r="207" spans="1:25">
      <c r="A207" s="194" t="s">
        <v>1743</v>
      </c>
      <c r="B207" s="68">
        <v>84</v>
      </c>
      <c r="C207" s="68" t="s">
        <v>972</v>
      </c>
      <c r="D207" s="77" t="s">
        <v>4199</v>
      </c>
      <c r="E207" s="75"/>
      <c r="H207" s="75"/>
      <c r="K207" s="75"/>
      <c r="M207" s="76"/>
      <c r="N207" s="76"/>
      <c r="P207" s="75"/>
      <c r="U207" s="75" t="s">
        <v>1</v>
      </c>
      <c r="V207" s="195" t="str" cm="1">
        <f t="array" ref="V207">_xlfn.IFS(
  C207="United States","North America",
  C207="Canada","North America",
  C207="Mexico","North America",
  C207="Bermuda","North America",
  C207="United Kingdom","Europe",
  C207="Germany","Europe",
  C207="France","Europe",
  C207="Italy","Europe",
  C207="Switzerland","Europe",
  C207="Spain","Europe",
  C207="Netherlands","Europe",
  C207="Sweden","Europe",
  C207="Norway","Europe",
  C207="Finland","Europe",
  C207="Denmark","Europe",
  C207="Russia","Europe",
  C207="China","Asia",
  C207="Japan","Asia",
  C207="Taiwan, Province of China","Asia",
  C207="Hong Kong","Asia",
  C207="South Korea","Asia",
  C207="India","Asia",
  C207="Singapore","Asia",
  C207="Thailand","Asia",
  C207="Indonesia","Asia",
  C207="Malaysia","Asia",
  TRUE,"Other"
)</f>
        <v>Europe</v>
      </c>
      <c r="W207" s="195" t="str">
        <f>_xlfn.XLOOKUP(Table2[[#This Row],[Column3]],Sheet1!G:G,Sheet1!H:H)</f>
        <v>Energy and utilities</v>
      </c>
      <c r="X207" s="195"/>
      <c r="Y207" s="195"/>
    </row>
    <row r="208" spans="1:25">
      <c r="A208" s="194" t="s">
        <v>688</v>
      </c>
      <c r="B208" s="68">
        <v>316</v>
      </c>
      <c r="C208" s="68" t="s">
        <v>82</v>
      </c>
      <c r="D208" s="77" t="s">
        <v>4260</v>
      </c>
      <c r="E208" s="75"/>
      <c r="H208" s="75"/>
      <c r="K208" s="75"/>
      <c r="M208" s="76"/>
      <c r="N208" s="76"/>
      <c r="P208" s="75"/>
      <c r="U208" s="75" t="s">
        <v>1</v>
      </c>
      <c r="V208" s="195" t="str" cm="1">
        <f t="array" ref="V208">_xlfn.IFS(
  C208="United States","North America",
  C208="Canada","North America",
  C208="Mexico","North America",
  C208="Bermuda","North America",
  C208="United Kingdom","Europe",
  C208="Germany","Europe",
  C208="France","Europe",
  C208="Italy","Europe",
  C208="Switzerland","Europe",
  C208="Spain","Europe",
  C208="Netherlands","Europe",
  C208="Sweden","Europe",
  C208="Norway","Europe",
  C208="Finland","Europe",
  C208="Denmark","Europe",
  C208="Russia","Europe",
  C208="China","Asia",
  C208="Japan","Asia",
  C208="Taiwan, Province of China","Asia",
  C208="Hong Kong","Asia",
  C208="South Korea","Asia",
  C208="India","Asia",
  C208="Singapore","Asia",
  C208="Thailand","Asia",
  C208="Indonesia","Asia",
  C208="Malaysia","Asia",
  TRUE,"Other"
)</f>
        <v>North America</v>
      </c>
      <c r="W208" s="195" t="str">
        <f>_xlfn.XLOOKUP(Table2[[#This Row],[Column3]],Sheet1!G:G,Sheet1!H:H)</f>
        <v>Aerospace and defense</v>
      </c>
      <c r="X208" s="195"/>
      <c r="Y208" s="195"/>
    </row>
    <row r="209" spans="1:25">
      <c r="A209" s="194" t="s">
        <v>1720</v>
      </c>
      <c r="B209" s="68">
        <v>104</v>
      </c>
      <c r="C209" s="68" t="s">
        <v>82</v>
      </c>
      <c r="D209" s="77" t="s">
        <v>4459</v>
      </c>
      <c r="E209" s="75"/>
      <c r="H209" s="75"/>
      <c r="K209" s="75" t="s">
        <v>4193</v>
      </c>
      <c r="L209" s="68" t="s">
        <v>4223</v>
      </c>
      <c r="M209" s="76">
        <v>2030</v>
      </c>
      <c r="N209" s="88">
        <v>2020</v>
      </c>
      <c r="O209" s="90" t="s">
        <v>4170</v>
      </c>
      <c r="P209" s="75" t="s">
        <v>4217</v>
      </c>
      <c r="Q209" s="68" t="s">
        <v>4349</v>
      </c>
      <c r="R209" s="68">
        <v>2050</v>
      </c>
      <c r="S209" s="68">
        <v>2021</v>
      </c>
      <c r="T209" s="79" t="s">
        <v>4170</v>
      </c>
      <c r="U209" s="75" t="s">
        <v>361</v>
      </c>
      <c r="V209" s="195" t="str" cm="1">
        <f t="array" ref="V209">_xlfn.IFS(
  C209="United States","North America",
  C209="Canada","North America",
  C209="Mexico","North America",
  C209="Bermuda","North America",
  C209="United Kingdom","Europe",
  C209="Germany","Europe",
  C209="France","Europe",
  C209="Italy","Europe",
  C209="Switzerland","Europe",
  C209="Spain","Europe",
  C209="Netherlands","Europe",
  C209="Sweden","Europe",
  C209="Norway","Europe",
  C209="Finland","Europe",
  C209="Denmark","Europe",
  C209="Russia","Europe",
  C209="China","Asia",
  C209="Japan","Asia",
  C209="Taiwan, Province of China","Asia",
  C209="Hong Kong","Asia",
  C209="South Korea","Asia",
  C209="India","Asia",
  C209="Singapore","Asia",
  C209="Thailand","Asia",
  C209="Indonesia","Asia",
  C209="Malaysia","Asia",
  TRUE,"Other"
)</f>
        <v>North America</v>
      </c>
      <c r="W209" s="195" t="str">
        <f>_xlfn.XLOOKUP(Table2[[#This Row],[Column3]],Sheet1!G:G,Sheet1!H:H)</f>
        <v>Industrial goods</v>
      </c>
      <c r="X209" s="195"/>
      <c r="Y209" s="195"/>
    </row>
    <row r="210" spans="1:25" ht="16">
      <c r="A210" s="194" t="s">
        <v>1781</v>
      </c>
      <c r="B210" s="68">
        <v>49</v>
      </c>
      <c r="C210" s="68" t="s">
        <v>82</v>
      </c>
      <c r="D210" s="77" t="s">
        <v>4476</v>
      </c>
      <c r="E210" s="75" t="s">
        <v>4174</v>
      </c>
      <c r="F210" s="68">
        <v>2050</v>
      </c>
      <c r="G210" s="68">
        <v>2016</v>
      </c>
      <c r="H210" s="75" t="s">
        <v>4183</v>
      </c>
      <c r="I210" s="68">
        <v>2035</v>
      </c>
      <c r="J210" s="68">
        <v>2021</v>
      </c>
      <c r="K210" s="75" t="s">
        <v>4193</v>
      </c>
      <c r="L210" s="68" t="s">
        <v>4348</v>
      </c>
      <c r="M210" s="76">
        <v>2040</v>
      </c>
      <c r="N210" s="76">
        <v>2021</v>
      </c>
      <c r="O210" s="82" t="s">
        <v>4170</v>
      </c>
      <c r="P210" s="75"/>
      <c r="U210" s="75" t="s">
        <v>361</v>
      </c>
      <c r="V210" s="195" t="str" cm="1">
        <f t="array" ref="V210">_xlfn.IFS(
  C210="United States","North America",
  C210="Canada","North America",
  C210="Mexico","North America",
  C210="Bermuda","North America",
  C210="United Kingdom","Europe",
  C210="Germany","Europe",
  C210="France","Europe",
  C210="Italy","Europe",
  C210="Switzerland","Europe",
  C210="Spain","Europe",
  C210="Netherlands","Europe",
  C210="Sweden","Europe",
  C210="Norway","Europe",
  C210="Finland","Europe",
  C210="Denmark","Europe",
  C210="Russia","Europe",
  C210="China","Asia",
  C210="Japan","Asia",
  C210="Taiwan, Province of China","Asia",
  C210="Hong Kong","Asia",
  C210="South Korea","Asia",
  C210="India","Asia",
  C210="Singapore","Asia",
  C210="Thailand","Asia",
  C210="Indonesia","Asia",
  C210="Malaysia","Asia",
  TRUE,"Other"
)</f>
        <v>North America</v>
      </c>
      <c r="W210" s="195" t="str">
        <f>_xlfn.XLOOKUP(Table2[[#This Row],[Column3]],Sheet1!G:G,Sheet1!H:H)</f>
        <v>Automotive</v>
      </c>
      <c r="X210" s="195"/>
      <c r="Y210" s="195"/>
    </row>
    <row r="211" spans="1:25">
      <c r="A211" s="194" t="s">
        <v>745</v>
      </c>
      <c r="B211" s="68">
        <v>292</v>
      </c>
      <c r="C211" s="68" t="s">
        <v>78</v>
      </c>
      <c r="D211" s="77" t="s">
        <v>4455</v>
      </c>
      <c r="E211" s="75"/>
      <c r="H211" s="75"/>
      <c r="K211" s="75"/>
      <c r="M211" s="76"/>
      <c r="N211" s="76"/>
      <c r="P211" s="75"/>
      <c r="U211" s="75" t="s">
        <v>1</v>
      </c>
      <c r="V211" s="195" t="str" cm="1">
        <f t="array" ref="V211">_xlfn.IFS(
  C211="United States","North America",
  C211="Canada","North America",
  C211="Mexico","North America",
  C211="Bermuda","North America",
  C211="United Kingdom","Europe",
  C211="Germany","Europe",
  C211="France","Europe",
  C211="Italy","Europe",
  C211="Switzerland","Europe",
  C211="Spain","Europe",
  C211="Netherlands","Europe",
  C211="Sweden","Europe",
  C211="Norway","Europe",
  C211="Finland","Europe",
  C211="Denmark","Europe",
  C211="Russia","Europe",
  C211="China","Asia",
  C211="Japan","Asia",
  C211="Taiwan, Province of China","Asia",
  C211="Hong Kong","Asia",
  C211="South Korea","Asia",
  C211="India","Asia",
  C211="Singapore","Asia",
  C211="Thailand","Asia",
  C211="Indonesia","Asia",
  C211="Malaysia","Asia",
  TRUE,"Other"
)</f>
        <v>North America</v>
      </c>
      <c r="W211" s="195" t="str">
        <f>_xlfn.XLOOKUP(Table2[[#This Row],[Column3]],Sheet1!G:G,Sheet1!H:H)</f>
        <v>Food, beverages and agriculture</v>
      </c>
      <c r="X211" s="195"/>
      <c r="Y211" s="195"/>
    </row>
    <row r="212" spans="1:25">
      <c r="A212" s="194" t="s">
        <v>4347</v>
      </c>
      <c r="B212" s="68">
        <v>489</v>
      </c>
      <c r="C212" s="68" t="s">
        <v>82</v>
      </c>
      <c r="D212" s="77" t="s">
        <v>4201</v>
      </c>
      <c r="E212" s="75"/>
      <c r="H212" s="75" t="s">
        <v>4183</v>
      </c>
      <c r="I212" s="68">
        <v>2030</v>
      </c>
      <c r="J212" s="68">
        <v>2021</v>
      </c>
      <c r="K212" s="75"/>
      <c r="M212" s="76"/>
      <c r="N212" s="76"/>
      <c r="P212" s="75"/>
      <c r="U212" s="75" t="s">
        <v>361</v>
      </c>
      <c r="V212" s="195" t="str" cm="1">
        <f t="array" ref="V212">_xlfn.IFS(
  C212="United States","North America",
  C212="Canada","North America",
  C212="Mexico","North America",
  C212="Bermuda","North America",
  C212="United Kingdom","Europe",
  C212="Germany","Europe",
  C212="France","Europe",
  C212="Italy","Europe",
  C212="Switzerland","Europe",
  C212="Spain","Europe",
  C212="Netherlands","Europe",
  C212="Sweden","Europe",
  C212="Norway","Europe",
  C212="Finland","Europe",
  C212="Denmark","Europe",
  C212="Russia","Europe",
  C212="China","Asia",
  C212="Japan","Asia",
  C212="Taiwan, Province of China","Asia",
  C212="Hong Kong","Asia",
  C212="South Korea","Asia",
  C212="India","Asia",
  C212="Singapore","Asia",
  C212="Thailand","Asia",
  C212="Indonesia","Asia",
  C212="Malaysia","Asia",
  TRUE,"Other"
)</f>
        <v>North America</v>
      </c>
      <c r="W212" s="195" t="str">
        <f>_xlfn.XLOOKUP(Table2[[#This Row],[Column3]],Sheet1!G:G,Sheet1!H:H)</f>
        <v>Health care and pharmaceuticals</v>
      </c>
      <c r="X212" s="195"/>
      <c r="Y212" s="195"/>
    </row>
    <row r="213" spans="1:25" ht="16">
      <c r="A213" s="194" t="s">
        <v>840</v>
      </c>
      <c r="B213" s="68">
        <v>264</v>
      </c>
      <c r="C213" s="68" t="s">
        <v>4195</v>
      </c>
      <c r="D213" s="77" t="s">
        <v>4201</v>
      </c>
      <c r="E213" s="75" t="s">
        <v>4174</v>
      </c>
      <c r="F213" s="68">
        <v>2025</v>
      </c>
      <c r="G213" s="68">
        <v>2020</v>
      </c>
      <c r="H213" s="75" t="s">
        <v>4183</v>
      </c>
      <c r="I213" s="68">
        <v>2025</v>
      </c>
      <c r="J213" s="68">
        <v>2019</v>
      </c>
      <c r="K213" s="75"/>
      <c r="M213" s="76"/>
      <c r="N213" s="76"/>
      <c r="P213" s="75" t="s">
        <v>4172</v>
      </c>
      <c r="Q213" s="68" t="s">
        <v>4346</v>
      </c>
      <c r="R213" s="81">
        <v>2030</v>
      </c>
      <c r="S213" s="68">
        <v>2020</v>
      </c>
      <c r="T213" s="78" t="s">
        <v>4170</v>
      </c>
      <c r="U213" s="75" t="s">
        <v>361</v>
      </c>
      <c r="V213" s="195" t="str" cm="1">
        <f t="array" ref="V213">_xlfn.IFS(
  C213="United States","North America",
  C213="Canada","North America",
  C213="Mexico","North America",
  C213="Bermuda","North America",
  C213="United Kingdom","Europe",
  C213="Germany","Europe",
  C213="France","Europe",
  C213="Italy","Europe",
  C213="Switzerland","Europe",
  C213="Spain","Europe",
  C213="Netherlands","Europe",
  C213="Sweden","Europe",
  C213="Norway","Europe",
  C213="Finland","Europe",
  C213="Denmark","Europe",
  C213="Russia","Europe",
  C213="China","Asia",
  C213="Japan","Asia",
  C213="Taiwan, Province of China","Asia",
  C213="Hong Kong","Asia",
  C213="South Korea","Asia",
  C213="India","Asia",
  C213="Singapore","Asia",
  C213="Thailand","Asia",
  C213="Indonesia","Asia",
  C213="Malaysia","Asia",
  TRUE,"Other"
)</f>
        <v>Europe</v>
      </c>
      <c r="W213" s="195" t="str">
        <f>_xlfn.XLOOKUP(Table2[[#This Row],[Column3]],Sheet1!G:G,Sheet1!H:H)</f>
        <v>Health care and pharmaceuticals</v>
      </c>
      <c r="X213" s="195"/>
      <c r="Y213" s="195"/>
    </row>
    <row r="214" spans="1:25">
      <c r="A214" s="194" t="s">
        <v>1828</v>
      </c>
      <c r="B214" s="68">
        <v>34</v>
      </c>
      <c r="C214" s="68" t="s">
        <v>287</v>
      </c>
      <c r="D214" s="77" t="s">
        <v>4459</v>
      </c>
      <c r="E214" s="75"/>
      <c r="H214" s="75"/>
      <c r="K214" s="75"/>
      <c r="M214" s="76"/>
      <c r="N214" s="76"/>
      <c r="P214" s="75" t="s">
        <v>4186</v>
      </c>
      <c r="Q214" s="68" t="s">
        <v>4345</v>
      </c>
      <c r="R214" s="68">
        <v>2050</v>
      </c>
      <c r="S214" s="68">
        <v>2020</v>
      </c>
      <c r="T214" s="79" t="s">
        <v>4170</v>
      </c>
      <c r="U214" s="75" t="s">
        <v>1</v>
      </c>
      <c r="V214" s="195" t="str" cm="1">
        <f t="array" ref="V214">_xlfn.IFS(
  C214="United States","North America",
  C214="Canada","North America",
  C214="Mexico","North America",
  C214="Bermuda","North America",
  C214="United Kingdom","Europe",
  C214="Germany","Europe",
  C214="France","Europe",
  C214="Italy","Europe",
  C214="Switzerland","Europe",
  C214="Spain","Europe",
  C214="Netherlands","Europe",
  C214="Sweden","Europe",
  C214="Norway","Europe",
  C214="Finland","Europe",
  C214="Denmark","Europe",
  C214="Russia","Europe",
  C214="China","Asia",
  C214="Japan","Asia",
  C214="Taiwan, Province of China","Asia",
  C214="Hong Kong","Asia",
  C214="South Korea","Asia",
  C214="India","Asia",
  C214="Singapore","Asia",
  C214="Thailand","Asia",
  C214="Indonesia","Asia",
  C214="Malaysia","Asia",
  TRUE,"Other"
)</f>
        <v>Europe</v>
      </c>
      <c r="W214" s="195" t="str">
        <f>_xlfn.XLOOKUP(Table2[[#This Row],[Column3]],Sheet1!G:G,Sheet1!H:H)</f>
        <v>Industrial goods</v>
      </c>
      <c r="X214" s="195"/>
      <c r="Y214" s="195"/>
    </row>
    <row r="215" spans="1:25" ht="16">
      <c r="A215" s="194" t="s">
        <v>1146</v>
      </c>
      <c r="B215" s="68">
        <v>193</v>
      </c>
      <c r="C215" s="68" t="s">
        <v>82</v>
      </c>
      <c r="D215" s="77" t="s">
        <v>4465</v>
      </c>
      <c r="E215" s="75" t="s">
        <v>4174</v>
      </c>
      <c r="F215" s="68">
        <v>2020</v>
      </c>
      <c r="G215" s="68">
        <v>2015</v>
      </c>
      <c r="H215" s="75"/>
      <c r="K215" s="75" t="s">
        <v>1957</v>
      </c>
      <c r="L215" s="68" t="s">
        <v>4344</v>
      </c>
      <c r="M215" s="76">
        <v>2015</v>
      </c>
      <c r="N215" s="88">
        <v>2009</v>
      </c>
      <c r="O215" s="87" t="s">
        <v>4170</v>
      </c>
      <c r="P215" s="75" t="s">
        <v>4233</v>
      </c>
      <c r="Q215" s="68" t="s">
        <v>4343</v>
      </c>
      <c r="R215" s="81">
        <v>2030</v>
      </c>
      <c r="S215" s="81">
        <v>2021</v>
      </c>
      <c r="T215" s="78" t="s">
        <v>4170</v>
      </c>
      <c r="U215" s="75" t="s">
        <v>361</v>
      </c>
      <c r="V215" s="195" t="str" cm="1">
        <f t="array" ref="V215">_xlfn.IFS(
  C215="United States","North America",
  C215="Canada","North America",
  C215="Mexico","North America",
  C215="Bermuda","North America",
  C215="United Kingdom","Europe",
  C215="Germany","Europe",
  C215="France","Europe",
  C215="Italy","Europe",
  C215="Switzerland","Europe",
  C215="Spain","Europe",
  C215="Netherlands","Europe",
  C215="Sweden","Europe",
  C215="Norway","Europe",
  C215="Finland","Europe",
  C215="Denmark","Europe",
  C215="Russia","Europe",
  C215="China","Asia",
  C215="Japan","Asia",
  C215="Taiwan, Province of China","Asia",
  C215="Hong Kong","Asia",
  C215="South Korea","Asia",
  C215="India","Asia",
  C215="Singapore","Asia",
  C215="Thailand","Asia",
  C215="Indonesia","Asia",
  C215="Malaysia","Asia",
  TRUE,"Other"
)</f>
        <v>North America</v>
      </c>
      <c r="W215" s="195" t="str">
        <f>_xlfn.XLOOKUP(Table2[[#This Row],[Column3]],Sheet1!G:G,Sheet1!H:H)</f>
        <v>Financial services</v>
      </c>
      <c r="X215" s="195"/>
      <c r="Y215" s="195"/>
    </row>
    <row r="216" spans="1:25">
      <c r="A216" s="194" t="s">
        <v>3230</v>
      </c>
      <c r="B216" s="68">
        <v>488</v>
      </c>
      <c r="C216" s="68" t="s">
        <v>73</v>
      </c>
      <c r="D216" s="77" t="s">
        <v>186</v>
      </c>
      <c r="E216" s="75"/>
      <c r="H216" s="75"/>
      <c r="K216" s="75"/>
      <c r="M216" s="76"/>
      <c r="N216" s="76"/>
      <c r="P216" s="75"/>
      <c r="U216" s="75" t="s">
        <v>1</v>
      </c>
      <c r="V216" s="195" t="str" cm="1">
        <f t="array" ref="V216">_xlfn.IFS(
  C216="United States","North America",
  C216="Canada","North America",
  C216="Mexico","North America",
  C216="Bermuda","North America",
  C216="United Kingdom","Europe",
  C216="Germany","Europe",
  C216="France","Europe",
  C216="Italy","Europe",
  C216="Switzerland","Europe",
  C216="Spain","Europe",
  C216="Netherlands","Europe",
  C216="Sweden","Europe",
  C216="Norway","Europe",
  C216="Finland","Europe",
  C216="Denmark","Europe",
  C216="Russia","Europe",
  C216="China","Asia",
  C216="Japan","Asia",
  C216="Taiwan, Province of China","Asia",
  C216="Hong Kong","Asia",
  C216="South Korea","Asia",
  C216="India","Asia",
  C216="Singapore","Asia",
  C216="Thailand","Asia",
  C216="Indonesia","Asia",
  C216="Malaysia","Asia",
  TRUE,"Other"
)</f>
        <v>Asia</v>
      </c>
      <c r="W216" s="195" t="str">
        <f>_xlfn.XLOOKUP(Table2[[#This Row],[Column3]],Sheet1!G:G,Sheet1!H:H)</f>
        <v>Technology</v>
      </c>
      <c r="X216" s="195"/>
      <c r="Y216" s="195"/>
    </row>
    <row r="217" spans="1:25">
      <c r="A217" s="194" t="s">
        <v>1153</v>
      </c>
      <c r="B217" s="68">
        <v>142</v>
      </c>
      <c r="C217" s="68" t="s">
        <v>73</v>
      </c>
      <c r="D217" s="77" t="s">
        <v>976</v>
      </c>
      <c r="E217" s="75"/>
      <c r="H217" s="75"/>
      <c r="K217" s="75"/>
      <c r="M217" s="76"/>
      <c r="N217" s="76"/>
      <c r="P217" s="75"/>
      <c r="U217" s="75" t="s">
        <v>1</v>
      </c>
      <c r="V217" s="195" t="str" cm="1">
        <f t="array" ref="V217">_xlfn.IFS(
  C217="United States","North America",
  C217="Canada","North America",
  C217="Mexico","North America",
  C217="Bermuda","North America",
  C217="United Kingdom","Europe",
  C217="Germany","Europe",
  C217="France","Europe",
  C217="Italy","Europe",
  C217="Switzerland","Europe",
  C217="Spain","Europe",
  C217="Netherlands","Europe",
  C217="Sweden","Europe",
  C217="Norway","Europe",
  C217="Finland","Europe",
  C217="Denmark","Europe",
  C217="Russia","Europe",
  C217="China","Asia",
  C217="Japan","Asia",
  C217="Taiwan, Province of China","Asia",
  C217="Hong Kong","Asia",
  C217="South Korea","Asia",
  C217="India","Asia",
  C217="Singapore","Asia",
  C217="Thailand","Asia",
  C217="Indonesia","Asia",
  C217="Malaysia","Asia",
  TRUE,"Other"
)</f>
        <v>Asia</v>
      </c>
      <c r="W217" s="195" t="str">
        <f>_xlfn.XLOOKUP(Table2[[#This Row],[Column3]],Sheet1!G:G,Sheet1!H:H)</f>
        <v>Real estate</v>
      </c>
      <c r="X217" s="195"/>
      <c r="Y217" s="195"/>
    </row>
    <row r="218" spans="1:25" ht="16">
      <c r="A218" s="194" t="s">
        <v>1091</v>
      </c>
      <c r="B218" s="68">
        <v>265</v>
      </c>
      <c r="C218" s="68" t="s">
        <v>63</v>
      </c>
      <c r="D218" s="77" t="s">
        <v>4465</v>
      </c>
      <c r="E218" s="75"/>
      <c r="H218" s="75"/>
      <c r="K218" s="75"/>
      <c r="M218" s="76"/>
      <c r="N218" s="76"/>
      <c r="P218" s="75" t="s">
        <v>4342</v>
      </c>
      <c r="Q218" s="68" t="s">
        <v>4341</v>
      </c>
      <c r="R218" s="68">
        <v>2050</v>
      </c>
      <c r="S218" s="68">
        <v>2021</v>
      </c>
      <c r="T218" s="78" t="s">
        <v>4170</v>
      </c>
      <c r="U218" s="75" t="s">
        <v>1</v>
      </c>
      <c r="V218" s="195" t="str" cm="1">
        <f t="array" ref="V218">_xlfn.IFS(
  C218="United States","North America",
  C218="Canada","North America",
  C218="Mexico","North America",
  C218="Bermuda","North America",
  C218="United Kingdom","Europe",
  C218="Germany","Europe",
  C218="France","Europe",
  C218="Italy","Europe",
  C218="Switzerland","Europe",
  C218="Spain","Europe",
  C218="Netherlands","Europe",
  C218="Sweden","Europe",
  C218="Norway","Europe",
  C218="Finland","Europe",
  C218="Denmark","Europe",
  C218="Russia","Europe",
  C218="China","Asia",
  C218="Japan","Asia",
  C218="Taiwan, Province of China","Asia",
  C218="Hong Kong","Asia",
  C218="South Korea","Asia",
  C218="India","Asia",
  C218="Singapore","Asia",
  C218="Thailand","Asia",
  C218="Indonesia","Asia",
  C218="Malaysia","Asia",
  TRUE,"Other"
)</f>
        <v>Europe</v>
      </c>
      <c r="W218" s="195" t="str">
        <f>_xlfn.XLOOKUP(Table2[[#This Row],[Column3]],Sheet1!G:G,Sheet1!H:H)</f>
        <v>Financial services</v>
      </c>
      <c r="X218" s="195"/>
      <c r="Y218" s="195"/>
    </row>
    <row r="219" spans="1:25">
      <c r="A219" s="194" t="s">
        <v>3218</v>
      </c>
      <c r="B219" s="68">
        <v>439</v>
      </c>
      <c r="C219" s="68" t="s">
        <v>73</v>
      </c>
      <c r="D219" s="77" t="s">
        <v>4465</v>
      </c>
      <c r="E219" s="75"/>
      <c r="H219" s="75"/>
      <c r="K219" s="75"/>
      <c r="M219" s="76"/>
      <c r="N219" s="76"/>
      <c r="P219" s="75"/>
      <c r="U219" s="75" t="s">
        <v>1</v>
      </c>
      <c r="V219" s="195" t="str" cm="1">
        <f t="array" ref="V219">_xlfn.IFS(
  C219="United States","North America",
  C219="Canada","North America",
  C219="Mexico","North America",
  C219="Bermuda","North America",
  C219="United Kingdom","Europe",
  C219="Germany","Europe",
  C219="France","Europe",
  C219="Italy","Europe",
  C219="Switzerland","Europe",
  C219="Spain","Europe",
  C219="Netherlands","Europe",
  C219="Sweden","Europe",
  C219="Norway","Europe",
  C219="Finland","Europe",
  C219="Denmark","Europe",
  C219="Russia","Europe",
  C219="China","Asia",
  C219="Japan","Asia",
  C219="Taiwan, Province of China","Asia",
  C219="Hong Kong","Asia",
  C219="South Korea","Asia",
  C219="India","Asia",
  C219="Singapore","Asia",
  C219="Thailand","Asia",
  C219="Indonesia","Asia",
  C219="Malaysia","Asia",
  TRUE,"Other"
)</f>
        <v>Asia</v>
      </c>
      <c r="W219" s="195" t="str">
        <f>_xlfn.XLOOKUP(Table2[[#This Row],[Column3]],Sheet1!G:G,Sheet1!H:H)</f>
        <v>Financial services</v>
      </c>
      <c r="X219" s="195"/>
      <c r="Y219" s="195"/>
    </row>
    <row r="220" spans="1:25">
      <c r="A220" s="194" t="s">
        <v>1199</v>
      </c>
      <c r="B220" s="68">
        <v>176</v>
      </c>
      <c r="C220" s="68" t="s">
        <v>73</v>
      </c>
      <c r="D220" s="77" t="s">
        <v>4476</v>
      </c>
      <c r="E220" s="75"/>
      <c r="H220" s="75"/>
      <c r="K220" s="75"/>
      <c r="M220" s="76"/>
      <c r="N220" s="76"/>
      <c r="P220" s="75"/>
      <c r="U220" s="75" t="s">
        <v>1</v>
      </c>
      <c r="V220" s="195" t="str" cm="1">
        <f t="array" ref="V220">_xlfn.IFS(
  C220="United States","North America",
  C220="Canada","North America",
  C220="Mexico","North America",
  C220="Bermuda","North America",
  C220="United Kingdom","Europe",
  C220="Germany","Europe",
  C220="France","Europe",
  C220="Italy","Europe",
  C220="Switzerland","Europe",
  C220="Spain","Europe",
  C220="Netherlands","Europe",
  C220="Sweden","Europe",
  C220="Norway","Europe",
  C220="Finland","Europe",
  C220="Denmark","Europe",
  C220="Russia","Europe",
  C220="China","Asia",
  C220="Japan","Asia",
  C220="Taiwan, Province of China","Asia",
  C220="Hong Kong","Asia",
  C220="South Korea","Asia",
  C220="India","Asia",
  C220="Singapore","Asia",
  C220="Thailand","Asia",
  C220="Indonesia","Asia",
  C220="Malaysia","Asia",
  TRUE,"Other"
)</f>
        <v>Asia</v>
      </c>
      <c r="W220" s="195" t="str">
        <f>_xlfn.XLOOKUP(Table2[[#This Row],[Column3]],Sheet1!G:G,Sheet1!H:H)</f>
        <v>Automotive</v>
      </c>
      <c r="X220" s="195"/>
      <c r="Y220" s="195"/>
    </row>
    <row r="221" spans="1:25">
      <c r="A221" s="194" t="s">
        <v>4340</v>
      </c>
      <c r="B221" s="68">
        <v>460</v>
      </c>
      <c r="C221" s="68" t="s">
        <v>73</v>
      </c>
      <c r="D221" s="77" t="s">
        <v>4197</v>
      </c>
      <c r="E221" s="75"/>
      <c r="H221" s="75"/>
      <c r="K221" s="75"/>
      <c r="M221" s="76"/>
      <c r="N221" s="76"/>
      <c r="P221" s="75"/>
      <c r="U221" s="75" t="s">
        <v>1</v>
      </c>
      <c r="V221" s="195" t="str" cm="1">
        <f t="array" ref="V221">_xlfn.IFS(
  C221="United States","North America",
  C221="Canada","North America",
  C221="Mexico","North America",
  C221="Bermuda","North America",
  C221="United Kingdom","Europe",
  C221="Germany","Europe",
  C221="France","Europe",
  C221="Italy","Europe",
  C221="Switzerland","Europe",
  C221="Spain","Europe",
  C221="Netherlands","Europe",
  C221="Sweden","Europe",
  C221="Norway","Europe",
  C221="Finland","Europe",
  C221="Denmark","Europe",
  C221="Russia","Europe",
  C221="China","Asia",
  C221="Japan","Asia",
  C221="Taiwan, Province of China","Asia",
  C221="Hong Kong","Asia",
  C221="South Korea","Asia",
  C221="India","Asia",
  C221="Singapore","Asia",
  C221="Thailand","Asia",
  C221="Indonesia","Asia",
  C221="Malaysia","Asia",
  TRUE,"Other"
)</f>
        <v>Asia</v>
      </c>
      <c r="W221" s="195" t="str">
        <f>_xlfn.XLOOKUP(Table2[[#This Row],[Column3]],Sheet1!G:G,Sheet1!H:H)</f>
        <v>Engineering and construction</v>
      </c>
      <c r="X221" s="195"/>
      <c r="Y221" s="195"/>
    </row>
    <row r="222" spans="1:25">
      <c r="A222" s="194" t="s">
        <v>4339</v>
      </c>
      <c r="B222" s="68">
        <v>468</v>
      </c>
      <c r="C222" s="68" t="s">
        <v>73</v>
      </c>
      <c r="D222" s="77" t="s">
        <v>4201</v>
      </c>
      <c r="E222" s="75"/>
      <c r="H222" s="75"/>
      <c r="K222" s="75"/>
      <c r="M222" s="76"/>
      <c r="N222" s="76"/>
      <c r="P222" s="75"/>
      <c r="U222" s="75" t="s">
        <v>1</v>
      </c>
      <c r="V222" s="195" t="str" cm="1">
        <f t="array" ref="V222">_xlfn.IFS(
  C222="United States","North America",
  C222="Canada","North America",
  C222="Mexico","North America",
  C222="Bermuda","North America",
  C222="United Kingdom","Europe",
  C222="Germany","Europe",
  C222="France","Europe",
  C222="Italy","Europe",
  C222="Switzerland","Europe",
  C222="Spain","Europe",
  C222="Netherlands","Europe",
  C222="Sweden","Europe",
  C222="Norway","Europe",
  C222="Finland","Europe",
  C222="Denmark","Europe",
  C222="Russia","Europe",
  C222="China","Asia",
  C222="Japan","Asia",
  C222="Taiwan, Province of China","Asia",
  C222="Hong Kong","Asia",
  C222="South Korea","Asia",
  C222="India","Asia",
  C222="Singapore","Asia",
  C222="Thailand","Asia",
  C222="Indonesia","Asia",
  C222="Malaysia","Asia",
  TRUE,"Other"
)</f>
        <v>Asia</v>
      </c>
      <c r="W222" s="195" t="str">
        <f>_xlfn.XLOOKUP(Table2[[#This Row],[Column3]],Sheet1!G:G,Sheet1!H:H)</f>
        <v>Health care and pharmaceuticals</v>
      </c>
      <c r="X222" s="195"/>
      <c r="Y222" s="195"/>
    </row>
    <row r="223" spans="1:25">
      <c r="A223" s="194" t="s">
        <v>284</v>
      </c>
      <c r="B223" s="68">
        <v>405</v>
      </c>
      <c r="C223" s="68" t="s">
        <v>4338</v>
      </c>
      <c r="D223" s="77" t="s">
        <v>186</v>
      </c>
      <c r="E223" s="75"/>
      <c r="H223" s="75"/>
      <c r="K223" s="75"/>
      <c r="M223" s="76"/>
      <c r="N223" s="76"/>
      <c r="P223" s="75"/>
      <c r="U223" s="75" t="s">
        <v>1</v>
      </c>
      <c r="V223" s="195" t="str" cm="1">
        <f t="array" ref="V223">_xlfn.IFS(
  C223="United States","North America",
  C223="Canada","North America",
  C223="Mexico","North America",
  C223="Bermuda","North America",
  C223="United Kingdom","Europe",
  C223="Germany","Europe",
  C223="France","Europe",
  C223="Italy","Europe",
  C223="Switzerland","Europe",
  C223="Spain","Europe",
  C223="Netherlands","Europe",
  C223="Sweden","Europe",
  C223="Norway","Europe",
  C223="Finland","Europe",
  C223="Denmark","Europe",
  C223="Russia","Europe",
  C223="China","Asia",
  C223="Japan","Asia",
  C223="Taiwan, Province of China","Asia",
  C223="Hong Kong","Asia",
  C223="South Korea","Asia",
  C223="India","Asia",
  C223="Singapore","Asia",
  C223="Thailand","Asia",
  C223="Indonesia","Asia",
  C223="Malaysia","Asia",
  TRUE,"Other"
)</f>
        <v>Asia</v>
      </c>
      <c r="W223" s="195" t="str">
        <f>_xlfn.XLOOKUP(Table2[[#This Row],[Column3]],Sheet1!G:G,Sheet1!H:H)</f>
        <v>Technology</v>
      </c>
      <c r="X223" s="195"/>
      <c r="Y223" s="195"/>
    </row>
    <row r="224" spans="1:25">
      <c r="A224" s="194" t="s">
        <v>187</v>
      </c>
      <c r="B224" s="68">
        <v>428</v>
      </c>
      <c r="C224" s="68" t="s">
        <v>73</v>
      </c>
      <c r="D224" s="77" t="s">
        <v>4465</v>
      </c>
      <c r="E224" s="75"/>
      <c r="H224" s="75"/>
      <c r="K224" s="75"/>
      <c r="M224" s="76"/>
      <c r="N224" s="76"/>
      <c r="P224" s="75"/>
      <c r="U224" s="75" t="s">
        <v>1</v>
      </c>
      <c r="V224" s="195" t="str" cm="1">
        <f t="array" ref="V224">_xlfn.IFS(
  C224="United States","North America",
  C224="Canada","North America",
  C224="Mexico","North America",
  C224="Bermuda","North America",
  C224="United Kingdom","Europe",
  C224="Germany","Europe",
  C224="France","Europe",
  C224="Italy","Europe",
  C224="Switzerland","Europe",
  C224="Spain","Europe",
  C224="Netherlands","Europe",
  C224="Sweden","Europe",
  C224="Norway","Europe",
  C224="Finland","Europe",
  C224="Denmark","Europe",
  C224="Russia","Europe",
  C224="China","Asia",
  C224="Japan","Asia",
  C224="Taiwan, Province of China","Asia",
  C224="Hong Kong","Asia",
  C224="South Korea","Asia",
  C224="India","Asia",
  C224="Singapore","Asia",
  C224="Thailand","Asia",
  C224="Indonesia","Asia",
  C224="Malaysia","Asia",
  TRUE,"Other"
)</f>
        <v>Asia</v>
      </c>
      <c r="W224" s="195" t="str">
        <f>_xlfn.XLOOKUP(Table2[[#This Row],[Column3]],Sheet1!G:G,Sheet1!H:H)</f>
        <v>Financial services</v>
      </c>
      <c r="X224" s="195"/>
      <c r="Y224" s="195"/>
    </row>
    <row r="225" spans="1:25">
      <c r="A225" s="194" t="s">
        <v>956</v>
      </c>
      <c r="B225" s="68">
        <v>271</v>
      </c>
      <c r="C225" s="68" t="s">
        <v>114</v>
      </c>
      <c r="D225" s="77" t="s">
        <v>4465</v>
      </c>
      <c r="E225" s="75"/>
      <c r="H225" s="75"/>
      <c r="K225" s="75"/>
      <c r="M225" s="76"/>
      <c r="N225" s="76"/>
      <c r="P225" s="75"/>
      <c r="U225" s="75" t="s">
        <v>1</v>
      </c>
      <c r="V225" s="195" t="str" cm="1">
        <f t="array" ref="V225">_xlfn.IFS(
  C225="United States","North America",
  C225="Canada","North America",
  C225="Mexico","North America",
  C225="Bermuda","North America",
  C225="United Kingdom","Europe",
  C225="Germany","Europe",
  C225="France","Europe",
  C225="Italy","Europe",
  C225="Switzerland","Europe",
  C225="Spain","Europe",
  C225="Netherlands","Europe",
  C225="Sweden","Europe",
  C225="Norway","Europe",
  C225="Finland","Europe",
  C225="Denmark","Europe",
  C225="Russia","Europe",
  C225="China","Asia",
  C225="Japan","Asia",
  C225="Taiwan, Province of China","Asia",
  C225="Hong Kong","Asia",
  C225="South Korea","Asia",
  C225="India","Asia",
  C225="Singapore","Asia",
  C225="Thailand","Asia",
  C225="Indonesia","Asia",
  C225="Malaysia","Asia",
  TRUE,"Other"
)</f>
        <v>Asia</v>
      </c>
      <c r="W225" s="195" t="str">
        <f>_xlfn.XLOOKUP(Table2[[#This Row],[Column3]],Sheet1!G:G,Sheet1!H:H)</f>
        <v>Financial services</v>
      </c>
      <c r="X225" s="195"/>
      <c r="Y225" s="195"/>
    </row>
    <row r="226" spans="1:25" ht="16">
      <c r="A226" s="194" t="s">
        <v>1119</v>
      </c>
      <c r="B226" s="68">
        <v>200</v>
      </c>
      <c r="C226" s="68" t="s">
        <v>73</v>
      </c>
      <c r="D226" s="77" t="s">
        <v>4459</v>
      </c>
      <c r="E226" s="75"/>
      <c r="H226" s="75"/>
      <c r="K226" s="75" t="s">
        <v>2082</v>
      </c>
      <c r="M226" s="76">
        <v>2050</v>
      </c>
      <c r="N226" s="76">
        <v>2021</v>
      </c>
      <c r="O226" s="82" t="s">
        <v>4170</v>
      </c>
      <c r="P226" s="75"/>
      <c r="U226" s="75" t="s">
        <v>1</v>
      </c>
      <c r="V226" s="195" t="str" cm="1">
        <f t="array" ref="V226">_xlfn.IFS(
  C226="United States","North America",
  C226="Canada","North America",
  C226="Mexico","North America",
  C226="Bermuda","North America",
  C226="United Kingdom","Europe",
  C226="Germany","Europe",
  C226="France","Europe",
  C226="Italy","Europe",
  C226="Switzerland","Europe",
  C226="Spain","Europe",
  C226="Netherlands","Europe",
  C226="Sweden","Europe",
  C226="Norway","Europe",
  C226="Finland","Europe",
  C226="Denmark","Europe",
  C226="Russia","Europe",
  C226="China","Asia",
  C226="Japan","Asia",
  C226="Taiwan, Province of China","Asia",
  C226="Hong Kong","Asia",
  C226="South Korea","Asia",
  C226="India","Asia",
  C226="Singapore","Asia",
  C226="Thailand","Asia",
  C226="Indonesia","Asia",
  C226="Malaysia","Asia",
  TRUE,"Other"
)</f>
        <v>Asia</v>
      </c>
      <c r="W226" s="195" t="str">
        <f>_xlfn.XLOOKUP(Table2[[#This Row],[Column3]],Sheet1!G:G,Sheet1!H:H)</f>
        <v>Industrial goods</v>
      </c>
      <c r="X226" s="195"/>
      <c r="Y226" s="195"/>
    </row>
    <row r="227" spans="1:25">
      <c r="A227" s="194" t="s">
        <v>1018</v>
      </c>
      <c r="B227" s="68">
        <v>207</v>
      </c>
      <c r="C227" s="68" t="s">
        <v>82</v>
      </c>
      <c r="D227" s="77" t="s">
        <v>4201</v>
      </c>
      <c r="E227" s="75"/>
      <c r="H227" s="75"/>
      <c r="K227" s="75"/>
      <c r="M227" s="76"/>
      <c r="N227" s="76"/>
      <c r="P227" s="75"/>
      <c r="U227" s="75" t="s">
        <v>1</v>
      </c>
      <c r="V227" s="195" t="str" cm="1">
        <f t="array" ref="V227">_xlfn.IFS(
  C227="United States","North America",
  C227="Canada","North America",
  C227="Mexico","North America",
  C227="Bermuda","North America",
  C227="United Kingdom","Europe",
  C227="Germany","Europe",
  C227="France","Europe",
  C227="Italy","Europe",
  C227="Switzerland","Europe",
  C227="Spain","Europe",
  C227="Netherlands","Europe",
  C227="Sweden","Europe",
  C227="Norway","Europe",
  C227="Finland","Europe",
  C227="Denmark","Europe",
  C227="Russia","Europe",
  C227="China","Asia",
  C227="Japan","Asia",
  C227="Taiwan, Province of China","Asia",
  C227="Hong Kong","Asia",
  C227="South Korea","Asia",
  C227="India","Asia",
  C227="Singapore","Asia",
  C227="Thailand","Asia",
  C227="Indonesia","Asia",
  C227="Malaysia","Asia",
  TRUE,"Other"
)</f>
        <v>North America</v>
      </c>
      <c r="W227" s="195" t="str">
        <f>_xlfn.XLOOKUP(Table2[[#This Row],[Column3]],Sheet1!G:G,Sheet1!H:H)</f>
        <v>Health care and pharmaceuticals</v>
      </c>
      <c r="X227" s="195"/>
      <c r="Y227" s="195"/>
    </row>
    <row r="228" spans="1:25">
      <c r="A228" s="194" t="s">
        <v>1223</v>
      </c>
      <c r="B228" s="68">
        <v>67</v>
      </c>
      <c r="C228" s="68" t="s">
        <v>73</v>
      </c>
      <c r="D228" s="77" t="s">
        <v>8318</v>
      </c>
      <c r="E228" s="75"/>
      <c r="H228" s="75"/>
      <c r="K228" s="75"/>
      <c r="M228" s="76"/>
      <c r="N228" s="76"/>
      <c r="P228" s="75"/>
      <c r="U228" s="75" t="s">
        <v>1</v>
      </c>
      <c r="V228" s="195" t="str" cm="1">
        <f t="array" ref="V228">_xlfn.IFS(
  C228="United States","North America",
  C228="Canada","North America",
  C228="Mexico","North America",
  C228="Bermuda","North America",
  C228="United Kingdom","Europe",
  C228="Germany","Europe",
  C228="France","Europe",
  C228="Italy","Europe",
  C228="Switzerland","Europe",
  C228="Spain","Europe",
  C228="Netherlands","Europe",
  C228="Sweden","Europe",
  C228="Norway","Europe",
  C228="Finland","Europe",
  C228="Denmark","Europe",
  C228="Russia","Europe",
  C228="China","Asia",
  C228="Japan","Asia",
  C228="Taiwan, Province of China","Asia",
  C228="Hong Kong","Asia",
  C228="South Korea","Asia",
  C228="India","Asia",
  C228="Singapore","Asia",
  C228="Thailand","Asia",
  C228="Indonesia","Asia",
  C228="Malaysia","Asia",
  TRUE,"Other"
)</f>
        <v>Asia</v>
      </c>
      <c r="W228" s="195" t="str">
        <f>_xlfn.XLOOKUP(Table2[[#This Row],[Column3]],Sheet1!G:G,Sheet1!H:H)</f>
        <v>Retail</v>
      </c>
      <c r="X228" s="195"/>
      <c r="Y228" s="195"/>
    </row>
    <row r="229" spans="1:25">
      <c r="A229" s="194" t="s">
        <v>4337</v>
      </c>
      <c r="B229" s="68">
        <v>335</v>
      </c>
      <c r="C229" s="68" t="s">
        <v>146</v>
      </c>
      <c r="D229" s="77" t="s">
        <v>4459</v>
      </c>
      <c r="E229" s="75"/>
      <c r="H229" s="75"/>
      <c r="K229" s="75"/>
      <c r="M229" s="76"/>
      <c r="N229" s="76"/>
      <c r="P229" s="75"/>
      <c r="U229" s="75" t="s">
        <v>1</v>
      </c>
      <c r="V229" s="195" t="str" cm="1">
        <f t="array" ref="V229">_xlfn.IFS(
  C229="United States","North America",
  C229="Canada","North America",
  C229="Mexico","North America",
  C229="Bermuda","North America",
  C229="United Kingdom","Europe",
  C229="Germany","Europe",
  C229="France","Europe",
  C229="Italy","Europe",
  C229="Switzerland","Europe",
  C229="Spain","Europe",
  C229="Netherlands","Europe",
  C229="Sweden","Europe",
  C229="Norway","Europe",
  C229="Finland","Europe",
  C229="Denmark","Europe",
  C229="Russia","Europe",
  C229="China","Asia",
  C229="Japan","Asia",
  C229="Taiwan, Province of China","Asia",
  C229="Hong Kong","Asia",
  C229="South Korea","Asia",
  C229="India","Asia",
  C229="Singapore","Asia",
  C229="Thailand","Asia",
  C229="Indonesia","Asia",
  C229="Malaysia","Asia",
  TRUE,"Other"
)</f>
        <v>Europe</v>
      </c>
      <c r="W229" s="195" t="str">
        <f>_xlfn.XLOOKUP(Table2[[#This Row],[Column3]],Sheet1!G:G,Sheet1!H:H)</f>
        <v>Industrial goods</v>
      </c>
      <c r="X229" s="195"/>
      <c r="Y229" s="195"/>
    </row>
    <row r="230" spans="1:25" ht="16">
      <c r="A230" s="194" t="s">
        <v>469</v>
      </c>
      <c r="B230" s="68">
        <v>453</v>
      </c>
      <c r="C230" s="68" t="s">
        <v>82</v>
      </c>
      <c r="D230" s="77" t="s">
        <v>186</v>
      </c>
      <c r="E230" s="75" t="s">
        <v>4174</v>
      </c>
      <c r="F230" s="68">
        <v>2035</v>
      </c>
      <c r="G230" s="68">
        <v>2016</v>
      </c>
      <c r="H230" s="75" t="s">
        <v>4183</v>
      </c>
      <c r="I230" s="68">
        <v>2025</v>
      </c>
      <c r="J230" s="68">
        <v>2019</v>
      </c>
      <c r="K230" s="75"/>
      <c r="M230" s="76"/>
      <c r="N230" s="76"/>
      <c r="P230" s="75" t="s">
        <v>4172</v>
      </c>
      <c r="Q230" s="68" t="s">
        <v>4336</v>
      </c>
      <c r="R230" s="68">
        <v>2050</v>
      </c>
      <c r="S230" s="68">
        <v>2020</v>
      </c>
      <c r="T230" s="78" t="s">
        <v>4170</v>
      </c>
      <c r="U230" s="75" t="s">
        <v>361</v>
      </c>
      <c r="V230" s="195" t="str" cm="1">
        <f t="array" ref="V230">_xlfn.IFS(
  C230="United States","North America",
  C230="Canada","North America",
  C230="Mexico","North America",
  C230="Bermuda","North America",
  C230="United Kingdom","Europe",
  C230="Germany","Europe",
  C230="France","Europe",
  C230="Italy","Europe",
  C230="Switzerland","Europe",
  C230="Spain","Europe",
  C230="Netherlands","Europe",
  C230="Sweden","Europe",
  C230="Norway","Europe",
  C230="Finland","Europe",
  C230="Denmark","Europe",
  C230="Russia","Europe",
  C230="China","Asia",
  C230="Japan","Asia",
  C230="Taiwan, Province of China","Asia",
  C230="Hong Kong","Asia",
  C230="South Korea","Asia",
  C230="India","Asia",
  C230="Singapore","Asia",
  C230="Thailand","Asia",
  C230="Indonesia","Asia",
  C230="Malaysia","Asia",
  TRUE,"Other"
)</f>
        <v>North America</v>
      </c>
      <c r="W230" s="195" t="str">
        <f>_xlfn.XLOOKUP(Table2[[#This Row],[Column3]],Sheet1!G:G,Sheet1!H:H)</f>
        <v>Technology</v>
      </c>
      <c r="X230" s="195"/>
      <c r="Y230" s="195"/>
    </row>
    <row r="231" spans="1:25" ht="16">
      <c r="A231" s="194" t="s">
        <v>1528</v>
      </c>
      <c r="B231" s="68">
        <v>95</v>
      </c>
      <c r="C231" s="68" t="s">
        <v>207</v>
      </c>
      <c r="D231" s="77" t="s">
        <v>186</v>
      </c>
      <c r="E231" s="75"/>
      <c r="H231" s="75" t="s">
        <v>4183</v>
      </c>
      <c r="I231" s="68">
        <v>2030</v>
      </c>
      <c r="J231" s="68">
        <v>2020</v>
      </c>
      <c r="K231" s="75" t="s">
        <v>1957</v>
      </c>
      <c r="L231" s="68" t="s">
        <v>4335</v>
      </c>
      <c r="M231" s="76">
        <v>2030</v>
      </c>
      <c r="N231" s="76">
        <v>2020</v>
      </c>
      <c r="O231" s="78" t="s">
        <v>4170</v>
      </c>
      <c r="P231" s="75"/>
      <c r="U231" s="75" t="s">
        <v>361</v>
      </c>
      <c r="V231" s="195" t="str" cm="1">
        <f t="array" ref="V231">_xlfn.IFS(
  C231="United States","North America",
  C231="Canada","North America",
  C231="Mexico","North America",
  C231="Bermuda","North America",
  C231="United Kingdom","Europe",
  C231="Germany","Europe",
  C231="France","Europe",
  C231="Italy","Europe",
  C231="Switzerland","Europe",
  C231="Spain","Europe",
  C231="Netherlands","Europe",
  C231="Sweden","Europe",
  C231="Norway","Europe",
  C231="Finland","Europe",
  C231="Denmark","Europe",
  C231="Russia","Europe",
  C231="China","Asia",
  C231="Japan","Asia",
  C231="Taiwan, Province of China","Asia",
  C231="Hong Kong","Asia",
  C231="South Korea","Asia",
  C231="India","Asia",
  C231="Singapore","Asia",
  C231="Thailand","Asia",
  C231="Indonesia","Asia",
  C231="Malaysia","Asia",
  TRUE,"Other"
)</f>
        <v>Asia</v>
      </c>
      <c r="W231" s="195" t="str">
        <f>_xlfn.XLOOKUP(Table2[[#This Row],[Column3]],Sheet1!G:G,Sheet1!H:H)</f>
        <v>Technology</v>
      </c>
      <c r="X231" s="195"/>
      <c r="Y231" s="195"/>
    </row>
    <row r="232" spans="1:25" ht="16">
      <c r="A232" s="194" t="s">
        <v>4334</v>
      </c>
      <c r="B232" s="68">
        <v>492</v>
      </c>
      <c r="C232" s="68" t="s">
        <v>287</v>
      </c>
      <c r="D232" s="77" t="s">
        <v>4459</v>
      </c>
      <c r="E232" s="75"/>
      <c r="H232" s="75"/>
      <c r="K232" s="75"/>
      <c r="M232" s="76"/>
      <c r="N232" s="76"/>
      <c r="P232" s="75" t="s">
        <v>4256</v>
      </c>
      <c r="Q232" s="68" t="s">
        <v>4333</v>
      </c>
      <c r="R232" s="68">
        <v>2050</v>
      </c>
      <c r="S232" s="68">
        <v>2020</v>
      </c>
      <c r="T232" s="78" t="s">
        <v>4170</v>
      </c>
      <c r="U232" s="75" t="s">
        <v>1</v>
      </c>
      <c r="V232" s="195" t="str" cm="1">
        <f t="array" ref="V232">_xlfn.IFS(
  C232="United States","North America",
  C232="Canada","North America",
  C232="Mexico","North America",
  C232="Bermuda","North America",
  C232="United Kingdom","Europe",
  C232="Germany","Europe",
  C232="France","Europe",
  C232="Italy","Europe",
  C232="Switzerland","Europe",
  C232="Spain","Europe",
  C232="Netherlands","Europe",
  C232="Sweden","Europe",
  C232="Norway","Europe",
  C232="Finland","Europe",
  C232="Denmark","Europe",
  C232="Russia","Europe",
  C232="China","Asia",
  C232="Japan","Asia",
  C232="Taiwan, Province of China","Asia",
  C232="Hong Kong","Asia",
  C232="South Korea","Asia",
  C232="India","Asia",
  C232="Singapore","Asia",
  C232="Thailand","Asia",
  C232="Indonesia","Asia",
  C232="Malaysia","Asia",
  TRUE,"Other"
)</f>
        <v>Europe</v>
      </c>
      <c r="W232" s="195" t="str">
        <f>_xlfn.XLOOKUP(Table2[[#This Row],[Column3]],Sheet1!G:G,Sheet1!H:H)</f>
        <v>Industrial goods</v>
      </c>
      <c r="X232" s="195"/>
      <c r="Y232" s="195"/>
    </row>
    <row r="233" spans="1:25">
      <c r="A233" s="194" t="s">
        <v>1681</v>
      </c>
      <c r="B233" s="68">
        <v>41</v>
      </c>
      <c r="C233" s="68" t="s">
        <v>82</v>
      </c>
      <c r="D233" s="77" t="s">
        <v>4467</v>
      </c>
      <c r="E233" s="75"/>
      <c r="H233" s="75" t="s">
        <v>1957</v>
      </c>
      <c r="J233" s="68">
        <v>2021</v>
      </c>
      <c r="K233" s="75"/>
      <c r="M233" s="76"/>
      <c r="N233" s="76"/>
      <c r="P233" s="75"/>
      <c r="U233" s="75" t="s">
        <v>361</v>
      </c>
      <c r="V233" s="195" t="str" cm="1">
        <f t="array" ref="V233">_xlfn.IFS(
  C233="United States","North America",
  C233="Canada","North America",
  C233="Mexico","North America",
  C233="Bermuda","North America",
  C233="United Kingdom","Europe",
  C233="Germany","Europe",
  C233="France","Europe",
  C233="Italy","Europe",
  C233="Switzerland","Europe",
  C233="Spain","Europe",
  C233="Netherlands","Europe",
  C233="Sweden","Europe",
  C233="Norway","Europe",
  C233="Finland","Europe",
  C233="Denmark","Europe",
  C233="Russia","Europe",
  C233="China","Asia",
  C233="Japan","Asia",
  C233="Taiwan, Province of China","Asia",
  C233="Hong Kong","Asia",
  C233="South Korea","Asia",
  C233="India","Asia",
  C233="Singapore","Asia",
  C233="Thailand","Asia",
  C233="Indonesia","Asia",
  C233="Malaysia","Asia",
  TRUE,"Other"
)</f>
        <v>North America</v>
      </c>
      <c r="W233" s="195" t="str">
        <f>_xlfn.XLOOKUP(Table2[[#This Row],[Column3]],Sheet1!G:G,Sheet1!H:H)</f>
        <v>Retail</v>
      </c>
      <c r="X233" s="195"/>
      <c r="Y233" s="195"/>
    </row>
    <row r="234" spans="1:25">
      <c r="A234" s="194" t="s">
        <v>1806</v>
      </c>
      <c r="B234" s="68">
        <v>22</v>
      </c>
      <c r="C234" s="68" t="s">
        <v>3277</v>
      </c>
      <c r="D234" s="77" t="s">
        <v>186</v>
      </c>
      <c r="E234" s="75"/>
      <c r="H234" s="75" t="s">
        <v>1957</v>
      </c>
      <c r="J234" s="68">
        <v>2021</v>
      </c>
      <c r="K234" s="75"/>
      <c r="M234" s="76"/>
      <c r="N234" s="76"/>
      <c r="P234" s="75" t="s">
        <v>4172</v>
      </c>
      <c r="Q234" s="68" t="s">
        <v>4332</v>
      </c>
      <c r="R234" s="68">
        <v>2050</v>
      </c>
      <c r="S234" s="68">
        <v>2020</v>
      </c>
      <c r="T234" s="79" t="s">
        <v>4170</v>
      </c>
      <c r="U234" s="75" t="s">
        <v>361</v>
      </c>
      <c r="V234" s="195" t="str" cm="1">
        <f t="array" ref="V234">_xlfn.IFS(
  C234="United States","North America",
  C234="Canada","North America",
  C234="Mexico","North America",
  C234="Bermuda","North America",
  C234="United Kingdom","Europe",
  C234="Germany","Europe",
  C234="France","Europe",
  C234="Italy","Europe",
  C234="Switzerland","Europe",
  C234="Spain","Europe",
  C234="Netherlands","Europe",
  C234="Sweden","Europe",
  C234="Norway","Europe",
  C234="Finland","Europe",
  C234="Denmark","Europe",
  C234="Russia","Europe",
  C234="China","Asia",
  C234="Japan","Asia",
  C234="Taiwan, Province of China","Asia",
  C234="Hong Kong","Asia",
  C234="South Korea","Asia",
  C234="India","Asia",
  C234="Singapore","Asia",
  C234="Thailand","Asia",
  C234="Indonesia","Asia",
  C234="Malaysia","Asia",
  TRUE,"Other"
)</f>
        <v>Asia</v>
      </c>
      <c r="W234" s="195" t="str">
        <f>_xlfn.XLOOKUP(Table2[[#This Row],[Column3]],Sheet1!G:G,Sheet1!H:H)</f>
        <v>Technology</v>
      </c>
      <c r="X234" s="195"/>
      <c r="Y234" s="195"/>
    </row>
    <row r="235" spans="1:25" ht="16">
      <c r="A235" s="194" t="s">
        <v>1768</v>
      </c>
      <c r="B235" s="68">
        <v>48</v>
      </c>
      <c r="C235" s="68" t="s">
        <v>207</v>
      </c>
      <c r="D235" s="77" t="s">
        <v>4476</v>
      </c>
      <c r="E235" s="75"/>
      <c r="H235" s="75"/>
      <c r="K235" s="75" t="s">
        <v>4193</v>
      </c>
      <c r="L235" s="68" t="s">
        <v>4331</v>
      </c>
      <c r="M235" s="76">
        <v>2050</v>
      </c>
      <c r="N235" s="76">
        <v>2021</v>
      </c>
      <c r="O235" s="78" t="s">
        <v>4170</v>
      </c>
      <c r="P235" s="75"/>
      <c r="U235" s="75" t="s">
        <v>1</v>
      </c>
      <c r="V235" s="195" t="str" cm="1">
        <f t="array" ref="V235">_xlfn.IFS(
  C235="United States","North America",
  C235="Canada","North America",
  C235="Mexico","North America",
  C235="Bermuda","North America",
  C235="United Kingdom","Europe",
  C235="Germany","Europe",
  C235="France","Europe",
  C235="Italy","Europe",
  C235="Switzerland","Europe",
  C235="Spain","Europe",
  C235="Netherlands","Europe",
  C235="Sweden","Europe",
  C235="Norway","Europe",
  C235="Finland","Europe",
  C235="Denmark","Europe",
  C235="Russia","Europe",
  C235="China","Asia",
  C235="Japan","Asia",
  C235="Taiwan, Province of China","Asia",
  C235="Hong Kong","Asia",
  C235="South Korea","Asia",
  C235="India","Asia",
  C235="Singapore","Asia",
  C235="Thailand","Asia",
  C235="Indonesia","Asia",
  C235="Malaysia","Asia",
  TRUE,"Other"
)</f>
        <v>Asia</v>
      </c>
      <c r="W235" s="195" t="str">
        <f>_xlfn.XLOOKUP(Table2[[#This Row],[Column3]],Sheet1!G:G,Sheet1!H:H)</f>
        <v>Automotive</v>
      </c>
      <c r="X235" s="195"/>
      <c r="Y235" s="195"/>
    </row>
    <row r="236" spans="1:25">
      <c r="A236" s="194" t="s">
        <v>875</v>
      </c>
      <c r="B236" s="68">
        <v>374</v>
      </c>
      <c r="C236" s="68" t="s">
        <v>82</v>
      </c>
      <c r="D236" s="77" t="s">
        <v>186</v>
      </c>
      <c r="E236" s="75"/>
      <c r="H236" s="75"/>
      <c r="K236" s="75" t="s">
        <v>1957</v>
      </c>
      <c r="L236" s="68" t="s">
        <v>4330</v>
      </c>
      <c r="M236" s="76">
        <v>2035</v>
      </c>
      <c r="N236" s="76">
        <v>2021</v>
      </c>
      <c r="O236" s="79" t="s">
        <v>4170</v>
      </c>
      <c r="P236" s="75"/>
      <c r="U236" s="75" t="s">
        <v>1</v>
      </c>
      <c r="V236" s="195" t="str" cm="1">
        <f t="array" ref="V236">_xlfn.IFS(
  C236="United States","North America",
  C236="Canada","North America",
  C236="Mexico","North America",
  C236="Bermuda","North America",
  C236="United Kingdom","Europe",
  C236="Germany","Europe",
  C236="France","Europe",
  C236="Italy","Europe",
  C236="Switzerland","Europe",
  C236="Spain","Europe",
  C236="Netherlands","Europe",
  C236="Sweden","Europe",
  C236="Norway","Europe",
  C236="Finland","Europe",
  C236="Denmark","Europe",
  C236="Russia","Europe",
  C236="China","Asia",
  C236="Japan","Asia",
  C236="Taiwan, Province of China","Asia",
  C236="Hong Kong","Asia",
  C236="South Korea","Asia",
  C236="India","Asia",
  C236="Singapore","Asia",
  C236="Thailand","Asia",
  C236="Indonesia","Asia",
  C236="Malaysia","Asia",
  TRUE,"Other"
)</f>
        <v>North America</v>
      </c>
      <c r="W236" s="195" t="str">
        <f>_xlfn.XLOOKUP(Table2[[#This Row],[Column3]],Sheet1!G:G,Sheet1!H:H)</f>
        <v>Technology</v>
      </c>
      <c r="X236" s="195"/>
      <c r="Y236" s="195"/>
    </row>
    <row r="237" spans="1:25" ht="16">
      <c r="A237" s="194" t="s">
        <v>1252</v>
      </c>
      <c r="B237" s="68">
        <v>182</v>
      </c>
      <c r="C237" s="68" t="s">
        <v>82</v>
      </c>
      <c r="D237" s="77" t="s">
        <v>186</v>
      </c>
      <c r="E237" s="75" t="s">
        <v>4174</v>
      </c>
      <c r="F237" s="68">
        <v>2025</v>
      </c>
      <c r="G237" s="68">
        <v>2016</v>
      </c>
      <c r="H237" s="75" t="s">
        <v>4183</v>
      </c>
      <c r="I237" s="68">
        <v>2025</v>
      </c>
      <c r="J237" s="68">
        <v>2017</v>
      </c>
      <c r="K237" s="75" t="s">
        <v>4213</v>
      </c>
      <c r="L237" s="68" t="s">
        <v>1659</v>
      </c>
      <c r="M237" s="76">
        <v>2025</v>
      </c>
      <c r="N237" s="88">
        <v>2021</v>
      </c>
      <c r="O237" s="87" t="s">
        <v>4170</v>
      </c>
      <c r="P237" s="75" t="s">
        <v>4172</v>
      </c>
      <c r="Q237" s="68" t="s">
        <v>4329</v>
      </c>
      <c r="R237" s="81">
        <v>2040</v>
      </c>
      <c r="S237" s="68">
        <v>2021</v>
      </c>
      <c r="T237" s="78" t="s">
        <v>4170</v>
      </c>
      <c r="U237" s="75" t="s">
        <v>361</v>
      </c>
      <c r="V237" s="195" t="str" cm="1">
        <f t="array" ref="V237">_xlfn.IFS(
  C237="United States","North America",
  C237="Canada","North America",
  C237="Mexico","North America",
  C237="Bermuda","North America",
  C237="United Kingdom","Europe",
  C237="Germany","Europe",
  C237="France","Europe",
  C237="Italy","Europe",
  C237="Switzerland","Europe",
  C237="Spain","Europe",
  C237="Netherlands","Europe",
  C237="Sweden","Europe",
  C237="Norway","Europe",
  C237="Finland","Europe",
  C237="Denmark","Europe",
  C237="Russia","Europe",
  C237="China","Asia",
  C237="Japan","Asia",
  C237="Taiwan, Province of China","Asia",
  C237="Hong Kong","Asia",
  C237="South Korea","Asia",
  C237="India","Asia",
  C237="Singapore","Asia",
  C237="Thailand","Asia",
  C237="Indonesia","Asia",
  C237="Malaysia","Asia",
  TRUE,"Other"
)</f>
        <v>North America</v>
      </c>
      <c r="W237" s="195" t="str">
        <f>_xlfn.XLOOKUP(Table2[[#This Row],[Column3]],Sheet1!G:G,Sheet1!H:H)</f>
        <v>Technology</v>
      </c>
      <c r="X237" s="195"/>
      <c r="Y237" s="195"/>
    </row>
    <row r="238" spans="1:25">
      <c r="A238" s="194" t="s">
        <v>1542</v>
      </c>
      <c r="B238" s="68">
        <v>102</v>
      </c>
      <c r="C238" s="68" t="s">
        <v>4195</v>
      </c>
      <c r="D238" s="77" t="s">
        <v>4465</v>
      </c>
      <c r="E238" s="75" t="s">
        <v>4174</v>
      </c>
      <c r="F238" s="68">
        <v>2030</v>
      </c>
      <c r="G238" s="68">
        <v>2017</v>
      </c>
      <c r="H238" s="75" t="s">
        <v>1957</v>
      </c>
      <c r="J238" s="68">
        <v>2016</v>
      </c>
      <c r="K238" s="75"/>
      <c r="M238" s="76"/>
      <c r="N238" s="76"/>
      <c r="P238" s="75" t="s">
        <v>4226</v>
      </c>
      <c r="Q238" s="68" t="s">
        <v>4328</v>
      </c>
      <c r="R238" s="68">
        <v>2030</v>
      </c>
      <c r="S238" s="68">
        <v>2020</v>
      </c>
      <c r="T238" s="80" t="s">
        <v>4170</v>
      </c>
      <c r="U238" s="75" t="s">
        <v>361</v>
      </c>
      <c r="V238" s="195" t="str" cm="1">
        <f t="array" ref="V238">_xlfn.IFS(
  C238="United States","North America",
  C238="Canada","North America",
  C238="Mexico","North America",
  C238="Bermuda","North America",
  C238="United Kingdom","Europe",
  C238="Germany","Europe",
  C238="France","Europe",
  C238="Italy","Europe",
  C238="Switzerland","Europe",
  C238="Spain","Europe",
  C238="Netherlands","Europe",
  C238="Sweden","Europe",
  C238="Norway","Europe",
  C238="Finland","Europe",
  C238="Denmark","Europe",
  C238="Russia","Europe",
  C238="China","Asia",
  C238="Japan","Asia",
  C238="Taiwan, Province of China","Asia",
  C238="Hong Kong","Asia",
  C238="South Korea","Asia",
  C238="India","Asia",
  C238="Singapore","Asia",
  C238="Thailand","Asia",
  C238="Indonesia","Asia",
  C238="Malaysia","Asia",
  TRUE,"Other"
)</f>
        <v>Europe</v>
      </c>
      <c r="W238" s="195" t="str">
        <f>_xlfn.XLOOKUP(Table2[[#This Row],[Column3]],Sheet1!G:G,Sheet1!H:H)</f>
        <v>Financial services</v>
      </c>
      <c r="X238" s="195"/>
      <c r="Y238" s="195"/>
    </row>
    <row r="239" spans="1:25">
      <c r="A239" s="194" t="s">
        <v>1683</v>
      </c>
      <c r="B239" s="68">
        <v>44</v>
      </c>
      <c r="C239" s="68" t="s">
        <v>73</v>
      </c>
      <c r="D239" s="77" t="s">
        <v>186</v>
      </c>
      <c r="E239" s="75"/>
      <c r="H239" s="75"/>
      <c r="K239" s="75"/>
      <c r="M239" s="76"/>
      <c r="N239" s="76"/>
      <c r="P239" s="75"/>
      <c r="U239" s="75" t="s">
        <v>1</v>
      </c>
      <c r="V239" s="195" t="str" cm="1">
        <f t="array" ref="V239">_xlfn.IFS(
  C239="United States","North America",
  C239="Canada","North America",
  C239="Mexico","North America",
  C239="Bermuda","North America",
  C239="United Kingdom","Europe",
  C239="Germany","Europe",
  C239="France","Europe",
  C239="Italy","Europe",
  C239="Switzerland","Europe",
  C239="Spain","Europe",
  C239="Netherlands","Europe",
  C239="Sweden","Europe",
  C239="Norway","Europe",
  C239="Finland","Europe",
  C239="Denmark","Europe",
  C239="Russia","Europe",
  C239="China","Asia",
  C239="Japan","Asia",
  C239="Taiwan, Province of China","Asia",
  C239="Hong Kong","Asia",
  C239="South Korea","Asia",
  C239="India","Asia",
  C239="Singapore","Asia",
  C239="Thailand","Asia",
  C239="Indonesia","Asia",
  C239="Malaysia","Asia",
  TRUE,"Other"
)</f>
        <v>Asia</v>
      </c>
      <c r="W239" s="195" t="str">
        <f>_xlfn.XLOOKUP(Table2[[#This Row],[Column3]],Sheet1!G:G,Sheet1!H:H)</f>
        <v>Technology</v>
      </c>
      <c r="X239" s="195"/>
      <c r="Y239" s="195"/>
    </row>
    <row r="240" spans="1:25">
      <c r="A240" s="194" t="s">
        <v>4327</v>
      </c>
      <c r="B240" s="68">
        <v>481</v>
      </c>
      <c r="C240" s="68" t="s">
        <v>73</v>
      </c>
      <c r="D240" s="77" t="s">
        <v>4459</v>
      </c>
      <c r="E240" s="75"/>
      <c r="H240" s="75"/>
      <c r="K240" s="75"/>
      <c r="M240" s="76"/>
      <c r="N240" s="76"/>
      <c r="P240" s="75"/>
      <c r="U240" s="75" t="s">
        <v>1</v>
      </c>
      <c r="V240" s="195" t="str" cm="1">
        <f t="array" ref="V240">_xlfn.IFS(
  C240="United States","North America",
  C240="Canada","North America",
  C240="Mexico","North America",
  C240="Bermuda","North America",
  C240="United Kingdom","Europe",
  C240="Germany","Europe",
  C240="France","Europe",
  C240="Italy","Europe",
  C240="Switzerland","Europe",
  C240="Spain","Europe",
  C240="Netherlands","Europe",
  C240="Sweden","Europe",
  C240="Norway","Europe",
  C240="Finland","Europe",
  C240="Denmark","Europe",
  C240="Russia","Europe",
  C240="China","Asia",
  C240="Japan","Asia",
  C240="Taiwan, Province of China","Asia",
  C240="Hong Kong","Asia",
  C240="South Korea","Asia",
  C240="India","Asia",
  C240="Singapore","Asia",
  C240="Thailand","Asia",
  C240="Indonesia","Asia",
  C240="Malaysia","Asia",
  TRUE,"Other"
)</f>
        <v>Asia</v>
      </c>
      <c r="W240" s="195" t="str">
        <f>_xlfn.XLOOKUP(Table2[[#This Row],[Column3]],Sheet1!G:G,Sheet1!H:H)</f>
        <v>Industrial goods</v>
      </c>
      <c r="X240" s="195"/>
      <c r="Y240" s="195"/>
    </row>
    <row r="241" spans="1:25">
      <c r="A241" s="194" t="s">
        <v>1227</v>
      </c>
      <c r="B241" s="68">
        <v>110</v>
      </c>
      <c r="C241" s="68" t="s">
        <v>82</v>
      </c>
      <c r="D241" s="77" t="s">
        <v>4201</v>
      </c>
      <c r="E241" s="75"/>
      <c r="H241" s="75"/>
      <c r="K241" s="75"/>
      <c r="M241" s="76"/>
      <c r="N241" s="76"/>
      <c r="P241" s="75"/>
      <c r="U241" s="75" t="s">
        <v>1</v>
      </c>
      <c r="V241" s="195" t="str" cm="1">
        <f t="array" ref="V241">_xlfn.IFS(
  C241="United States","North America",
  C241="Canada","North America",
  C241="Mexico","North America",
  C241="Bermuda","North America",
  C241="United Kingdom","Europe",
  C241="Germany","Europe",
  C241="France","Europe",
  C241="Italy","Europe",
  C241="Switzerland","Europe",
  C241="Spain","Europe",
  C241="Netherlands","Europe",
  C241="Sweden","Europe",
  C241="Norway","Europe",
  C241="Finland","Europe",
  C241="Denmark","Europe",
  C241="Russia","Europe",
  C241="China","Asia",
  C241="Japan","Asia",
  C241="Taiwan, Province of China","Asia",
  C241="Hong Kong","Asia",
  C241="South Korea","Asia",
  C241="India","Asia",
  C241="Singapore","Asia",
  C241="Thailand","Asia",
  C241="Indonesia","Asia",
  C241="Malaysia","Asia",
  TRUE,"Other"
)</f>
        <v>North America</v>
      </c>
      <c r="W241" s="195" t="str">
        <f>_xlfn.XLOOKUP(Table2[[#This Row],[Column3]],Sheet1!G:G,Sheet1!H:H)</f>
        <v>Health care and pharmaceuticals</v>
      </c>
      <c r="X241" s="195"/>
      <c r="Y241" s="195"/>
    </row>
    <row r="242" spans="1:25">
      <c r="A242" s="194" t="s">
        <v>520</v>
      </c>
      <c r="B242" s="68">
        <v>398</v>
      </c>
      <c r="C242" s="68" t="s">
        <v>114</v>
      </c>
      <c r="D242" s="77" t="s">
        <v>4476</v>
      </c>
      <c r="E242" s="75"/>
      <c r="H242" s="75"/>
      <c r="K242" s="75"/>
      <c r="M242" s="76"/>
      <c r="N242" s="76"/>
      <c r="P242" s="75"/>
      <c r="U242" s="75" t="s">
        <v>1</v>
      </c>
      <c r="V242" s="195" t="str" cm="1">
        <f t="array" ref="V242">_xlfn.IFS(
  C242="United States","North America",
  C242="Canada","North America",
  C242="Mexico","North America",
  C242="Bermuda","North America",
  C242="United Kingdom","Europe",
  C242="Germany","Europe",
  C242="France","Europe",
  C242="Italy","Europe",
  C242="Switzerland","Europe",
  C242="Spain","Europe",
  C242="Netherlands","Europe",
  C242="Sweden","Europe",
  C242="Norway","Europe",
  C242="Finland","Europe",
  C242="Denmark","Europe",
  C242="Russia","Europe",
  C242="China","Asia",
  C242="Japan","Asia",
  C242="Taiwan, Province of China","Asia",
  C242="Hong Kong","Asia",
  C242="South Korea","Asia",
  C242="India","Asia",
  C242="Singapore","Asia",
  C242="Thailand","Asia",
  C242="Indonesia","Asia",
  C242="Malaysia","Asia",
  TRUE,"Other"
)</f>
        <v>Asia</v>
      </c>
      <c r="W242" s="195" t="str">
        <f>_xlfn.XLOOKUP(Table2[[#This Row],[Column3]],Sheet1!G:G,Sheet1!H:H)</f>
        <v>Automotive</v>
      </c>
      <c r="X242" s="195"/>
      <c r="Y242" s="195"/>
    </row>
    <row r="243" spans="1:25">
      <c r="A243" s="194" t="s">
        <v>1558</v>
      </c>
      <c r="B243" s="68">
        <v>83</v>
      </c>
      <c r="C243" s="68" t="s">
        <v>114</v>
      </c>
      <c r="D243" s="77" t="s">
        <v>4476</v>
      </c>
      <c r="E243" s="75" t="s">
        <v>4174</v>
      </c>
      <c r="F243" s="68">
        <v>2050</v>
      </c>
      <c r="G243" s="68">
        <v>2021</v>
      </c>
      <c r="H243" s="75"/>
      <c r="K243" s="75" t="s">
        <v>4193</v>
      </c>
      <c r="L243" s="68" t="s">
        <v>4326</v>
      </c>
      <c r="M243" s="76">
        <v>2045</v>
      </c>
      <c r="N243" s="76">
        <v>2021</v>
      </c>
      <c r="O243" s="80" t="s">
        <v>4170</v>
      </c>
      <c r="P243" s="75"/>
      <c r="U243" s="75" t="s">
        <v>1</v>
      </c>
      <c r="V243" s="195" t="str" cm="1">
        <f t="array" ref="V243">_xlfn.IFS(
  C243="United States","North America",
  C243="Canada","North America",
  C243="Mexico","North America",
  C243="Bermuda","North America",
  C243="United Kingdom","Europe",
  C243="Germany","Europe",
  C243="France","Europe",
  C243="Italy","Europe",
  C243="Switzerland","Europe",
  C243="Spain","Europe",
  C243="Netherlands","Europe",
  C243="Sweden","Europe",
  C243="Norway","Europe",
  C243="Finland","Europe",
  C243="Denmark","Europe",
  C243="Russia","Europe",
  C243="China","Asia",
  C243="Japan","Asia",
  C243="Taiwan, Province of China","Asia",
  C243="Hong Kong","Asia",
  C243="South Korea","Asia",
  C243="India","Asia",
  C243="Singapore","Asia",
  C243="Thailand","Asia",
  C243="Indonesia","Asia",
  C243="Malaysia","Asia",
  TRUE,"Other"
)</f>
        <v>Asia</v>
      </c>
      <c r="W243" s="195" t="str">
        <f>_xlfn.XLOOKUP(Table2[[#This Row],[Column3]],Sheet1!G:G,Sheet1!H:H)</f>
        <v>Automotive</v>
      </c>
      <c r="X243" s="195"/>
      <c r="Y243" s="195"/>
    </row>
    <row r="244" spans="1:25" ht="16">
      <c r="A244" s="194" t="s">
        <v>866</v>
      </c>
      <c r="B244" s="68">
        <v>319</v>
      </c>
      <c r="C244" s="68" t="s">
        <v>267</v>
      </c>
      <c r="D244" s="77" t="s">
        <v>4199</v>
      </c>
      <c r="E244" s="75"/>
      <c r="H244" s="75" t="s">
        <v>4183</v>
      </c>
      <c r="I244" s="68">
        <v>2030</v>
      </c>
      <c r="J244" s="68">
        <v>2020</v>
      </c>
      <c r="K244" s="75" t="s">
        <v>1957</v>
      </c>
      <c r="L244" s="68" t="s">
        <v>4325</v>
      </c>
      <c r="M244" s="76">
        <v>2030</v>
      </c>
      <c r="N244" s="76">
        <v>2021</v>
      </c>
      <c r="O244" s="78" t="s">
        <v>4170</v>
      </c>
      <c r="P244" s="75"/>
      <c r="U244" s="75" t="s">
        <v>361</v>
      </c>
      <c r="V244" s="195" t="str" cm="1">
        <f t="array" ref="V244">_xlfn.IFS(
  C244="United States","North America",
  C244="Canada","North America",
  C244="Mexico","North America",
  C244="Bermuda","North America",
  C244="United Kingdom","Europe",
  C244="Germany","Europe",
  C244="France","Europe",
  C244="Italy","Europe",
  C244="Switzerland","Europe",
  C244="Spain","Europe",
  C244="Netherlands","Europe",
  C244="Sweden","Europe",
  C244="Norway","Europe",
  C244="Finland","Europe",
  C244="Denmark","Europe",
  C244="Russia","Europe",
  C244="China","Asia",
  C244="Japan","Asia",
  C244="Taiwan, Province of China","Asia",
  C244="Hong Kong","Asia",
  C244="South Korea","Asia",
  C244="India","Asia",
  C244="Singapore","Asia",
  C244="Thailand","Asia",
  C244="Indonesia","Asia",
  C244="Malaysia","Asia",
  TRUE,"Other"
)</f>
        <v>Europe</v>
      </c>
      <c r="W244" s="195" t="str">
        <f>_xlfn.XLOOKUP(Table2[[#This Row],[Column3]],Sheet1!G:G,Sheet1!H:H)</f>
        <v>Energy and utilities</v>
      </c>
      <c r="X244" s="195"/>
      <c r="Y244" s="195"/>
    </row>
    <row r="245" spans="1:25" ht="16">
      <c r="A245" s="194" t="s">
        <v>649</v>
      </c>
      <c r="B245" s="68">
        <v>318</v>
      </c>
      <c r="C245" s="68" t="s">
        <v>207</v>
      </c>
      <c r="D245" s="77" t="s">
        <v>3498</v>
      </c>
      <c r="E245" s="75"/>
      <c r="H245" s="75"/>
      <c r="K245" s="75" t="s">
        <v>1957</v>
      </c>
      <c r="L245" s="68" t="s">
        <v>4324</v>
      </c>
      <c r="M245" s="76">
        <v>2050</v>
      </c>
      <c r="N245" s="76">
        <v>2021</v>
      </c>
      <c r="O245" s="78" t="s">
        <v>4170</v>
      </c>
      <c r="P245" s="75"/>
      <c r="U245" s="75" t="s">
        <v>1</v>
      </c>
      <c r="V245" s="195" t="str" cm="1">
        <f t="array" ref="V245">_xlfn.IFS(
  C245="United States","North America",
  C245="Canada","North America",
  C245="Mexico","North America",
  C245="Bermuda","North America",
  C245="United Kingdom","Europe",
  C245="Germany","Europe",
  C245="France","Europe",
  C245="Italy","Europe",
  C245="Switzerland","Europe",
  C245="Spain","Europe",
  C245="Netherlands","Europe",
  C245="Sweden","Europe",
  C245="Norway","Europe",
  C245="Finland","Europe",
  C245="Denmark","Europe",
  C245="Russia","Europe",
  C245="China","Asia",
  C245="Japan","Asia",
  C245="Taiwan, Province of China","Asia",
  C245="Hong Kong","Asia",
  C245="South Korea","Asia",
  C245="India","Asia",
  C245="Singapore","Asia",
  C245="Thailand","Asia",
  C245="Indonesia","Asia",
  C245="Malaysia","Asia",
  TRUE,"Other"
)</f>
        <v>Asia</v>
      </c>
      <c r="W245" s="195" t="str">
        <f>_xlfn.XLOOKUP(Table2[[#This Row],[Column3]],Sheet1!G:G,Sheet1!H:H)</f>
        <v>Oil and gas</v>
      </c>
      <c r="X245" s="195"/>
      <c r="Y245" s="195"/>
    </row>
    <row r="246" spans="1:25">
      <c r="A246" s="194" t="s">
        <v>1457</v>
      </c>
      <c r="B246" s="68">
        <v>212</v>
      </c>
      <c r="C246" s="68" t="s">
        <v>87</v>
      </c>
      <c r="D246" s="77" t="s">
        <v>3498</v>
      </c>
      <c r="E246" s="75"/>
      <c r="H246" s="75"/>
      <c r="K246" s="75"/>
      <c r="M246" s="76"/>
      <c r="N246" s="76"/>
      <c r="P246" s="75"/>
      <c r="U246" s="75" t="s">
        <v>1</v>
      </c>
      <c r="V246" s="195" t="str" cm="1">
        <f t="array" ref="V246">_xlfn.IFS(
  C246="United States","North America",
  C246="Canada","North America",
  C246="Mexico","North America",
  C246="Bermuda","North America",
  C246="United Kingdom","Europe",
  C246="Germany","Europe",
  C246="France","Europe",
  C246="Italy","Europe",
  C246="Switzerland","Europe",
  C246="Spain","Europe",
  C246="Netherlands","Europe",
  C246="Sweden","Europe",
  C246="Norway","Europe",
  C246="Finland","Europe",
  C246="Denmark","Europe",
  C246="Russia","Europe",
  C246="China","Asia",
  C246="Japan","Asia",
  C246="Taiwan, Province of China","Asia",
  C246="Hong Kong","Asia",
  C246="South Korea","Asia",
  C246="India","Asia",
  C246="Singapore","Asia",
  C246="Thailand","Asia",
  C246="Indonesia","Asia",
  C246="Malaysia","Asia",
  TRUE,"Other"
)</f>
        <v>Asia</v>
      </c>
      <c r="W246" s="195" t="str">
        <f>_xlfn.XLOOKUP(Table2[[#This Row],[Column3]],Sheet1!G:G,Sheet1!H:H)</f>
        <v>Oil and gas</v>
      </c>
      <c r="X246" s="195"/>
      <c r="Y246" s="195"/>
    </row>
    <row r="247" spans="1:25">
      <c r="A247" s="194" t="s">
        <v>1799</v>
      </c>
      <c r="B247" s="68">
        <v>20</v>
      </c>
      <c r="C247" s="68" t="s">
        <v>73</v>
      </c>
      <c r="D247" s="77" t="s">
        <v>4465</v>
      </c>
      <c r="E247" s="75"/>
      <c r="H247" s="75"/>
      <c r="K247" s="75"/>
      <c r="M247" s="76"/>
      <c r="N247" s="76"/>
      <c r="P247" s="75"/>
      <c r="U247" s="75" t="s">
        <v>1</v>
      </c>
      <c r="V247" s="195" t="str" cm="1">
        <f t="array" ref="V247">_xlfn.IFS(
  C247="United States","North America",
  C247="Canada","North America",
  C247="Mexico","North America",
  C247="Bermuda","North America",
  C247="United Kingdom","Europe",
  C247="Germany","Europe",
  C247="France","Europe",
  C247="Italy","Europe",
  C247="Switzerland","Europe",
  C247="Spain","Europe",
  C247="Netherlands","Europe",
  C247="Sweden","Europe",
  C247="Norway","Europe",
  C247="Finland","Europe",
  C247="Denmark","Europe",
  C247="Russia","Europe",
  C247="China","Asia",
  C247="Japan","Asia",
  C247="Taiwan, Province of China","Asia",
  C247="Hong Kong","Asia",
  C247="South Korea","Asia",
  C247="India","Asia",
  C247="Singapore","Asia",
  C247="Thailand","Asia",
  C247="Indonesia","Asia",
  C247="Malaysia","Asia",
  TRUE,"Other"
)</f>
        <v>Asia</v>
      </c>
      <c r="W247" s="195" t="str">
        <f>_xlfn.XLOOKUP(Table2[[#This Row],[Column3]],Sheet1!G:G,Sheet1!H:H)</f>
        <v>Financial services</v>
      </c>
      <c r="X247" s="195"/>
      <c r="Y247" s="195"/>
    </row>
    <row r="248" spans="1:25">
      <c r="A248" s="194" t="s">
        <v>1121</v>
      </c>
      <c r="B248" s="68">
        <v>196</v>
      </c>
      <c r="C248" s="68" t="s">
        <v>73</v>
      </c>
      <c r="D248" s="77" t="s">
        <v>4465</v>
      </c>
      <c r="E248" s="75"/>
      <c r="H248" s="75"/>
      <c r="K248" s="75"/>
      <c r="M248" s="76"/>
      <c r="N248" s="76"/>
      <c r="O248" s="79"/>
      <c r="P248" s="75"/>
      <c r="U248" s="75" t="s">
        <v>361</v>
      </c>
      <c r="V248" s="195" t="str" cm="1">
        <f t="array" ref="V248">_xlfn.IFS(
  C248="United States","North America",
  C248="Canada","North America",
  C248="Mexico","North America",
  C248="Bermuda","North America",
  C248="United Kingdom","Europe",
  C248="Germany","Europe",
  C248="France","Europe",
  C248="Italy","Europe",
  C248="Switzerland","Europe",
  C248="Spain","Europe",
  C248="Netherlands","Europe",
  C248="Sweden","Europe",
  C248="Norway","Europe",
  C248="Finland","Europe",
  C248="Denmark","Europe",
  C248="Russia","Europe",
  C248="China","Asia",
  C248="Japan","Asia",
  C248="Taiwan, Province of China","Asia",
  C248="Hong Kong","Asia",
  C248="South Korea","Asia",
  C248="India","Asia",
  C248="Singapore","Asia",
  C248="Thailand","Asia",
  C248="Indonesia","Asia",
  C248="Malaysia","Asia",
  TRUE,"Other"
)</f>
        <v>Asia</v>
      </c>
      <c r="W248" s="195" t="str">
        <f>_xlfn.XLOOKUP(Table2[[#This Row],[Column3]],Sheet1!G:G,Sheet1!H:H)</f>
        <v>Financial services</v>
      </c>
      <c r="X248" s="195"/>
      <c r="Y248" s="195"/>
    </row>
    <row r="249" spans="1:25" ht="16">
      <c r="A249" s="194" t="s">
        <v>790</v>
      </c>
      <c r="B249" s="68">
        <v>391</v>
      </c>
      <c r="C249" s="68" t="s">
        <v>96</v>
      </c>
      <c r="D249" s="77" t="s">
        <v>4465</v>
      </c>
      <c r="E249" s="75" t="s">
        <v>4174</v>
      </c>
      <c r="F249" s="68">
        <v>2020</v>
      </c>
      <c r="G249" s="68">
        <v>2015</v>
      </c>
      <c r="H249" s="75" t="s">
        <v>1957</v>
      </c>
      <c r="J249" s="68">
        <v>2015</v>
      </c>
      <c r="K249" s="75" t="s">
        <v>1957</v>
      </c>
      <c r="L249" s="68" t="s">
        <v>1659</v>
      </c>
      <c r="M249" s="76">
        <v>2007</v>
      </c>
      <c r="N249" s="76">
        <v>2007</v>
      </c>
      <c r="O249" s="78" t="s">
        <v>4170</v>
      </c>
      <c r="P249" s="75"/>
      <c r="U249" s="75" t="s">
        <v>361</v>
      </c>
      <c r="V249" s="195" t="str" cm="1">
        <f t="array" ref="V249">_xlfn.IFS(
  C249="United States","North America",
  C249="Canada","North America",
  C249="Mexico","North America",
  C249="Bermuda","North America",
  C249="United Kingdom","Europe",
  C249="Germany","Europe",
  C249="France","Europe",
  C249="Italy","Europe",
  C249="Switzerland","Europe",
  C249="Spain","Europe",
  C249="Netherlands","Europe",
  C249="Sweden","Europe",
  C249="Norway","Europe",
  C249="Finland","Europe",
  C249="Denmark","Europe",
  C249="Russia","Europe",
  C249="China","Asia",
  C249="Japan","Asia",
  C249="Taiwan, Province of China","Asia",
  C249="Hong Kong","Asia",
  C249="South Korea","Asia",
  C249="India","Asia",
  C249="Singapore","Asia",
  C249="Thailand","Asia",
  C249="Indonesia","Asia",
  C249="Malaysia","Asia",
  TRUE,"Other"
)</f>
        <v>Europe</v>
      </c>
      <c r="W249" s="195" t="str">
        <f>_xlfn.XLOOKUP(Table2[[#This Row],[Column3]],Sheet1!G:G,Sheet1!H:H)</f>
        <v>Financial services</v>
      </c>
      <c r="X249" s="195"/>
      <c r="Y249" s="195"/>
    </row>
    <row r="250" spans="1:25" ht="16">
      <c r="A250" s="194" t="s">
        <v>4323</v>
      </c>
      <c r="B250" s="68">
        <v>286</v>
      </c>
      <c r="C250" s="68" t="s">
        <v>96</v>
      </c>
      <c r="D250" s="77" t="s">
        <v>4467</v>
      </c>
      <c r="E250" s="75" t="s">
        <v>4174</v>
      </c>
      <c r="F250" s="68">
        <v>2020</v>
      </c>
      <c r="G250" s="68">
        <v>2020</v>
      </c>
      <c r="H250" s="75" t="s">
        <v>4183</v>
      </c>
      <c r="I250" s="68">
        <v>2030</v>
      </c>
      <c r="J250" s="68">
        <v>2020</v>
      </c>
      <c r="K250" s="75"/>
      <c r="M250" s="76"/>
      <c r="N250" s="76"/>
      <c r="P250" s="75" t="s">
        <v>4172</v>
      </c>
      <c r="Q250" s="68" t="s">
        <v>4322</v>
      </c>
      <c r="R250" s="68">
        <v>2030</v>
      </c>
      <c r="S250" s="68">
        <v>2018</v>
      </c>
      <c r="T250" s="78" t="s">
        <v>4170</v>
      </c>
      <c r="U250" s="75" t="s">
        <v>361</v>
      </c>
      <c r="V250" s="195" t="str" cm="1">
        <f t="array" ref="V250">_xlfn.IFS(
  C250="United States","North America",
  C250="Canada","North America",
  C250="Mexico","North America",
  C250="Bermuda","North America",
  C250="United Kingdom","Europe",
  C250="Germany","Europe",
  C250="France","Europe",
  C250="Italy","Europe",
  C250="Switzerland","Europe",
  C250="Spain","Europe",
  C250="Netherlands","Europe",
  C250="Sweden","Europe",
  C250="Norway","Europe",
  C250="Finland","Europe",
  C250="Denmark","Europe",
  C250="Russia","Europe",
  C250="China","Asia",
  C250="Japan","Asia",
  C250="Taiwan, Province of China","Asia",
  C250="Hong Kong","Asia",
  C250="South Korea","Asia",
  C250="India","Asia",
  C250="Singapore","Asia",
  C250="Thailand","Asia",
  C250="Indonesia","Asia",
  C250="Malaysia","Asia",
  TRUE,"Other"
)</f>
        <v>Europe</v>
      </c>
      <c r="W250" s="195" t="str">
        <f>_xlfn.XLOOKUP(Table2[[#This Row],[Column3]],Sheet1!G:G,Sheet1!H:H)</f>
        <v>Retail</v>
      </c>
      <c r="X250" s="195"/>
      <c r="Y250" s="195"/>
    </row>
    <row r="251" spans="1:25">
      <c r="A251" s="194" t="s">
        <v>1394</v>
      </c>
      <c r="B251" s="68">
        <v>108</v>
      </c>
      <c r="C251" s="68" t="s">
        <v>82</v>
      </c>
      <c r="D251" s="77" t="s">
        <v>186</v>
      </c>
      <c r="E251" s="75" t="s">
        <v>4174</v>
      </c>
      <c r="F251" s="68">
        <v>2030</v>
      </c>
      <c r="G251" s="68">
        <v>2020</v>
      </c>
      <c r="H251" s="75"/>
      <c r="K251" s="75" t="s">
        <v>4193</v>
      </c>
      <c r="L251" s="68" t="s">
        <v>4321</v>
      </c>
      <c r="M251" s="76">
        <v>2030</v>
      </c>
      <c r="N251" s="76">
        <v>2020</v>
      </c>
      <c r="O251" s="91" t="s">
        <v>4170</v>
      </c>
      <c r="P251" s="75"/>
      <c r="U251" s="75" t="s">
        <v>361</v>
      </c>
      <c r="V251" s="195" t="str" cm="1">
        <f t="array" ref="V251">_xlfn.IFS(
  C251="United States","North America",
  C251="Canada","North America",
  C251="Mexico","North America",
  C251="Bermuda","North America",
  C251="United Kingdom","Europe",
  C251="Germany","Europe",
  C251="France","Europe",
  C251="Italy","Europe",
  C251="Switzerland","Europe",
  C251="Spain","Europe",
  C251="Netherlands","Europe",
  C251="Sweden","Europe",
  C251="Norway","Europe",
  C251="Finland","Europe",
  C251="Denmark","Europe",
  C251="Russia","Europe",
  C251="China","Asia",
  C251="Japan","Asia",
  C251="Taiwan, Province of China","Asia",
  C251="Hong Kong","Asia",
  C251="South Korea","Asia",
  C251="India","Asia",
  C251="Singapore","Asia",
  C251="Thailand","Asia",
  C251="Indonesia","Asia",
  C251="Malaysia","Asia",
  TRUE,"Other"
)</f>
        <v>North America</v>
      </c>
      <c r="W251" s="195" t="str">
        <f>_xlfn.XLOOKUP(Table2[[#This Row],[Column3]],Sheet1!G:G,Sheet1!H:H)</f>
        <v>Technology</v>
      </c>
      <c r="X251" s="195"/>
      <c r="Y251" s="195"/>
    </row>
    <row r="252" spans="1:25" ht="16">
      <c r="A252" s="194" t="s">
        <v>1477</v>
      </c>
      <c r="B252" s="68">
        <v>121</v>
      </c>
      <c r="C252" s="68" t="s">
        <v>82</v>
      </c>
      <c r="D252" s="77" t="s">
        <v>186</v>
      </c>
      <c r="E252" s="75"/>
      <c r="H252" s="75"/>
      <c r="K252" s="75"/>
      <c r="M252" s="76"/>
      <c r="N252" s="76"/>
      <c r="P252" s="75" t="s">
        <v>4217</v>
      </c>
      <c r="Q252" s="68" t="s">
        <v>4320</v>
      </c>
      <c r="R252" s="68">
        <v>2030</v>
      </c>
      <c r="S252" s="68">
        <v>2021</v>
      </c>
      <c r="T252" s="78" t="s">
        <v>4170</v>
      </c>
      <c r="U252" s="75" t="s">
        <v>361</v>
      </c>
      <c r="V252" s="195" t="str" cm="1">
        <f t="array" ref="V252">_xlfn.IFS(
  C252="United States","North America",
  C252="Canada","North America",
  C252="Mexico","North America",
  C252="Bermuda","North America",
  C252="United Kingdom","Europe",
  C252="Germany","Europe",
  C252="France","Europe",
  C252="Italy","Europe",
  C252="Switzerland","Europe",
  C252="Spain","Europe",
  C252="Netherlands","Europe",
  C252="Sweden","Europe",
  C252="Norway","Europe",
  C252="Finland","Europe",
  C252="Denmark","Europe",
  C252="Russia","Europe",
  C252="China","Asia",
  C252="Japan","Asia",
  C252="Taiwan, Province of China","Asia",
  C252="Hong Kong","Asia",
  C252="South Korea","Asia",
  C252="India","Asia",
  C252="Singapore","Asia",
  C252="Thailand","Asia",
  C252="Indonesia","Asia",
  C252="Malaysia","Asia",
  TRUE,"Other"
)</f>
        <v>North America</v>
      </c>
      <c r="W252" s="195" t="str">
        <f>_xlfn.XLOOKUP(Table2[[#This Row],[Column3]],Sheet1!G:G,Sheet1!H:H)</f>
        <v>Technology</v>
      </c>
      <c r="X252" s="195"/>
      <c r="Y252" s="195"/>
    </row>
    <row r="253" spans="1:25">
      <c r="A253" s="194" t="s">
        <v>773</v>
      </c>
      <c r="B253" s="68">
        <v>291</v>
      </c>
      <c r="C253" s="68" t="s">
        <v>376</v>
      </c>
      <c r="D253" s="77" t="s">
        <v>4465</v>
      </c>
      <c r="E253" s="75"/>
      <c r="H253" s="75"/>
      <c r="K253" s="75"/>
      <c r="M253" s="76"/>
      <c r="N253" s="76"/>
      <c r="P253" s="75"/>
      <c r="U253" s="75" t="s">
        <v>1</v>
      </c>
      <c r="V253" s="195" t="str" cm="1">
        <f t="array" ref="V253">_xlfn.IFS(
  C253="United States","North America",
  C253="Canada","North America",
  C253="Mexico","North America",
  C253="Bermuda","North America",
  C253="United Kingdom","Europe",
  C253="Germany","Europe",
  C253="France","Europe",
  C253="Italy","Europe",
  C253="Switzerland","Europe",
  C253="Spain","Europe",
  C253="Netherlands","Europe",
  C253="Sweden","Europe",
  C253="Norway","Europe",
  C253="Finland","Europe",
  C253="Denmark","Europe",
  C253="Russia","Europe",
  C253="China","Asia",
  C253="Japan","Asia",
  C253="Taiwan, Province of China","Asia",
  C253="Hong Kong","Asia",
  C253="South Korea","Asia",
  C253="India","Asia",
  C253="Singapore","Asia",
  C253="Thailand","Asia",
  C253="Indonesia","Asia",
  C253="Malaysia","Asia",
  TRUE,"Other"
)</f>
        <v>Europe</v>
      </c>
      <c r="W253" s="195" t="str">
        <f>_xlfn.XLOOKUP(Table2[[#This Row],[Column3]],Sheet1!G:G,Sheet1!H:H)</f>
        <v>Financial services</v>
      </c>
      <c r="X253" s="195"/>
      <c r="Y253" s="195"/>
    </row>
    <row r="254" spans="1:25">
      <c r="A254" s="194" t="s">
        <v>1194</v>
      </c>
      <c r="B254" s="68">
        <v>322</v>
      </c>
      <c r="C254" s="68" t="s">
        <v>68</v>
      </c>
      <c r="D254" s="77" t="s">
        <v>4465</v>
      </c>
      <c r="E254" s="75"/>
      <c r="H254" s="75"/>
      <c r="K254" s="75"/>
      <c r="M254" s="76"/>
      <c r="N254" s="76"/>
      <c r="P254" s="75"/>
      <c r="U254" s="75" t="s">
        <v>1</v>
      </c>
      <c r="V254" s="195" t="str" cm="1">
        <f t="array" ref="V254">_xlfn.IFS(
  C254="United States","North America",
  C254="Canada","North America",
  C254="Mexico","North America",
  C254="Bermuda","North America",
  C254="United Kingdom","Europe",
  C254="Germany","Europe",
  C254="France","Europe",
  C254="Italy","Europe",
  C254="Switzerland","Europe",
  C254="Spain","Europe",
  C254="Netherlands","Europe",
  C254="Sweden","Europe",
  C254="Norway","Europe",
  C254="Finland","Europe",
  C254="Denmark","Europe",
  C254="Russia","Europe",
  C254="China","Asia",
  C254="Japan","Asia",
  C254="Taiwan, Province of China","Asia",
  C254="Hong Kong","Asia",
  C254="South Korea","Asia",
  C254="India","Asia",
  C254="Singapore","Asia",
  C254="Thailand","Asia",
  C254="Indonesia","Asia",
  C254="Malaysia","Asia",
  TRUE,"Other"
)</f>
        <v>Other</v>
      </c>
      <c r="W254" s="195" t="str">
        <f>_xlfn.XLOOKUP(Table2[[#This Row],[Column3]],Sheet1!G:G,Sheet1!H:H)</f>
        <v>Financial services</v>
      </c>
      <c r="X254" s="195"/>
      <c r="Y254" s="195"/>
    </row>
    <row r="255" spans="1:25">
      <c r="A255" s="194" t="s">
        <v>1672</v>
      </c>
      <c r="B255" s="68">
        <v>71</v>
      </c>
      <c r="C255" s="68" t="s">
        <v>207</v>
      </c>
      <c r="D255" s="77" t="s">
        <v>4465</v>
      </c>
      <c r="E255" s="75"/>
      <c r="H255" s="75"/>
      <c r="K255" s="75" t="s">
        <v>1957</v>
      </c>
      <c r="L255" s="68" t="s">
        <v>4319</v>
      </c>
      <c r="M255" s="76">
        <v>2040</v>
      </c>
      <c r="N255" s="76">
        <v>2020</v>
      </c>
      <c r="O255" s="80" t="s">
        <v>4170</v>
      </c>
      <c r="P255" s="75" t="s">
        <v>4217</v>
      </c>
      <c r="Q255" s="68" t="s">
        <v>4318</v>
      </c>
      <c r="R255" s="68">
        <v>2050</v>
      </c>
      <c r="S255" s="68">
        <v>2020</v>
      </c>
      <c r="T255" s="79" t="s">
        <v>4170</v>
      </c>
      <c r="U255" s="75" t="s">
        <v>1</v>
      </c>
      <c r="V255" s="195" t="str" cm="1">
        <f t="array" ref="V255">_xlfn.IFS(
  C255="United States","North America",
  C255="Canada","North America",
  C255="Mexico","North America",
  C255="Bermuda","North America",
  C255="United Kingdom","Europe",
  C255="Germany","Europe",
  C255="France","Europe",
  C255="Italy","Europe",
  C255="Switzerland","Europe",
  C255="Spain","Europe",
  C255="Netherlands","Europe",
  C255="Sweden","Europe",
  C255="Norway","Europe",
  C255="Finland","Europe",
  C255="Denmark","Europe",
  C255="Russia","Europe",
  C255="China","Asia",
  C255="Japan","Asia",
  C255="Taiwan, Province of China","Asia",
  C255="Hong Kong","Asia",
  C255="South Korea","Asia",
  C255="India","Asia",
  C255="Singapore","Asia",
  C255="Thailand","Asia",
  C255="Indonesia","Asia",
  C255="Malaysia","Asia",
  TRUE,"Other"
)</f>
        <v>Asia</v>
      </c>
      <c r="W255" s="195" t="str">
        <f>_xlfn.XLOOKUP(Table2[[#This Row],[Column3]],Sheet1!G:G,Sheet1!H:H)</f>
        <v>Financial services</v>
      </c>
      <c r="X255" s="195"/>
      <c r="Y255" s="195"/>
    </row>
    <row r="256" spans="1:25" ht="16">
      <c r="A256" s="194" t="s">
        <v>753</v>
      </c>
      <c r="B256" s="68">
        <v>314</v>
      </c>
      <c r="C256" s="68" t="s">
        <v>4195</v>
      </c>
      <c r="D256" s="77" t="s">
        <v>4455</v>
      </c>
      <c r="E256" s="75"/>
      <c r="H256" s="75" t="s">
        <v>4183</v>
      </c>
      <c r="I256" s="68">
        <v>2030</v>
      </c>
      <c r="J256" s="68">
        <v>2020</v>
      </c>
      <c r="K256" s="75"/>
      <c r="M256" s="76"/>
      <c r="N256" s="76"/>
      <c r="P256" s="75" t="s">
        <v>1957</v>
      </c>
      <c r="Q256" s="68" t="s">
        <v>4223</v>
      </c>
      <c r="R256" s="68">
        <v>2040</v>
      </c>
      <c r="S256" s="68">
        <v>2020</v>
      </c>
      <c r="T256" s="78" t="s">
        <v>4170</v>
      </c>
      <c r="U256" s="75" t="s">
        <v>361</v>
      </c>
      <c r="V256" s="195" t="str" cm="1">
        <f t="array" ref="V256">_xlfn.IFS(
  C256="United States","North America",
  C256="Canada","North America",
  C256="Mexico","North America",
  C256="Bermuda","North America",
  C256="United Kingdom","Europe",
  C256="Germany","Europe",
  C256="France","Europe",
  C256="Italy","Europe",
  C256="Switzerland","Europe",
  C256="Spain","Europe",
  C256="Netherlands","Europe",
  C256="Sweden","Europe",
  C256="Norway","Europe",
  C256="Finland","Europe",
  C256="Denmark","Europe",
  C256="Russia","Europe",
  C256="China","Asia",
  C256="Japan","Asia",
  C256="Taiwan, Province of China","Asia",
  C256="Hong Kong","Asia",
  C256="South Korea","Asia",
  C256="India","Asia",
  C256="Singapore","Asia",
  C256="Thailand","Asia",
  C256="Indonesia","Asia",
  C256="Malaysia","Asia",
  TRUE,"Other"
)</f>
        <v>Europe</v>
      </c>
      <c r="W256" s="195" t="str">
        <f>_xlfn.XLOOKUP(Table2[[#This Row],[Column3]],Sheet1!G:G,Sheet1!H:H)</f>
        <v>Food, beverages and agriculture</v>
      </c>
      <c r="X256" s="195"/>
      <c r="Y256" s="195"/>
    </row>
    <row r="257" spans="1:25">
      <c r="A257" s="194" t="s">
        <v>4317</v>
      </c>
      <c r="B257" s="68">
        <v>446</v>
      </c>
      <c r="C257" s="68" t="s">
        <v>82</v>
      </c>
      <c r="D257" s="77" t="s">
        <v>186</v>
      </c>
      <c r="E257" s="75"/>
      <c r="H257" s="75"/>
      <c r="K257" s="75"/>
      <c r="M257" s="76"/>
      <c r="N257" s="76"/>
      <c r="P257" s="75"/>
      <c r="U257" s="75" t="s">
        <v>1</v>
      </c>
      <c r="V257" s="195" t="str" cm="1">
        <f t="array" ref="V257">_xlfn.IFS(
  C257="United States","North America",
  C257="Canada","North America",
  C257="Mexico","North America",
  C257="Bermuda","North America",
  C257="United Kingdom","Europe",
  C257="Germany","Europe",
  C257="France","Europe",
  C257="Italy","Europe",
  C257="Switzerland","Europe",
  C257="Spain","Europe",
  C257="Netherlands","Europe",
  C257="Sweden","Europe",
  C257="Norway","Europe",
  C257="Finland","Europe",
  C257="Denmark","Europe",
  C257="Russia","Europe",
  C257="China","Asia",
  C257="Japan","Asia",
  C257="Taiwan, Province of China","Asia",
  C257="Hong Kong","Asia",
  C257="South Korea","Asia",
  C257="India","Asia",
  C257="Singapore","Asia",
  C257="Thailand","Asia",
  C257="Indonesia","Asia",
  C257="Malaysia","Asia",
  TRUE,"Other"
)</f>
        <v>North America</v>
      </c>
      <c r="W257" s="195" t="str">
        <f>_xlfn.XLOOKUP(Table2[[#This Row],[Column3]],Sheet1!G:G,Sheet1!H:H)</f>
        <v>Technology</v>
      </c>
      <c r="X257" s="195"/>
      <c r="Y257" s="195"/>
    </row>
    <row r="258" spans="1:25" ht="16">
      <c r="A258" s="194" t="s">
        <v>1712</v>
      </c>
      <c r="B258" s="68">
        <v>58</v>
      </c>
      <c r="C258" s="68" t="s">
        <v>207</v>
      </c>
      <c r="D258" s="77" t="s">
        <v>4465</v>
      </c>
      <c r="E258" s="75"/>
      <c r="H258" s="75"/>
      <c r="K258" s="75" t="s">
        <v>1957</v>
      </c>
      <c r="L258" s="68" t="s">
        <v>4316</v>
      </c>
      <c r="M258" s="76">
        <v>2050</v>
      </c>
      <c r="N258" s="76">
        <v>2021</v>
      </c>
      <c r="O258" s="78" t="s">
        <v>4170</v>
      </c>
      <c r="P258" s="75"/>
      <c r="U258" s="75" t="s">
        <v>1</v>
      </c>
      <c r="V258" s="195" t="str" cm="1">
        <f t="array" ref="V258">_xlfn.IFS(
  C258="United States","North America",
  C258="Canada","North America",
  C258="Mexico","North America",
  C258="Bermuda","North America",
  C258="United Kingdom","Europe",
  C258="Germany","Europe",
  C258="France","Europe",
  C258="Italy","Europe",
  C258="Switzerland","Europe",
  C258="Spain","Europe",
  C258="Netherlands","Europe",
  C258="Sweden","Europe",
  C258="Norway","Europe",
  C258="Finland","Europe",
  C258="Denmark","Europe",
  C258="Russia","Europe",
  C258="China","Asia",
  C258="Japan","Asia",
  C258="Taiwan, Province of China","Asia",
  C258="Hong Kong","Asia",
  C258="South Korea","Asia",
  C258="India","Asia",
  C258="Singapore","Asia",
  C258="Thailand","Asia",
  C258="Indonesia","Asia",
  C258="Malaysia","Asia",
  TRUE,"Other"
)</f>
        <v>Asia</v>
      </c>
      <c r="W258" s="195" t="str">
        <f>_xlfn.XLOOKUP(Table2[[#This Row],[Column3]],Sheet1!G:G,Sheet1!H:H)</f>
        <v>Financial services</v>
      </c>
      <c r="X258" s="195"/>
      <c r="Y258" s="195"/>
    </row>
    <row r="259" spans="1:25">
      <c r="A259" s="194" t="s">
        <v>904</v>
      </c>
      <c r="B259" s="68">
        <v>372.1</v>
      </c>
      <c r="C259" s="68" t="s">
        <v>4315</v>
      </c>
      <c r="D259" s="77" t="s">
        <v>4476</v>
      </c>
      <c r="E259" s="75"/>
      <c r="H259" s="75"/>
      <c r="K259" s="75"/>
      <c r="M259" s="76"/>
      <c r="N259" s="76"/>
      <c r="P259" s="75"/>
      <c r="U259" s="75" t="s">
        <v>1</v>
      </c>
      <c r="V259" s="195" t="str" cm="1">
        <f t="array" ref="V259">_xlfn.IFS(
  C259="United States","North America",
  C259="Canada","North America",
  C259="Mexico","North America",
  C259="Bermuda","North America",
  C259="United Kingdom","Europe",
  C259="Germany","Europe",
  C259="France","Europe",
  C259="Italy","Europe",
  C259="Switzerland","Europe",
  C259="Spain","Europe",
  C259="Netherlands","Europe",
  C259="Sweden","Europe",
  C259="Norway","Europe",
  C259="Finland","Europe",
  C259="Denmark","Europe",
  C259="Russia","Europe",
  C259="China","Asia",
  C259="Japan","Asia",
  C259="Taiwan, Province of China","Asia",
  C259="Hong Kong","Asia",
  C259="South Korea","Asia",
  C259="India","Asia",
  C259="Singapore","Asia",
  C259="Thailand","Asia",
  C259="Indonesia","Asia",
  C259="Malaysia","Asia",
  TRUE,"Other"
)</f>
        <v>North America</v>
      </c>
      <c r="W259" s="195" t="str">
        <f>_xlfn.XLOOKUP(Table2[[#This Row],[Column3]],Sheet1!G:G,Sheet1!H:H)</f>
        <v>Automotive</v>
      </c>
      <c r="X259" s="195"/>
      <c r="Y259" s="195"/>
    </row>
    <row r="260" spans="1:25">
      <c r="A260" s="194" t="s">
        <v>1104</v>
      </c>
      <c r="B260" s="68">
        <v>202</v>
      </c>
      <c r="C260" s="68" t="s">
        <v>68</v>
      </c>
      <c r="D260" s="77" t="s">
        <v>4455</v>
      </c>
      <c r="E260" s="75"/>
      <c r="H260" s="75" t="s">
        <v>1957</v>
      </c>
      <c r="J260" s="68">
        <v>2021</v>
      </c>
      <c r="K260" s="75"/>
      <c r="M260" s="76"/>
      <c r="N260" s="76"/>
      <c r="P260" s="75" t="s">
        <v>4172</v>
      </c>
      <c r="Q260" s="68" t="s">
        <v>4314</v>
      </c>
      <c r="R260" s="68">
        <v>2040</v>
      </c>
      <c r="S260" s="68">
        <v>2021</v>
      </c>
      <c r="T260" s="79" t="s">
        <v>4170</v>
      </c>
      <c r="U260" s="75" t="s">
        <v>361</v>
      </c>
      <c r="V260" s="195" t="str" cm="1">
        <f t="array" ref="V260">_xlfn.IFS(
  C260="United States","North America",
  C260="Canada","North America",
  C260="Mexico","North America",
  C260="Bermuda","North America",
  C260="United Kingdom","Europe",
  C260="Germany","Europe",
  C260="France","Europe",
  C260="Italy","Europe",
  C260="Switzerland","Europe",
  C260="Spain","Europe",
  C260="Netherlands","Europe",
  C260="Sweden","Europe",
  C260="Norway","Europe",
  C260="Finland","Europe",
  C260="Denmark","Europe",
  C260="Russia","Europe",
  C260="China","Asia",
  C260="Japan","Asia",
  C260="Taiwan, Province of China","Asia",
  C260="Hong Kong","Asia",
  C260="South Korea","Asia",
  C260="India","Asia",
  C260="Singapore","Asia",
  C260="Thailand","Asia",
  C260="Indonesia","Asia",
  C260="Malaysia","Asia",
  TRUE,"Other"
)</f>
        <v>Other</v>
      </c>
      <c r="W260" s="195" t="str">
        <f>_xlfn.XLOOKUP(Table2[[#This Row],[Column3]],Sheet1!G:G,Sheet1!H:H)</f>
        <v>Food, beverages and agriculture</v>
      </c>
      <c r="X260" s="195"/>
      <c r="Y260" s="195"/>
    </row>
    <row r="261" spans="1:25">
      <c r="A261" s="194" t="s">
        <v>1367</v>
      </c>
      <c r="B261" s="68">
        <v>59</v>
      </c>
      <c r="C261" s="68" t="s">
        <v>73</v>
      </c>
      <c r="D261" s="77" t="s">
        <v>186</v>
      </c>
      <c r="E261" s="75"/>
      <c r="H261" s="75"/>
      <c r="K261" s="75"/>
      <c r="M261" s="76"/>
      <c r="N261" s="76"/>
      <c r="P261" s="75"/>
      <c r="U261" s="75" t="s">
        <v>1</v>
      </c>
      <c r="V261" s="195" t="str" cm="1">
        <f t="array" ref="V261">_xlfn.IFS(
  C261="United States","North America",
  C261="Canada","North America",
  C261="Mexico","North America",
  C261="Bermuda","North America",
  C261="United Kingdom","Europe",
  C261="Germany","Europe",
  C261="France","Europe",
  C261="Italy","Europe",
  C261="Switzerland","Europe",
  C261="Spain","Europe",
  C261="Netherlands","Europe",
  C261="Sweden","Europe",
  C261="Norway","Europe",
  C261="Finland","Europe",
  C261="Denmark","Europe",
  C261="Russia","Europe",
  C261="China","Asia",
  C261="Japan","Asia",
  C261="Taiwan, Province of China","Asia",
  C261="Hong Kong","Asia",
  C261="South Korea","Asia",
  C261="India","Asia",
  C261="Singapore","Asia",
  C261="Thailand","Asia",
  C261="Indonesia","Asia",
  C261="Malaysia","Asia",
  TRUE,"Other"
)</f>
        <v>Asia</v>
      </c>
      <c r="W261" s="195" t="str">
        <f>_xlfn.XLOOKUP(Table2[[#This Row],[Column3]],Sheet1!G:G,Sheet1!H:H)</f>
        <v>Technology</v>
      </c>
      <c r="X261" s="195"/>
      <c r="Y261" s="195"/>
    </row>
    <row r="262" spans="1:25" ht="16">
      <c r="A262" s="194" t="s">
        <v>645</v>
      </c>
      <c r="B262" s="68">
        <v>404</v>
      </c>
      <c r="C262" s="68" t="s">
        <v>207</v>
      </c>
      <c r="D262" s="77" t="s">
        <v>4459</v>
      </c>
      <c r="E262" s="75"/>
      <c r="H262" s="75"/>
      <c r="K262" s="75" t="s">
        <v>1957</v>
      </c>
      <c r="L262" s="68" t="s">
        <v>4313</v>
      </c>
      <c r="M262" s="76"/>
      <c r="N262" s="76">
        <v>2020</v>
      </c>
      <c r="O262" s="85" t="s">
        <v>4170</v>
      </c>
      <c r="P262" s="75"/>
      <c r="U262" s="75" t="s">
        <v>1</v>
      </c>
      <c r="V262" s="195" t="str" cm="1">
        <f t="array" ref="V262">_xlfn.IFS(
  C262="United States","North America",
  C262="Canada","North America",
  C262="Mexico","North America",
  C262="Bermuda","North America",
  C262="United Kingdom","Europe",
  C262="Germany","Europe",
  C262="France","Europe",
  C262="Italy","Europe",
  C262="Switzerland","Europe",
  C262="Spain","Europe",
  C262="Netherlands","Europe",
  C262="Sweden","Europe",
  C262="Norway","Europe",
  C262="Finland","Europe",
  C262="Denmark","Europe",
  C262="Russia","Europe",
  C262="China","Asia",
  C262="Japan","Asia",
  C262="Taiwan, Province of China","Asia",
  C262="Hong Kong","Asia",
  C262="South Korea","Asia",
  C262="India","Asia",
  C262="Singapore","Asia",
  C262="Thailand","Asia",
  C262="Indonesia","Asia",
  C262="Malaysia","Asia",
  TRUE,"Other"
)</f>
        <v>Asia</v>
      </c>
      <c r="W262" s="195" t="str">
        <f>_xlfn.XLOOKUP(Table2[[#This Row],[Column3]],Sheet1!G:G,Sheet1!H:H)</f>
        <v>Industrial goods</v>
      </c>
      <c r="X262" s="195"/>
      <c r="Y262" s="195"/>
    </row>
    <row r="263" spans="1:25">
      <c r="A263" s="194" t="s">
        <v>696</v>
      </c>
      <c r="B263" s="68">
        <v>308</v>
      </c>
      <c r="C263" s="68" t="s">
        <v>73</v>
      </c>
      <c r="D263" s="77" t="s">
        <v>4459</v>
      </c>
      <c r="E263" s="75"/>
      <c r="H263" s="75"/>
      <c r="K263" s="75"/>
      <c r="M263" s="76"/>
      <c r="N263" s="76"/>
      <c r="P263" s="75"/>
      <c r="U263" s="75" t="s">
        <v>1</v>
      </c>
      <c r="V263" s="195" t="str" cm="1">
        <f t="array" ref="V263">_xlfn.IFS(
  C263="United States","North America",
  C263="Canada","North America",
  C263="Mexico","North America",
  C263="Bermuda","North America",
  C263="United Kingdom","Europe",
  C263="Germany","Europe",
  C263="France","Europe",
  C263="Italy","Europe",
  C263="Switzerland","Europe",
  C263="Spain","Europe",
  C263="Netherlands","Europe",
  C263="Sweden","Europe",
  C263="Norway","Europe",
  C263="Finland","Europe",
  C263="Denmark","Europe",
  C263="Russia","Europe",
  C263="China","Asia",
  C263="Japan","Asia",
  C263="Taiwan, Province of China","Asia",
  C263="Hong Kong","Asia",
  C263="South Korea","Asia",
  C263="India","Asia",
  C263="Singapore","Asia",
  C263="Thailand","Asia",
  C263="Indonesia","Asia",
  C263="Malaysia","Asia",
  TRUE,"Other"
)</f>
        <v>Asia</v>
      </c>
      <c r="W263" s="195" t="str">
        <f>_xlfn.XLOOKUP(Table2[[#This Row],[Column3]],Sheet1!G:G,Sheet1!H:H)</f>
        <v>Industrial goods</v>
      </c>
      <c r="X263" s="195"/>
      <c r="Y263" s="195"/>
    </row>
    <row r="264" spans="1:25">
      <c r="A264" s="194" t="s">
        <v>640</v>
      </c>
      <c r="B264" s="68">
        <v>225</v>
      </c>
      <c r="C264" s="68" t="s">
        <v>73</v>
      </c>
      <c r="D264" s="77" t="s">
        <v>4459</v>
      </c>
      <c r="E264" s="75"/>
      <c r="H264" s="75"/>
      <c r="K264" s="75"/>
      <c r="M264" s="76"/>
      <c r="N264" s="76"/>
      <c r="P264" s="75"/>
      <c r="U264" s="75" t="s">
        <v>1</v>
      </c>
      <c r="V264" s="195" t="str" cm="1">
        <f t="array" ref="V264">_xlfn.IFS(
  C264="United States","North America",
  C264="Canada","North America",
  C264="Mexico","North America",
  C264="Bermuda","North America",
  C264="United Kingdom","Europe",
  C264="Germany","Europe",
  C264="France","Europe",
  C264="Italy","Europe",
  C264="Switzerland","Europe",
  C264="Spain","Europe",
  C264="Netherlands","Europe",
  C264="Sweden","Europe",
  C264="Norway","Europe",
  C264="Finland","Europe",
  C264="Denmark","Europe",
  C264="Russia","Europe",
  C264="China","Asia",
  C264="Japan","Asia",
  C264="Taiwan, Province of China","Asia",
  C264="Hong Kong","Asia",
  C264="South Korea","Asia",
  C264="India","Asia",
  C264="Singapore","Asia",
  C264="Thailand","Asia",
  C264="Indonesia","Asia",
  C264="Malaysia","Asia",
  TRUE,"Other"
)</f>
        <v>Asia</v>
      </c>
      <c r="W264" s="195" t="str">
        <f>_xlfn.XLOOKUP(Table2[[#This Row],[Column3]],Sheet1!G:G,Sheet1!H:H)</f>
        <v>Industrial goods</v>
      </c>
      <c r="X264" s="195"/>
      <c r="Y264" s="195"/>
    </row>
    <row r="265" spans="1:25">
      <c r="A265" s="194" t="s">
        <v>613</v>
      </c>
      <c r="B265" s="68">
        <v>336</v>
      </c>
      <c r="C265" s="68" t="s">
        <v>73</v>
      </c>
      <c r="D265" s="77" t="s">
        <v>4459</v>
      </c>
      <c r="E265" s="75"/>
      <c r="H265" s="75"/>
      <c r="K265" s="75"/>
      <c r="M265" s="76"/>
      <c r="N265" s="76"/>
      <c r="P265" s="75"/>
      <c r="U265" s="75" t="s">
        <v>1</v>
      </c>
      <c r="V265" s="195" t="str" cm="1">
        <f t="array" ref="V265">_xlfn.IFS(
  C265="United States","North America",
  C265="Canada","North America",
  C265="Mexico","North America",
  C265="Bermuda","North America",
  C265="United Kingdom","Europe",
  C265="Germany","Europe",
  C265="France","Europe",
  C265="Italy","Europe",
  C265="Switzerland","Europe",
  C265="Spain","Europe",
  C265="Netherlands","Europe",
  C265="Sweden","Europe",
  C265="Norway","Europe",
  C265="Finland","Europe",
  C265="Denmark","Europe",
  C265="Russia","Europe",
  C265="China","Asia",
  C265="Japan","Asia",
  C265="Taiwan, Province of China","Asia",
  C265="Hong Kong","Asia",
  C265="South Korea","Asia",
  C265="India","Asia",
  C265="Singapore","Asia",
  C265="Thailand","Asia",
  C265="Indonesia","Asia",
  C265="Malaysia","Asia",
  TRUE,"Other"
)</f>
        <v>Asia</v>
      </c>
      <c r="W265" s="195" t="str">
        <f>_xlfn.XLOOKUP(Table2[[#This Row],[Column3]],Sheet1!G:G,Sheet1!H:H)</f>
        <v>Industrial goods</v>
      </c>
      <c r="X265" s="195"/>
      <c r="Y265" s="195"/>
    </row>
    <row r="266" spans="1:25">
      <c r="A266" s="194" t="s">
        <v>4312</v>
      </c>
      <c r="B266" s="68">
        <v>375</v>
      </c>
      <c r="C266" s="68" t="s">
        <v>73</v>
      </c>
      <c r="D266" s="77" t="s">
        <v>4459</v>
      </c>
      <c r="E266" s="75"/>
      <c r="H266" s="75"/>
      <c r="K266" s="75"/>
      <c r="M266" s="76"/>
      <c r="N266" s="76"/>
      <c r="P266" s="75"/>
      <c r="U266" s="75" t="s">
        <v>1</v>
      </c>
      <c r="V266" s="195" t="str" cm="1">
        <f t="array" ref="V266">_xlfn.IFS(
  C266="United States","North America",
  C266="Canada","North America",
  C266="Mexico","North America",
  C266="Bermuda","North America",
  C266="United Kingdom","Europe",
  C266="Germany","Europe",
  C266="France","Europe",
  C266="Italy","Europe",
  C266="Switzerland","Europe",
  C266="Spain","Europe",
  C266="Netherlands","Europe",
  C266="Sweden","Europe",
  C266="Norway","Europe",
  C266="Finland","Europe",
  C266="Denmark","Europe",
  C266="Russia","Europe",
  C266="China","Asia",
  C266="Japan","Asia",
  C266="Taiwan, Province of China","Asia",
  C266="Hong Kong","Asia",
  C266="South Korea","Asia",
  C266="India","Asia",
  C266="Singapore","Asia",
  C266="Thailand","Asia",
  C266="Indonesia","Asia",
  C266="Malaysia","Asia",
  TRUE,"Other"
)</f>
        <v>Asia</v>
      </c>
      <c r="W266" s="195" t="str">
        <f>_xlfn.XLOOKUP(Table2[[#This Row],[Column3]],Sheet1!G:G,Sheet1!H:H)</f>
        <v>Industrial goods</v>
      </c>
      <c r="X266" s="195"/>
      <c r="Y266" s="195"/>
    </row>
    <row r="267" spans="1:25">
      <c r="A267" s="194" t="s">
        <v>4311</v>
      </c>
      <c r="B267" s="68">
        <v>138</v>
      </c>
      <c r="C267" s="68" t="s">
        <v>73</v>
      </c>
      <c r="D267" s="77" t="s">
        <v>3498</v>
      </c>
      <c r="E267" s="75"/>
      <c r="H267" s="75"/>
      <c r="K267" s="75"/>
      <c r="M267" s="76"/>
      <c r="N267" s="76"/>
      <c r="P267" s="75"/>
      <c r="U267" s="75" t="s">
        <v>1</v>
      </c>
      <c r="V267" s="195" t="str" cm="1">
        <f t="array" ref="V267">_xlfn.IFS(
  C267="United States","North America",
  C267="Canada","North America",
  C267="Mexico","North America",
  C267="Bermuda","North America",
  C267="United Kingdom","Europe",
  C267="Germany","Europe",
  C267="France","Europe",
  C267="Italy","Europe",
  C267="Switzerland","Europe",
  C267="Spain","Europe",
  C267="Netherlands","Europe",
  C267="Sweden","Europe",
  C267="Norway","Europe",
  C267="Finland","Europe",
  C267="Denmark","Europe",
  C267="Russia","Europe",
  C267="China","Asia",
  C267="Japan","Asia",
  C267="Taiwan, Province of China","Asia",
  C267="Hong Kong","Asia",
  C267="South Korea","Asia",
  C267="India","Asia",
  C267="Singapore","Asia",
  C267="Thailand","Asia",
  C267="Indonesia","Asia",
  C267="Malaysia","Asia",
  TRUE,"Other"
)</f>
        <v>Asia</v>
      </c>
      <c r="W267" s="195" t="str">
        <f>_xlfn.XLOOKUP(Table2[[#This Row],[Column3]],Sheet1!G:G,Sheet1!H:H)</f>
        <v>Oil and gas</v>
      </c>
      <c r="X267" s="195"/>
      <c r="Y267" s="195"/>
    </row>
    <row r="268" spans="1:25">
      <c r="A268" s="194" t="s">
        <v>1494</v>
      </c>
      <c r="B268" s="68">
        <v>94</v>
      </c>
      <c r="C268" s="68" t="s">
        <v>82</v>
      </c>
      <c r="D268" s="77" t="s">
        <v>4201</v>
      </c>
      <c r="E268" s="75" t="s">
        <v>4174</v>
      </c>
      <c r="F268" s="68">
        <v>2025</v>
      </c>
      <c r="G268" s="68">
        <v>2015</v>
      </c>
      <c r="H268" s="75" t="s">
        <v>4183</v>
      </c>
      <c r="I268" s="68">
        <v>2030</v>
      </c>
      <c r="J268" s="68">
        <v>2020</v>
      </c>
      <c r="K268" s="75" t="s">
        <v>1957</v>
      </c>
      <c r="L268" s="68" t="s">
        <v>1659</v>
      </c>
      <c r="M268" s="76">
        <v>2030</v>
      </c>
      <c r="N268" s="76">
        <v>2020</v>
      </c>
      <c r="O268" s="80" t="s">
        <v>4170</v>
      </c>
      <c r="P268" s="75" t="s">
        <v>4172</v>
      </c>
      <c r="Q268" s="68" t="s">
        <v>2760</v>
      </c>
      <c r="R268" s="68">
        <v>2045</v>
      </c>
      <c r="S268" s="68">
        <v>2020</v>
      </c>
      <c r="T268" s="80" t="s">
        <v>4170</v>
      </c>
      <c r="U268" s="75" t="s">
        <v>361</v>
      </c>
      <c r="V268" s="195" t="str" cm="1">
        <f t="array" ref="V268">_xlfn.IFS(
  C268="United States","North America",
  C268="Canada","North America",
  C268="Mexico","North America",
  C268="Bermuda","North America",
  C268="United Kingdom","Europe",
  C268="Germany","Europe",
  C268="France","Europe",
  C268="Italy","Europe",
  C268="Switzerland","Europe",
  C268="Spain","Europe",
  C268="Netherlands","Europe",
  C268="Sweden","Europe",
  C268="Norway","Europe",
  C268="Finland","Europe",
  C268="Denmark","Europe",
  C268="Russia","Europe",
  C268="China","Asia",
  C268="Japan","Asia",
  C268="Taiwan, Province of China","Asia",
  C268="Hong Kong","Asia",
  C268="South Korea","Asia",
  C268="India","Asia",
  C268="Singapore","Asia",
  C268="Thailand","Asia",
  C268="Indonesia","Asia",
  C268="Malaysia","Asia",
  TRUE,"Other"
)</f>
        <v>North America</v>
      </c>
      <c r="W268" s="195" t="str">
        <f>_xlfn.XLOOKUP(Table2[[#This Row],[Column3]],Sheet1!G:G,Sheet1!H:H)</f>
        <v>Health care and pharmaceuticals</v>
      </c>
      <c r="X268" s="195"/>
      <c r="Y268" s="195"/>
    </row>
    <row r="269" spans="1:25">
      <c r="A269" s="194" t="s">
        <v>3027</v>
      </c>
      <c r="B269" s="68">
        <v>43</v>
      </c>
      <c r="C269" s="68" t="s">
        <v>82</v>
      </c>
      <c r="D269" s="77" t="s">
        <v>4465</v>
      </c>
      <c r="E269" s="75" t="s">
        <v>4174</v>
      </c>
      <c r="F269" s="68">
        <v>2020</v>
      </c>
      <c r="G269" s="68">
        <v>2017</v>
      </c>
      <c r="H269" s="75"/>
      <c r="K269" s="75" t="s">
        <v>1957</v>
      </c>
      <c r="L269" s="68" t="s">
        <v>4310</v>
      </c>
      <c r="M269" s="76">
        <v>2020</v>
      </c>
      <c r="N269" s="76">
        <v>2020</v>
      </c>
      <c r="O269" s="79" t="s">
        <v>4170</v>
      </c>
      <c r="P269" s="75"/>
      <c r="U269" s="75" t="s">
        <v>361</v>
      </c>
      <c r="V269" s="195" t="str" cm="1">
        <f t="array" ref="V269">_xlfn.IFS(
  C269="United States","North America",
  C269="Canada","North America",
  C269="Mexico","North America",
  C269="Bermuda","North America",
  C269="United Kingdom","Europe",
  C269="Germany","Europe",
  C269="France","Europe",
  C269="Italy","Europe",
  C269="Switzerland","Europe",
  C269="Spain","Europe",
  C269="Netherlands","Europe",
  C269="Sweden","Europe",
  C269="Norway","Europe",
  C269="Finland","Europe",
  C269="Denmark","Europe",
  C269="Russia","Europe",
  C269="China","Asia",
  C269="Japan","Asia",
  C269="Taiwan, Province of China","Asia",
  C269="Hong Kong","Asia",
  C269="South Korea","Asia",
  C269="India","Asia",
  C269="Singapore","Asia",
  C269="Thailand","Asia",
  C269="Indonesia","Asia",
  C269="Malaysia","Asia",
  TRUE,"Other"
)</f>
        <v>North America</v>
      </c>
      <c r="W269" s="195" t="str">
        <f>_xlfn.XLOOKUP(Table2[[#This Row],[Column3]],Sheet1!G:G,Sheet1!H:H)</f>
        <v>Financial services</v>
      </c>
      <c r="X269" s="195"/>
      <c r="Y269" s="195"/>
    </row>
    <row r="270" spans="1:25">
      <c r="A270" s="194" t="s">
        <v>396</v>
      </c>
      <c r="B270" s="68">
        <v>417</v>
      </c>
      <c r="C270" s="68" t="s">
        <v>207</v>
      </c>
      <c r="D270" s="77" t="s">
        <v>4199</v>
      </c>
      <c r="E270" s="75"/>
      <c r="H270" s="75"/>
      <c r="K270" s="75"/>
      <c r="M270" s="76"/>
      <c r="N270" s="76"/>
      <c r="P270" s="75"/>
      <c r="U270" s="75" t="s">
        <v>1</v>
      </c>
      <c r="V270" s="195" t="str" cm="1">
        <f t="array" ref="V270">_xlfn.IFS(
  C270="United States","North America",
  C270="Canada","North America",
  C270="Mexico","North America",
  C270="Bermuda","North America",
  C270="United Kingdom","Europe",
  C270="Germany","Europe",
  C270="France","Europe",
  C270="Italy","Europe",
  C270="Switzerland","Europe",
  C270="Spain","Europe",
  C270="Netherlands","Europe",
  C270="Sweden","Europe",
  C270="Norway","Europe",
  C270="Finland","Europe",
  C270="Denmark","Europe",
  C270="Russia","Europe",
  C270="China","Asia",
  C270="Japan","Asia",
  C270="Taiwan, Province of China","Asia",
  C270="Hong Kong","Asia",
  C270="South Korea","Asia",
  C270="India","Asia",
  C270="Singapore","Asia",
  C270="Thailand","Asia",
  C270="Indonesia","Asia",
  C270="Malaysia","Asia",
  TRUE,"Other"
)</f>
        <v>Asia</v>
      </c>
      <c r="W270" s="195" t="str">
        <f>_xlfn.XLOOKUP(Table2[[#This Row],[Column3]],Sheet1!G:G,Sheet1!H:H)</f>
        <v>Energy and utilities</v>
      </c>
      <c r="X270" s="195"/>
      <c r="Y270" s="195"/>
    </row>
    <row r="271" spans="1:25" ht="16">
      <c r="A271" s="194" t="s">
        <v>322</v>
      </c>
      <c r="B271" s="68">
        <v>366</v>
      </c>
      <c r="C271" s="68" t="s">
        <v>114</v>
      </c>
      <c r="D271" s="77" t="s">
        <v>4465</v>
      </c>
      <c r="E271" s="75"/>
      <c r="H271" s="75" t="s">
        <v>1957</v>
      </c>
      <c r="J271" s="68">
        <v>2021</v>
      </c>
      <c r="K271" s="75"/>
      <c r="M271" s="76"/>
      <c r="N271" s="76"/>
      <c r="P271" s="75" t="s">
        <v>4172</v>
      </c>
      <c r="Q271" s="68" t="s">
        <v>4309</v>
      </c>
      <c r="R271" s="68">
        <v>2040</v>
      </c>
      <c r="S271" s="68">
        <v>2021</v>
      </c>
      <c r="T271" s="78" t="s">
        <v>4170</v>
      </c>
      <c r="U271" s="75" t="s">
        <v>361</v>
      </c>
      <c r="V271" s="195" t="str" cm="1">
        <f t="array" ref="V271">_xlfn.IFS(
  C271="United States","North America",
  C271="Canada","North America",
  C271="Mexico","North America",
  C271="Bermuda","North America",
  C271="United Kingdom","Europe",
  C271="Germany","Europe",
  C271="France","Europe",
  C271="Italy","Europe",
  C271="Switzerland","Europe",
  C271="Spain","Europe",
  C271="Netherlands","Europe",
  C271="Sweden","Europe",
  C271="Norway","Europe",
  C271="Finland","Europe",
  C271="Denmark","Europe",
  C271="Russia","Europe",
  C271="China","Asia",
  C271="Japan","Asia",
  C271="Taiwan, Province of China","Asia",
  C271="Hong Kong","Asia",
  C271="South Korea","Asia",
  C271="India","Asia",
  C271="Singapore","Asia",
  C271="Thailand","Asia",
  C271="Indonesia","Asia",
  C271="Malaysia","Asia",
  TRUE,"Other"
)</f>
        <v>Asia</v>
      </c>
      <c r="W271" s="195" t="str">
        <f>_xlfn.XLOOKUP(Table2[[#This Row],[Column3]],Sheet1!G:G,Sheet1!H:H)</f>
        <v>Financial services</v>
      </c>
      <c r="X271" s="195"/>
      <c r="Y271" s="195"/>
    </row>
    <row r="272" spans="1:25" ht="16">
      <c r="A272" s="194" t="s">
        <v>1006</v>
      </c>
      <c r="B272" s="68">
        <v>217</v>
      </c>
      <c r="C272" s="68" t="s">
        <v>207</v>
      </c>
      <c r="D272" s="77" t="s">
        <v>4190</v>
      </c>
      <c r="E272" s="75"/>
      <c r="H272" s="75"/>
      <c r="K272" s="75"/>
      <c r="M272" s="76"/>
      <c r="N272" s="76"/>
      <c r="P272" s="75" t="s">
        <v>2082</v>
      </c>
      <c r="R272" s="68">
        <v>2050</v>
      </c>
      <c r="S272" s="68">
        <v>2021</v>
      </c>
      <c r="T272" s="78" t="s">
        <v>4170</v>
      </c>
      <c r="U272" s="75" t="s">
        <v>1</v>
      </c>
      <c r="V272" s="195" t="str" cm="1">
        <f t="array" ref="V272">_xlfn.IFS(
  C272="United States","North America",
  C272="Canada","North America",
  C272="Mexico","North America",
  C272="Bermuda","North America",
  C272="United Kingdom","Europe",
  C272="Germany","Europe",
  C272="France","Europe",
  C272="Italy","Europe",
  C272="Switzerland","Europe",
  C272="Spain","Europe",
  C272="Netherlands","Europe",
  C272="Sweden","Europe",
  C272="Norway","Europe",
  C272="Finland","Europe",
  C272="Denmark","Europe",
  C272="Russia","Europe",
  C272="China","Asia",
  C272="Japan","Asia",
  C272="Taiwan, Province of China","Asia",
  C272="Hong Kong","Asia",
  C272="South Korea","Asia",
  C272="India","Asia",
  C272="Singapore","Asia",
  C272="Thailand","Asia",
  C272="Indonesia","Asia",
  C272="Malaysia","Asia",
  TRUE,"Other"
)</f>
        <v>Asia</v>
      </c>
      <c r="W272" s="195" t="str">
        <f>_xlfn.XLOOKUP(Table2[[#This Row],[Column3]],Sheet1!G:G,Sheet1!H:H)</f>
        <v>Telecommunications and media</v>
      </c>
      <c r="X272" s="195"/>
      <c r="Y272" s="195"/>
    </row>
    <row r="273" spans="1:25">
      <c r="A273" s="194" t="s">
        <v>4308</v>
      </c>
      <c r="B273" s="68">
        <v>215</v>
      </c>
      <c r="C273" s="68" t="s">
        <v>114</v>
      </c>
      <c r="D273" s="77" t="s">
        <v>4476</v>
      </c>
      <c r="E273" s="75"/>
      <c r="H273" s="75"/>
      <c r="K273" s="75"/>
      <c r="M273" s="76"/>
      <c r="N273" s="76"/>
      <c r="P273" s="75"/>
      <c r="U273" s="75" t="s">
        <v>1</v>
      </c>
      <c r="V273" s="195" t="str" cm="1">
        <f t="array" ref="V273">_xlfn.IFS(
  C273="United States","North America",
  C273="Canada","North America",
  C273="Mexico","North America",
  C273="Bermuda","North America",
  C273="United Kingdom","Europe",
  C273="Germany","Europe",
  C273="France","Europe",
  C273="Italy","Europe",
  C273="Switzerland","Europe",
  C273="Spain","Europe",
  C273="Netherlands","Europe",
  C273="Sweden","Europe",
  C273="Norway","Europe",
  C273="Finland","Europe",
  C273="Denmark","Europe",
  C273="Russia","Europe",
  C273="China","Asia",
  C273="Japan","Asia",
  C273="Taiwan, Province of China","Asia",
  C273="Hong Kong","Asia",
  C273="South Korea","Asia",
  C273="India","Asia",
  C273="Singapore","Asia",
  C273="Thailand","Asia",
  C273="Indonesia","Asia",
  C273="Malaysia","Asia",
  TRUE,"Other"
)</f>
        <v>Asia</v>
      </c>
      <c r="W273" s="195" t="str">
        <f>_xlfn.XLOOKUP(Table2[[#This Row],[Column3]],Sheet1!G:G,Sheet1!H:H)</f>
        <v>Automotive</v>
      </c>
      <c r="X273" s="195"/>
      <c r="Y273" s="195"/>
    </row>
    <row r="274" spans="1:25">
      <c r="A274" s="194" t="s">
        <v>385</v>
      </c>
      <c r="B274" s="68">
        <v>467</v>
      </c>
      <c r="C274" s="68" t="s">
        <v>382</v>
      </c>
      <c r="D274" s="77" t="s">
        <v>4199</v>
      </c>
      <c r="E274" s="75"/>
      <c r="H274" s="75"/>
      <c r="K274" s="75" t="s">
        <v>2082</v>
      </c>
      <c r="M274" s="76">
        <v>2050</v>
      </c>
      <c r="N274" s="76">
        <v>2021</v>
      </c>
      <c r="O274" s="79" t="s">
        <v>4170</v>
      </c>
      <c r="P274" s="75"/>
      <c r="U274" s="75" t="s">
        <v>1</v>
      </c>
      <c r="V274" s="195" t="str" cm="1">
        <f t="array" ref="V274">_xlfn.IFS(
  C274="United States","North America",
  C274="Canada","North America",
  C274="Mexico","North America",
  C274="Bermuda","North America",
  C274="United Kingdom","Europe",
  C274="Germany","Europe",
  C274="France","Europe",
  C274="Italy","Europe",
  C274="Switzerland","Europe",
  C274="Spain","Europe",
  C274="Netherlands","Europe",
  C274="Sweden","Europe",
  C274="Norway","Europe",
  C274="Finland","Europe",
  C274="Denmark","Europe",
  C274="Russia","Europe",
  C274="China","Asia",
  C274="Japan","Asia",
  C274="Taiwan, Province of China","Asia",
  C274="Hong Kong","Asia",
  C274="South Korea","Asia",
  C274="India","Asia",
  C274="Singapore","Asia",
  C274="Thailand","Asia",
  C274="Indonesia","Asia",
  C274="Malaysia","Asia",
  TRUE,"Other"
)</f>
        <v>Other</v>
      </c>
      <c r="W274" s="195" t="str">
        <f>_xlfn.XLOOKUP(Table2[[#This Row],[Column3]],Sheet1!G:G,Sheet1!H:H)</f>
        <v>Energy and utilities</v>
      </c>
      <c r="X274" s="195"/>
      <c r="Y274" s="195"/>
    </row>
    <row r="275" spans="1:25">
      <c r="A275" s="194" t="s">
        <v>1186</v>
      </c>
      <c r="B275" s="68">
        <v>222</v>
      </c>
      <c r="C275" s="68" t="s">
        <v>114</v>
      </c>
      <c r="D275" s="77" t="s">
        <v>4199</v>
      </c>
      <c r="E275" s="75"/>
      <c r="H275" s="75"/>
      <c r="K275" s="75"/>
      <c r="M275" s="76"/>
      <c r="N275" s="76"/>
      <c r="P275" s="75"/>
      <c r="U275" s="75" t="s">
        <v>1</v>
      </c>
      <c r="V275" s="195" t="str" cm="1">
        <f t="array" ref="V275">_xlfn.IFS(
  C275="United States","North America",
  C275="Canada","North America",
  C275="Mexico","North America",
  C275="Bermuda","North America",
  C275="United Kingdom","Europe",
  C275="Germany","Europe",
  C275="France","Europe",
  C275="Italy","Europe",
  C275="Switzerland","Europe",
  C275="Spain","Europe",
  C275="Netherlands","Europe",
  C275="Sweden","Europe",
  C275="Norway","Europe",
  C275="Finland","Europe",
  C275="Denmark","Europe",
  C275="Russia","Europe",
  C275="China","Asia",
  C275="Japan","Asia",
  C275="Taiwan, Province of China","Asia",
  C275="Hong Kong","Asia",
  C275="South Korea","Asia",
  C275="India","Asia",
  C275="Singapore","Asia",
  C275="Thailand","Asia",
  C275="Indonesia","Asia",
  C275="Malaysia","Asia",
  TRUE,"Other"
)</f>
        <v>Asia</v>
      </c>
      <c r="W275" s="195" t="str">
        <f>_xlfn.XLOOKUP(Table2[[#This Row],[Column3]],Sheet1!G:G,Sheet1!H:H)</f>
        <v>Energy and utilities</v>
      </c>
      <c r="X275" s="195"/>
      <c r="Y275" s="195"/>
    </row>
    <row r="276" spans="1:25">
      <c r="A276" s="194" t="s">
        <v>189</v>
      </c>
      <c r="B276" s="68">
        <v>466</v>
      </c>
      <c r="C276" s="68" t="s">
        <v>82</v>
      </c>
      <c r="D276" s="77" t="s">
        <v>4455</v>
      </c>
      <c r="E276" s="75"/>
      <c r="H276" s="75" t="s">
        <v>1957</v>
      </c>
      <c r="J276" s="68">
        <v>2018</v>
      </c>
      <c r="K276" s="75"/>
      <c r="M276" s="76"/>
      <c r="N276" s="76"/>
      <c r="P276" s="75"/>
      <c r="U276" s="75" t="s">
        <v>361</v>
      </c>
      <c r="V276" s="195" t="str" cm="1">
        <f t="array" ref="V276">_xlfn.IFS(
  C276="United States","North America",
  C276="Canada","North America",
  C276="Mexico","North America",
  C276="Bermuda","North America",
  C276="United Kingdom","Europe",
  C276="Germany","Europe",
  C276="France","Europe",
  C276="Italy","Europe",
  C276="Switzerland","Europe",
  C276="Spain","Europe",
  C276="Netherlands","Europe",
  C276="Sweden","Europe",
  C276="Norway","Europe",
  C276="Finland","Europe",
  C276="Denmark","Europe",
  C276="Russia","Europe",
  C276="China","Asia",
  C276="Japan","Asia",
  C276="Taiwan, Province of China","Asia",
  C276="Hong Kong","Asia",
  C276="South Korea","Asia",
  C276="India","Asia",
  C276="Singapore","Asia",
  C276="Thailand","Asia",
  C276="Indonesia","Asia",
  C276="Malaysia","Asia",
  TRUE,"Other"
)</f>
        <v>North America</v>
      </c>
      <c r="W276" s="195" t="str">
        <f>_xlfn.XLOOKUP(Table2[[#This Row],[Column3]],Sheet1!G:G,Sheet1!H:H)</f>
        <v>Food, beverages and agriculture</v>
      </c>
      <c r="X276" s="195"/>
      <c r="Y276" s="195"/>
    </row>
    <row r="277" spans="1:25">
      <c r="A277" s="194" t="s">
        <v>1722</v>
      </c>
      <c r="B277" s="68">
        <v>40</v>
      </c>
      <c r="C277" s="68" t="s">
        <v>82</v>
      </c>
      <c r="D277" s="77" t="s">
        <v>4455</v>
      </c>
      <c r="E277" s="75"/>
      <c r="H277" s="75"/>
      <c r="K277" s="75"/>
      <c r="M277" s="76"/>
      <c r="N277" s="76"/>
      <c r="P277" s="75"/>
      <c r="U277" s="75" t="s">
        <v>1</v>
      </c>
      <c r="V277" s="195" t="str" cm="1">
        <f t="array" ref="V277">_xlfn.IFS(
  C277="United States","North America",
  C277="Canada","North America",
  C277="Mexico","North America",
  C277="Bermuda","North America",
  C277="United Kingdom","Europe",
  C277="Germany","Europe",
  C277="France","Europe",
  C277="Italy","Europe",
  C277="Switzerland","Europe",
  C277="Spain","Europe",
  C277="Netherlands","Europe",
  C277="Sweden","Europe",
  C277="Norway","Europe",
  C277="Finland","Europe",
  C277="Denmark","Europe",
  C277="Russia","Europe",
  C277="China","Asia",
  C277="Japan","Asia",
  C277="Taiwan, Province of China","Asia",
  C277="Hong Kong","Asia",
  C277="South Korea","Asia",
  C277="India","Asia",
  C277="Singapore","Asia",
  C277="Thailand","Asia",
  C277="Indonesia","Asia",
  C277="Malaysia","Asia",
  TRUE,"Other"
)</f>
        <v>North America</v>
      </c>
      <c r="W277" s="195" t="str">
        <f>_xlfn.XLOOKUP(Table2[[#This Row],[Column3]],Sheet1!G:G,Sheet1!H:H)</f>
        <v>Food, beverages and agriculture</v>
      </c>
      <c r="X277" s="195"/>
      <c r="Y277" s="195"/>
    </row>
    <row r="278" spans="1:25" ht="16">
      <c r="A278" s="194" t="s">
        <v>353</v>
      </c>
      <c r="B278" s="68">
        <v>341</v>
      </c>
      <c r="C278" s="68" t="s">
        <v>63</v>
      </c>
      <c r="D278" s="77" t="s">
        <v>4179</v>
      </c>
      <c r="E278" s="75" t="s">
        <v>4174</v>
      </c>
      <c r="F278" s="68">
        <v>2020</v>
      </c>
      <c r="G278" s="68">
        <v>2015</v>
      </c>
      <c r="H278" s="75" t="s">
        <v>4183</v>
      </c>
      <c r="I278" s="68">
        <v>2025</v>
      </c>
      <c r="J278" s="68">
        <v>2019</v>
      </c>
      <c r="K278" s="75" t="s">
        <v>4193</v>
      </c>
      <c r="L278" s="68" t="s">
        <v>4307</v>
      </c>
      <c r="M278" s="76">
        <v>2019</v>
      </c>
      <c r="N278" s="76">
        <v>2012</v>
      </c>
      <c r="O278" s="78" t="s">
        <v>4170</v>
      </c>
      <c r="P278" s="75"/>
      <c r="U278" s="75" t="s">
        <v>361</v>
      </c>
      <c r="V278" s="195" t="str" cm="1">
        <f t="array" ref="V278">_xlfn.IFS(
  C278="United States","North America",
  C278="Canada","North America",
  C278="Mexico","North America",
  C278="Bermuda","North America",
  C278="United Kingdom","Europe",
  C278="Germany","Europe",
  C278="France","Europe",
  C278="Italy","Europe",
  C278="Switzerland","Europe",
  C278="Spain","Europe",
  C278="Netherlands","Europe",
  C278="Sweden","Europe",
  C278="Norway","Europe",
  C278="Finland","Europe",
  C278="Denmark","Europe",
  C278="Russia","Europe",
  C278="China","Asia",
  C278="Japan","Asia",
  C278="Taiwan, Province of China","Asia",
  C278="Hong Kong","Asia",
  C278="South Korea","Asia",
  C278="India","Asia",
  C278="Singapore","Asia",
  C278="Thailand","Asia",
  C278="Indonesia","Asia",
  C278="Malaysia","Asia",
  TRUE,"Other"
)</f>
        <v>Europe</v>
      </c>
      <c r="W278" s="195" t="str">
        <f>_xlfn.XLOOKUP(Table2[[#This Row],[Column3]],Sheet1!G:G,Sheet1!H:H)</f>
        <v>Transportation and logistics</v>
      </c>
      <c r="X278" s="195"/>
      <c r="Y278" s="195"/>
    </row>
    <row r="279" spans="1:25" ht="16">
      <c r="A279" s="194" t="s">
        <v>2987</v>
      </c>
      <c r="B279" s="68">
        <v>153</v>
      </c>
      <c r="C279" s="68" t="s">
        <v>4195</v>
      </c>
      <c r="D279" s="77" t="s">
        <v>4465</v>
      </c>
      <c r="E279" s="75"/>
      <c r="H279" s="75" t="s">
        <v>1957</v>
      </c>
      <c r="J279" s="68">
        <v>2021</v>
      </c>
      <c r="K279" s="75"/>
      <c r="M279" s="76"/>
      <c r="N279" s="76"/>
      <c r="P279" s="75" t="s">
        <v>1957</v>
      </c>
      <c r="Q279" s="68" t="s">
        <v>4306</v>
      </c>
      <c r="R279" s="68">
        <v>2050</v>
      </c>
      <c r="S279" s="68">
        <v>2020</v>
      </c>
      <c r="T279" s="78" t="s">
        <v>4170</v>
      </c>
      <c r="U279" s="75" t="s">
        <v>361</v>
      </c>
      <c r="V279" s="195" t="str" cm="1">
        <f t="array" ref="V279">_xlfn.IFS(
  C279="United States","North America",
  C279="Canada","North America",
  C279="Mexico","North America",
  C279="Bermuda","North America",
  C279="United Kingdom","Europe",
  C279="Germany","Europe",
  C279="France","Europe",
  C279="Italy","Europe",
  C279="Switzerland","Europe",
  C279="Spain","Europe",
  C279="Netherlands","Europe",
  C279="Sweden","Europe",
  C279="Norway","Europe",
  C279="Finland","Europe",
  C279="Denmark","Europe",
  C279="Russia","Europe",
  C279="China","Asia",
  C279="Japan","Asia",
  C279="Taiwan, Province of China","Asia",
  C279="Hong Kong","Asia",
  C279="South Korea","Asia",
  C279="India","Asia",
  C279="Singapore","Asia",
  C279="Thailand","Asia",
  C279="Indonesia","Asia",
  C279="Malaysia","Asia",
  TRUE,"Other"
)</f>
        <v>Europe</v>
      </c>
      <c r="W279" s="195" t="str">
        <f>_xlfn.XLOOKUP(Table2[[#This Row],[Column3]],Sheet1!G:G,Sheet1!H:H)</f>
        <v>Financial services</v>
      </c>
      <c r="X279" s="195"/>
      <c r="Y279" s="195"/>
    </row>
    <row r="280" spans="1:25">
      <c r="A280" s="194" t="s">
        <v>1123</v>
      </c>
      <c r="B280" s="68">
        <v>159</v>
      </c>
      <c r="C280" s="68" t="s">
        <v>73</v>
      </c>
      <c r="D280" s="77" t="s">
        <v>186</v>
      </c>
      <c r="E280" s="75"/>
      <c r="H280" s="75" t="s">
        <v>4183</v>
      </c>
      <c r="I280" s="68">
        <v>2029</v>
      </c>
      <c r="J280" s="68">
        <v>2020</v>
      </c>
      <c r="K280" s="75"/>
      <c r="M280" s="76"/>
      <c r="N280" s="76"/>
      <c r="P280" s="75"/>
      <c r="U280" s="75" t="s">
        <v>361</v>
      </c>
      <c r="V280" s="195" t="str" cm="1">
        <f t="array" ref="V280">_xlfn.IFS(
  C280="United States","North America",
  C280="Canada","North America",
  C280="Mexico","North America",
  C280="Bermuda","North America",
  C280="United Kingdom","Europe",
  C280="Germany","Europe",
  C280="France","Europe",
  C280="Italy","Europe",
  C280="Switzerland","Europe",
  C280="Spain","Europe",
  C280="Netherlands","Europe",
  C280="Sweden","Europe",
  C280="Norway","Europe",
  C280="Finland","Europe",
  C280="Denmark","Europe",
  C280="Russia","Europe",
  C280="China","Asia",
  C280="Japan","Asia",
  C280="Taiwan, Province of China","Asia",
  C280="Hong Kong","Asia",
  C280="South Korea","Asia",
  C280="India","Asia",
  C280="Singapore","Asia",
  C280="Thailand","Asia",
  C280="Indonesia","Asia",
  C280="Malaysia","Asia",
  TRUE,"Other"
)</f>
        <v>Asia</v>
      </c>
      <c r="W280" s="195" t="str">
        <f>_xlfn.XLOOKUP(Table2[[#This Row],[Column3]],Sheet1!G:G,Sheet1!H:H)</f>
        <v>Technology</v>
      </c>
      <c r="X280" s="195"/>
      <c r="Y280" s="195"/>
    </row>
    <row r="281" spans="1:25">
      <c r="A281" s="194" t="s">
        <v>113</v>
      </c>
      <c r="B281" s="68">
        <v>461</v>
      </c>
      <c r="C281" s="68" t="s">
        <v>114</v>
      </c>
      <c r="D281" s="77" t="s">
        <v>66</v>
      </c>
      <c r="E281" s="75"/>
      <c r="H281" s="75"/>
      <c r="K281" s="75"/>
      <c r="M281" s="76"/>
      <c r="N281" s="76"/>
      <c r="P281" s="75"/>
      <c r="U281" s="75" t="s">
        <v>1</v>
      </c>
      <c r="V281" s="195" t="str" cm="1">
        <f t="array" ref="V281">_xlfn.IFS(
  C281="United States","North America",
  C281="Canada","North America",
  C281="Mexico","North America",
  C281="Bermuda","North America",
  C281="United Kingdom","Europe",
  C281="Germany","Europe",
  C281="France","Europe",
  C281="Italy","Europe",
  C281="Switzerland","Europe",
  C281="Spain","Europe",
  C281="Netherlands","Europe",
  C281="Sweden","Europe",
  C281="Norway","Europe",
  C281="Finland","Europe",
  C281="Denmark","Europe",
  C281="Russia","Europe",
  C281="China","Asia",
  C281="Japan","Asia",
  C281="Taiwan, Province of China","Asia",
  C281="Hong Kong","Asia",
  C281="South Korea","Asia",
  C281="India","Asia",
  C281="Singapore","Asia",
  C281="Thailand","Asia",
  C281="Indonesia","Asia",
  C281="Malaysia","Asia",
  TRUE,"Other"
)</f>
        <v>Asia</v>
      </c>
      <c r="W281" s="195" t="str">
        <f>_xlfn.XLOOKUP(Table2[[#This Row],[Column3]],Sheet1!G:G,Sheet1!H:H)</f>
        <v>Chemicals</v>
      </c>
      <c r="X281" s="195"/>
      <c r="Y281" s="195"/>
    </row>
    <row r="282" spans="1:25" ht="16">
      <c r="A282" s="194" t="s">
        <v>1208</v>
      </c>
      <c r="B282" s="68">
        <v>192</v>
      </c>
      <c r="C282" s="68" t="s">
        <v>114</v>
      </c>
      <c r="D282" s="77" t="s">
        <v>186</v>
      </c>
      <c r="E282" s="75"/>
      <c r="H282" s="75"/>
      <c r="K282" s="75" t="s">
        <v>1957</v>
      </c>
      <c r="L282" s="68" t="s">
        <v>160</v>
      </c>
      <c r="M282" s="76">
        <v>2030</v>
      </c>
      <c r="N282" s="76">
        <v>2019</v>
      </c>
      <c r="O282" s="85" t="s">
        <v>4170</v>
      </c>
      <c r="P282" s="75"/>
      <c r="U282" s="75" t="s">
        <v>361</v>
      </c>
      <c r="V282" s="195" t="str" cm="1">
        <f t="array" ref="V282">_xlfn.IFS(
  C282="United States","North America",
  C282="Canada","North America",
  C282="Mexico","North America",
  C282="Bermuda","North America",
  C282="United Kingdom","Europe",
  C282="Germany","Europe",
  C282="France","Europe",
  C282="Italy","Europe",
  C282="Switzerland","Europe",
  C282="Spain","Europe",
  C282="Netherlands","Europe",
  C282="Sweden","Europe",
  C282="Norway","Europe",
  C282="Finland","Europe",
  C282="Denmark","Europe",
  C282="Russia","Europe",
  C282="China","Asia",
  C282="Japan","Asia",
  C282="Taiwan, Province of China","Asia",
  C282="Hong Kong","Asia",
  C282="South Korea","Asia",
  C282="India","Asia",
  C282="Singapore","Asia",
  C282="Thailand","Asia",
  C282="Indonesia","Asia",
  C282="Malaysia","Asia",
  TRUE,"Other"
)</f>
        <v>Asia</v>
      </c>
      <c r="W282" s="195" t="str">
        <f>_xlfn.XLOOKUP(Table2[[#This Row],[Column3]],Sheet1!G:G,Sheet1!H:H)</f>
        <v>Technology</v>
      </c>
      <c r="X282" s="195"/>
      <c r="Y282" s="195"/>
    </row>
    <row r="283" spans="1:25">
      <c r="A283" s="194" t="s">
        <v>908</v>
      </c>
      <c r="B283" s="68">
        <v>262</v>
      </c>
      <c r="C283" s="68" t="s">
        <v>82</v>
      </c>
      <c r="D283" s="77" t="s">
        <v>4465</v>
      </c>
      <c r="E283" s="75"/>
      <c r="H283" s="75"/>
      <c r="K283" s="75"/>
      <c r="M283" s="76"/>
      <c r="N283" s="76"/>
      <c r="P283" s="75"/>
      <c r="U283" s="75" t="s">
        <v>1</v>
      </c>
      <c r="V283" s="195" t="str" cm="1">
        <f t="array" ref="V283">_xlfn.IFS(
  C283="United States","North America",
  C283="Canada","North America",
  C283="Mexico","North America",
  C283="Bermuda","North America",
  C283="United Kingdom","Europe",
  C283="Germany","Europe",
  C283="France","Europe",
  C283="Italy","Europe",
  C283="Switzerland","Europe",
  C283="Spain","Europe",
  C283="Netherlands","Europe",
  C283="Sweden","Europe",
  C283="Norway","Europe",
  C283="Finland","Europe",
  C283="Denmark","Europe",
  C283="Russia","Europe",
  C283="China","Asia",
  C283="Japan","Asia",
  C283="Taiwan, Province of China","Asia",
  C283="Hong Kong","Asia",
  C283="South Korea","Asia",
  C283="India","Asia",
  C283="Singapore","Asia",
  C283="Thailand","Asia",
  C283="Indonesia","Asia",
  C283="Malaysia","Asia",
  TRUE,"Other"
)</f>
        <v>North America</v>
      </c>
      <c r="W283" s="195" t="str">
        <f>_xlfn.XLOOKUP(Table2[[#This Row],[Column3]],Sheet1!G:G,Sheet1!H:H)</f>
        <v>Financial services</v>
      </c>
      <c r="X283" s="195"/>
      <c r="Y283" s="195"/>
    </row>
    <row r="284" spans="1:25">
      <c r="A284" s="194" t="s">
        <v>2963</v>
      </c>
      <c r="B284" s="68">
        <v>447</v>
      </c>
      <c r="C284" s="68" t="s">
        <v>4195</v>
      </c>
      <c r="D284" s="77" t="s">
        <v>66</v>
      </c>
      <c r="E284" s="75"/>
      <c r="H284" s="75" t="s">
        <v>1957</v>
      </c>
      <c r="J284" s="68">
        <v>2020</v>
      </c>
      <c r="K284" s="75"/>
      <c r="M284" s="76"/>
      <c r="N284" s="76"/>
      <c r="P284" s="75"/>
      <c r="R284" s="81"/>
      <c r="U284" s="75" t="s">
        <v>361</v>
      </c>
      <c r="V284" s="195" t="str" cm="1">
        <f t="array" ref="V284">_xlfn.IFS(
  C284="United States","North America",
  C284="Canada","North America",
  C284="Mexico","North America",
  C284="Bermuda","North America",
  C284="United Kingdom","Europe",
  C284="Germany","Europe",
  C284="France","Europe",
  C284="Italy","Europe",
  C284="Switzerland","Europe",
  C284="Spain","Europe",
  C284="Netherlands","Europe",
  C284="Sweden","Europe",
  C284="Norway","Europe",
  C284="Finland","Europe",
  C284="Denmark","Europe",
  C284="Russia","Europe",
  C284="China","Asia",
  C284="Japan","Asia",
  C284="Taiwan, Province of China","Asia",
  C284="Hong Kong","Asia",
  C284="South Korea","Asia",
  C284="India","Asia",
  C284="Singapore","Asia",
  C284="Thailand","Asia",
  C284="Indonesia","Asia",
  C284="Malaysia","Asia",
  TRUE,"Other"
)</f>
        <v>Europe</v>
      </c>
      <c r="W284" s="195" t="str">
        <f>_xlfn.XLOOKUP(Table2[[#This Row],[Column3]],Sheet1!G:G,Sheet1!H:H)</f>
        <v>Chemicals</v>
      </c>
      <c r="X284" s="195"/>
      <c r="Y284" s="195"/>
    </row>
    <row r="285" spans="1:25" ht="16">
      <c r="A285" s="194" t="s">
        <v>651</v>
      </c>
      <c r="B285" s="68">
        <v>267</v>
      </c>
      <c r="C285" s="68" t="s">
        <v>4195</v>
      </c>
      <c r="D285" s="77" t="s">
        <v>4465</v>
      </c>
      <c r="E285" s="75" t="s">
        <v>4174</v>
      </c>
      <c r="F285" s="68">
        <v>2019</v>
      </c>
      <c r="G285" s="68">
        <v>2019</v>
      </c>
      <c r="H285" s="75"/>
      <c r="K285" s="75"/>
      <c r="M285" s="76"/>
      <c r="N285" s="76"/>
      <c r="P285" s="75" t="s">
        <v>4233</v>
      </c>
      <c r="Q285" s="68" t="s">
        <v>4305</v>
      </c>
      <c r="R285" s="81">
        <v>2030</v>
      </c>
      <c r="S285" s="68">
        <v>2021</v>
      </c>
      <c r="T285" s="78" t="s">
        <v>4170</v>
      </c>
      <c r="U285" s="75" t="s">
        <v>361</v>
      </c>
      <c r="V285" s="195" t="str" cm="1">
        <f t="array" ref="V285">_xlfn.IFS(
  C285="United States","North America",
  C285="Canada","North America",
  C285="Mexico","North America",
  C285="Bermuda","North America",
  C285="United Kingdom","Europe",
  C285="Germany","Europe",
  C285="France","Europe",
  C285="Italy","Europe",
  C285="Switzerland","Europe",
  C285="Spain","Europe",
  C285="Netherlands","Europe",
  C285="Sweden","Europe",
  C285="Norway","Europe",
  C285="Finland","Europe",
  C285="Denmark","Europe",
  C285="Russia","Europe",
  C285="China","Asia",
  C285="Japan","Asia",
  C285="Taiwan, Province of China","Asia",
  C285="Hong Kong","Asia",
  C285="South Korea","Asia",
  C285="India","Asia",
  C285="Singapore","Asia",
  C285="Thailand","Asia",
  C285="Indonesia","Asia",
  C285="Malaysia","Asia",
  TRUE,"Other"
)</f>
        <v>Europe</v>
      </c>
      <c r="W285" s="195" t="str">
        <f>_xlfn.XLOOKUP(Table2[[#This Row],[Column3]],Sheet1!G:G,Sheet1!H:H)</f>
        <v>Financial services</v>
      </c>
      <c r="X285" s="195"/>
      <c r="Y285" s="195"/>
    </row>
    <row r="286" spans="1:25">
      <c r="A286" s="194" t="s">
        <v>1176</v>
      </c>
      <c r="B286" s="68">
        <v>144</v>
      </c>
      <c r="C286" s="68" t="s">
        <v>82</v>
      </c>
      <c r="D286" s="77" t="s">
        <v>4260</v>
      </c>
      <c r="E286" s="75"/>
      <c r="H286" s="75"/>
      <c r="K286" s="75"/>
      <c r="M286" s="76"/>
      <c r="N286" s="76"/>
      <c r="P286" s="75"/>
      <c r="U286" s="75" t="s">
        <v>1</v>
      </c>
      <c r="V286" s="195" t="str" cm="1">
        <f t="array" ref="V286">_xlfn.IFS(
  C286="United States","North America",
  C286="Canada","North America",
  C286="Mexico","North America",
  C286="Bermuda","North America",
  C286="United Kingdom","Europe",
  C286="Germany","Europe",
  C286="France","Europe",
  C286="Italy","Europe",
  C286="Switzerland","Europe",
  C286="Spain","Europe",
  C286="Netherlands","Europe",
  C286="Sweden","Europe",
  C286="Norway","Europe",
  C286="Finland","Europe",
  C286="Denmark","Europe",
  C286="Russia","Europe",
  C286="China","Asia",
  C286="Japan","Asia",
  C286="Taiwan, Province of China","Asia",
  C286="Hong Kong","Asia",
  C286="South Korea","Asia",
  C286="India","Asia",
  C286="Singapore","Asia",
  C286="Thailand","Asia",
  C286="Indonesia","Asia",
  C286="Malaysia","Asia",
  TRUE,"Other"
)</f>
        <v>North America</v>
      </c>
      <c r="W286" s="195" t="str">
        <f>_xlfn.XLOOKUP(Table2[[#This Row],[Column3]],Sheet1!G:G,Sheet1!H:H)</f>
        <v>Aerospace and defense</v>
      </c>
      <c r="X286" s="195"/>
      <c r="Y286" s="195"/>
    </row>
    <row r="287" spans="1:25">
      <c r="A287" s="194" t="s">
        <v>4304</v>
      </c>
      <c r="B287" s="68">
        <v>456</v>
      </c>
      <c r="C287" s="68" t="s">
        <v>73</v>
      </c>
      <c r="D287" s="77" t="s">
        <v>976</v>
      </c>
      <c r="E287" s="75"/>
      <c r="H287" s="75"/>
      <c r="K287" s="75"/>
      <c r="M287" s="76"/>
      <c r="N287" s="76"/>
      <c r="P287" s="75"/>
      <c r="U287" s="75" t="s">
        <v>1</v>
      </c>
      <c r="V287" s="195" t="str" cm="1">
        <f t="array" ref="V287">_xlfn.IFS(
  C287="United States","North America",
  C287="Canada","North America",
  C287="Mexico","North America",
  C287="Bermuda","North America",
  C287="United Kingdom","Europe",
  C287="Germany","Europe",
  C287="France","Europe",
  C287="Italy","Europe",
  C287="Switzerland","Europe",
  C287="Spain","Europe",
  C287="Netherlands","Europe",
  C287="Sweden","Europe",
  C287="Norway","Europe",
  C287="Finland","Europe",
  C287="Denmark","Europe",
  C287="Russia","Europe",
  C287="China","Asia",
  C287="Japan","Asia",
  C287="Taiwan, Province of China","Asia",
  C287="Hong Kong","Asia",
  C287="South Korea","Asia",
  C287="India","Asia",
  C287="Singapore","Asia",
  C287="Thailand","Asia",
  C287="Indonesia","Asia",
  C287="Malaysia","Asia",
  TRUE,"Other"
)</f>
        <v>Asia</v>
      </c>
      <c r="W287" s="195" t="str">
        <f>_xlfn.XLOOKUP(Table2[[#This Row],[Column3]],Sheet1!G:G,Sheet1!H:H)</f>
        <v>Real estate</v>
      </c>
      <c r="X287" s="195"/>
      <c r="Y287" s="195"/>
    </row>
    <row r="288" spans="1:25" ht="16">
      <c r="A288" s="194" t="s">
        <v>512</v>
      </c>
      <c r="B288" s="68">
        <v>387</v>
      </c>
      <c r="C288" s="68" t="s">
        <v>63</v>
      </c>
      <c r="D288" s="77" t="s">
        <v>4643</v>
      </c>
      <c r="E288" s="75"/>
      <c r="H288" s="75" t="s">
        <v>4183</v>
      </c>
      <c r="I288" s="68">
        <v>2030</v>
      </c>
      <c r="J288" s="68">
        <v>2018</v>
      </c>
      <c r="K288" s="75" t="s">
        <v>1957</v>
      </c>
      <c r="L288" s="68" t="s">
        <v>4303</v>
      </c>
      <c r="M288" s="76">
        <v>2025</v>
      </c>
      <c r="N288" s="76">
        <v>2017</v>
      </c>
      <c r="O288" s="79" t="s">
        <v>4170</v>
      </c>
      <c r="P288" s="75" t="s">
        <v>4172</v>
      </c>
      <c r="Q288" s="68" t="s">
        <v>4302</v>
      </c>
      <c r="R288" s="68">
        <v>2050</v>
      </c>
      <c r="S288" s="68">
        <v>2019</v>
      </c>
      <c r="T288" s="82" t="s">
        <v>4170</v>
      </c>
      <c r="U288" s="75" t="s">
        <v>361</v>
      </c>
      <c r="V288" s="195" t="str" cm="1">
        <f t="array" ref="V288">_xlfn.IFS(
  C288="United States","North America",
  C288="Canada","North America",
  C288="Mexico","North America",
  C288="Bermuda","North America",
  C288="United Kingdom","Europe",
  C288="Germany","Europe",
  C288="France","Europe",
  C288="Italy","Europe",
  C288="Switzerland","Europe",
  C288="Spain","Europe",
  C288="Netherlands","Europe",
  C288="Sweden","Europe",
  C288="Norway","Europe",
  C288="Finland","Europe",
  C288="Denmark","Europe",
  C288="Russia","Europe",
  C288="China","Asia",
  C288="Japan","Asia",
  C288="Taiwan, Province of China","Asia",
  C288="Hong Kong","Asia",
  C288="South Korea","Asia",
  C288="India","Asia",
  C288="Singapore","Asia",
  C288="Thailand","Asia",
  C288="Indonesia","Asia",
  C288="Malaysia","Asia",
  TRUE,"Other"
)</f>
        <v>Europe</v>
      </c>
      <c r="W288" s="195" t="str">
        <f>_xlfn.XLOOKUP(Table2[[#This Row],[Column3]],Sheet1!G:G,Sheet1!H:H)</f>
        <v>Household and personal products</v>
      </c>
      <c r="X288" s="195"/>
      <c r="Y288" s="195"/>
    </row>
    <row r="289" spans="1:25">
      <c r="A289" s="194" t="s">
        <v>823</v>
      </c>
      <c r="B289" s="68">
        <v>362</v>
      </c>
      <c r="C289" s="68" t="s">
        <v>96</v>
      </c>
      <c r="D289" s="77" t="s">
        <v>4455</v>
      </c>
      <c r="E289" s="75"/>
      <c r="H289" s="75"/>
      <c r="K289" s="75"/>
      <c r="M289" s="76"/>
      <c r="N289" s="76"/>
      <c r="P289" s="75"/>
      <c r="U289" s="75" t="s">
        <v>1</v>
      </c>
      <c r="V289" s="195" t="str" cm="1">
        <f t="array" ref="V289">_xlfn.IFS(
  C289="United States","North America",
  C289="Canada","North America",
  C289="Mexico","North America",
  C289="Bermuda","North America",
  C289="United Kingdom","Europe",
  C289="Germany","Europe",
  C289="France","Europe",
  C289="Italy","Europe",
  C289="Switzerland","Europe",
  C289="Spain","Europe",
  C289="Netherlands","Europe",
  C289="Sweden","Europe",
  C289="Norway","Europe",
  C289="Finland","Europe",
  C289="Denmark","Europe",
  C289="Russia","Europe",
  C289="China","Asia",
  C289="Japan","Asia",
  C289="Taiwan, Province of China","Asia",
  C289="Hong Kong","Asia",
  C289="South Korea","Asia",
  C289="India","Asia",
  C289="Singapore","Asia",
  C289="Thailand","Asia",
  C289="Indonesia","Asia",
  C289="Malaysia","Asia",
  TRUE,"Other"
)</f>
        <v>Europe</v>
      </c>
      <c r="W289" s="195" t="str">
        <f>_xlfn.XLOOKUP(Table2[[#This Row],[Column3]],Sheet1!G:G,Sheet1!H:H)</f>
        <v>Food, beverages and agriculture</v>
      </c>
      <c r="X289" s="195"/>
      <c r="Y289" s="195"/>
    </row>
    <row r="290" spans="1:25">
      <c r="A290" s="194" t="s">
        <v>1389</v>
      </c>
      <c r="B290" s="68">
        <v>80</v>
      </c>
      <c r="C290" s="68" t="s">
        <v>82</v>
      </c>
      <c r="D290" s="77" t="s">
        <v>4467</v>
      </c>
      <c r="E290" s="75"/>
      <c r="H290" s="75"/>
      <c r="K290" s="75"/>
      <c r="M290" s="76"/>
      <c r="N290" s="76"/>
      <c r="P290" s="75"/>
      <c r="U290" s="75" t="s">
        <v>1</v>
      </c>
      <c r="V290" s="195" t="str" cm="1">
        <f t="array" ref="V290">_xlfn.IFS(
  C290="United States","North America",
  C290="Canada","North America",
  C290="Mexico","North America",
  C290="Bermuda","North America",
  C290="United Kingdom","Europe",
  C290="Germany","Europe",
  C290="France","Europe",
  C290="Italy","Europe",
  C290="Switzerland","Europe",
  C290="Spain","Europe",
  C290="Netherlands","Europe",
  C290="Sweden","Europe",
  C290="Norway","Europe",
  C290="Finland","Europe",
  C290="Denmark","Europe",
  C290="Russia","Europe",
  C290="China","Asia",
  C290="Japan","Asia",
  C290="Taiwan, Province of China","Asia",
  C290="Hong Kong","Asia",
  C290="South Korea","Asia",
  C290="India","Asia",
  C290="Singapore","Asia",
  C290="Thailand","Asia",
  C290="Indonesia","Asia",
  C290="Malaysia","Asia",
  TRUE,"Other"
)</f>
        <v>North America</v>
      </c>
      <c r="W290" s="195" t="str">
        <f>_xlfn.XLOOKUP(Table2[[#This Row],[Column3]],Sheet1!G:G,Sheet1!H:H)</f>
        <v>Retail</v>
      </c>
      <c r="X290" s="195"/>
      <c r="Y290" s="195"/>
    </row>
    <row r="291" spans="1:25">
      <c r="A291" s="194" t="s">
        <v>1716</v>
      </c>
      <c r="B291" s="68">
        <v>125</v>
      </c>
      <c r="C291" s="68" t="s">
        <v>972</v>
      </c>
      <c r="D291" s="77" t="s">
        <v>3498</v>
      </c>
      <c r="E291" s="75"/>
      <c r="H291" s="75"/>
      <c r="K291" s="75"/>
      <c r="M291" s="76"/>
      <c r="N291" s="76"/>
      <c r="P291" s="75"/>
      <c r="U291" s="75" t="s">
        <v>1</v>
      </c>
      <c r="V291" s="195" t="str" cm="1">
        <f t="array" ref="V291">_xlfn.IFS(
  C291="United States","North America",
  C291="Canada","North America",
  C291="Mexico","North America",
  C291="Bermuda","North America",
  C291="United Kingdom","Europe",
  C291="Germany","Europe",
  C291="France","Europe",
  C291="Italy","Europe",
  C291="Switzerland","Europe",
  C291="Spain","Europe",
  C291="Netherlands","Europe",
  C291="Sweden","Europe",
  C291="Norway","Europe",
  C291="Finland","Europe",
  C291="Denmark","Europe",
  C291="Russia","Europe",
  C291="China","Asia",
  C291="Japan","Asia",
  C291="Taiwan, Province of China","Asia",
  C291="Hong Kong","Asia",
  C291="South Korea","Asia",
  C291="India","Asia",
  C291="Singapore","Asia",
  C291="Thailand","Asia",
  C291="Indonesia","Asia",
  C291="Malaysia","Asia",
  TRUE,"Other"
)</f>
        <v>Europe</v>
      </c>
      <c r="W291" s="195" t="str">
        <f>_xlfn.XLOOKUP(Table2[[#This Row],[Column3]],Sheet1!G:G,Sheet1!H:H)</f>
        <v>Oil and gas</v>
      </c>
      <c r="X291" s="195"/>
      <c r="Y291" s="195"/>
    </row>
    <row r="292" spans="1:25">
      <c r="A292" s="194" t="s">
        <v>771</v>
      </c>
      <c r="B292" s="68">
        <v>438</v>
      </c>
      <c r="C292" s="68" t="s">
        <v>96</v>
      </c>
      <c r="D292" s="77" t="s">
        <v>66</v>
      </c>
      <c r="E292" s="75"/>
      <c r="H292" s="75"/>
      <c r="K292" s="75"/>
      <c r="M292" s="76"/>
      <c r="N292" s="76"/>
      <c r="P292" s="75"/>
      <c r="U292" s="75" t="s">
        <v>1</v>
      </c>
      <c r="V292" s="195" t="str" cm="1">
        <f t="array" ref="V292">_xlfn.IFS(
  C292="United States","North America",
  C292="Canada","North America",
  C292="Mexico","North America",
  C292="Bermuda","North America",
  C292="United Kingdom","Europe",
  C292="Germany","Europe",
  C292="France","Europe",
  C292="Italy","Europe",
  C292="Switzerland","Europe",
  C292="Spain","Europe",
  C292="Netherlands","Europe",
  C292="Sweden","Europe",
  C292="Norway","Europe",
  C292="Finland","Europe",
  C292="Denmark","Europe",
  C292="Russia","Europe",
  C292="China","Asia",
  C292="Japan","Asia",
  C292="Taiwan, Province of China","Asia",
  C292="Hong Kong","Asia",
  C292="South Korea","Asia",
  C292="India","Asia",
  C292="Singapore","Asia",
  C292="Thailand","Asia",
  C292="Indonesia","Asia",
  C292="Malaysia","Asia",
  TRUE,"Other"
)</f>
        <v>Europe</v>
      </c>
      <c r="W292" s="195" t="str">
        <f>_xlfn.XLOOKUP(Table2[[#This Row],[Column3]],Sheet1!G:G,Sheet1!H:H)</f>
        <v>Chemicals</v>
      </c>
      <c r="X292" s="195"/>
      <c r="Y292" s="195"/>
    </row>
    <row r="293" spans="1:25" ht="16">
      <c r="A293" s="194" t="s">
        <v>854</v>
      </c>
      <c r="B293" s="68">
        <v>297</v>
      </c>
      <c r="C293" s="68" t="s">
        <v>858</v>
      </c>
      <c r="D293" s="77" t="s">
        <v>4179</v>
      </c>
      <c r="E293" s="75"/>
      <c r="H293" s="75" t="s">
        <v>1957</v>
      </c>
      <c r="J293" s="68">
        <v>2019</v>
      </c>
      <c r="K293" s="75" t="s">
        <v>2985</v>
      </c>
      <c r="L293" s="68" t="s">
        <v>4301</v>
      </c>
      <c r="M293" s="76">
        <v>2030</v>
      </c>
      <c r="N293" s="76">
        <v>2019</v>
      </c>
      <c r="O293" s="85" t="s">
        <v>4170</v>
      </c>
      <c r="P293" s="75" t="s">
        <v>4172</v>
      </c>
      <c r="Q293" s="68" t="s">
        <v>4300</v>
      </c>
      <c r="R293" s="68">
        <v>2050</v>
      </c>
      <c r="S293" s="68">
        <v>2018</v>
      </c>
      <c r="T293" s="78" t="s">
        <v>4170</v>
      </c>
      <c r="U293" s="75" t="s">
        <v>361</v>
      </c>
      <c r="V293" s="195" t="str" cm="1">
        <f t="array" ref="V293">_xlfn.IFS(
  C293="United States","North America",
  C293="Canada","North America",
  C293="Mexico","North America",
  C293="Bermuda","North America",
  C293="United Kingdom","Europe",
  C293="Germany","Europe",
  C293="France","Europe",
  C293="Italy","Europe",
  C293="Switzerland","Europe",
  C293="Spain","Europe",
  C293="Netherlands","Europe",
  C293="Sweden","Europe",
  C293="Norway","Europe",
  C293="Finland","Europe",
  C293="Denmark","Europe",
  C293="Russia","Europe",
  C293="China","Asia",
  C293="Japan","Asia",
  C293="Taiwan, Province of China","Asia",
  C293="Hong Kong","Asia",
  C293="South Korea","Asia",
  C293="India","Asia",
  C293="Singapore","Asia",
  C293="Thailand","Asia",
  C293="Indonesia","Asia",
  C293="Malaysia","Asia",
  TRUE,"Other"
)</f>
        <v>Europe</v>
      </c>
      <c r="W293" s="195" t="str">
        <f>_xlfn.XLOOKUP(Table2[[#This Row],[Column3]],Sheet1!G:G,Sheet1!H:H)</f>
        <v>Transportation and logistics</v>
      </c>
      <c r="X293" s="195"/>
      <c r="Y293" s="195"/>
    </row>
    <row r="294" spans="1:25">
      <c r="A294" s="194" t="s">
        <v>828</v>
      </c>
      <c r="B294" s="68">
        <v>372</v>
      </c>
      <c r="C294" s="68" t="s">
        <v>78</v>
      </c>
      <c r="D294" s="77" t="s">
        <v>4476</v>
      </c>
      <c r="E294" s="75"/>
      <c r="H294" s="75" t="s">
        <v>1957</v>
      </c>
      <c r="J294" s="68">
        <v>2021</v>
      </c>
      <c r="K294" s="75" t="s">
        <v>1957</v>
      </c>
      <c r="L294" s="68" t="s">
        <v>160</v>
      </c>
      <c r="M294" s="76">
        <v>2030</v>
      </c>
      <c r="N294" s="76">
        <v>2021</v>
      </c>
      <c r="O294" s="79" t="s">
        <v>4170</v>
      </c>
      <c r="P294" s="75"/>
      <c r="U294" s="75" t="s">
        <v>361</v>
      </c>
      <c r="V294" s="195" t="str" cm="1">
        <f t="array" ref="V294">_xlfn.IFS(
  C294="United States","North America",
  C294="Canada","North America",
  C294="Mexico","North America",
  C294="Bermuda","North America",
  C294="United Kingdom","Europe",
  C294="Germany","Europe",
  C294="France","Europe",
  C294="Italy","Europe",
  C294="Switzerland","Europe",
  C294="Spain","Europe",
  C294="Netherlands","Europe",
  C294="Sweden","Europe",
  C294="Norway","Europe",
  C294="Finland","Europe",
  C294="Denmark","Europe",
  C294="Russia","Europe",
  C294="China","Asia",
  C294="Japan","Asia",
  C294="Taiwan, Province of China","Asia",
  C294="Hong Kong","Asia",
  C294="South Korea","Asia",
  C294="India","Asia",
  C294="Singapore","Asia",
  C294="Thailand","Asia",
  C294="Indonesia","Asia",
  C294="Malaysia","Asia",
  TRUE,"Other"
)</f>
        <v>North America</v>
      </c>
      <c r="W294" s="195" t="str">
        <f>_xlfn.XLOOKUP(Table2[[#This Row],[Column3]],Sheet1!G:G,Sheet1!H:H)</f>
        <v>Automotive</v>
      </c>
      <c r="X294" s="195"/>
      <c r="Y294" s="195"/>
    </row>
    <row r="295" spans="1:25" ht="16">
      <c r="A295" s="194" t="s">
        <v>403</v>
      </c>
      <c r="B295" s="68">
        <v>169</v>
      </c>
      <c r="C295" s="68" t="s">
        <v>78</v>
      </c>
      <c r="D295" s="77" t="s">
        <v>4465</v>
      </c>
      <c r="E295" s="75"/>
      <c r="H295" s="75" t="s">
        <v>1957</v>
      </c>
      <c r="J295" s="68">
        <v>2021</v>
      </c>
      <c r="K295" s="75"/>
      <c r="M295" s="76"/>
      <c r="N295" s="76"/>
      <c r="P295" s="75" t="s">
        <v>4226</v>
      </c>
      <c r="Q295" s="68" t="s">
        <v>4299</v>
      </c>
      <c r="R295" s="68">
        <v>2019</v>
      </c>
      <c r="S295" s="68">
        <v>2021</v>
      </c>
      <c r="T295" s="85" t="s">
        <v>4170</v>
      </c>
      <c r="U295" s="75" t="s">
        <v>361</v>
      </c>
      <c r="V295" s="195" t="str" cm="1">
        <f t="array" ref="V295">_xlfn.IFS(
  C295="United States","North America",
  C295="Canada","North America",
  C295="Mexico","North America",
  C295="Bermuda","North America",
  C295="United Kingdom","Europe",
  C295="Germany","Europe",
  C295="France","Europe",
  C295="Italy","Europe",
  C295="Switzerland","Europe",
  C295="Spain","Europe",
  C295="Netherlands","Europe",
  C295="Sweden","Europe",
  C295="Norway","Europe",
  C295="Finland","Europe",
  C295="Denmark","Europe",
  C295="Russia","Europe",
  C295="China","Asia",
  C295="Japan","Asia",
  C295="Taiwan, Province of China","Asia",
  C295="Hong Kong","Asia",
  C295="South Korea","Asia",
  C295="India","Asia",
  C295="Singapore","Asia",
  C295="Thailand","Asia",
  C295="Indonesia","Asia",
  C295="Malaysia","Asia",
  TRUE,"Other"
)</f>
        <v>North America</v>
      </c>
      <c r="W295" s="195" t="str">
        <f>_xlfn.XLOOKUP(Table2[[#This Row],[Column3]],Sheet1!G:G,Sheet1!H:H)</f>
        <v>Financial services</v>
      </c>
      <c r="X295" s="195"/>
      <c r="Y295" s="195"/>
    </row>
    <row r="296" spans="1:25" ht="16">
      <c r="A296" s="194" t="s">
        <v>266</v>
      </c>
      <c r="B296" s="68">
        <v>493</v>
      </c>
      <c r="C296" s="68" t="s">
        <v>267</v>
      </c>
      <c r="D296" s="77" t="s">
        <v>4465</v>
      </c>
      <c r="E296" s="75"/>
      <c r="H296" s="75"/>
      <c r="K296" s="75" t="s">
        <v>1957</v>
      </c>
      <c r="L296" s="68" t="s">
        <v>4298</v>
      </c>
      <c r="M296" s="76">
        <v>2030</v>
      </c>
      <c r="N296" s="76">
        <v>2019</v>
      </c>
      <c r="O296" s="78" t="s">
        <v>4170</v>
      </c>
      <c r="P296" s="75"/>
      <c r="U296" s="75" t="s">
        <v>361</v>
      </c>
      <c r="V296" s="195" t="str" cm="1">
        <f t="array" ref="V296">_xlfn.IFS(
  C296="United States","North America",
  C296="Canada","North America",
  C296="Mexico","North America",
  C296="Bermuda","North America",
  C296="United Kingdom","Europe",
  C296="Germany","Europe",
  C296="France","Europe",
  C296="Italy","Europe",
  C296="Switzerland","Europe",
  C296="Spain","Europe",
  C296="Netherlands","Europe",
  C296="Sweden","Europe",
  C296="Norway","Europe",
  C296="Finland","Europe",
  C296="Denmark","Europe",
  C296="Russia","Europe",
  C296="China","Asia",
  C296="Japan","Asia",
  C296="Taiwan, Province of China","Asia",
  C296="Hong Kong","Asia",
  C296="South Korea","Asia",
  C296="India","Asia",
  C296="Singapore","Asia",
  C296="Thailand","Asia",
  C296="Indonesia","Asia",
  C296="Malaysia","Asia",
  TRUE,"Other"
)</f>
        <v>Europe</v>
      </c>
      <c r="W296" s="195" t="str">
        <f>_xlfn.XLOOKUP(Table2[[#This Row],[Column3]],Sheet1!G:G,Sheet1!H:H)</f>
        <v>Financial services</v>
      </c>
      <c r="X296" s="195"/>
      <c r="Y296" s="195"/>
    </row>
    <row r="297" spans="1:25">
      <c r="A297" s="194" t="s">
        <v>1649</v>
      </c>
      <c r="B297" s="68">
        <v>81</v>
      </c>
      <c r="C297" s="68" t="s">
        <v>82</v>
      </c>
      <c r="D297" s="77" t="s">
        <v>3498</v>
      </c>
      <c r="E297" s="75"/>
      <c r="H297" s="75"/>
      <c r="K297" s="75"/>
      <c r="M297" s="76"/>
      <c r="N297" s="76"/>
      <c r="P297" s="75"/>
      <c r="U297" s="75" t="s">
        <v>1</v>
      </c>
      <c r="V297" s="195" t="str" cm="1">
        <f t="array" ref="V297">_xlfn.IFS(
  C297="United States","North America",
  C297="Canada","North America",
  C297="Mexico","North America",
  C297="Bermuda","North America",
  C297="United Kingdom","Europe",
  C297="Germany","Europe",
  C297="France","Europe",
  C297="Italy","Europe",
  C297="Switzerland","Europe",
  C297="Spain","Europe",
  C297="Netherlands","Europe",
  C297="Sweden","Europe",
  C297="Norway","Europe",
  C297="Finland","Europe",
  C297="Denmark","Europe",
  C297="Russia","Europe",
  C297="China","Asia",
  C297="Japan","Asia",
  C297="Taiwan, Province of China","Asia",
  C297="Hong Kong","Asia",
  C297="South Korea","Asia",
  C297="India","Asia",
  C297="Singapore","Asia",
  C297="Thailand","Asia",
  C297="Indonesia","Asia",
  C297="Malaysia","Asia",
  TRUE,"Other"
)</f>
        <v>North America</v>
      </c>
      <c r="W297" s="195" t="str">
        <f>_xlfn.XLOOKUP(Table2[[#This Row],[Column3]],Sheet1!G:G,Sheet1!H:H)</f>
        <v>Oil and gas</v>
      </c>
      <c r="X297" s="195"/>
      <c r="Y297" s="195"/>
    </row>
    <row r="298" spans="1:25" ht="16">
      <c r="A298" s="194" t="s">
        <v>1335</v>
      </c>
      <c r="B298" s="68">
        <v>165</v>
      </c>
      <c r="C298" s="68" t="s">
        <v>207</v>
      </c>
      <c r="D298" s="77" t="s">
        <v>4465</v>
      </c>
      <c r="E298" s="75"/>
      <c r="H298" s="75"/>
      <c r="K298" s="75"/>
      <c r="M298" s="76"/>
      <c r="N298" s="76"/>
      <c r="P298" s="75" t="s">
        <v>4217</v>
      </c>
      <c r="Q298" s="68" t="s">
        <v>4297</v>
      </c>
      <c r="R298" s="68">
        <v>2050</v>
      </c>
      <c r="S298" s="68">
        <v>2021</v>
      </c>
      <c r="T298" s="78" t="s">
        <v>4170</v>
      </c>
      <c r="U298" s="75" t="s">
        <v>1</v>
      </c>
      <c r="V298" s="195" t="str" cm="1">
        <f t="array" ref="V298">_xlfn.IFS(
  C298="United States","North America",
  C298="Canada","North America",
  C298="Mexico","North America",
  C298="Bermuda","North America",
  C298="United Kingdom","Europe",
  C298="Germany","Europe",
  C298="France","Europe",
  C298="Italy","Europe",
  C298="Switzerland","Europe",
  C298="Spain","Europe",
  C298="Netherlands","Europe",
  C298="Sweden","Europe",
  C298="Norway","Europe",
  C298="Finland","Europe",
  C298="Denmark","Europe",
  C298="Russia","Europe",
  C298="China","Asia",
  C298="Japan","Asia",
  C298="Taiwan, Province of China","Asia",
  C298="Hong Kong","Asia",
  C298="South Korea","Asia",
  C298="India","Asia",
  C298="Singapore","Asia",
  C298="Thailand","Asia",
  C298="Indonesia","Asia",
  C298="Malaysia","Asia",
  TRUE,"Other"
)</f>
        <v>Asia</v>
      </c>
      <c r="W298" s="195" t="str">
        <f>_xlfn.XLOOKUP(Table2[[#This Row],[Column3]],Sheet1!G:G,Sheet1!H:H)</f>
        <v>Financial services</v>
      </c>
      <c r="X298" s="195"/>
      <c r="Y298" s="195"/>
    </row>
    <row r="299" spans="1:25">
      <c r="A299" s="194" t="s">
        <v>537</v>
      </c>
      <c r="B299" s="68">
        <v>449</v>
      </c>
      <c r="C299" s="68" t="s">
        <v>207</v>
      </c>
      <c r="D299" s="77" t="s">
        <v>4476</v>
      </c>
      <c r="E299" s="75"/>
      <c r="H299" s="75"/>
      <c r="K299" s="75"/>
      <c r="M299" s="76"/>
      <c r="N299" s="76"/>
      <c r="P299" s="75"/>
      <c r="U299" s="75" t="s">
        <v>1</v>
      </c>
      <c r="V299" s="195" t="str" cm="1">
        <f t="array" ref="V299">_xlfn.IFS(
  C299="United States","North America",
  C299="Canada","North America",
  C299="Mexico","North America",
  C299="Bermuda","North America",
  C299="United Kingdom","Europe",
  C299="Germany","Europe",
  C299="France","Europe",
  C299="Italy","Europe",
  C299="Switzerland","Europe",
  C299="Spain","Europe",
  C299="Netherlands","Europe",
  C299="Sweden","Europe",
  C299="Norway","Europe",
  C299="Finland","Europe",
  C299="Denmark","Europe",
  C299="Russia","Europe",
  C299="China","Asia",
  C299="Japan","Asia",
  C299="Taiwan, Province of China","Asia",
  C299="Hong Kong","Asia",
  C299="South Korea","Asia",
  C299="India","Asia",
  C299="Singapore","Asia",
  C299="Thailand","Asia",
  C299="Indonesia","Asia",
  C299="Malaysia","Asia",
  TRUE,"Other"
)</f>
        <v>Asia</v>
      </c>
      <c r="W299" s="195" t="str">
        <f>_xlfn.XLOOKUP(Table2[[#This Row],[Column3]],Sheet1!G:G,Sheet1!H:H)</f>
        <v>Automotive</v>
      </c>
      <c r="X299" s="195"/>
      <c r="Y299" s="195"/>
    </row>
    <row r="300" spans="1:25">
      <c r="A300" s="194" t="s">
        <v>1826</v>
      </c>
      <c r="B300" s="68">
        <v>12</v>
      </c>
      <c r="C300" s="68" t="s">
        <v>82</v>
      </c>
      <c r="D300" s="77" t="s">
        <v>4201</v>
      </c>
      <c r="E300" s="75"/>
      <c r="H300" s="75" t="s">
        <v>1957</v>
      </c>
      <c r="J300" s="68">
        <v>2021</v>
      </c>
      <c r="K300" s="75"/>
      <c r="M300" s="76"/>
      <c r="N300" s="76"/>
      <c r="P300" s="75"/>
      <c r="U300" s="75" t="s">
        <v>361</v>
      </c>
      <c r="V300" s="195" t="str" cm="1">
        <f t="array" ref="V300">_xlfn.IFS(
  C300="United States","North America",
  C300="Canada","North America",
  C300="Mexico","North America",
  C300="Bermuda","North America",
  C300="United Kingdom","Europe",
  C300="Germany","Europe",
  C300="France","Europe",
  C300="Italy","Europe",
  C300="Switzerland","Europe",
  C300="Spain","Europe",
  C300="Netherlands","Europe",
  C300="Sweden","Europe",
  C300="Norway","Europe",
  C300="Finland","Europe",
  C300="Denmark","Europe",
  C300="Russia","Europe",
  C300="China","Asia",
  C300="Japan","Asia",
  C300="Taiwan, Province of China","Asia",
  C300="Hong Kong","Asia",
  C300="South Korea","Asia",
  C300="India","Asia",
  C300="Singapore","Asia",
  C300="Thailand","Asia",
  C300="Indonesia","Asia",
  C300="Malaysia","Asia",
  TRUE,"Other"
)</f>
        <v>North America</v>
      </c>
      <c r="W300" s="195" t="str">
        <f>_xlfn.XLOOKUP(Table2[[#This Row],[Column3]],Sheet1!G:G,Sheet1!H:H)</f>
        <v>Health care and pharmaceuticals</v>
      </c>
      <c r="X300" s="195"/>
      <c r="Y300" s="195"/>
    </row>
    <row r="301" spans="1:25">
      <c r="A301" s="194" t="s">
        <v>316</v>
      </c>
      <c r="B301" s="68">
        <v>408</v>
      </c>
      <c r="C301" s="68" t="s">
        <v>207</v>
      </c>
      <c r="D301" s="77" t="s">
        <v>4201</v>
      </c>
      <c r="E301" s="75"/>
      <c r="H301" s="75"/>
      <c r="K301" s="75"/>
      <c r="M301" s="76"/>
      <c r="N301" s="76"/>
      <c r="P301" s="75"/>
      <c r="U301" s="75" t="s">
        <v>1</v>
      </c>
      <c r="V301" s="195" t="str" cm="1">
        <f t="array" ref="V301">_xlfn.IFS(
  C301="United States","North America",
  C301="Canada","North America",
  C301="Mexico","North America",
  C301="Bermuda","North America",
  C301="United Kingdom","Europe",
  C301="Germany","Europe",
  C301="France","Europe",
  C301="Italy","Europe",
  C301="Switzerland","Europe",
  C301="Spain","Europe",
  C301="Netherlands","Europe",
  C301="Sweden","Europe",
  C301="Norway","Europe",
  C301="Finland","Europe",
  C301="Denmark","Europe",
  C301="Russia","Europe",
  C301="China","Asia",
  C301="Japan","Asia",
  C301="Taiwan, Province of China","Asia",
  C301="Hong Kong","Asia",
  C301="South Korea","Asia",
  C301="India","Asia",
  C301="Singapore","Asia",
  C301="Thailand","Asia",
  C301="Indonesia","Asia",
  C301="Malaysia","Asia",
  TRUE,"Other"
)</f>
        <v>Asia</v>
      </c>
      <c r="W301" s="195" t="str">
        <f>_xlfn.XLOOKUP(Table2[[#This Row],[Column3]],Sheet1!G:G,Sheet1!H:H)</f>
        <v>Health care and pharmaceuticals</v>
      </c>
      <c r="X301" s="195"/>
      <c r="Y301" s="195"/>
    </row>
    <row r="302" spans="1:25">
      <c r="A302" s="194" t="s">
        <v>399</v>
      </c>
      <c r="B302" s="68">
        <v>419</v>
      </c>
      <c r="C302" s="68" t="s">
        <v>82</v>
      </c>
      <c r="D302" s="77" t="s">
        <v>4201</v>
      </c>
      <c r="E302" s="75"/>
      <c r="H302" s="75"/>
      <c r="K302" s="75" t="s">
        <v>1957</v>
      </c>
      <c r="L302" s="68" t="s">
        <v>4296</v>
      </c>
      <c r="M302" s="76">
        <v>2030</v>
      </c>
      <c r="N302" s="76">
        <v>2020</v>
      </c>
      <c r="O302" s="79" t="s">
        <v>4170</v>
      </c>
      <c r="P302" s="75"/>
      <c r="U302" s="75" t="s">
        <v>361</v>
      </c>
      <c r="V302" s="195" t="str" cm="1">
        <f t="array" ref="V302">_xlfn.IFS(
  C302="United States","North America",
  C302="Canada","North America",
  C302="Mexico","North America",
  C302="Bermuda","North America",
  C302="United Kingdom","Europe",
  C302="Germany","Europe",
  C302="France","Europe",
  C302="Italy","Europe",
  C302="Switzerland","Europe",
  C302="Spain","Europe",
  C302="Netherlands","Europe",
  C302="Sweden","Europe",
  C302="Norway","Europe",
  C302="Finland","Europe",
  C302="Denmark","Europe",
  C302="Russia","Europe",
  C302="China","Asia",
  C302="Japan","Asia",
  C302="Taiwan, Province of China","Asia",
  C302="Hong Kong","Asia",
  C302="South Korea","Asia",
  C302="India","Asia",
  C302="Singapore","Asia",
  C302="Thailand","Asia",
  C302="Indonesia","Asia",
  C302="Malaysia","Asia",
  TRUE,"Other"
)</f>
        <v>North America</v>
      </c>
      <c r="W302" s="195" t="str">
        <f>_xlfn.XLOOKUP(Table2[[#This Row],[Column3]],Sheet1!G:G,Sheet1!H:H)</f>
        <v>Health care and pharmaceuticals</v>
      </c>
      <c r="X302" s="195"/>
      <c r="Y302" s="195"/>
    </row>
    <row r="303" spans="1:25" ht="16">
      <c r="A303" s="194" t="s">
        <v>747</v>
      </c>
      <c r="B303" s="68">
        <v>313</v>
      </c>
      <c r="C303" s="68" t="s">
        <v>207</v>
      </c>
      <c r="D303" s="77" t="s">
        <v>4465</v>
      </c>
      <c r="E303" s="75"/>
      <c r="H303" s="75"/>
      <c r="K303" s="75"/>
      <c r="M303" s="76"/>
      <c r="N303" s="76"/>
      <c r="P303" s="75" t="s">
        <v>4186</v>
      </c>
      <c r="Q303" s="68" t="s">
        <v>4295</v>
      </c>
      <c r="R303" s="68">
        <v>2050</v>
      </c>
      <c r="S303" s="68">
        <v>2021</v>
      </c>
      <c r="T303" s="82" t="s">
        <v>4170</v>
      </c>
      <c r="U303" s="75" t="s">
        <v>1</v>
      </c>
      <c r="V303" s="195" t="str" cm="1">
        <f t="array" ref="V303">_xlfn.IFS(
  C303="United States","North America",
  C303="Canada","North America",
  C303="Mexico","North America",
  C303="Bermuda","North America",
  C303="United Kingdom","Europe",
  C303="Germany","Europe",
  C303="France","Europe",
  C303="Italy","Europe",
  C303="Switzerland","Europe",
  C303="Spain","Europe",
  C303="Netherlands","Europe",
  C303="Sweden","Europe",
  C303="Norway","Europe",
  C303="Finland","Europe",
  C303="Denmark","Europe",
  C303="Russia","Europe",
  C303="China","Asia",
  C303="Japan","Asia",
  C303="Taiwan, Province of China","Asia",
  C303="Hong Kong","Asia",
  C303="South Korea","Asia",
  C303="India","Asia",
  C303="Singapore","Asia",
  C303="Thailand","Asia",
  C303="Indonesia","Asia",
  C303="Malaysia","Asia",
  TRUE,"Other"
)</f>
        <v>Asia</v>
      </c>
      <c r="W303" s="195" t="str">
        <f>_xlfn.XLOOKUP(Table2[[#This Row],[Column3]],Sheet1!G:G,Sheet1!H:H)</f>
        <v>Financial services</v>
      </c>
      <c r="X303" s="195"/>
      <c r="Y303" s="195"/>
    </row>
    <row r="304" spans="1:25">
      <c r="A304" s="194" t="s">
        <v>887</v>
      </c>
      <c r="B304" s="68">
        <v>232</v>
      </c>
      <c r="C304" s="68" t="s">
        <v>82</v>
      </c>
      <c r="D304" s="77" t="s">
        <v>4201</v>
      </c>
      <c r="E304" s="75"/>
      <c r="H304" s="75"/>
      <c r="K304" s="75" t="s">
        <v>1957</v>
      </c>
      <c r="L304" s="68" t="s">
        <v>4294</v>
      </c>
      <c r="M304" s="76">
        <v>2025</v>
      </c>
      <c r="N304" s="76">
        <v>2021</v>
      </c>
      <c r="O304" s="80" t="s">
        <v>4170</v>
      </c>
      <c r="P304" s="75"/>
      <c r="U304" s="75" t="s">
        <v>361</v>
      </c>
      <c r="V304" s="195" t="str" cm="1">
        <f t="array" ref="V304">_xlfn.IFS(
  C304="United States","North America",
  C304="Canada","North America",
  C304="Mexico","North America",
  C304="Bermuda","North America",
  C304="United Kingdom","Europe",
  C304="Germany","Europe",
  C304="France","Europe",
  C304="Italy","Europe",
  C304="Switzerland","Europe",
  C304="Spain","Europe",
  C304="Netherlands","Europe",
  C304="Sweden","Europe",
  C304="Norway","Europe",
  C304="Finland","Europe",
  C304="Denmark","Europe",
  C304="Russia","Europe",
  C304="China","Asia",
  C304="Japan","Asia",
  C304="Taiwan, Province of China","Asia",
  C304="Hong Kong","Asia",
  C304="South Korea","Asia",
  C304="India","Asia",
  C304="Singapore","Asia",
  C304="Thailand","Asia",
  C304="Indonesia","Asia",
  C304="Malaysia","Asia",
  TRUE,"Other"
)</f>
        <v>North America</v>
      </c>
      <c r="W304" s="195" t="str">
        <f>_xlfn.XLOOKUP(Table2[[#This Row],[Column3]],Sheet1!G:G,Sheet1!H:H)</f>
        <v>Health care and pharmaceuticals</v>
      </c>
      <c r="X304" s="195"/>
      <c r="Y304" s="195"/>
    </row>
    <row r="305" spans="1:25" ht="16">
      <c r="A305" s="194" t="s">
        <v>1358</v>
      </c>
      <c r="B305" s="68">
        <v>136</v>
      </c>
      <c r="C305" s="68" t="s">
        <v>82</v>
      </c>
      <c r="D305" s="77" t="s">
        <v>4465</v>
      </c>
      <c r="E305" s="75"/>
      <c r="H305" s="75" t="s">
        <v>1957</v>
      </c>
      <c r="J305" s="68">
        <v>2016</v>
      </c>
      <c r="K305" s="75" t="s">
        <v>1957</v>
      </c>
      <c r="L305" s="68" t="s">
        <v>4293</v>
      </c>
      <c r="M305" s="76">
        <v>2016</v>
      </c>
      <c r="N305" s="76">
        <v>2015</v>
      </c>
      <c r="O305" s="78" t="s">
        <v>4170</v>
      </c>
      <c r="P305" s="75"/>
      <c r="U305" s="75" t="s">
        <v>361</v>
      </c>
      <c r="V305" s="195" t="str" cm="1">
        <f t="array" ref="V305">_xlfn.IFS(
  C305="United States","North America",
  C305="Canada","North America",
  C305="Mexico","North America",
  C305="Bermuda","North America",
  C305="United Kingdom","Europe",
  C305="Germany","Europe",
  C305="France","Europe",
  C305="Italy","Europe",
  C305="Switzerland","Europe",
  C305="Spain","Europe",
  C305="Netherlands","Europe",
  C305="Sweden","Europe",
  C305="Norway","Europe",
  C305="Finland","Europe",
  C305="Denmark","Europe",
  C305="Russia","Europe",
  C305="China","Asia",
  C305="Japan","Asia",
  C305="Taiwan, Province of China","Asia",
  C305="Hong Kong","Asia",
  C305="South Korea","Asia",
  C305="India","Asia",
  C305="Singapore","Asia",
  C305="Thailand","Asia",
  C305="Indonesia","Asia",
  C305="Malaysia","Asia",
  TRUE,"Other"
)</f>
        <v>North America</v>
      </c>
      <c r="W305" s="195" t="str">
        <f>_xlfn.XLOOKUP(Table2[[#This Row],[Column3]],Sheet1!G:G,Sheet1!H:H)</f>
        <v>Financial services</v>
      </c>
      <c r="X305" s="195"/>
      <c r="Y305" s="195"/>
    </row>
    <row r="306" spans="1:25">
      <c r="A306" s="194" t="s">
        <v>940</v>
      </c>
      <c r="B306" s="68">
        <v>329</v>
      </c>
      <c r="C306" s="68" t="s">
        <v>146</v>
      </c>
      <c r="D306" s="77" t="s">
        <v>4455</v>
      </c>
      <c r="E306" s="75"/>
      <c r="H306" s="75" t="s">
        <v>4183</v>
      </c>
      <c r="I306" s="68">
        <v>2030</v>
      </c>
      <c r="J306" s="68">
        <v>2019</v>
      </c>
      <c r="K306" s="75" t="s">
        <v>1957</v>
      </c>
      <c r="L306" s="68" t="s">
        <v>4292</v>
      </c>
      <c r="M306" s="76">
        <v>2040</v>
      </c>
      <c r="N306" s="76">
        <v>2021</v>
      </c>
      <c r="O306" s="79" t="s">
        <v>4170</v>
      </c>
      <c r="P306" s="75"/>
      <c r="U306" s="75" t="s">
        <v>361</v>
      </c>
      <c r="V306" s="195" t="str" cm="1">
        <f t="array" ref="V306">_xlfn.IFS(
  C306="United States","North America",
  C306="Canada","North America",
  C306="Mexico","North America",
  C306="Bermuda","North America",
  C306="United Kingdom","Europe",
  C306="Germany","Europe",
  C306="France","Europe",
  C306="Italy","Europe",
  C306="Switzerland","Europe",
  C306="Spain","Europe",
  C306="Netherlands","Europe",
  C306="Sweden","Europe",
  C306="Norway","Europe",
  C306="Finland","Europe",
  C306="Denmark","Europe",
  C306="Russia","Europe",
  C306="China","Asia",
  C306="Japan","Asia",
  C306="Taiwan, Province of China","Asia",
  C306="Hong Kong","Asia",
  C306="South Korea","Asia",
  C306="India","Asia",
  C306="Singapore","Asia",
  C306="Thailand","Asia",
  C306="Indonesia","Asia",
  C306="Malaysia","Asia",
  TRUE,"Other"
)</f>
        <v>Europe</v>
      </c>
      <c r="W306" s="195" t="str">
        <f>_xlfn.XLOOKUP(Table2[[#This Row],[Column3]],Sheet1!G:G,Sheet1!H:H)</f>
        <v>Food, beverages and agriculture</v>
      </c>
      <c r="X306" s="195"/>
      <c r="Y306" s="195"/>
    </row>
    <row r="307" spans="1:25" ht="16">
      <c r="A307" s="194" t="s">
        <v>1686</v>
      </c>
      <c r="B307" s="68">
        <v>33</v>
      </c>
      <c r="C307" s="68" t="s">
        <v>82</v>
      </c>
      <c r="D307" s="77" t="s">
        <v>186</v>
      </c>
      <c r="E307" s="75" t="s">
        <v>4174</v>
      </c>
      <c r="F307" s="68">
        <v>2014</v>
      </c>
      <c r="G307" s="68">
        <v>2015</v>
      </c>
      <c r="H307" s="75" t="s">
        <v>4183</v>
      </c>
      <c r="I307" s="68">
        <v>2030</v>
      </c>
      <c r="J307" s="68">
        <v>2019</v>
      </c>
      <c r="K307" s="75" t="s">
        <v>1957</v>
      </c>
      <c r="L307" s="68" t="s">
        <v>4291</v>
      </c>
      <c r="M307" s="76">
        <v>2012</v>
      </c>
      <c r="N307" s="88">
        <v>2012</v>
      </c>
      <c r="O307" s="90" t="s">
        <v>4170</v>
      </c>
      <c r="P307" s="75" t="s">
        <v>4172</v>
      </c>
      <c r="Q307" s="68" t="s">
        <v>4290</v>
      </c>
      <c r="R307" s="68">
        <v>2030</v>
      </c>
      <c r="S307" s="68">
        <v>2020</v>
      </c>
      <c r="T307" s="78" t="s">
        <v>4170</v>
      </c>
      <c r="U307" s="75" t="s">
        <v>361</v>
      </c>
      <c r="V307" s="195" t="str" cm="1">
        <f t="array" ref="V307">_xlfn.IFS(
  C307="United States","North America",
  C307="Canada","North America",
  C307="Mexico","North America",
  C307="Bermuda","North America",
  C307="United Kingdom","Europe",
  C307="Germany","Europe",
  C307="France","Europe",
  C307="Italy","Europe",
  C307="Switzerland","Europe",
  C307="Spain","Europe",
  C307="Netherlands","Europe",
  C307="Sweden","Europe",
  C307="Norway","Europe",
  C307="Finland","Europe",
  C307="Denmark","Europe",
  C307="Russia","Europe",
  C307="China","Asia",
  C307="Japan","Asia",
  C307="Taiwan, Province of China","Asia",
  C307="Hong Kong","Asia",
  C307="South Korea","Asia",
  C307="India","Asia",
  C307="Singapore","Asia",
  C307="Thailand","Asia",
  C307="Indonesia","Asia",
  C307="Malaysia","Asia",
  TRUE,"Other"
)</f>
        <v>North America</v>
      </c>
      <c r="W307" s="195" t="str">
        <f>_xlfn.XLOOKUP(Table2[[#This Row],[Column3]],Sheet1!G:G,Sheet1!H:H)</f>
        <v>Technology</v>
      </c>
      <c r="X307" s="195"/>
      <c r="Y307" s="195"/>
    </row>
    <row r="308" spans="1:25">
      <c r="A308" s="194" t="s">
        <v>780</v>
      </c>
      <c r="B308" s="68">
        <v>288</v>
      </c>
      <c r="C308" s="68" t="s">
        <v>73</v>
      </c>
      <c r="D308" s="77" t="s">
        <v>186</v>
      </c>
      <c r="E308" s="75"/>
      <c r="H308" s="75"/>
      <c r="K308" s="75"/>
      <c r="M308" s="76"/>
      <c r="N308" s="76"/>
      <c r="P308" s="75"/>
      <c r="U308" s="75" t="s">
        <v>1</v>
      </c>
      <c r="V308" s="195" t="str" cm="1">
        <f t="array" ref="V308">_xlfn.IFS(
  C308="United States","North America",
  C308="Canada","North America",
  C308="Mexico","North America",
  C308="Bermuda","North America",
  C308="United Kingdom","Europe",
  C308="Germany","Europe",
  C308="France","Europe",
  C308="Italy","Europe",
  C308="Switzerland","Europe",
  C308="Spain","Europe",
  C308="Netherlands","Europe",
  C308="Sweden","Europe",
  C308="Norway","Europe",
  C308="Finland","Europe",
  C308="Denmark","Europe",
  C308="Russia","Europe",
  C308="China","Asia",
  C308="Japan","Asia",
  C308="Taiwan, Province of China","Asia",
  C308="Hong Kong","Asia",
  C308="South Korea","Asia",
  C308="India","Asia",
  C308="Singapore","Asia",
  C308="Thailand","Asia",
  C308="Indonesia","Asia",
  C308="Malaysia","Asia",
  TRUE,"Other"
)</f>
        <v>Asia</v>
      </c>
      <c r="W308" s="195" t="str">
        <f>_xlfn.XLOOKUP(Table2[[#This Row],[Column3]],Sheet1!G:G,Sheet1!H:H)</f>
        <v>Technology</v>
      </c>
      <c r="X308" s="195"/>
      <c r="Y308" s="195"/>
    </row>
    <row r="309" spans="1:25">
      <c r="A309" s="194" t="s">
        <v>340</v>
      </c>
      <c r="B309" s="68">
        <v>386</v>
      </c>
      <c r="C309" s="68" t="s">
        <v>287</v>
      </c>
      <c r="D309" s="77" t="s">
        <v>4467</v>
      </c>
      <c r="E309" s="75"/>
      <c r="H309" s="75" t="s">
        <v>1957</v>
      </c>
      <c r="J309" s="68">
        <v>2020</v>
      </c>
      <c r="K309" s="75"/>
      <c r="M309" s="76"/>
      <c r="N309" s="76"/>
      <c r="P309" s="75"/>
      <c r="U309" s="75" t="s">
        <v>361</v>
      </c>
      <c r="V309" s="195" t="str" cm="1">
        <f t="array" ref="V309">_xlfn.IFS(
  C309="United States","North America",
  C309="Canada","North America",
  C309="Mexico","North America",
  C309="Bermuda","North America",
  C309="United Kingdom","Europe",
  C309="Germany","Europe",
  C309="France","Europe",
  C309="Italy","Europe",
  C309="Switzerland","Europe",
  C309="Spain","Europe",
  C309="Netherlands","Europe",
  C309="Sweden","Europe",
  C309="Norway","Europe",
  C309="Finland","Europe",
  C309="Denmark","Europe",
  C309="Russia","Europe",
  C309="China","Asia",
  C309="Japan","Asia",
  C309="Taiwan, Province of China","Asia",
  C309="Hong Kong","Asia",
  C309="South Korea","Asia",
  C309="India","Asia",
  C309="Singapore","Asia",
  C309="Thailand","Asia",
  C309="Indonesia","Asia",
  C309="Malaysia","Asia",
  TRUE,"Other"
)</f>
        <v>Europe</v>
      </c>
      <c r="W309" s="195" t="str">
        <f>_xlfn.XLOOKUP(Table2[[#This Row],[Column3]],Sheet1!G:G,Sheet1!H:H)</f>
        <v>Retail</v>
      </c>
      <c r="X309" s="195"/>
      <c r="Y309" s="195"/>
    </row>
    <row r="310" spans="1:25">
      <c r="A310" s="194" t="s">
        <v>1779</v>
      </c>
      <c r="B310" s="68">
        <v>51</v>
      </c>
      <c r="C310" s="68" t="s">
        <v>207</v>
      </c>
      <c r="D310" s="77" t="s">
        <v>4465</v>
      </c>
      <c r="E310" s="75"/>
      <c r="H310" s="75"/>
      <c r="K310" s="75"/>
      <c r="M310" s="76"/>
      <c r="N310" s="76"/>
      <c r="P310" s="75"/>
      <c r="U310" s="75" t="s">
        <v>1</v>
      </c>
      <c r="V310" s="195" t="str" cm="1">
        <f t="array" ref="V310">_xlfn.IFS(
  C310="United States","North America",
  C310="Canada","North America",
  C310="Mexico","North America",
  C310="Bermuda","North America",
  C310="United Kingdom","Europe",
  C310="Germany","Europe",
  C310="France","Europe",
  C310="Italy","Europe",
  C310="Switzerland","Europe",
  C310="Spain","Europe",
  C310="Netherlands","Europe",
  C310="Sweden","Europe",
  C310="Norway","Europe",
  C310="Finland","Europe",
  C310="Denmark","Europe",
  C310="Russia","Europe",
  C310="China","Asia",
  C310="Japan","Asia",
  C310="Taiwan, Province of China","Asia",
  C310="Hong Kong","Asia",
  C310="South Korea","Asia",
  C310="India","Asia",
  C310="Singapore","Asia",
  C310="Thailand","Asia",
  C310="Indonesia","Asia",
  C310="Malaysia","Asia",
  TRUE,"Other"
)</f>
        <v>Asia</v>
      </c>
      <c r="W310" s="195" t="str">
        <f>_xlfn.XLOOKUP(Table2[[#This Row],[Column3]],Sheet1!G:G,Sheet1!H:H)</f>
        <v>Financial services</v>
      </c>
      <c r="X310" s="195"/>
      <c r="Y310" s="195"/>
    </row>
    <row r="311" spans="1:25">
      <c r="A311" s="194" t="s">
        <v>658</v>
      </c>
      <c r="B311" s="68">
        <v>401</v>
      </c>
      <c r="C311" s="68" t="s">
        <v>207</v>
      </c>
      <c r="D311" s="77" t="s">
        <v>66</v>
      </c>
      <c r="E311" s="75"/>
      <c r="H311" s="75"/>
      <c r="K311" s="75"/>
      <c r="M311" s="76"/>
      <c r="N311" s="76"/>
      <c r="P311" s="75"/>
      <c r="U311" s="75" t="s">
        <v>1</v>
      </c>
      <c r="V311" s="195" t="str" cm="1">
        <f t="array" ref="V311">_xlfn.IFS(
  C311="United States","North America",
  C311="Canada","North America",
  C311="Mexico","North America",
  C311="Bermuda","North America",
  C311="United Kingdom","Europe",
  C311="Germany","Europe",
  C311="France","Europe",
  C311="Italy","Europe",
  C311="Switzerland","Europe",
  C311="Spain","Europe",
  C311="Netherlands","Europe",
  C311="Sweden","Europe",
  C311="Norway","Europe",
  C311="Finland","Europe",
  C311="Denmark","Europe",
  C311="Russia","Europe",
  C311="China","Asia",
  C311="Japan","Asia",
  C311="Taiwan, Province of China","Asia",
  C311="Hong Kong","Asia",
  C311="South Korea","Asia",
  C311="India","Asia",
  C311="Singapore","Asia",
  C311="Thailand","Asia",
  C311="Indonesia","Asia",
  C311="Malaysia","Asia",
  TRUE,"Other"
)</f>
        <v>Asia</v>
      </c>
      <c r="W311" s="195" t="str">
        <f>_xlfn.XLOOKUP(Table2[[#This Row],[Column3]],Sheet1!G:G,Sheet1!H:H)</f>
        <v>Chemicals</v>
      </c>
      <c r="X311" s="195"/>
      <c r="Y311" s="195"/>
    </row>
    <row r="312" spans="1:25" ht="16">
      <c r="A312" s="194" t="s">
        <v>826</v>
      </c>
      <c r="B312" s="68">
        <v>300</v>
      </c>
      <c r="C312" s="68" t="s">
        <v>207</v>
      </c>
      <c r="D312" s="77" t="s">
        <v>186</v>
      </c>
      <c r="E312" s="75"/>
      <c r="H312" s="75" t="s">
        <v>4183</v>
      </c>
      <c r="I312" s="68">
        <v>2030</v>
      </c>
      <c r="J312" s="68">
        <v>2020</v>
      </c>
      <c r="K312" s="75"/>
      <c r="M312" s="76"/>
      <c r="N312" s="76"/>
      <c r="P312" s="75" t="s">
        <v>4172</v>
      </c>
      <c r="Q312" s="68" t="s">
        <v>2760</v>
      </c>
      <c r="R312" s="68">
        <v>2050</v>
      </c>
      <c r="S312" s="68">
        <v>2021</v>
      </c>
      <c r="T312" s="83" t="s">
        <v>4170</v>
      </c>
      <c r="U312" s="75" t="s">
        <v>361</v>
      </c>
      <c r="V312" s="195" t="str" cm="1">
        <f t="array" ref="V312">_xlfn.IFS(
  C312="United States","North America",
  C312="Canada","North America",
  C312="Mexico","North America",
  C312="Bermuda","North America",
  C312="United Kingdom","Europe",
  C312="Germany","Europe",
  C312="France","Europe",
  C312="Italy","Europe",
  C312="Switzerland","Europe",
  C312="Spain","Europe",
  C312="Netherlands","Europe",
  C312="Sweden","Europe",
  C312="Norway","Europe",
  C312="Finland","Europe",
  C312="Denmark","Europe",
  C312="Russia","Europe",
  C312="China","Asia",
  C312="Japan","Asia",
  C312="Taiwan, Province of China","Asia",
  C312="Hong Kong","Asia",
  C312="South Korea","Asia",
  C312="India","Asia",
  C312="Singapore","Asia",
  C312="Thailand","Asia",
  C312="Indonesia","Asia",
  C312="Malaysia","Asia",
  TRUE,"Other"
)</f>
        <v>Asia</v>
      </c>
      <c r="W312" s="195" t="str">
        <f>_xlfn.XLOOKUP(Table2[[#This Row],[Column3]],Sheet1!G:G,Sheet1!H:H)</f>
        <v>Technology</v>
      </c>
      <c r="X312" s="195"/>
      <c r="Y312" s="195"/>
    </row>
    <row r="313" spans="1:25">
      <c r="A313" s="194" t="s">
        <v>711</v>
      </c>
      <c r="B313" s="68">
        <v>347</v>
      </c>
      <c r="C313" s="68" t="s">
        <v>207</v>
      </c>
      <c r="D313" s="77" t="s">
        <v>4459</v>
      </c>
      <c r="E313" s="75"/>
      <c r="H313" s="75"/>
      <c r="K313" s="75"/>
      <c r="M313" s="76"/>
      <c r="N313" s="76"/>
      <c r="P313" s="75"/>
      <c r="U313" s="75" t="s">
        <v>1</v>
      </c>
      <c r="V313" s="195" t="str" cm="1">
        <f t="array" ref="V313">_xlfn.IFS(
  C313="United States","North America",
  C313="Canada","North America",
  C313="Mexico","North America",
  C313="Bermuda","North America",
  C313="United Kingdom","Europe",
  C313="Germany","Europe",
  C313="France","Europe",
  C313="Italy","Europe",
  C313="Switzerland","Europe",
  C313="Spain","Europe",
  C313="Netherlands","Europe",
  C313="Sweden","Europe",
  C313="Norway","Europe",
  C313="Finland","Europe",
  C313="Denmark","Europe",
  C313="Russia","Europe",
  C313="China","Asia",
  C313="Japan","Asia",
  C313="Taiwan, Province of China","Asia",
  C313="Hong Kong","Asia",
  C313="South Korea","Asia",
  C313="India","Asia",
  C313="Singapore","Asia",
  C313="Thailand","Asia",
  C313="Indonesia","Asia",
  C313="Malaysia","Asia",
  TRUE,"Other"
)</f>
        <v>Asia</v>
      </c>
      <c r="W313" s="195" t="str">
        <f>_xlfn.XLOOKUP(Table2[[#This Row],[Column3]],Sheet1!G:G,Sheet1!H:H)</f>
        <v>Industrial goods</v>
      </c>
      <c r="X313" s="195"/>
      <c r="Y313" s="195"/>
    </row>
    <row r="314" spans="1:25" ht="16">
      <c r="A314" s="194" t="s">
        <v>1279</v>
      </c>
      <c r="B314" s="68">
        <v>180</v>
      </c>
      <c r="C314" s="68" t="s">
        <v>207</v>
      </c>
      <c r="D314" s="77" t="s">
        <v>4465</v>
      </c>
      <c r="E314" s="75"/>
      <c r="H314" s="75"/>
      <c r="K314" s="75" t="s">
        <v>1957</v>
      </c>
      <c r="L314" s="68" t="s">
        <v>4223</v>
      </c>
      <c r="M314" s="76">
        <v>2030</v>
      </c>
      <c r="N314" s="76">
        <v>2021</v>
      </c>
      <c r="O314" s="79" t="s">
        <v>4170</v>
      </c>
      <c r="P314" s="75" t="s">
        <v>4217</v>
      </c>
      <c r="Q314" s="68" t="s">
        <v>4289</v>
      </c>
      <c r="R314" s="68">
        <v>2050</v>
      </c>
      <c r="S314" s="68">
        <v>2021</v>
      </c>
      <c r="T314" s="83" t="s">
        <v>4170</v>
      </c>
      <c r="U314" s="75" t="s">
        <v>361</v>
      </c>
      <c r="V314" s="195" t="str" cm="1">
        <f t="array" ref="V314">_xlfn.IFS(
  C314="United States","North America",
  C314="Canada","North America",
  C314="Mexico","North America",
  C314="Bermuda","North America",
  C314="United Kingdom","Europe",
  C314="Germany","Europe",
  C314="France","Europe",
  C314="Italy","Europe",
  C314="Switzerland","Europe",
  C314="Spain","Europe",
  C314="Netherlands","Europe",
  C314="Sweden","Europe",
  C314="Norway","Europe",
  C314="Finland","Europe",
  C314="Denmark","Europe",
  C314="Russia","Europe",
  C314="China","Asia",
  C314="Japan","Asia",
  C314="Taiwan, Province of China","Asia",
  C314="Hong Kong","Asia",
  C314="South Korea","Asia",
  C314="India","Asia",
  C314="Singapore","Asia",
  C314="Thailand","Asia",
  C314="Indonesia","Asia",
  C314="Malaysia","Asia",
  TRUE,"Other"
)</f>
        <v>Asia</v>
      </c>
      <c r="W314" s="195" t="str">
        <f>_xlfn.XLOOKUP(Table2[[#This Row],[Column3]],Sheet1!G:G,Sheet1!H:H)</f>
        <v>Financial services</v>
      </c>
      <c r="X314" s="195"/>
      <c r="Y314" s="195"/>
    </row>
    <row r="315" spans="1:25" ht="16">
      <c r="A315" s="194" t="s">
        <v>1303</v>
      </c>
      <c r="B315" s="68">
        <v>114</v>
      </c>
      <c r="C315" s="68" t="s">
        <v>207</v>
      </c>
      <c r="D315" s="77" t="s">
        <v>4459</v>
      </c>
      <c r="E315" s="75"/>
      <c r="H315" s="75"/>
      <c r="K315" s="75" t="s">
        <v>1957</v>
      </c>
      <c r="L315" s="68" t="s">
        <v>4288</v>
      </c>
      <c r="M315" s="76">
        <v>2020</v>
      </c>
      <c r="N315" s="76">
        <v>2020</v>
      </c>
      <c r="O315" s="79" t="s">
        <v>4170</v>
      </c>
      <c r="P315" s="75" t="s">
        <v>1957</v>
      </c>
      <c r="Q315" s="68" t="s">
        <v>4287</v>
      </c>
      <c r="R315" s="68">
        <v>2050</v>
      </c>
      <c r="S315" s="68">
        <v>2020</v>
      </c>
      <c r="T315" s="83" t="s">
        <v>4170</v>
      </c>
      <c r="U315" s="75" t="s">
        <v>361</v>
      </c>
      <c r="V315" s="195" t="str" cm="1">
        <f t="array" ref="V315">_xlfn.IFS(
  C315="United States","North America",
  C315="Canada","North America",
  C315="Mexico","North America",
  C315="Bermuda","North America",
  C315="United Kingdom","Europe",
  C315="Germany","Europe",
  C315="France","Europe",
  C315="Italy","Europe",
  C315="Switzerland","Europe",
  C315="Spain","Europe",
  C315="Netherlands","Europe",
  C315="Sweden","Europe",
  C315="Norway","Europe",
  C315="Finland","Europe",
  C315="Denmark","Europe",
  C315="Russia","Europe",
  C315="China","Asia",
  C315="Japan","Asia",
  C315="Taiwan, Province of China","Asia",
  C315="Hong Kong","Asia",
  C315="South Korea","Asia",
  C315="India","Asia",
  C315="Singapore","Asia",
  C315="Thailand","Asia",
  C315="Indonesia","Asia",
  C315="Malaysia","Asia",
  TRUE,"Other"
)</f>
        <v>Asia</v>
      </c>
      <c r="W315" s="195" t="str">
        <f>_xlfn.XLOOKUP(Table2[[#This Row],[Column3]],Sheet1!G:G,Sheet1!H:H)</f>
        <v>Industrial goods</v>
      </c>
      <c r="X315" s="195"/>
      <c r="Y315" s="195"/>
    </row>
    <row r="316" spans="1:25" ht="16">
      <c r="A316" s="194" t="s">
        <v>660</v>
      </c>
      <c r="B316" s="68">
        <v>406</v>
      </c>
      <c r="C316" s="68" t="s">
        <v>207</v>
      </c>
      <c r="D316" s="77" t="s">
        <v>4455</v>
      </c>
      <c r="E316" s="75"/>
      <c r="H316" s="75"/>
      <c r="K316" s="75" t="s">
        <v>1957</v>
      </c>
      <c r="L316" s="68" t="s">
        <v>4286</v>
      </c>
      <c r="M316" s="76">
        <v>2050</v>
      </c>
      <c r="N316" s="76">
        <v>2021</v>
      </c>
      <c r="O316" s="78" t="s">
        <v>4170</v>
      </c>
      <c r="P316" s="75"/>
      <c r="U316" s="75" t="s">
        <v>1</v>
      </c>
      <c r="V316" s="195" t="str" cm="1">
        <f t="array" ref="V316">_xlfn.IFS(
  C316="United States","North America",
  C316="Canada","North America",
  C316="Mexico","North America",
  C316="Bermuda","North America",
  C316="United Kingdom","Europe",
  C316="Germany","Europe",
  C316="France","Europe",
  C316="Italy","Europe",
  C316="Switzerland","Europe",
  C316="Spain","Europe",
  C316="Netherlands","Europe",
  C316="Sweden","Europe",
  C316="Norway","Europe",
  C316="Finland","Europe",
  C316="Denmark","Europe",
  C316="Russia","Europe",
  C316="China","Asia",
  C316="Japan","Asia",
  C316="Taiwan, Province of China","Asia",
  C316="Hong Kong","Asia",
  C316="South Korea","Asia",
  C316="India","Asia",
  C316="Singapore","Asia",
  C316="Thailand","Asia",
  C316="Indonesia","Asia",
  C316="Malaysia","Asia",
  TRUE,"Other"
)</f>
        <v>Asia</v>
      </c>
      <c r="W316" s="195" t="str">
        <f>_xlfn.XLOOKUP(Table2[[#This Row],[Column3]],Sheet1!G:G,Sheet1!H:H)</f>
        <v>Food, beverages and agriculture</v>
      </c>
      <c r="X316" s="195"/>
      <c r="Y316" s="195"/>
    </row>
    <row r="317" spans="1:25">
      <c r="A317" s="194" t="s">
        <v>150</v>
      </c>
      <c r="B317" s="68">
        <v>463</v>
      </c>
      <c r="C317" s="68" t="s">
        <v>82</v>
      </c>
      <c r="D317" s="77" t="s">
        <v>4465</v>
      </c>
      <c r="E317" s="75"/>
      <c r="H317" s="75" t="s">
        <v>4183</v>
      </c>
      <c r="I317" s="68">
        <v>2025</v>
      </c>
      <c r="J317" s="68">
        <v>2020</v>
      </c>
      <c r="K317" s="75"/>
      <c r="M317" s="76"/>
      <c r="N317" s="76"/>
      <c r="P317" s="75"/>
      <c r="U317" s="75" t="s">
        <v>361</v>
      </c>
      <c r="V317" s="195" t="str" cm="1">
        <f t="array" ref="V317">_xlfn.IFS(
  C317="United States","North America",
  C317="Canada","North America",
  C317="Mexico","North America",
  C317="Bermuda","North America",
  C317="United Kingdom","Europe",
  C317="Germany","Europe",
  C317="France","Europe",
  C317="Italy","Europe",
  C317="Switzerland","Europe",
  C317="Spain","Europe",
  C317="Netherlands","Europe",
  C317="Sweden","Europe",
  C317="Norway","Europe",
  C317="Finland","Europe",
  C317="Denmark","Europe",
  C317="Russia","Europe",
  C317="China","Asia",
  C317="Japan","Asia",
  C317="Taiwan, Province of China","Asia",
  C317="Hong Kong","Asia",
  C317="South Korea","Asia",
  C317="India","Asia",
  C317="Singapore","Asia",
  C317="Thailand","Asia",
  C317="Indonesia","Asia",
  C317="Malaysia","Asia",
  TRUE,"Other"
)</f>
        <v>North America</v>
      </c>
      <c r="W317" s="195" t="str">
        <f>_xlfn.XLOOKUP(Table2[[#This Row],[Column3]],Sheet1!G:G,Sheet1!H:H)</f>
        <v>Financial services</v>
      </c>
      <c r="X317" s="195"/>
      <c r="Y317" s="195"/>
    </row>
    <row r="318" spans="1:25" ht="16">
      <c r="A318" s="194" t="s">
        <v>1106</v>
      </c>
      <c r="B318" s="68">
        <v>204</v>
      </c>
      <c r="C318" s="68" t="s">
        <v>82</v>
      </c>
      <c r="D318" s="77" t="s">
        <v>4465</v>
      </c>
      <c r="E318" s="75" t="s">
        <v>4174</v>
      </c>
      <c r="F318" s="68">
        <v>2022</v>
      </c>
      <c r="G318" s="68">
        <v>2017</v>
      </c>
      <c r="H318" s="75"/>
      <c r="K318" s="75" t="s">
        <v>1957</v>
      </c>
      <c r="L318" s="68" t="s">
        <v>4285</v>
      </c>
      <c r="M318" s="76">
        <v>2022</v>
      </c>
      <c r="N318" s="76">
        <v>2017</v>
      </c>
      <c r="O318" s="80" t="s">
        <v>4170</v>
      </c>
      <c r="P318" s="75" t="s">
        <v>4217</v>
      </c>
      <c r="Q318" s="68" t="s">
        <v>4284</v>
      </c>
      <c r="R318" s="68">
        <v>2050</v>
      </c>
      <c r="S318" s="68">
        <v>2020</v>
      </c>
      <c r="T318" s="78" t="s">
        <v>4170</v>
      </c>
      <c r="U318" s="75" t="s">
        <v>361</v>
      </c>
      <c r="V318" s="195" t="str" cm="1">
        <f t="array" ref="V318">_xlfn.IFS(
  C318="United States","North America",
  C318="Canada","North America",
  C318="Mexico","North America",
  C318="Bermuda","North America",
  C318="United Kingdom","Europe",
  C318="Germany","Europe",
  C318="France","Europe",
  C318="Italy","Europe",
  C318="Switzerland","Europe",
  C318="Spain","Europe",
  C318="Netherlands","Europe",
  C318="Sweden","Europe",
  C318="Norway","Europe",
  C318="Finland","Europe",
  C318="Denmark","Europe",
  C318="Russia","Europe",
  C318="China","Asia",
  C318="Japan","Asia",
  C318="Taiwan, Province of China","Asia",
  C318="Hong Kong","Asia",
  C318="South Korea","Asia",
  C318="India","Asia",
  C318="Singapore","Asia",
  C318="Thailand","Asia",
  C318="Indonesia","Asia",
  C318="Malaysia","Asia",
  TRUE,"Other"
)</f>
        <v>North America</v>
      </c>
      <c r="W318" s="195" t="str">
        <f>_xlfn.XLOOKUP(Table2[[#This Row],[Column3]],Sheet1!G:G,Sheet1!H:H)</f>
        <v>Financial services</v>
      </c>
      <c r="X318" s="195"/>
      <c r="Y318" s="195"/>
    </row>
    <row r="319" spans="1:25">
      <c r="A319" s="194" t="s">
        <v>1098</v>
      </c>
      <c r="B319" s="68">
        <v>245</v>
      </c>
      <c r="C319" s="68" t="s">
        <v>207</v>
      </c>
      <c r="D319" s="77" t="s">
        <v>4465</v>
      </c>
      <c r="E319" s="75"/>
      <c r="H319" s="75" t="s">
        <v>1957</v>
      </c>
      <c r="J319" s="68">
        <v>2016</v>
      </c>
      <c r="K319" s="75"/>
      <c r="M319" s="76"/>
      <c r="N319" s="76"/>
      <c r="P319" s="75" t="s">
        <v>4172</v>
      </c>
      <c r="Q319" s="68" t="s">
        <v>4283</v>
      </c>
      <c r="R319" s="68">
        <v>2050</v>
      </c>
      <c r="S319" s="68">
        <v>2021</v>
      </c>
      <c r="T319" s="79" t="s">
        <v>4170</v>
      </c>
      <c r="U319" s="75" t="s">
        <v>361</v>
      </c>
      <c r="V319" s="195" t="str" cm="1">
        <f t="array" ref="V319">_xlfn.IFS(
  C319="United States","North America",
  C319="Canada","North America",
  C319="Mexico","North America",
  C319="Bermuda","North America",
  C319="United Kingdom","Europe",
  C319="Germany","Europe",
  C319="France","Europe",
  C319="Italy","Europe",
  C319="Switzerland","Europe",
  C319="Spain","Europe",
  C319="Netherlands","Europe",
  C319="Sweden","Europe",
  C319="Norway","Europe",
  C319="Finland","Europe",
  C319="Denmark","Europe",
  C319="Russia","Europe",
  C319="China","Asia",
  C319="Japan","Asia",
  C319="Taiwan, Province of China","Asia",
  C319="Hong Kong","Asia",
  C319="South Korea","Asia",
  C319="India","Asia",
  C319="Singapore","Asia",
  C319="Thailand","Asia",
  C319="Indonesia","Asia",
  C319="Malaysia","Asia",
  TRUE,"Other"
)</f>
        <v>Asia</v>
      </c>
      <c r="W319" s="195" t="str">
        <f>_xlfn.XLOOKUP(Table2[[#This Row],[Column3]],Sheet1!G:G,Sheet1!H:H)</f>
        <v>Financial services</v>
      </c>
      <c r="X319" s="195"/>
      <c r="Y319" s="195"/>
    </row>
    <row r="320" spans="1:25" ht="16">
      <c r="A320" s="194" t="s">
        <v>1351</v>
      </c>
      <c r="B320" s="68">
        <v>117</v>
      </c>
      <c r="C320" s="68" t="s">
        <v>146</v>
      </c>
      <c r="D320" s="77" t="s">
        <v>4465</v>
      </c>
      <c r="E320" s="75"/>
      <c r="H320" s="75"/>
      <c r="K320" s="75" t="s">
        <v>1957</v>
      </c>
      <c r="L320" s="68" t="s">
        <v>4282</v>
      </c>
      <c r="M320" s="76">
        <v>2015</v>
      </c>
      <c r="N320" s="76">
        <v>2015</v>
      </c>
      <c r="O320" s="78" t="s">
        <v>4170</v>
      </c>
      <c r="P320" s="75" t="s">
        <v>4217</v>
      </c>
      <c r="Q320" s="68" t="s">
        <v>4281</v>
      </c>
      <c r="R320" s="68">
        <v>2050</v>
      </c>
      <c r="S320" s="68">
        <v>2020</v>
      </c>
      <c r="T320" s="82" t="s">
        <v>4170</v>
      </c>
      <c r="U320" s="75" t="s">
        <v>361</v>
      </c>
      <c r="V320" s="195" t="str" cm="1">
        <f t="array" ref="V320">_xlfn.IFS(
  C320="United States","North America",
  C320="Canada","North America",
  C320="Mexico","North America",
  C320="Bermuda","North America",
  C320="United Kingdom","Europe",
  C320="Germany","Europe",
  C320="France","Europe",
  C320="Italy","Europe",
  C320="Switzerland","Europe",
  C320="Spain","Europe",
  C320="Netherlands","Europe",
  C320="Sweden","Europe",
  C320="Norway","Europe",
  C320="Finland","Europe",
  C320="Denmark","Europe",
  C320="Russia","Europe",
  C320="China","Asia",
  C320="Japan","Asia",
  C320="Taiwan, Province of China","Asia",
  C320="Hong Kong","Asia",
  C320="South Korea","Asia",
  C320="India","Asia",
  C320="Singapore","Asia",
  C320="Thailand","Asia",
  C320="Indonesia","Asia",
  C320="Malaysia","Asia",
  TRUE,"Other"
)</f>
        <v>Europe</v>
      </c>
      <c r="W320" s="195" t="str">
        <f>_xlfn.XLOOKUP(Table2[[#This Row],[Column3]],Sheet1!G:G,Sheet1!H:H)</f>
        <v>Financial services</v>
      </c>
      <c r="X320" s="195"/>
      <c r="Y320" s="195"/>
    </row>
    <row r="321" spans="1:25">
      <c r="A321" s="194" t="s">
        <v>929</v>
      </c>
      <c r="B321" s="68">
        <v>280</v>
      </c>
      <c r="C321" s="68" t="s">
        <v>82</v>
      </c>
      <c r="D321" s="77" t="s">
        <v>186</v>
      </c>
      <c r="E321" s="75"/>
      <c r="H321" s="75"/>
      <c r="K321" s="75"/>
      <c r="M321" s="76"/>
      <c r="N321" s="76"/>
      <c r="P321" s="75"/>
      <c r="U321" s="75" t="s">
        <v>1</v>
      </c>
      <c r="V321" s="195" t="str" cm="1">
        <f t="array" ref="V321">_xlfn.IFS(
  C321="United States","North America",
  C321="Canada","North America",
  C321="Mexico","North America",
  C321="Bermuda","North America",
  C321="United Kingdom","Europe",
  C321="Germany","Europe",
  C321="France","Europe",
  C321="Italy","Europe",
  C321="Switzerland","Europe",
  C321="Spain","Europe",
  C321="Netherlands","Europe",
  C321="Sweden","Europe",
  C321="Norway","Europe",
  C321="Finland","Europe",
  C321="Denmark","Europe",
  C321="Russia","Europe",
  C321="China","Asia",
  C321="Japan","Asia",
  C321="Taiwan, Province of China","Asia",
  C321="Hong Kong","Asia",
  C321="South Korea","Asia",
  C321="India","Asia",
  C321="Singapore","Asia",
  C321="Thailand","Asia",
  C321="Indonesia","Asia",
  C321="Malaysia","Asia",
  TRUE,"Other"
)</f>
        <v>North America</v>
      </c>
      <c r="W321" s="195" t="str">
        <f>_xlfn.XLOOKUP(Table2[[#This Row],[Column3]],Sheet1!G:G,Sheet1!H:H)</f>
        <v>Technology</v>
      </c>
      <c r="X321" s="195"/>
      <c r="Y321" s="195"/>
    </row>
    <row r="322" spans="1:25">
      <c r="A322" s="194" t="s">
        <v>200</v>
      </c>
      <c r="B322" s="68">
        <v>432</v>
      </c>
      <c r="C322" s="68" t="s">
        <v>207</v>
      </c>
      <c r="D322" s="77" t="s">
        <v>4455</v>
      </c>
      <c r="E322" s="75" t="s">
        <v>4174</v>
      </c>
      <c r="F322" s="68">
        <v>2050</v>
      </c>
      <c r="G322" s="68">
        <v>2021</v>
      </c>
      <c r="H322" s="75" t="s">
        <v>4183</v>
      </c>
      <c r="I322" s="68">
        <v>2030</v>
      </c>
      <c r="J322" s="68">
        <v>2021</v>
      </c>
      <c r="K322" s="75" t="s">
        <v>1957</v>
      </c>
      <c r="L322" s="68" t="s">
        <v>4280</v>
      </c>
      <c r="M322" s="76">
        <v>2050</v>
      </c>
      <c r="N322" s="76">
        <v>2017</v>
      </c>
      <c r="O322" s="79" t="s">
        <v>4170</v>
      </c>
      <c r="P322" s="75"/>
      <c r="U322" s="75" t="s">
        <v>361</v>
      </c>
      <c r="V322" s="195" t="str" cm="1">
        <f t="array" ref="V322">_xlfn.IFS(
  C322="United States","North America",
  C322="Canada","North America",
  C322="Mexico","North America",
  C322="Bermuda","North America",
  C322="United Kingdom","Europe",
  C322="Germany","Europe",
  C322="France","Europe",
  C322="Italy","Europe",
  C322="Switzerland","Europe",
  C322="Spain","Europe",
  C322="Netherlands","Europe",
  C322="Sweden","Europe",
  C322="Norway","Europe",
  C322="Finland","Europe",
  C322="Denmark","Europe",
  C322="Russia","Europe",
  C322="China","Asia",
  C322="Japan","Asia",
  C322="Taiwan, Province of China","Asia",
  C322="Hong Kong","Asia",
  C322="South Korea","Asia",
  C322="India","Asia",
  C322="Singapore","Asia",
  C322="Thailand","Asia",
  C322="Indonesia","Asia",
  C322="Malaysia","Asia",
  TRUE,"Other"
)</f>
        <v>Asia</v>
      </c>
      <c r="W322" s="195" t="str">
        <f>_xlfn.XLOOKUP(Table2[[#This Row],[Column3]],Sheet1!G:G,Sheet1!H:H)</f>
        <v>Food, beverages and agriculture</v>
      </c>
      <c r="X322" s="195"/>
      <c r="Y322" s="195"/>
    </row>
    <row r="323" spans="1:25" ht="16">
      <c r="A323" s="194" t="s">
        <v>1636</v>
      </c>
      <c r="B323" s="68">
        <v>79</v>
      </c>
      <c r="C323" s="68" t="s">
        <v>287</v>
      </c>
      <c r="D323" s="77" t="s">
        <v>4190</v>
      </c>
      <c r="E323" s="75" t="s">
        <v>4174</v>
      </c>
      <c r="F323" s="68">
        <v>2025</v>
      </c>
      <c r="G323" s="68">
        <v>2014</v>
      </c>
      <c r="H323" s="75" t="s">
        <v>4183</v>
      </c>
      <c r="I323" s="68">
        <v>2025</v>
      </c>
      <c r="J323" s="68">
        <v>2020</v>
      </c>
      <c r="K323" s="75"/>
      <c r="M323" s="76"/>
      <c r="N323" s="76"/>
      <c r="P323" s="75" t="s">
        <v>4172</v>
      </c>
      <c r="Q323" s="68" t="s">
        <v>4279</v>
      </c>
      <c r="R323" s="81">
        <v>2050</v>
      </c>
      <c r="S323" s="81">
        <v>2019</v>
      </c>
      <c r="T323" s="78" t="s">
        <v>4170</v>
      </c>
      <c r="U323" s="75" t="s">
        <v>361</v>
      </c>
      <c r="V323" s="195" t="str" cm="1">
        <f t="array" ref="V323">_xlfn.IFS(
  C323="United States","North America",
  C323="Canada","North America",
  C323="Mexico","North America",
  C323="Bermuda","North America",
  C323="United Kingdom","Europe",
  C323="Germany","Europe",
  C323="France","Europe",
  C323="Italy","Europe",
  C323="Switzerland","Europe",
  C323="Spain","Europe",
  C323="Netherlands","Europe",
  C323="Sweden","Europe",
  C323="Norway","Europe",
  C323="Finland","Europe",
  C323="Denmark","Europe",
  C323="Russia","Europe",
  C323="China","Asia",
  C323="Japan","Asia",
  C323="Taiwan, Province of China","Asia",
  C323="Hong Kong","Asia",
  C323="South Korea","Asia",
  C323="India","Asia",
  C323="Singapore","Asia",
  C323="Thailand","Asia",
  C323="Indonesia","Asia",
  C323="Malaysia","Asia",
  TRUE,"Other"
)</f>
        <v>Europe</v>
      </c>
      <c r="W323" s="195" t="str">
        <f>_xlfn.XLOOKUP(Table2[[#This Row],[Column3]],Sheet1!G:G,Sheet1!H:H)</f>
        <v>Telecommunications and media</v>
      </c>
      <c r="X323" s="195"/>
      <c r="Y323" s="195"/>
    </row>
    <row r="324" spans="1:25" ht="16">
      <c r="A324" s="194" t="s">
        <v>4278</v>
      </c>
      <c r="B324" s="68">
        <v>484</v>
      </c>
      <c r="C324" s="68" t="s">
        <v>82</v>
      </c>
      <c r="D324" s="77" t="s">
        <v>4465</v>
      </c>
      <c r="E324" s="75"/>
      <c r="H324" s="75" t="s">
        <v>4183</v>
      </c>
      <c r="I324" s="68">
        <v>2030</v>
      </c>
      <c r="J324" s="68">
        <v>2021</v>
      </c>
      <c r="K324" s="75"/>
      <c r="M324" s="76"/>
      <c r="N324" s="76"/>
      <c r="P324" s="75" t="s">
        <v>4172</v>
      </c>
      <c r="Q324" s="68" t="s">
        <v>4277</v>
      </c>
      <c r="R324" s="68">
        <v>2021</v>
      </c>
      <c r="S324" s="68">
        <v>2021</v>
      </c>
      <c r="T324" s="78" t="s">
        <v>4170</v>
      </c>
      <c r="U324" s="75" t="s">
        <v>361</v>
      </c>
      <c r="V324" s="195" t="str" cm="1">
        <f t="array" ref="V324">_xlfn.IFS(
  C324="United States","North America",
  C324="Canada","North America",
  C324="Mexico","North America",
  C324="Bermuda","North America",
  C324="United Kingdom","Europe",
  C324="Germany","Europe",
  C324="France","Europe",
  C324="Italy","Europe",
  C324="Switzerland","Europe",
  C324="Spain","Europe",
  C324="Netherlands","Europe",
  C324="Sweden","Europe",
  C324="Norway","Europe",
  C324="Finland","Europe",
  C324="Denmark","Europe",
  C324="Russia","Europe",
  C324="China","Asia",
  C324="Japan","Asia",
  C324="Taiwan, Province of China","Asia",
  C324="Hong Kong","Asia",
  C324="South Korea","Asia",
  C324="India","Asia",
  C324="Singapore","Asia",
  C324="Thailand","Asia",
  C324="Indonesia","Asia",
  C324="Malaysia","Asia",
  TRUE,"Other"
)</f>
        <v>North America</v>
      </c>
      <c r="W324" s="195" t="str">
        <f>_xlfn.XLOOKUP(Table2[[#This Row],[Column3]],Sheet1!G:G,Sheet1!H:H)</f>
        <v>Financial services</v>
      </c>
      <c r="X324" s="195"/>
      <c r="Y324" s="195"/>
    </row>
    <row r="325" spans="1:25">
      <c r="A325" s="194" t="s">
        <v>4276</v>
      </c>
      <c r="B325" s="68">
        <v>415</v>
      </c>
      <c r="C325" s="68" t="s">
        <v>73</v>
      </c>
      <c r="D325" s="77" t="s">
        <v>4455</v>
      </c>
      <c r="E325" s="75"/>
      <c r="H325" s="75"/>
      <c r="K325" s="75"/>
      <c r="M325" s="76"/>
      <c r="N325" s="76"/>
      <c r="P325" s="75"/>
      <c r="U325" s="75" t="s">
        <v>1</v>
      </c>
      <c r="V325" s="195" t="str" cm="1">
        <f t="array" ref="V325">_xlfn.IFS(
  C325="United States","North America",
  C325="Canada","North America",
  C325="Mexico","North America",
  C325="Bermuda","North America",
  C325="United Kingdom","Europe",
  C325="Germany","Europe",
  C325="France","Europe",
  C325="Italy","Europe",
  C325="Switzerland","Europe",
  C325="Spain","Europe",
  C325="Netherlands","Europe",
  C325="Sweden","Europe",
  C325="Norway","Europe",
  C325="Finland","Europe",
  C325="Denmark","Europe",
  C325="Russia","Europe",
  C325="China","Asia",
  C325="Japan","Asia",
  C325="Taiwan, Province of China","Asia",
  C325="Hong Kong","Asia",
  C325="South Korea","Asia",
  C325="India","Asia",
  C325="Singapore","Asia",
  C325="Thailand","Asia",
  C325="Indonesia","Asia",
  C325="Malaysia","Asia",
  TRUE,"Other"
)</f>
        <v>Asia</v>
      </c>
      <c r="W325" s="195" t="str">
        <f>_xlfn.XLOOKUP(Table2[[#This Row],[Column3]],Sheet1!G:G,Sheet1!H:H)</f>
        <v>Food, beverages and agriculture</v>
      </c>
      <c r="X325" s="195"/>
      <c r="Y325" s="195"/>
    </row>
    <row r="326" spans="1:25">
      <c r="A326" s="194" t="s">
        <v>4275</v>
      </c>
      <c r="B326" s="68">
        <v>390</v>
      </c>
      <c r="C326" s="68" t="s">
        <v>73</v>
      </c>
      <c r="D326" s="77" t="s">
        <v>4465</v>
      </c>
      <c r="E326" s="75"/>
      <c r="H326" s="75"/>
      <c r="K326" s="75"/>
      <c r="M326" s="76"/>
      <c r="N326" s="76"/>
      <c r="P326" s="75"/>
      <c r="U326" s="75" t="s">
        <v>1</v>
      </c>
      <c r="V326" s="195" t="str" cm="1">
        <f t="array" ref="V326">_xlfn.IFS(
  C326="United States","North America",
  C326="Canada","North America",
  C326="Mexico","North America",
  C326="Bermuda","North America",
  C326="United Kingdom","Europe",
  C326="Germany","Europe",
  C326="France","Europe",
  C326="Italy","Europe",
  C326="Switzerland","Europe",
  C326="Spain","Europe",
  C326="Netherlands","Europe",
  C326="Sweden","Europe",
  C326="Norway","Europe",
  C326="Finland","Europe",
  C326="Denmark","Europe",
  C326="Russia","Europe",
  C326="China","Asia",
  C326="Japan","Asia",
  C326="Taiwan, Province of China","Asia",
  C326="Hong Kong","Asia",
  C326="South Korea","Asia",
  C326="India","Asia",
  C326="Singapore","Asia",
  C326="Thailand","Asia",
  C326="Indonesia","Asia",
  C326="Malaysia","Asia",
  TRUE,"Other"
)</f>
        <v>Asia</v>
      </c>
      <c r="W326" s="195" t="str">
        <f>_xlfn.XLOOKUP(Table2[[#This Row],[Column3]],Sheet1!G:G,Sheet1!H:H)</f>
        <v>Financial services</v>
      </c>
      <c r="X326" s="195"/>
      <c r="Y326" s="195"/>
    </row>
    <row r="327" spans="1:25">
      <c r="A327" s="194" t="s">
        <v>938</v>
      </c>
      <c r="B327" s="68">
        <v>242</v>
      </c>
      <c r="C327" s="68" t="s">
        <v>82</v>
      </c>
      <c r="D327" s="77" t="s">
        <v>8318</v>
      </c>
      <c r="E327" s="75"/>
      <c r="H327" s="75"/>
      <c r="K327" s="75"/>
      <c r="M327" s="76"/>
      <c r="N327" s="76"/>
      <c r="P327" s="75"/>
      <c r="U327" s="75" t="s">
        <v>1</v>
      </c>
      <c r="V327" s="195" t="str" cm="1">
        <f t="array" ref="V327">_xlfn.IFS(
  C327="United States","North America",
  C327="Canada","North America",
  C327="Mexico","North America",
  C327="Bermuda","North America",
  C327="United Kingdom","Europe",
  C327="Germany","Europe",
  C327="France","Europe",
  C327="Italy","Europe",
  C327="Switzerland","Europe",
  C327="Spain","Europe",
  C327="Netherlands","Europe",
  C327="Sweden","Europe",
  C327="Norway","Europe",
  C327="Finland","Europe",
  C327="Denmark","Europe",
  C327="Russia","Europe",
  C327="China","Asia",
  C327="Japan","Asia",
  C327="Taiwan, Province of China","Asia",
  C327="Hong Kong","Asia",
  C327="South Korea","Asia",
  C327="India","Asia",
  C327="Singapore","Asia",
  C327="Thailand","Asia",
  C327="Indonesia","Asia",
  C327="Malaysia","Asia",
  TRUE,"Other"
)</f>
        <v>North America</v>
      </c>
      <c r="W327" s="195" t="str">
        <f>_xlfn.XLOOKUP(Table2[[#This Row],[Column3]],Sheet1!G:G,Sheet1!H:H)</f>
        <v>Retail</v>
      </c>
      <c r="X327" s="195"/>
      <c r="Y327" s="195"/>
    </row>
    <row r="328" spans="1:25">
      <c r="A328" s="194" t="s">
        <v>693</v>
      </c>
      <c r="B328" s="68">
        <v>321</v>
      </c>
      <c r="C328" s="68" t="s">
        <v>82</v>
      </c>
      <c r="D328" s="77" t="s">
        <v>4465</v>
      </c>
      <c r="E328" s="75" t="s">
        <v>4174</v>
      </c>
      <c r="F328" s="68">
        <v>2025</v>
      </c>
      <c r="G328" s="68">
        <v>2015</v>
      </c>
      <c r="H328" s="75" t="s">
        <v>4183</v>
      </c>
      <c r="I328" s="68">
        <v>2030</v>
      </c>
      <c r="J328" s="68">
        <v>2019</v>
      </c>
      <c r="K328" s="75"/>
      <c r="M328" s="76"/>
      <c r="N328" s="76"/>
      <c r="P328" s="75"/>
      <c r="U328" s="75" t="s">
        <v>361</v>
      </c>
      <c r="V328" s="195" t="str" cm="1">
        <f t="array" ref="V328">_xlfn.IFS(
  C328="United States","North America",
  C328="Canada","North America",
  C328="Mexico","North America",
  C328="Bermuda","North America",
  C328="United Kingdom","Europe",
  C328="Germany","Europe",
  C328="France","Europe",
  C328="Italy","Europe",
  C328="Switzerland","Europe",
  C328="Spain","Europe",
  C328="Netherlands","Europe",
  C328="Sweden","Europe",
  C328="Norway","Europe",
  C328="Finland","Europe",
  C328="Denmark","Europe",
  C328="Russia","Europe",
  C328="China","Asia",
  C328="Japan","Asia",
  C328="Taiwan, Province of China","Asia",
  C328="Hong Kong","Asia",
  C328="South Korea","Asia",
  C328="India","Asia",
  C328="Singapore","Asia",
  C328="Thailand","Asia",
  C328="Indonesia","Asia",
  C328="Malaysia","Asia",
  TRUE,"Other"
)</f>
        <v>North America</v>
      </c>
      <c r="W328" s="195" t="str">
        <f>_xlfn.XLOOKUP(Table2[[#This Row],[Column3]],Sheet1!G:G,Sheet1!H:H)</f>
        <v>Financial services</v>
      </c>
      <c r="X328" s="195"/>
      <c r="Y328" s="195"/>
    </row>
    <row r="329" spans="1:25" ht="16">
      <c r="A329" s="194" t="s">
        <v>1421</v>
      </c>
      <c r="B329" s="68">
        <v>111</v>
      </c>
      <c r="C329" s="68" t="s">
        <v>207</v>
      </c>
      <c r="D329" s="77" t="s">
        <v>4459</v>
      </c>
      <c r="E329" s="75"/>
      <c r="H329" s="75"/>
      <c r="K329" s="75" t="s">
        <v>1957</v>
      </c>
      <c r="L329" s="68" t="s">
        <v>4274</v>
      </c>
      <c r="M329" s="76">
        <v>2050</v>
      </c>
      <c r="N329" s="76">
        <v>2021</v>
      </c>
      <c r="O329" s="78" t="s">
        <v>4170</v>
      </c>
      <c r="P329" s="75"/>
      <c r="U329" s="75" t="s">
        <v>1</v>
      </c>
      <c r="V329" s="195" t="str" cm="1">
        <f t="array" ref="V329">_xlfn.IFS(
  C329="United States","North America",
  C329="Canada","North America",
  C329="Mexico","North America",
  C329="Bermuda","North America",
  C329="United Kingdom","Europe",
  C329="Germany","Europe",
  C329="France","Europe",
  C329="Italy","Europe",
  C329="Switzerland","Europe",
  C329="Spain","Europe",
  C329="Netherlands","Europe",
  C329="Sweden","Europe",
  C329="Norway","Europe",
  C329="Finland","Europe",
  C329="Denmark","Europe",
  C329="Russia","Europe",
  C329="China","Asia",
  C329="Japan","Asia",
  C329="Taiwan, Province of China","Asia",
  C329="Hong Kong","Asia",
  C329="South Korea","Asia",
  C329="India","Asia",
  C329="Singapore","Asia",
  C329="Thailand","Asia",
  C329="Indonesia","Asia",
  C329="Malaysia","Asia",
  TRUE,"Other"
)</f>
        <v>Asia</v>
      </c>
      <c r="W329" s="195" t="str">
        <f>_xlfn.XLOOKUP(Table2[[#This Row],[Column3]],Sheet1!G:G,Sheet1!H:H)</f>
        <v>Industrial goods</v>
      </c>
      <c r="X329" s="195"/>
      <c r="Y329" s="195"/>
    </row>
    <row r="330" spans="1:25">
      <c r="A330" s="194" t="s">
        <v>1207</v>
      </c>
      <c r="B330" s="68">
        <v>249</v>
      </c>
      <c r="C330" s="68" t="s">
        <v>207</v>
      </c>
      <c r="D330" s="77" t="s">
        <v>4190</v>
      </c>
      <c r="E330" s="75"/>
      <c r="H330" s="75"/>
      <c r="K330" s="75" t="s">
        <v>1957</v>
      </c>
      <c r="L330" s="68" t="s">
        <v>4273</v>
      </c>
      <c r="M330" s="76">
        <v>2050</v>
      </c>
      <c r="N330" s="76">
        <v>2021</v>
      </c>
      <c r="O330" s="79" t="s">
        <v>4170</v>
      </c>
      <c r="P330" s="75"/>
      <c r="U330" s="75" t="s">
        <v>1</v>
      </c>
      <c r="V330" s="195" t="str" cm="1">
        <f t="array" ref="V330">_xlfn.IFS(
  C330="United States","North America",
  C330="Canada","North America",
  C330="Mexico","North America",
  C330="Bermuda","North America",
  C330="United Kingdom","Europe",
  C330="Germany","Europe",
  C330="France","Europe",
  C330="Italy","Europe",
  C330="Switzerland","Europe",
  C330="Spain","Europe",
  C330="Netherlands","Europe",
  C330="Sweden","Europe",
  C330="Norway","Europe",
  C330="Finland","Europe",
  C330="Denmark","Europe",
  C330="Russia","Europe",
  C330="China","Asia",
  C330="Japan","Asia",
  C330="Taiwan, Province of China","Asia",
  C330="Hong Kong","Asia",
  C330="South Korea","Asia",
  C330="India","Asia",
  C330="Singapore","Asia",
  C330="Thailand","Asia",
  C330="Indonesia","Asia",
  C330="Malaysia","Asia",
  TRUE,"Other"
)</f>
        <v>Asia</v>
      </c>
      <c r="W330" s="195" t="str">
        <f>_xlfn.XLOOKUP(Table2[[#This Row],[Column3]],Sheet1!G:G,Sheet1!H:H)</f>
        <v>Telecommunications and media</v>
      </c>
      <c r="X330" s="195"/>
      <c r="Y330" s="195"/>
    </row>
    <row r="331" spans="1:25">
      <c r="A331" s="194" t="s">
        <v>2737</v>
      </c>
      <c r="B331" s="68">
        <v>55</v>
      </c>
      <c r="C331" s="68" t="s">
        <v>207</v>
      </c>
      <c r="D331" s="77" t="s">
        <v>4476</v>
      </c>
      <c r="E331" s="75"/>
      <c r="H331" s="75"/>
      <c r="K331" s="75"/>
      <c r="M331" s="76"/>
      <c r="N331" s="76"/>
      <c r="P331" s="75"/>
      <c r="U331" s="75" t="s">
        <v>1</v>
      </c>
      <c r="V331" s="195" t="str" cm="1">
        <f t="array" ref="V331">_xlfn.IFS(
  C331="United States","North America",
  C331="Canada","North America",
  C331="Mexico","North America",
  C331="Bermuda","North America",
  C331="United Kingdom","Europe",
  C331="Germany","Europe",
  C331="France","Europe",
  C331="Italy","Europe",
  C331="Switzerland","Europe",
  C331="Spain","Europe",
  C331="Netherlands","Europe",
  C331="Sweden","Europe",
  C331="Norway","Europe",
  C331="Finland","Europe",
  C331="Denmark","Europe",
  C331="Russia","Europe",
  C331="China","Asia",
  C331="Japan","Asia",
  C331="Taiwan, Province of China","Asia",
  C331="Hong Kong","Asia",
  C331="South Korea","Asia",
  C331="India","Asia",
  C331="Singapore","Asia",
  C331="Thailand","Asia",
  C331="Indonesia","Asia",
  C331="Malaysia","Asia",
  TRUE,"Other"
)</f>
        <v>Asia</v>
      </c>
      <c r="W331" s="195" t="str">
        <f>_xlfn.XLOOKUP(Table2[[#This Row],[Column3]],Sheet1!G:G,Sheet1!H:H)</f>
        <v>Automotive</v>
      </c>
      <c r="X331" s="195"/>
      <c r="Y331" s="195"/>
    </row>
    <row r="332" spans="1:25">
      <c r="A332" s="194" t="s">
        <v>1671</v>
      </c>
      <c r="B332" s="68">
        <v>116</v>
      </c>
      <c r="C332" s="68" t="s">
        <v>207</v>
      </c>
      <c r="D332" s="77" t="s">
        <v>186</v>
      </c>
      <c r="E332" s="75"/>
      <c r="H332" s="75" t="s">
        <v>4183</v>
      </c>
      <c r="I332" s="68">
        <v>2030</v>
      </c>
      <c r="J332" s="68">
        <v>2021</v>
      </c>
      <c r="K332" s="75" t="s">
        <v>4193</v>
      </c>
      <c r="L332" s="68" t="s">
        <v>4272</v>
      </c>
      <c r="M332" s="76">
        <v>2050</v>
      </c>
      <c r="N332" s="76">
        <v>2021</v>
      </c>
      <c r="O332" s="79" t="s">
        <v>4170</v>
      </c>
      <c r="P332" s="75"/>
      <c r="U332" s="75" t="s">
        <v>361</v>
      </c>
      <c r="V332" s="195" t="str" cm="1">
        <f t="array" ref="V332">_xlfn.IFS(
  C332="United States","North America",
  C332="Canada","North America",
  C332="Mexico","North America",
  C332="Bermuda","North America",
  C332="United Kingdom","Europe",
  C332="Germany","Europe",
  C332="France","Europe",
  C332="Italy","Europe",
  C332="Switzerland","Europe",
  C332="Spain","Europe",
  C332="Netherlands","Europe",
  C332="Sweden","Europe",
  C332="Norway","Europe",
  C332="Finland","Europe",
  C332="Denmark","Europe",
  C332="Russia","Europe",
  C332="China","Asia",
  C332="Japan","Asia",
  C332="Taiwan, Province of China","Asia",
  C332="Hong Kong","Asia",
  C332="South Korea","Asia",
  C332="India","Asia",
  C332="Singapore","Asia",
  C332="Thailand","Asia",
  C332="Indonesia","Asia",
  C332="Malaysia","Asia",
  TRUE,"Other"
)</f>
        <v>Asia</v>
      </c>
      <c r="W332" s="195" t="str">
        <f>_xlfn.XLOOKUP(Table2[[#This Row],[Column3]],Sheet1!G:G,Sheet1!H:H)</f>
        <v>Technology</v>
      </c>
      <c r="X332" s="195"/>
      <c r="Y332" s="195"/>
    </row>
    <row r="333" spans="1:25">
      <c r="A333" s="194" t="s">
        <v>222</v>
      </c>
      <c r="B333" s="68">
        <v>485</v>
      </c>
      <c r="C333" s="68" t="s">
        <v>228</v>
      </c>
      <c r="D333" s="77" t="s">
        <v>4260</v>
      </c>
      <c r="E333" s="75"/>
      <c r="H333" s="75" t="s">
        <v>4183</v>
      </c>
      <c r="I333" s="68">
        <v>2030</v>
      </c>
      <c r="J333" s="68">
        <v>2017</v>
      </c>
      <c r="K333" s="75"/>
      <c r="M333" s="76"/>
      <c r="N333" s="76"/>
      <c r="P333" s="75"/>
      <c r="U333" s="75" t="s">
        <v>361</v>
      </c>
      <c r="V333" s="195" t="str" cm="1">
        <f t="array" ref="V333">_xlfn.IFS(
  C333="United States","North America",
  C333="Canada","North America",
  C333="Mexico","North America",
  C333="Bermuda","North America",
  C333="United Kingdom","Europe",
  C333="Germany","Europe",
  C333="France","Europe",
  C333="Italy","Europe",
  C333="Switzerland","Europe",
  C333="Spain","Europe",
  C333="Netherlands","Europe",
  C333="Sweden","Europe",
  C333="Norway","Europe",
  C333="Finland","Europe",
  C333="Denmark","Europe",
  C333="Russia","Europe",
  C333="China","Asia",
  C333="Japan","Asia",
  C333="Taiwan, Province of China","Asia",
  C333="Hong Kong","Asia",
  C333="South Korea","Asia",
  C333="India","Asia",
  C333="Singapore","Asia",
  C333="Thailand","Asia",
  C333="Indonesia","Asia",
  C333="Malaysia","Asia",
  TRUE,"Other"
)</f>
        <v>Europe</v>
      </c>
      <c r="W333" s="195" t="str">
        <f>_xlfn.XLOOKUP(Table2[[#This Row],[Column3]],Sheet1!G:G,Sheet1!H:H)</f>
        <v>Aerospace and defense</v>
      </c>
      <c r="X333" s="195"/>
      <c r="Y333" s="195"/>
    </row>
    <row r="334" spans="1:25">
      <c r="A334" s="194" t="s">
        <v>411</v>
      </c>
      <c r="B334" s="68">
        <v>326</v>
      </c>
      <c r="C334" s="68" t="s">
        <v>82</v>
      </c>
      <c r="D334" s="77" t="s">
        <v>4465</v>
      </c>
      <c r="E334" s="75"/>
      <c r="H334" s="75"/>
      <c r="K334" s="75"/>
      <c r="M334" s="76"/>
      <c r="N334" s="76"/>
      <c r="P334" s="75"/>
      <c r="U334" s="75" t="s">
        <v>1</v>
      </c>
      <c r="V334" s="195" t="str" cm="1">
        <f t="array" ref="V334">_xlfn.IFS(
  C334="United States","North America",
  C334="Canada","North America",
  C334="Mexico","North America",
  C334="Bermuda","North America",
  C334="United Kingdom","Europe",
  C334="Germany","Europe",
  C334="France","Europe",
  C334="Italy","Europe",
  C334="Switzerland","Europe",
  C334="Spain","Europe",
  C334="Netherlands","Europe",
  C334="Sweden","Europe",
  C334="Norway","Europe",
  C334="Finland","Europe",
  C334="Denmark","Europe",
  C334="Russia","Europe",
  C334="China","Asia",
  C334="Japan","Asia",
  C334="Taiwan, Province of China","Asia",
  C334="Hong Kong","Asia",
  C334="South Korea","Asia",
  C334="India","Asia",
  C334="Singapore","Asia",
  C334="Thailand","Asia",
  C334="Indonesia","Asia",
  C334="Malaysia","Asia",
  TRUE,"Other"
)</f>
        <v>North America</v>
      </c>
      <c r="W334" s="195" t="str">
        <f>_xlfn.XLOOKUP(Table2[[#This Row],[Column3]],Sheet1!G:G,Sheet1!H:H)</f>
        <v>Financial services</v>
      </c>
      <c r="X334" s="195"/>
      <c r="Y334" s="195"/>
    </row>
    <row r="335" spans="1:25">
      <c r="A335" s="194" t="s">
        <v>349</v>
      </c>
      <c r="B335" s="68">
        <v>360</v>
      </c>
      <c r="C335" s="68" t="s">
        <v>82</v>
      </c>
      <c r="D335" s="77" t="s">
        <v>4201</v>
      </c>
      <c r="E335" s="75"/>
      <c r="H335" s="75"/>
      <c r="K335" s="75"/>
      <c r="M335" s="76"/>
      <c r="N335" s="76"/>
      <c r="P335" s="75"/>
      <c r="U335" s="75" t="s">
        <v>1</v>
      </c>
      <c r="V335" s="195" t="str" cm="1">
        <f t="array" ref="V335">_xlfn.IFS(
  C335="United States","North America",
  C335="Canada","North America",
  C335="Mexico","North America",
  C335="Bermuda","North America",
  C335="United Kingdom","Europe",
  C335="Germany","Europe",
  C335="France","Europe",
  C335="Italy","Europe",
  C335="Switzerland","Europe",
  C335="Spain","Europe",
  C335="Netherlands","Europe",
  C335="Sweden","Europe",
  C335="Norway","Europe",
  C335="Finland","Europe",
  C335="Denmark","Europe",
  C335="Russia","Europe",
  C335="China","Asia",
  C335="Japan","Asia",
  C335="Taiwan, Province of China","Asia",
  C335="Hong Kong","Asia",
  C335="South Korea","Asia",
  C335="India","Asia",
  C335="Singapore","Asia",
  C335="Thailand","Asia",
  C335="Indonesia","Asia",
  C335="Malaysia","Asia",
  TRUE,"Other"
)</f>
        <v>North America</v>
      </c>
      <c r="W335" s="195" t="str">
        <f>_xlfn.XLOOKUP(Table2[[#This Row],[Column3]],Sheet1!G:G,Sheet1!H:H)</f>
        <v>Health care and pharmaceuticals</v>
      </c>
      <c r="X335" s="195"/>
      <c r="Y335" s="195"/>
    </row>
    <row r="336" spans="1:25">
      <c r="A336" s="194" t="s">
        <v>1155</v>
      </c>
      <c r="B336" s="68">
        <v>218</v>
      </c>
      <c r="C336" s="68" t="s">
        <v>287</v>
      </c>
      <c r="D336" s="77" t="s">
        <v>3498</v>
      </c>
      <c r="E336" s="75" t="s">
        <v>4174</v>
      </c>
      <c r="F336" s="68">
        <v>2025</v>
      </c>
      <c r="G336" s="68">
        <v>2021</v>
      </c>
      <c r="H336" s="75" t="s">
        <v>4183</v>
      </c>
      <c r="I336" s="68">
        <v>2030</v>
      </c>
      <c r="J336" s="68">
        <v>2019</v>
      </c>
      <c r="K336" s="75" t="s">
        <v>1957</v>
      </c>
      <c r="L336" s="68" t="s">
        <v>4271</v>
      </c>
      <c r="M336" s="76">
        <v>2025</v>
      </c>
      <c r="N336" s="76">
        <v>2020</v>
      </c>
      <c r="O336" s="79" t="s">
        <v>4170</v>
      </c>
      <c r="P336" s="75" t="s">
        <v>4172</v>
      </c>
      <c r="Q336" s="68" t="s">
        <v>4270</v>
      </c>
      <c r="R336" s="68">
        <v>2050</v>
      </c>
      <c r="S336" s="68">
        <v>2020</v>
      </c>
      <c r="T336" s="80" t="s">
        <v>4170</v>
      </c>
      <c r="U336" s="75" t="s">
        <v>361</v>
      </c>
      <c r="V336" s="195" t="str" cm="1">
        <f t="array" ref="V336">_xlfn.IFS(
  C336="United States","North America",
  C336="Canada","North America",
  C336="Mexico","North America",
  C336="Bermuda","North America",
  C336="United Kingdom","Europe",
  C336="Germany","Europe",
  C336="France","Europe",
  C336="Italy","Europe",
  C336="Switzerland","Europe",
  C336="Spain","Europe",
  C336="Netherlands","Europe",
  C336="Sweden","Europe",
  C336="Norway","Europe",
  C336="Finland","Europe",
  C336="Denmark","Europe",
  C336="Russia","Europe",
  C336="China","Asia",
  C336="Japan","Asia",
  C336="Taiwan, Province of China","Asia",
  C336="Hong Kong","Asia",
  C336="South Korea","Asia",
  C336="India","Asia",
  C336="Singapore","Asia",
  C336="Thailand","Asia",
  C336="Indonesia","Asia",
  C336="Malaysia","Asia",
  TRUE,"Other"
)</f>
        <v>Europe</v>
      </c>
      <c r="W336" s="195" t="str">
        <f>_xlfn.XLOOKUP(Table2[[#This Row],[Column3]],Sheet1!G:G,Sheet1!H:H)</f>
        <v>Oil and gas</v>
      </c>
      <c r="X336" s="195"/>
      <c r="Y336" s="195"/>
    </row>
    <row r="337" spans="1:25">
      <c r="A337" s="194" t="s">
        <v>1296</v>
      </c>
      <c r="B337" s="68">
        <v>243</v>
      </c>
      <c r="C337" s="68" t="s">
        <v>87</v>
      </c>
      <c r="D337" s="77" t="s">
        <v>4455</v>
      </c>
      <c r="E337" s="75"/>
      <c r="H337" s="75"/>
      <c r="K337" s="75" t="s">
        <v>1957</v>
      </c>
      <c r="L337" s="75" t="s">
        <v>418</v>
      </c>
      <c r="M337" s="76"/>
      <c r="N337" s="76">
        <v>2015</v>
      </c>
      <c r="O337" s="80" t="s">
        <v>4170</v>
      </c>
      <c r="P337" s="75"/>
      <c r="U337" s="75" t="s">
        <v>1</v>
      </c>
      <c r="V337" s="195" t="str" cm="1">
        <f t="array" ref="V337">_xlfn.IFS(
  C337="United States","North America",
  C337="Canada","North America",
  C337="Mexico","North America",
  C337="Bermuda","North America",
  C337="United Kingdom","Europe",
  C337="Germany","Europe",
  C337="France","Europe",
  C337="Italy","Europe",
  C337="Switzerland","Europe",
  C337="Spain","Europe",
  C337="Netherlands","Europe",
  C337="Sweden","Europe",
  C337="Norway","Europe",
  C337="Finland","Europe",
  C337="Denmark","Europe",
  C337="Russia","Europe",
  C337="China","Asia",
  C337="Japan","Asia",
  C337="Taiwan, Province of China","Asia",
  C337="Hong Kong","Asia",
  C337="South Korea","Asia",
  C337="India","Asia",
  C337="Singapore","Asia",
  C337="Thailand","Asia",
  C337="Indonesia","Asia",
  C337="Malaysia","Asia",
  TRUE,"Other"
)</f>
        <v>Asia</v>
      </c>
      <c r="W337" s="195" t="str">
        <f>_xlfn.XLOOKUP(Table2[[#This Row],[Column3]],Sheet1!G:G,Sheet1!H:H)</f>
        <v>Food, beverages and agriculture</v>
      </c>
      <c r="X337" s="195"/>
      <c r="Y337" s="195"/>
    </row>
    <row r="338" spans="1:25">
      <c r="A338" s="194" t="s">
        <v>4269</v>
      </c>
      <c r="B338" s="68">
        <v>469</v>
      </c>
      <c r="C338" s="68" t="s">
        <v>183</v>
      </c>
      <c r="D338" s="77" t="s">
        <v>186</v>
      </c>
      <c r="E338" s="75"/>
      <c r="H338" s="75" t="s">
        <v>4183</v>
      </c>
      <c r="I338" s="68">
        <v>2030</v>
      </c>
      <c r="J338" s="68">
        <v>2019</v>
      </c>
      <c r="K338" s="75"/>
      <c r="M338" s="76"/>
      <c r="N338" s="76"/>
      <c r="P338" s="75"/>
      <c r="U338" s="75" t="s">
        <v>361</v>
      </c>
      <c r="V338" s="195" t="str" cm="1">
        <f t="array" ref="V338">_xlfn.IFS(
  C338="United States","North America",
  C338="Canada","North America",
  C338="Mexico","North America",
  C338="Bermuda","North America",
  C338="United Kingdom","Europe",
  C338="Germany","Europe",
  C338="France","Europe",
  C338="Italy","Europe",
  C338="Switzerland","Europe",
  C338="Spain","Europe",
  C338="Netherlands","Europe",
  C338="Sweden","Europe",
  C338="Norway","Europe",
  C338="Finland","Europe",
  C338="Denmark","Europe",
  C338="Russia","Europe",
  C338="China","Asia",
  C338="Japan","Asia",
  C338="Taiwan, Province of China","Asia",
  C338="Hong Kong","Asia",
  C338="South Korea","Asia",
  C338="India","Asia",
  C338="Singapore","Asia",
  C338="Thailand","Asia",
  C338="Indonesia","Asia",
  C338="Malaysia","Asia",
  TRUE,"Other"
)</f>
        <v>Asia</v>
      </c>
      <c r="W338" s="195" t="str">
        <f>_xlfn.XLOOKUP(Table2[[#This Row],[Column3]],Sheet1!G:G,Sheet1!H:H)</f>
        <v>Technology</v>
      </c>
      <c r="X338" s="195"/>
      <c r="Y338" s="195"/>
    </row>
    <row r="339" spans="1:25">
      <c r="A339" s="194" t="s">
        <v>802</v>
      </c>
      <c r="B339" s="68">
        <v>304</v>
      </c>
      <c r="C339" s="68" t="s">
        <v>82</v>
      </c>
      <c r="D339" s="77" t="s">
        <v>4190</v>
      </c>
      <c r="E339" s="75"/>
      <c r="H339" s="75"/>
      <c r="K339" s="75"/>
      <c r="M339" s="76"/>
      <c r="N339" s="76"/>
      <c r="P339" s="75"/>
      <c r="U339" s="75" t="s">
        <v>1</v>
      </c>
      <c r="V339" s="195" t="str" cm="1">
        <f t="array" ref="V339">_xlfn.IFS(
  C339="United States","North America",
  C339="Canada","North America",
  C339="Mexico","North America",
  C339="Bermuda","North America",
  C339="United Kingdom","Europe",
  C339="Germany","Europe",
  C339="France","Europe",
  C339="Italy","Europe",
  C339="Switzerland","Europe",
  C339="Spain","Europe",
  C339="Netherlands","Europe",
  C339="Sweden","Europe",
  C339="Norway","Europe",
  C339="Finland","Europe",
  C339="Denmark","Europe",
  C339="Russia","Europe",
  C339="China","Asia",
  C339="Japan","Asia",
  C339="Taiwan, Province of China","Asia",
  C339="Hong Kong","Asia",
  C339="South Korea","Asia",
  C339="India","Asia",
  C339="Singapore","Asia",
  C339="Thailand","Asia",
  C339="Indonesia","Asia",
  C339="Malaysia","Asia",
  TRUE,"Other"
)</f>
        <v>North America</v>
      </c>
      <c r="W339" s="195" t="str">
        <f>_xlfn.XLOOKUP(Table2[[#This Row],[Column3]],Sheet1!G:G,Sheet1!H:H)</f>
        <v>Telecommunications and media</v>
      </c>
      <c r="X339" s="195"/>
      <c r="Y339" s="195"/>
    </row>
    <row r="340" spans="1:25">
      <c r="A340" s="194" t="s">
        <v>1069</v>
      </c>
      <c r="B340" s="68">
        <v>229</v>
      </c>
      <c r="C340" s="68" t="s">
        <v>63</v>
      </c>
      <c r="D340" s="77" t="s">
        <v>4197</v>
      </c>
      <c r="E340" s="75"/>
      <c r="H340" s="75" t="s">
        <v>4183</v>
      </c>
      <c r="I340" s="68">
        <v>2025</v>
      </c>
      <c r="J340" s="68">
        <v>2021</v>
      </c>
      <c r="K340" s="75"/>
      <c r="M340" s="76"/>
      <c r="N340" s="76"/>
      <c r="P340" s="75" t="s">
        <v>4172</v>
      </c>
      <c r="Q340" s="68" t="s">
        <v>4259</v>
      </c>
      <c r="R340" s="68">
        <v>2040</v>
      </c>
      <c r="S340" s="89">
        <v>2019</v>
      </c>
      <c r="T340" s="79" t="s">
        <v>4170</v>
      </c>
      <c r="U340" s="75" t="s">
        <v>361</v>
      </c>
      <c r="V340" s="195" t="str" cm="1">
        <f t="array" ref="V340">_xlfn.IFS(
  C340="United States","North America",
  C340="Canada","North America",
  C340="Mexico","North America",
  C340="Bermuda","North America",
  C340="United Kingdom","Europe",
  C340="Germany","Europe",
  C340="France","Europe",
  C340="Italy","Europe",
  C340="Switzerland","Europe",
  C340="Spain","Europe",
  C340="Netherlands","Europe",
  C340="Sweden","Europe",
  C340="Norway","Europe",
  C340="Finland","Europe",
  C340="Denmark","Europe",
  C340="Russia","Europe",
  C340="China","Asia",
  C340="Japan","Asia",
  C340="Taiwan, Province of China","Asia",
  C340="Hong Kong","Asia",
  C340="South Korea","Asia",
  C340="India","Asia",
  C340="Singapore","Asia",
  C340="Thailand","Asia",
  C340="Indonesia","Asia",
  C340="Malaysia","Asia",
  TRUE,"Other"
)</f>
        <v>Europe</v>
      </c>
      <c r="W340" s="195" t="str">
        <f>_xlfn.XLOOKUP(Table2[[#This Row],[Column3]],Sheet1!G:G,Sheet1!H:H)</f>
        <v>Engineering and construction</v>
      </c>
      <c r="X340" s="195"/>
      <c r="Y340" s="195"/>
    </row>
    <row r="341" spans="1:25">
      <c r="A341" s="194" t="s">
        <v>1550</v>
      </c>
      <c r="B341" s="68">
        <v>149</v>
      </c>
      <c r="C341" s="68" t="s">
        <v>73</v>
      </c>
      <c r="D341" s="77" t="s">
        <v>186</v>
      </c>
      <c r="E341" s="75"/>
      <c r="H341" s="75"/>
      <c r="K341" s="75"/>
      <c r="M341" s="76"/>
      <c r="N341" s="76"/>
      <c r="P341" s="75"/>
      <c r="U341" s="75" t="s">
        <v>1</v>
      </c>
      <c r="V341" s="195" t="str" cm="1">
        <f t="array" ref="V341">_xlfn.IFS(
  C341="United States","North America",
  C341="Canada","North America",
  C341="Mexico","North America",
  C341="Bermuda","North America",
  C341="United Kingdom","Europe",
  C341="Germany","Europe",
  C341="France","Europe",
  C341="Italy","Europe",
  C341="Switzerland","Europe",
  C341="Spain","Europe",
  C341="Netherlands","Europe",
  C341="Sweden","Europe",
  C341="Norway","Europe",
  C341="Finland","Europe",
  C341="Denmark","Europe",
  C341="Russia","Europe",
  C341="China","Asia",
  C341="Japan","Asia",
  C341="Taiwan, Province of China","Asia",
  C341="Hong Kong","Asia",
  C341="South Korea","Asia",
  C341="India","Asia",
  C341="Singapore","Asia",
  C341="Thailand","Asia",
  C341="Indonesia","Asia",
  C341="Malaysia","Asia",
  TRUE,"Other"
)</f>
        <v>Asia</v>
      </c>
      <c r="W341" s="195" t="str">
        <f>_xlfn.XLOOKUP(Table2[[#This Row],[Column3]],Sheet1!G:G,Sheet1!H:H)</f>
        <v>Technology</v>
      </c>
      <c r="X341" s="195"/>
      <c r="Y341" s="195"/>
    </row>
    <row r="342" spans="1:25" ht="16">
      <c r="A342" s="194" t="s">
        <v>1400</v>
      </c>
      <c r="B342" s="68">
        <v>154</v>
      </c>
      <c r="C342" s="68" t="s">
        <v>207</v>
      </c>
      <c r="D342" s="77" t="s">
        <v>186</v>
      </c>
      <c r="E342" s="75" t="s">
        <v>4174</v>
      </c>
      <c r="F342" s="68">
        <v>2050</v>
      </c>
      <c r="G342" s="68">
        <v>2019</v>
      </c>
      <c r="H342" s="75" t="s">
        <v>4183</v>
      </c>
      <c r="I342" s="68">
        <v>2030</v>
      </c>
      <c r="J342" s="68">
        <v>2017</v>
      </c>
      <c r="K342" s="75"/>
      <c r="M342" s="76"/>
      <c r="N342" s="76"/>
      <c r="P342" s="75" t="s">
        <v>1957</v>
      </c>
      <c r="Q342" s="68" t="s">
        <v>4268</v>
      </c>
      <c r="R342" s="68">
        <v>2050</v>
      </c>
      <c r="S342" s="68">
        <v>2020</v>
      </c>
      <c r="T342" s="78" t="s">
        <v>4170</v>
      </c>
      <c r="U342" s="75" t="s">
        <v>361</v>
      </c>
      <c r="V342" s="195" t="str" cm="1">
        <f t="array" ref="V342">_xlfn.IFS(
  C342="United States","North America",
  C342="Canada","North America",
  C342="Mexico","North America",
  C342="Bermuda","North America",
  C342="United Kingdom","Europe",
  C342="Germany","Europe",
  C342="France","Europe",
  C342="Italy","Europe",
  C342="Switzerland","Europe",
  C342="Spain","Europe",
  C342="Netherlands","Europe",
  C342="Sweden","Europe",
  C342="Norway","Europe",
  C342="Finland","Europe",
  C342="Denmark","Europe",
  C342="Russia","Europe",
  C342="China","Asia",
  C342="Japan","Asia",
  C342="Taiwan, Province of China","Asia",
  C342="Hong Kong","Asia",
  C342="South Korea","Asia",
  C342="India","Asia",
  C342="Singapore","Asia",
  C342="Thailand","Asia",
  C342="Indonesia","Asia",
  C342="Malaysia","Asia",
  TRUE,"Other"
)</f>
        <v>Asia</v>
      </c>
      <c r="W342" s="195" t="str">
        <f>_xlfn.XLOOKUP(Table2[[#This Row],[Column3]],Sheet1!G:G,Sheet1!H:H)</f>
        <v>Technology</v>
      </c>
      <c r="X342" s="195"/>
      <c r="Y342" s="195"/>
    </row>
    <row r="343" spans="1:25">
      <c r="A343" s="194" t="s">
        <v>960</v>
      </c>
      <c r="B343" s="68">
        <v>235</v>
      </c>
      <c r="C343" s="68" t="s">
        <v>3277</v>
      </c>
      <c r="D343" s="77" t="s">
        <v>3498</v>
      </c>
      <c r="E343" s="75"/>
      <c r="H343" s="75"/>
      <c r="K343" s="75"/>
      <c r="M343" s="76"/>
      <c r="N343" s="76"/>
      <c r="P343" s="75"/>
      <c r="U343" s="75" t="s">
        <v>1</v>
      </c>
      <c r="V343" s="195" t="str" cm="1">
        <f t="array" ref="V343">_xlfn.IFS(
  C343="United States","North America",
  C343="Canada","North America",
  C343="Mexico","North America",
  C343="Bermuda","North America",
  C343="United Kingdom","Europe",
  C343="Germany","Europe",
  C343="France","Europe",
  C343="Italy","Europe",
  C343="Switzerland","Europe",
  C343="Spain","Europe",
  C343="Netherlands","Europe",
  C343="Sweden","Europe",
  C343="Norway","Europe",
  C343="Finland","Europe",
  C343="Denmark","Europe",
  C343="Russia","Europe",
  C343="China","Asia",
  C343="Japan","Asia",
  C343="Taiwan, Province of China","Asia",
  C343="Hong Kong","Asia",
  C343="South Korea","Asia",
  C343="India","Asia",
  C343="Singapore","Asia",
  C343="Thailand","Asia",
  C343="Indonesia","Asia",
  C343="Malaysia","Asia",
  TRUE,"Other"
)</f>
        <v>Asia</v>
      </c>
      <c r="W343" s="195" t="str">
        <f>_xlfn.XLOOKUP(Table2[[#This Row],[Column3]],Sheet1!G:G,Sheet1!H:H)</f>
        <v>Oil and gas</v>
      </c>
      <c r="X343" s="195"/>
      <c r="Y343" s="195"/>
    </row>
    <row r="344" spans="1:25">
      <c r="A344" s="194" t="s">
        <v>1556</v>
      </c>
      <c r="B344" s="68">
        <v>257</v>
      </c>
      <c r="C344" s="68" t="s">
        <v>121</v>
      </c>
      <c r="D344" s="77" t="s">
        <v>4465</v>
      </c>
      <c r="E344" s="75"/>
      <c r="H344" s="75"/>
      <c r="K344" s="75"/>
      <c r="M344" s="76"/>
      <c r="N344" s="76"/>
      <c r="P344" s="75"/>
      <c r="U344" s="75" t="s">
        <v>1</v>
      </c>
      <c r="V344" s="195" t="str" cm="1">
        <f t="array" ref="V344">_xlfn.IFS(
  C344="United States","North America",
  C344="Canada","North America",
  C344="Mexico","North America",
  C344="Bermuda","North America",
  C344="United Kingdom","Europe",
  C344="Germany","Europe",
  C344="France","Europe",
  C344="Italy","Europe",
  C344="Switzerland","Europe",
  C344="Spain","Europe",
  C344="Netherlands","Europe",
  C344="Sweden","Europe",
  C344="Norway","Europe",
  C344="Finland","Europe",
  C344="Denmark","Europe",
  C344="Russia","Europe",
  C344="China","Asia",
  C344="Japan","Asia",
  C344="Taiwan, Province of China","Asia",
  C344="Hong Kong","Asia",
  C344="South Korea","Asia",
  C344="India","Asia",
  C344="Singapore","Asia",
  C344="Thailand","Asia",
  C344="Indonesia","Asia",
  C344="Malaysia","Asia",
  TRUE,"Other"
)</f>
        <v>North America</v>
      </c>
      <c r="W344" s="195" t="str">
        <f>_xlfn.XLOOKUP(Table2[[#This Row],[Column3]],Sheet1!G:G,Sheet1!H:H)</f>
        <v>Financial services</v>
      </c>
      <c r="X344" s="195"/>
      <c r="Y344" s="195"/>
    </row>
    <row r="345" spans="1:25">
      <c r="A345" s="194" t="s">
        <v>1437</v>
      </c>
      <c r="B345" s="68">
        <v>90</v>
      </c>
      <c r="C345" s="68" t="s">
        <v>73</v>
      </c>
      <c r="D345" s="77" t="s">
        <v>4455</v>
      </c>
      <c r="E345" s="75"/>
      <c r="H345" s="75"/>
      <c r="K345" s="75"/>
      <c r="M345" s="76"/>
      <c r="N345" s="76"/>
      <c r="P345" s="75"/>
      <c r="U345" s="75" t="s">
        <v>1</v>
      </c>
      <c r="V345" s="195" t="str" cm="1">
        <f t="array" ref="V345">_xlfn.IFS(
  C345="United States","North America",
  C345="Canada","North America",
  C345="Mexico","North America",
  C345="Bermuda","North America",
  C345="United Kingdom","Europe",
  C345="Germany","Europe",
  C345="France","Europe",
  C345="Italy","Europe",
  C345="Switzerland","Europe",
  C345="Spain","Europe",
  C345="Netherlands","Europe",
  C345="Sweden","Europe",
  C345="Norway","Europe",
  C345="Finland","Europe",
  C345="Denmark","Europe",
  C345="Russia","Europe",
  C345="China","Asia",
  C345="Japan","Asia",
  C345="Taiwan, Province of China","Asia",
  C345="Hong Kong","Asia",
  C345="South Korea","Asia",
  C345="India","Asia",
  C345="Singapore","Asia",
  C345="Thailand","Asia",
  C345="Indonesia","Asia",
  C345="Malaysia","Asia",
  TRUE,"Other"
)</f>
        <v>Asia</v>
      </c>
      <c r="W345" s="195" t="str">
        <f>_xlfn.XLOOKUP(Table2[[#This Row],[Column3]],Sheet1!G:G,Sheet1!H:H)</f>
        <v>Food, beverages and agriculture</v>
      </c>
      <c r="X345" s="195"/>
      <c r="Y345" s="195"/>
    </row>
    <row r="346" spans="1:25" ht="16">
      <c r="A346" s="194" t="s">
        <v>1312</v>
      </c>
      <c r="B346" s="68">
        <v>131</v>
      </c>
      <c r="C346" s="68" t="s">
        <v>82</v>
      </c>
      <c r="D346" s="77" t="s">
        <v>4455</v>
      </c>
      <c r="E346" s="75" t="s">
        <v>4174</v>
      </c>
      <c r="F346" s="68">
        <v>2040</v>
      </c>
      <c r="G346" s="68">
        <v>2020</v>
      </c>
      <c r="H346" s="75" t="s">
        <v>4183</v>
      </c>
      <c r="I346" s="68">
        <v>2030</v>
      </c>
      <c r="J346" s="68">
        <v>2016</v>
      </c>
      <c r="K346" s="75"/>
      <c r="M346" s="76"/>
      <c r="N346" s="76"/>
      <c r="P346" s="75" t="s">
        <v>4172</v>
      </c>
      <c r="Q346" s="68" t="s">
        <v>2760</v>
      </c>
      <c r="R346" s="68">
        <v>2040</v>
      </c>
      <c r="S346" s="68">
        <v>2021</v>
      </c>
      <c r="T346" s="78" t="s">
        <v>4170</v>
      </c>
      <c r="U346" s="75" t="s">
        <v>361</v>
      </c>
      <c r="V346" s="195" t="str" cm="1">
        <f t="array" ref="V346">_xlfn.IFS(
  C346="United States","North America",
  C346="Canada","North America",
  C346="Mexico","North America",
  C346="Bermuda","North America",
  C346="United Kingdom","Europe",
  C346="Germany","Europe",
  C346="France","Europe",
  C346="Italy","Europe",
  C346="Switzerland","Europe",
  C346="Spain","Europe",
  C346="Netherlands","Europe",
  C346="Sweden","Europe",
  C346="Norway","Europe",
  C346="Finland","Europe",
  C346="Denmark","Europe",
  C346="Russia","Europe",
  C346="China","Asia",
  C346="Japan","Asia",
  C346="Taiwan, Province of China","Asia",
  C346="Hong Kong","Asia",
  C346="South Korea","Asia",
  C346="India","Asia",
  C346="Singapore","Asia",
  C346="Thailand","Asia",
  C346="Indonesia","Asia",
  C346="Malaysia","Asia",
  TRUE,"Other"
)</f>
        <v>North America</v>
      </c>
      <c r="W346" s="195" t="str">
        <f>_xlfn.XLOOKUP(Table2[[#This Row],[Column3]],Sheet1!G:G,Sheet1!H:H)</f>
        <v>Food, beverages and agriculture</v>
      </c>
      <c r="X346" s="195"/>
      <c r="Y346" s="195"/>
    </row>
    <row r="347" spans="1:25">
      <c r="A347" s="194" t="s">
        <v>4267</v>
      </c>
      <c r="B347" s="68">
        <v>483</v>
      </c>
      <c r="C347" s="68" t="s">
        <v>82</v>
      </c>
      <c r="D347" s="77" t="s">
        <v>3498</v>
      </c>
      <c r="E347" s="75"/>
      <c r="H347" s="75"/>
      <c r="K347" s="75"/>
      <c r="M347" s="76"/>
      <c r="N347" s="76"/>
      <c r="P347" s="75"/>
      <c r="U347" s="75" t="s">
        <v>1</v>
      </c>
      <c r="V347" s="195" t="str" cm="1">
        <f t="array" ref="V347">_xlfn.IFS(
  C347="United States","North America",
  C347="Canada","North America",
  C347="Mexico","North America",
  C347="Bermuda","North America",
  C347="United Kingdom","Europe",
  C347="Germany","Europe",
  C347="France","Europe",
  C347="Italy","Europe",
  C347="Switzerland","Europe",
  C347="Spain","Europe",
  C347="Netherlands","Europe",
  C347="Sweden","Europe",
  C347="Norway","Europe",
  C347="Finland","Europe",
  C347="Denmark","Europe",
  C347="Russia","Europe",
  C347="China","Asia",
  C347="Japan","Asia",
  C347="Taiwan, Province of China","Asia",
  C347="Hong Kong","Asia",
  C347="South Korea","Asia",
  C347="India","Asia",
  C347="Singapore","Asia",
  C347="Thailand","Asia",
  C347="Indonesia","Asia",
  C347="Malaysia","Asia",
  TRUE,"Other"
)</f>
        <v>North America</v>
      </c>
      <c r="W347" s="195" t="str">
        <f>_xlfn.XLOOKUP(Table2[[#This Row],[Column3]],Sheet1!G:G,Sheet1!H:H)</f>
        <v>Oil and gas</v>
      </c>
      <c r="X347" s="195"/>
      <c r="Y347" s="195"/>
    </row>
    <row r="348" spans="1:25">
      <c r="A348" s="194" t="s">
        <v>1241</v>
      </c>
      <c r="B348" s="68">
        <v>287</v>
      </c>
      <c r="C348" s="68" t="s">
        <v>1242</v>
      </c>
      <c r="D348" s="77" t="s">
        <v>3498</v>
      </c>
      <c r="E348" s="75"/>
      <c r="H348" s="75"/>
      <c r="K348" s="75"/>
      <c r="M348" s="76"/>
      <c r="N348" s="76"/>
      <c r="P348" s="75"/>
      <c r="U348" s="75" t="s">
        <v>1</v>
      </c>
      <c r="V348" s="195" t="str" cm="1">
        <f t="array" ref="V348">_xlfn.IFS(
  C348="United States","North America",
  C348="Canada","North America",
  C348="Mexico","North America",
  C348="Bermuda","North America",
  C348="United Kingdom","Europe",
  C348="Germany","Europe",
  C348="France","Europe",
  C348="Italy","Europe",
  C348="Switzerland","Europe",
  C348="Spain","Europe",
  C348="Netherlands","Europe",
  C348="Sweden","Europe",
  C348="Norway","Europe",
  C348="Finland","Europe",
  C348="Denmark","Europe",
  C348="Russia","Europe",
  C348="China","Asia",
  C348="Japan","Asia",
  C348="Taiwan, Province of China","Asia",
  C348="Hong Kong","Asia",
  C348="South Korea","Asia",
  C348="India","Asia",
  C348="Singapore","Asia",
  C348="Thailand","Asia",
  C348="Indonesia","Asia",
  C348="Malaysia","Asia",
  TRUE,"Other"
)</f>
        <v>Asia</v>
      </c>
      <c r="W348" s="195" t="str">
        <f>_xlfn.XLOOKUP(Table2[[#This Row],[Column3]],Sheet1!G:G,Sheet1!H:H)</f>
        <v>Oil and gas</v>
      </c>
      <c r="X348" s="195"/>
      <c r="Y348" s="195"/>
    </row>
    <row r="349" spans="1:25">
      <c r="A349" s="194" t="s">
        <v>1645</v>
      </c>
      <c r="B349" s="68">
        <v>181</v>
      </c>
      <c r="C349" s="68" t="s">
        <v>68</v>
      </c>
      <c r="D349" s="77" t="s">
        <v>4199</v>
      </c>
      <c r="E349" s="75"/>
      <c r="H349" s="75"/>
      <c r="K349" s="75"/>
      <c r="M349" s="76"/>
      <c r="N349" s="76"/>
      <c r="P349" s="75"/>
      <c r="U349" s="75" t="s">
        <v>1</v>
      </c>
      <c r="V349" s="195" t="str" cm="1">
        <f t="array" ref="V349">_xlfn.IFS(
  C349="United States","North America",
  C349="Canada","North America",
  C349="Mexico","North America",
  C349="Bermuda","North America",
  C349="United Kingdom","Europe",
  C349="Germany","Europe",
  C349="France","Europe",
  C349="Italy","Europe",
  C349="Switzerland","Europe",
  C349="Spain","Europe",
  C349="Netherlands","Europe",
  C349="Sweden","Europe",
  C349="Norway","Europe",
  C349="Finland","Europe",
  C349="Denmark","Europe",
  C349="Russia","Europe",
  C349="China","Asia",
  C349="Japan","Asia",
  C349="Taiwan, Province of China","Asia",
  C349="Hong Kong","Asia",
  C349="South Korea","Asia",
  C349="India","Asia",
  C349="Singapore","Asia",
  C349="Thailand","Asia",
  C349="Indonesia","Asia",
  C349="Malaysia","Asia",
  TRUE,"Other"
)</f>
        <v>Other</v>
      </c>
      <c r="W349" s="195" t="str">
        <f>_xlfn.XLOOKUP(Table2[[#This Row],[Column3]],Sheet1!G:G,Sheet1!H:H)</f>
        <v>Energy and utilities</v>
      </c>
      <c r="X349" s="195"/>
      <c r="Y349" s="195"/>
    </row>
    <row r="350" spans="1:25" ht="16">
      <c r="A350" s="194" t="s">
        <v>1300</v>
      </c>
      <c r="B350" s="68">
        <v>277</v>
      </c>
      <c r="C350" s="68" t="s">
        <v>1301</v>
      </c>
      <c r="D350" s="77" t="s">
        <v>4201</v>
      </c>
      <c r="E350" s="75"/>
      <c r="H350" s="75"/>
      <c r="K350" s="75"/>
      <c r="M350" s="76"/>
      <c r="N350" s="76"/>
      <c r="P350" s="75" t="s">
        <v>1957</v>
      </c>
      <c r="Q350" s="68" t="s">
        <v>2098</v>
      </c>
      <c r="R350" s="68">
        <v>2050</v>
      </c>
      <c r="S350" s="68">
        <v>2020</v>
      </c>
      <c r="T350" s="78" t="s">
        <v>4170</v>
      </c>
      <c r="U350" s="75" t="s">
        <v>1</v>
      </c>
      <c r="V350" s="195" t="str" cm="1">
        <f t="array" ref="V350">_xlfn.IFS(
  C350="United States","North America",
  C350="Canada","North America",
  C350="Mexico","North America",
  C350="Bermuda","North America",
  C350="United Kingdom","Europe",
  C350="Germany","Europe",
  C350="France","Europe",
  C350="Italy","Europe",
  C350="Switzerland","Europe",
  C350="Spain","Europe",
  C350="Netherlands","Europe",
  C350="Sweden","Europe",
  C350="Norway","Europe",
  C350="Finland","Europe",
  C350="Denmark","Europe",
  C350="Russia","Europe",
  C350="China","Asia",
  C350="Japan","Asia",
  C350="Taiwan, Province of China","Asia",
  C350="Hong Kong","Asia",
  C350="South Korea","Asia",
  C350="India","Asia",
  C350="Singapore","Asia",
  C350="Thailand","Asia",
  C350="Indonesia","Asia",
  C350="Malaysia","Asia",
  TRUE,"Other"
)</f>
        <v>Asia</v>
      </c>
      <c r="W350" s="195" t="str">
        <f>_xlfn.XLOOKUP(Table2[[#This Row],[Column3]],Sheet1!G:G,Sheet1!H:H)</f>
        <v>Health care and pharmaceuticals</v>
      </c>
      <c r="X350" s="195"/>
      <c r="Y350" s="195"/>
    </row>
    <row r="351" spans="1:25" ht="16">
      <c r="A351" s="194" t="s">
        <v>1171</v>
      </c>
      <c r="B351" s="68">
        <v>281</v>
      </c>
      <c r="C351" s="68" t="s">
        <v>82</v>
      </c>
      <c r="D351" s="77" t="s">
        <v>4455</v>
      </c>
      <c r="E351" s="75"/>
      <c r="H351" s="75" t="s">
        <v>4183</v>
      </c>
      <c r="I351" s="68">
        <v>2025</v>
      </c>
      <c r="J351" s="68">
        <v>2015</v>
      </c>
      <c r="K351" s="75" t="s">
        <v>1957</v>
      </c>
      <c r="L351" s="68" t="s">
        <v>4266</v>
      </c>
      <c r="M351" s="76">
        <v>2030</v>
      </c>
      <c r="N351" s="76">
        <v>2020</v>
      </c>
      <c r="O351" s="82" t="s">
        <v>4170</v>
      </c>
      <c r="P351" s="75"/>
      <c r="U351" s="75" t="s">
        <v>361</v>
      </c>
      <c r="V351" s="195" t="str" cm="1">
        <f t="array" ref="V351">_xlfn.IFS(
  C351="United States","North America",
  C351="Canada","North America",
  C351="Mexico","North America",
  C351="Bermuda","North America",
  C351="United Kingdom","Europe",
  C351="Germany","Europe",
  C351="France","Europe",
  C351="Italy","Europe",
  C351="Switzerland","Europe",
  C351="Spain","Europe",
  C351="Netherlands","Europe",
  C351="Sweden","Europe",
  C351="Norway","Europe",
  C351="Finland","Europe",
  C351="Denmark","Europe",
  C351="Russia","Europe",
  C351="China","Asia",
  C351="Japan","Asia",
  C351="Taiwan, Province of China","Asia",
  C351="Hong Kong","Asia",
  C351="South Korea","Asia",
  C351="India","Asia",
  C351="Singapore","Asia",
  C351="Thailand","Asia",
  C351="Indonesia","Asia",
  C351="Malaysia","Asia",
  TRUE,"Other"
)</f>
        <v>North America</v>
      </c>
      <c r="W351" s="195" t="str">
        <f>_xlfn.XLOOKUP(Table2[[#This Row],[Column3]],Sheet1!G:G,Sheet1!H:H)</f>
        <v>Food, beverages and agriculture</v>
      </c>
      <c r="X351" s="195"/>
      <c r="Y351" s="195"/>
    </row>
    <row r="352" spans="1:25" ht="16">
      <c r="A352" s="194" t="s">
        <v>386</v>
      </c>
      <c r="B352" s="68">
        <v>422</v>
      </c>
      <c r="C352" s="68" t="s">
        <v>82</v>
      </c>
      <c r="D352" s="77" t="s">
        <v>3498</v>
      </c>
      <c r="E352" s="75"/>
      <c r="H352" s="75" t="s">
        <v>4183</v>
      </c>
      <c r="I352" s="68">
        <v>2030</v>
      </c>
      <c r="J352" s="68">
        <v>2021</v>
      </c>
      <c r="K352" s="75" t="s">
        <v>1957</v>
      </c>
      <c r="L352" s="68" t="s">
        <v>4265</v>
      </c>
      <c r="M352" s="76">
        <v>2030</v>
      </c>
      <c r="N352" s="76">
        <v>2020</v>
      </c>
      <c r="O352" s="79" t="s">
        <v>4170</v>
      </c>
      <c r="P352" s="75" t="s">
        <v>4226</v>
      </c>
      <c r="Q352" s="68" t="s">
        <v>4264</v>
      </c>
      <c r="R352" s="68">
        <v>2050</v>
      </c>
      <c r="S352" s="68">
        <v>2021</v>
      </c>
      <c r="T352" s="78" t="s">
        <v>4170</v>
      </c>
      <c r="U352" s="75" t="s">
        <v>361</v>
      </c>
      <c r="V352" s="195" t="str" cm="1">
        <f t="array" ref="V352">_xlfn.IFS(
  C352="United States","North America",
  C352="Canada","North America",
  C352="Mexico","North America",
  C352="Bermuda","North America",
  C352="United Kingdom","Europe",
  C352="Germany","Europe",
  C352="France","Europe",
  C352="Italy","Europe",
  C352="Switzerland","Europe",
  C352="Spain","Europe",
  C352="Netherlands","Europe",
  C352="Sweden","Europe",
  C352="Norway","Europe",
  C352="Finland","Europe",
  C352="Denmark","Europe",
  C352="Russia","Europe",
  C352="China","Asia",
  C352="Japan","Asia",
  C352="Taiwan, Province of China","Asia",
  C352="Hong Kong","Asia",
  C352="South Korea","Asia",
  C352="India","Asia",
  C352="Singapore","Asia",
  C352="Thailand","Asia",
  C352="Indonesia","Asia",
  C352="Malaysia","Asia",
  TRUE,"Other"
)</f>
        <v>North America</v>
      </c>
      <c r="W352" s="195" t="str">
        <f>_xlfn.XLOOKUP(Table2[[#This Row],[Column3]],Sheet1!G:G,Sheet1!H:H)</f>
        <v>Oil and gas</v>
      </c>
      <c r="X352" s="195"/>
      <c r="Y352" s="195"/>
    </row>
    <row r="353" spans="1:25">
      <c r="A353" s="194" t="s">
        <v>1705</v>
      </c>
      <c r="B353" s="68">
        <v>143</v>
      </c>
      <c r="C353" s="68" t="s">
        <v>82</v>
      </c>
      <c r="D353" s="77" t="s">
        <v>4465</v>
      </c>
      <c r="E353" s="75"/>
      <c r="H353" s="75"/>
      <c r="K353" s="75"/>
      <c r="M353" s="76"/>
      <c r="N353" s="76"/>
      <c r="P353" s="75"/>
      <c r="U353" s="75" t="s">
        <v>1</v>
      </c>
      <c r="V353" s="195" t="str" cm="1">
        <f t="array" ref="V353">_xlfn.IFS(
  C353="United States","North America",
  C353="Canada","North America",
  C353="Mexico","North America",
  C353="Bermuda","North America",
  C353="United Kingdom","Europe",
  C353="Germany","Europe",
  C353="France","Europe",
  C353="Italy","Europe",
  C353="Switzerland","Europe",
  C353="Spain","Europe",
  C353="Netherlands","Europe",
  C353="Sweden","Europe",
  C353="Norway","Europe",
  C353="Finland","Europe",
  C353="Denmark","Europe",
  C353="Russia","Europe",
  C353="China","Asia",
  C353="Japan","Asia",
  C353="Taiwan, Province of China","Asia",
  C353="Hong Kong","Asia",
  C353="South Korea","Asia",
  C353="India","Asia",
  C353="Singapore","Asia",
  C353="Thailand","Asia",
  C353="Indonesia","Asia",
  C353="Malaysia","Asia",
  TRUE,"Other"
)</f>
        <v>North America</v>
      </c>
      <c r="W353" s="195" t="str">
        <f>_xlfn.XLOOKUP(Table2[[#This Row],[Column3]],Sheet1!G:G,Sheet1!H:H)</f>
        <v>Financial services</v>
      </c>
      <c r="X353" s="195"/>
      <c r="Y353" s="195"/>
    </row>
    <row r="354" spans="1:25" ht="16">
      <c r="A354" s="194" t="s">
        <v>2638</v>
      </c>
      <c r="B354" s="68">
        <v>427</v>
      </c>
      <c r="C354" s="68" t="s">
        <v>4195</v>
      </c>
      <c r="D354" s="77" t="s">
        <v>4201</v>
      </c>
      <c r="E354" s="75"/>
      <c r="H354" s="75" t="s">
        <v>1957</v>
      </c>
      <c r="J354" s="68">
        <v>2020</v>
      </c>
      <c r="K354" s="75" t="s">
        <v>1957</v>
      </c>
      <c r="L354" s="68" t="s">
        <v>1659</v>
      </c>
      <c r="M354" s="76">
        <v>2025</v>
      </c>
      <c r="N354" s="76">
        <v>2020</v>
      </c>
      <c r="O354" s="79" t="s">
        <v>4170</v>
      </c>
      <c r="P354" s="75" t="s">
        <v>4172</v>
      </c>
      <c r="Q354" s="68" t="s">
        <v>4263</v>
      </c>
      <c r="R354" s="68">
        <v>2050</v>
      </c>
      <c r="S354" s="68">
        <v>2021</v>
      </c>
      <c r="T354" s="78" t="s">
        <v>4170</v>
      </c>
      <c r="U354" s="75" t="s">
        <v>361</v>
      </c>
      <c r="V354" s="195" t="str" cm="1">
        <f t="array" ref="V354">_xlfn.IFS(
  C354="United States","North America",
  C354="Canada","North America",
  C354="Mexico","North America",
  C354="Bermuda","North America",
  C354="United Kingdom","Europe",
  C354="Germany","Europe",
  C354="France","Europe",
  C354="Italy","Europe",
  C354="Switzerland","Europe",
  C354="Spain","Europe",
  C354="Netherlands","Europe",
  C354="Sweden","Europe",
  C354="Norway","Europe",
  C354="Finland","Europe",
  C354="Denmark","Europe",
  C354="Russia","Europe",
  C354="China","Asia",
  C354="Japan","Asia",
  C354="Taiwan, Province of China","Asia",
  C354="Hong Kong","Asia",
  C354="South Korea","Asia",
  C354="India","Asia",
  C354="Singapore","Asia",
  C354="Thailand","Asia",
  C354="Indonesia","Asia",
  C354="Malaysia","Asia",
  TRUE,"Other"
)</f>
        <v>Europe</v>
      </c>
      <c r="W354" s="195" t="str">
        <f>_xlfn.XLOOKUP(Table2[[#This Row],[Column3]],Sheet1!G:G,Sheet1!H:H)</f>
        <v>Health care and pharmaceuticals</v>
      </c>
      <c r="X354" s="195"/>
      <c r="Y354" s="195"/>
    </row>
    <row r="355" spans="1:25">
      <c r="A355" s="194" t="s">
        <v>425</v>
      </c>
      <c r="B355" s="68">
        <v>377</v>
      </c>
      <c r="C355" s="68" t="s">
        <v>146</v>
      </c>
      <c r="D355" s="77" t="s">
        <v>4465</v>
      </c>
      <c r="E355" s="75"/>
      <c r="H355" s="75"/>
      <c r="K355" s="75"/>
      <c r="M355" s="76"/>
      <c r="N355" s="76"/>
      <c r="P355" s="75"/>
      <c r="U355" s="75" t="s">
        <v>1</v>
      </c>
      <c r="V355" s="195" t="str" cm="1">
        <f t="array" ref="V355">_xlfn.IFS(
  C355="United States","North America",
  C355="Canada","North America",
  C355="Mexico","North America",
  C355="Bermuda","North America",
  C355="United Kingdom","Europe",
  C355="Germany","Europe",
  C355="France","Europe",
  C355="Italy","Europe",
  C355="Switzerland","Europe",
  C355="Spain","Europe",
  C355="Netherlands","Europe",
  C355="Sweden","Europe",
  C355="Norway","Europe",
  C355="Finland","Europe",
  C355="Denmark","Europe",
  C355="Russia","Europe",
  C355="China","Asia",
  C355="Japan","Asia",
  C355="Taiwan, Province of China","Asia",
  C355="Hong Kong","Asia",
  C355="South Korea","Asia",
  C355="India","Asia",
  C355="Singapore","Asia",
  C355="Thailand","Asia",
  C355="Indonesia","Asia",
  C355="Malaysia","Asia",
  TRUE,"Other"
)</f>
        <v>Europe</v>
      </c>
      <c r="W355" s="195" t="str">
        <f>_xlfn.XLOOKUP(Table2[[#This Row],[Column3]],Sheet1!G:G,Sheet1!H:H)</f>
        <v>Financial services</v>
      </c>
      <c r="X355" s="195"/>
      <c r="Y355" s="195"/>
    </row>
    <row r="356" spans="1:25">
      <c r="A356" s="194" t="s">
        <v>1791</v>
      </c>
      <c r="B356" s="68">
        <v>16</v>
      </c>
      <c r="C356" s="68" t="s">
        <v>73</v>
      </c>
      <c r="D356" s="77" t="s">
        <v>4459</v>
      </c>
      <c r="E356" s="75"/>
      <c r="H356" s="75"/>
      <c r="K356" s="75"/>
      <c r="M356" s="76"/>
      <c r="N356" s="76"/>
      <c r="P356" s="75"/>
      <c r="U356" s="75" t="s">
        <v>1</v>
      </c>
      <c r="V356" s="195" t="str" cm="1">
        <f t="array" ref="V356">_xlfn.IFS(
  C356="United States","North America",
  C356="Canada","North America",
  C356="Mexico","North America",
  C356="Bermuda","North America",
  C356="United Kingdom","Europe",
  C356="Germany","Europe",
  C356="France","Europe",
  C356="Italy","Europe",
  C356="Switzerland","Europe",
  C356="Spain","Europe",
  C356="Netherlands","Europe",
  C356="Sweden","Europe",
  C356="Norway","Europe",
  C356="Finland","Europe",
  C356="Denmark","Europe",
  C356="Russia","Europe",
  C356="China","Asia",
  C356="Japan","Asia",
  C356="Taiwan, Province of China","Asia",
  C356="Hong Kong","Asia",
  C356="South Korea","Asia",
  C356="India","Asia",
  C356="Singapore","Asia",
  C356="Thailand","Asia",
  C356="Indonesia","Asia",
  C356="Malaysia","Asia",
  TRUE,"Other"
)</f>
        <v>Asia</v>
      </c>
      <c r="W356" s="195" t="str">
        <f>_xlfn.XLOOKUP(Table2[[#This Row],[Column3]],Sheet1!G:G,Sheet1!H:H)</f>
        <v>Industrial goods</v>
      </c>
      <c r="X356" s="195"/>
      <c r="Y356" s="195"/>
    </row>
    <row r="357" spans="1:25" ht="16">
      <c r="A357" s="194" t="s">
        <v>1261</v>
      </c>
      <c r="B357" s="68">
        <v>226</v>
      </c>
      <c r="C357" s="68" t="s">
        <v>114</v>
      </c>
      <c r="D357" s="77" t="s">
        <v>4465</v>
      </c>
      <c r="E357" s="75"/>
      <c r="H357" s="75"/>
      <c r="K357" s="75" t="s">
        <v>1957</v>
      </c>
      <c r="L357" s="68" t="s">
        <v>1659</v>
      </c>
      <c r="M357" s="76">
        <v>2050</v>
      </c>
      <c r="N357" s="76">
        <v>2020</v>
      </c>
      <c r="O357" s="78" t="s">
        <v>4170</v>
      </c>
      <c r="P357" s="75"/>
      <c r="U357" s="75" t="s">
        <v>1</v>
      </c>
      <c r="V357" s="195" t="str" cm="1">
        <f t="array" ref="V357">_xlfn.IFS(
  C357="United States","North America",
  C357="Canada","North America",
  C357="Mexico","North America",
  C357="Bermuda","North America",
  C357="United Kingdom","Europe",
  C357="Germany","Europe",
  C357="France","Europe",
  C357="Italy","Europe",
  C357="Switzerland","Europe",
  C357="Spain","Europe",
  C357="Netherlands","Europe",
  C357="Sweden","Europe",
  C357="Norway","Europe",
  C357="Finland","Europe",
  C357="Denmark","Europe",
  C357="Russia","Europe",
  C357="China","Asia",
  C357="Japan","Asia",
  C357="Taiwan, Province of China","Asia",
  C357="Hong Kong","Asia",
  C357="South Korea","Asia",
  C357="India","Asia",
  C357="Singapore","Asia",
  C357="Thailand","Asia",
  C357="Indonesia","Asia",
  C357="Malaysia","Asia",
  TRUE,"Other"
)</f>
        <v>Asia</v>
      </c>
      <c r="W357" s="195" t="str">
        <f>_xlfn.XLOOKUP(Table2[[#This Row],[Column3]],Sheet1!G:G,Sheet1!H:H)</f>
        <v>Financial services</v>
      </c>
      <c r="X357" s="195"/>
      <c r="Y357" s="195"/>
    </row>
    <row r="358" spans="1:25" ht="16">
      <c r="A358" s="194" t="s">
        <v>647</v>
      </c>
      <c r="B358" s="68">
        <v>355</v>
      </c>
      <c r="C358" s="68" t="s">
        <v>376</v>
      </c>
      <c r="D358" s="77" t="s">
        <v>4465</v>
      </c>
      <c r="E358" s="75"/>
      <c r="H358" s="75" t="s">
        <v>1957</v>
      </c>
      <c r="J358" s="68">
        <v>2021</v>
      </c>
      <c r="K358" s="75"/>
      <c r="M358" s="76"/>
      <c r="N358" s="76"/>
      <c r="P358" s="75" t="s">
        <v>1957</v>
      </c>
      <c r="Q358" s="68" t="s">
        <v>418</v>
      </c>
      <c r="R358" s="68">
        <v>2030</v>
      </c>
      <c r="S358" s="68">
        <v>2021</v>
      </c>
      <c r="T358" s="78" t="s">
        <v>4170</v>
      </c>
      <c r="U358" s="75" t="s">
        <v>361</v>
      </c>
      <c r="V358" s="195" t="str" cm="1">
        <f t="array" ref="V358">_xlfn.IFS(
  C358="United States","North America",
  C358="Canada","North America",
  C358="Mexico","North America",
  C358="Bermuda","North America",
  C358="United Kingdom","Europe",
  C358="Germany","Europe",
  C358="France","Europe",
  C358="Italy","Europe",
  C358="Switzerland","Europe",
  C358="Spain","Europe",
  C358="Netherlands","Europe",
  C358="Sweden","Europe",
  C358="Norway","Europe",
  C358="Finland","Europe",
  C358="Denmark","Europe",
  C358="Russia","Europe",
  C358="China","Asia",
  C358="Japan","Asia",
  C358="Taiwan, Province of China","Asia",
  C358="Hong Kong","Asia",
  C358="South Korea","Asia",
  C358="India","Asia",
  C358="Singapore","Asia",
  C358="Thailand","Asia",
  C358="Indonesia","Asia",
  C358="Malaysia","Asia",
  TRUE,"Other"
)</f>
        <v>Europe</v>
      </c>
      <c r="W358" s="195" t="str">
        <f>_xlfn.XLOOKUP(Table2[[#This Row],[Column3]],Sheet1!G:G,Sheet1!H:H)</f>
        <v>Financial services</v>
      </c>
      <c r="X358" s="195"/>
      <c r="Y358" s="195"/>
    </row>
    <row r="359" spans="1:25">
      <c r="A359" s="194" t="s">
        <v>723</v>
      </c>
      <c r="B359" s="68">
        <v>228</v>
      </c>
      <c r="C359" s="68" t="s">
        <v>78</v>
      </c>
      <c r="D359" s="77" t="s">
        <v>4197</v>
      </c>
      <c r="E359" s="75"/>
      <c r="H359" s="75"/>
      <c r="K359" s="75"/>
      <c r="M359" s="76"/>
      <c r="N359" s="76"/>
      <c r="P359" s="75"/>
      <c r="U359" s="75" t="s">
        <v>1</v>
      </c>
      <c r="V359" s="195" t="str" cm="1">
        <f t="array" ref="V359">_xlfn.IFS(
  C359="United States","North America",
  C359="Canada","North America",
  C359="Mexico","North America",
  C359="Bermuda","North America",
  C359="United Kingdom","Europe",
  C359="Germany","Europe",
  C359="France","Europe",
  C359="Italy","Europe",
  C359="Switzerland","Europe",
  C359="Spain","Europe",
  C359="Netherlands","Europe",
  C359="Sweden","Europe",
  C359="Norway","Europe",
  C359="Finland","Europe",
  C359="Denmark","Europe",
  C359="Russia","Europe",
  C359="China","Asia",
  C359="Japan","Asia",
  C359="Taiwan, Province of China","Asia",
  C359="Hong Kong","Asia",
  C359="South Korea","Asia",
  C359="India","Asia",
  C359="Singapore","Asia",
  C359="Thailand","Asia",
  C359="Indonesia","Asia",
  C359="Malaysia","Asia",
  TRUE,"Other"
)</f>
        <v>North America</v>
      </c>
      <c r="W359" s="195" t="str">
        <f>_xlfn.XLOOKUP(Table2[[#This Row],[Column3]],Sheet1!G:G,Sheet1!H:H)</f>
        <v>Engineering and construction</v>
      </c>
      <c r="X359" s="195"/>
      <c r="Y359" s="195"/>
    </row>
    <row r="360" spans="1:25">
      <c r="A360" s="194" t="s">
        <v>1295</v>
      </c>
      <c r="B360" s="68">
        <v>107</v>
      </c>
      <c r="C360" s="68" t="s">
        <v>73</v>
      </c>
      <c r="D360" s="77" t="s">
        <v>4643</v>
      </c>
      <c r="E360" s="75"/>
      <c r="H360" s="75"/>
      <c r="K360" s="75"/>
      <c r="M360" s="76"/>
      <c r="N360" s="76"/>
      <c r="P360" s="75"/>
      <c r="U360" s="75" t="s">
        <v>1</v>
      </c>
      <c r="V360" s="195" t="str" cm="1">
        <f t="array" ref="V360">_xlfn.IFS(
  C360="United States","North America",
  C360="Canada","North America",
  C360="Mexico","North America",
  C360="Bermuda","North America",
  C360="United Kingdom","Europe",
  C360="Germany","Europe",
  C360="France","Europe",
  C360="Italy","Europe",
  C360="Switzerland","Europe",
  C360="Spain","Europe",
  C360="Netherlands","Europe",
  C360="Sweden","Europe",
  C360="Norway","Europe",
  C360="Finland","Europe",
  C360="Denmark","Europe",
  C360="Russia","Europe",
  C360="China","Asia",
  C360="Japan","Asia",
  C360="Taiwan, Province of China","Asia",
  C360="Hong Kong","Asia",
  C360="South Korea","Asia",
  C360="India","Asia",
  C360="Singapore","Asia",
  C360="Thailand","Asia",
  C360="Indonesia","Asia",
  C360="Malaysia","Asia",
  TRUE,"Other"
)</f>
        <v>Asia</v>
      </c>
      <c r="W360" s="195" t="str">
        <f>_xlfn.XLOOKUP(Table2[[#This Row],[Column3]],Sheet1!G:G,Sheet1!H:H)</f>
        <v>Household and personal products</v>
      </c>
      <c r="X360" s="195"/>
      <c r="Y360" s="195"/>
    </row>
    <row r="361" spans="1:25">
      <c r="A361" s="194" t="s">
        <v>1339</v>
      </c>
      <c r="B361" s="68">
        <v>128</v>
      </c>
      <c r="C361" s="68" t="s">
        <v>82</v>
      </c>
      <c r="D361" s="77" t="s">
        <v>4465</v>
      </c>
      <c r="E361" s="75" t="s">
        <v>4174</v>
      </c>
      <c r="F361" s="68">
        <v>2030</v>
      </c>
      <c r="G361" s="68">
        <v>2015</v>
      </c>
      <c r="H361" s="75" t="s">
        <v>4183</v>
      </c>
      <c r="I361" s="68">
        <v>2030</v>
      </c>
      <c r="J361" s="68">
        <v>2018</v>
      </c>
      <c r="K361" s="75" t="s">
        <v>4239</v>
      </c>
      <c r="L361" s="68" t="s">
        <v>4223</v>
      </c>
      <c r="M361" s="76">
        <v>2030</v>
      </c>
      <c r="N361" s="76">
        <v>2020</v>
      </c>
      <c r="O361" s="80" t="s">
        <v>4170</v>
      </c>
      <c r="P361" s="75"/>
      <c r="U361" s="75" t="s">
        <v>361</v>
      </c>
      <c r="V361" s="195" t="str" cm="1">
        <f t="array" ref="V361">_xlfn.IFS(
  C361="United States","North America",
  C361="Canada","North America",
  C361="Mexico","North America",
  C361="Bermuda","North America",
  C361="United Kingdom","Europe",
  C361="Germany","Europe",
  C361="France","Europe",
  C361="Italy","Europe",
  C361="Switzerland","Europe",
  C361="Spain","Europe",
  C361="Netherlands","Europe",
  C361="Sweden","Europe",
  C361="Norway","Europe",
  C361="Finland","Europe",
  C361="Denmark","Europe",
  C361="Russia","Europe",
  C361="China","Asia",
  C361="Japan","Asia",
  C361="Taiwan, Province of China","Asia",
  C361="Hong Kong","Asia",
  C361="South Korea","Asia",
  C361="India","Asia",
  C361="Singapore","Asia",
  C361="Thailand","Asia",
  C361="Indonesia","Asia",
  C361="Malaysia","Asia",
  TRUE,"Other"
)</f>
        <v>North America</v>
      </c>
      <c r="W361" s="195" t="str">
        <f>_xlfn.XLOOKUP(Table2[[#This Row],[Column3]],Sheet1!G:G,Sheet1!H:H)</f>
        <v>Financial services</v>
      </c>
      <c r="X361" s="195"/>
      <c r="Y361" s="195"/>
    </row>
    <row r="362" spans="1:25">
      <c r="A362" s="194" t="s">
        <v>526</v>
      </c>
      <c r="B362" s="68">
        <v>275</v>
      </c>
      <c r="C362" s="68" t="s">
        <v>82</v>
      </c>
      <c r="D362" s="77" t="s">
        <v>4465</v>
      </c>
      <c r="E362" s="75"/>
      <c r="H362" s="75"/>
      <c r="K362" s="75"/>
      <c r="M362" s="76"/>
      <c r="N362" s="76"/>
      <c r="P362" s="75"/>
      <c r="U362" s="75" t="s">
        <v>1</v>
      </c>
      <c r="V362" s="195" t="str" cm="1">
        <f t="array" ref="V362">_xlfn.IFS(
  C362="United States","North America",
  C362="Canada","North America",
  C362="Mexico","North America",
  C362="Bermuda","North America",
  C362="United Kingdom","Europe",
  C362="Germany","Europe",
  C362="France","Europe",
  C362="Italy","Europe",
  C362="Switzerland","Europe",
  C362="Spain","Europe",
  C362="Netherlands","Europe",
  C362="Sweden","Europe",
  C362="Norway","Europe",
  C362="Finland","Europe",
  C362="Denmark","Europe",
  C362="Russia","Europe",
  C362="China","Asia",
  C362="Japan","Asia",
  C362="Taiwan, Province of China","Asia",
  C362="Hong Kong","Asia",
  C362="South Korea","Asia",
  C362="India","Asia",
  C362="Singapore","Asia",
  C362="Thailand","Asia",
  C362="Indonesia","Asia",
  C362="Malaysia","Asia",
  TRUE,"Other"
)</f>
        <v>North America</v>
      </c>
      <c r="W362" s="195" t="str">
        <f>_xlfn.XLOOKUP(Table2[[#This Row],[Column3]],Sheet1!G:G,Sheet1!H:H)</f>
        <v>Financial services</v>
      </c>
      <c r="X362" s="195"/>
      <c r="Y362" s="195"/>
    </row>
    <row r="363" spans="1:25">
      <c r="A363" s="194" t="s">
        <v>605</v>
      </c>
      <c r="B363" s="68">
        <v>185</v>
      </c>
      <c r="C363" s="68" t="s">
        <v>4195</v>
      </c>
      <c r="D363" s="77" t="s">
        <v>4465</v>
      </c>
      <c r="E363" s="75" t="s">
        <v>4174</v>
      </c>
      <c r="F363" s="68">
        <v>2025</v>
      </c>
      <c r="G363" s="68">
        <v>2018</v>
      </c>
      <c r="H363" s="75"/>
      <c r="K363" s="75"/>
      <c r="M363" s="76"/>
      <c r="N363" s="88"/>
      <c r="P363" s="75"/>
      <c r="R363" s="81"/>
      <c r="S363" s="81"/>
      <c r="U363" s="75" t="s">
        <v>361</v>
      </c>
      <c r="V363" s="195" t="str" cm="1">
        <f t="array" ref="V363">_xlfn.IFS(
  C363="United States","North America",
  C363="Canada","North America",
  C363="Mexico","North America",
  C363="Bermuda","North America",
  C363="United Kingdom","Europe",
  C363="Germany","Europe",
  C363="France","Europe",
  C363="Italy","Europe",
  C363="Switzerland","Europe",
  C363="Spain","Europe",
  C363="Netherlands","Europe",
  C363="Sweden","Europe",
  C363="Norway","Europe",
  C363="Finland","Europe",
  C363="Denmark","Europe",
  C363="Russia","Europe",
  C363="China","Asia",
  C363="Japan","Asia",
  C363="Taiwan, Province of China","Asia",
  C363="Hong Kong","Asia",
  C363="South Korea","Asia",
  C363="India","Asia",
  C363="Singapore","Asia",
  C363="Thailand","Asia",
  C363="Indonesia","Asia",
  C363="Malaysia","Asia",
  TRUE,"Other"
)</f>
        <v>Europe</v>
      </c>
      <c r="W363" s="195" t="str">
        <f>_xlfn.XLOOKUP(Table2[[#This Row],[Column3]],Sheet1!G:G,Sheet1!H:H)</f>
        <v>Financial services</v>
      </c>
      <c r="X363" s="195"/>
      <c r="Y363" s="195"/>
    </row>
    <row r="364" spans="1:25" ht="16">
      <c r="A364" s="194" t="s">
        <v>1305</v>
      </c>
      <c r="B364" s="68">
        <v>178</v>
      </c>
      <c r="C364" s="68" t="s">
        <v>82</v>
      </c>
      <c r="D364" s="77" t="s">
        <v>66</v>
      </c>
      <c r="E364" s="75"/>
      <c r="H364" s="75"/>
      <c r="K364" s="75" t="s">
        <v>1957</v>
      </c>
      <c r="L364" s="68" t="s">
        <v>4262</v>
      </c>
      <c r="M364" s="76">
        <v>2030</v>
      </c>
      <c r="N364" s="88">
        <v>2021</v>
      </c>
      <c r="O364" s="87" t="s">
        <v>4170</v>
      </c>
      <c r="P364" s="75" t="s">
        <v>4217</v>
      </c>
      <c r="Q364" s="68" t="s">
        <v>4261</v>
      </c>
      <c r="R364" s="81">
        <v>2050</v>
      </c>
      <c r="S364" s="81">
        <v>2021</v>
      </c>
      <c r="T364" s="86" t="s">
        <v>4170</v>
      </c>
      <c r="U364" s="75" t="s">
        <v>361</v>
      </c>
      <c r="V364" s="195" t="str" cm="1">
        <f t="array" ref="V364">_xlfn.IFS(
  C364="United States","North America",
  C364="Canada","North America",
  C364="Mexico","North America",
  C364="Bermuda","North America",
  C364="United Kingdom","Europe",
  C364="Germany","Europe",
  C364="France","Europe",
  C364="Italy","Europe",
  C364="Switzerland","Europe",
  C364="Spain","Europe",
  C364="Netherlands","Europe",
  C364="Sweden","Europe",
  C364="Norway","Europe",
  C364="Finland","Europe",
  C364="Denmark","Europe",
  C364="Russia","Europe",
  C364="China","Asia",
  C364="Japan","Asia",
  C364="Taiwan, Province of China","Asia",
  C364="Hong Kong","Asia",
  C364="South Korea","Asia",
  C364="India","Asia",
  C364="Singapore","Asia",
  C364="Thailand","Asia",
  C364="Indonesia","Asia",
  C364="Malaysia","Asia",
  TRUE,"Other"
)</f>
        <v>North America</v>
      </c>
      <c r="W364" s="195" t="str">
        <f>_xlfn.XLOOKUP(Table2[[#This Row],[Column3]],Sheet1!G:G,Sheet1!H:H)</f>
        <v>Chemicals</v>
      </c>
      <c r="X364" s="195"/>
      <c r="Y364" s="195"/>
    </row>
    <row r="365" spans="1:25">
      <c r="A365" s="194" t="s">
        <v>1405</v>
      </c>
      <c r="B365" s="68">
        <v>206</v>
      </c>
      <c r="C365" s="68" t="s">
        <v>1408</v>
      </c>
      <c r="D365" s="77" t="s">
        <v>4455</v>
      </c>
      <c r="E365" s="75"/>
      <c r="H365" s="75"/>
      <c r="K365" s="75"/>
      <c r="M365" s="76"/>
      <c r="N365" s="76"/>
      <c r="P365" s="75"/>
      <c r="U365" s="75" t="s">
        <v>1</v>
      </c>
      <c r="V365" s="195" t="str" cm="1">
        <f t="array" ref="V365">_xlfn.IFS(
  C365="United States","North America",
  C365="Canada","North America",
  C365="Mexico","North America",
  C365="Bermuda","North America",
  C365="United Kingdom","Europe",
  C365="Germany","Europe",
  C365="France","Europe",
  C365="Italy","Europe",
  C365="Switzerland","Europe",
  C365="Spain","Europe",
  C365="Netherlands","Europe",
  C365="Sweden","Europe",
  C365="Norway","Europe",
  C365="Finland","Europe",
  C365="Denmark","Europe",
  C365="Russia","Europe",
  C365="China","Asia",
  C365="Japan","Asia",
  C365="Taiwan, Province of China","Asia",
  C365="Hong Kong","Asia",
  C365="South Korea","Asia",
  C365="India","Asia",
  C365="Singapore","Asia",
  C365="Thailand","Asia",
  C365="Indonesia","Asia",
  C365="Malaysia","Asia",
  TRUE,"Other"
)</f>
        <v>Asia</v>
      </c>
      <c r="W365" s="195" t="str">
        <f>_xlfn.XLOOKUP(Table2[[#This Row],[Column3]],Sheet1!G:G,Sheet1!H:H)</f>
        <v>Food, beverages and agriculture</v>
      </c>
      <c r="X365" s="195"/>
      <c r="Y365" s="195"/>
    </row>
    <row r="366" spans="1:25">
      <c r="A366" s="194" t="s">
        <v>690</v>
      </c>
      <c r="B366" s="68">
        <v>253</v>
      </c>
      <c r="C366" s="68" t="s">
        <v>82</v>
      </c>
      <c r="D366" s="77" t="s">
        <v>186</v>
      </c>
      <c r="E366" s="75"/>
      <c r="H366" s="75"/>
      <c r="K366" s="75"/>
      <c r="M366" s="76"/>
      <c r="N366" s="76"/>
      <c r="P366" s="75"/>
      <c r="U366" s="75" t="s">
        <v>1</v>
      </c>
      <c r="V366" s="195" t="str" cm="1">
        <f t="array" ref="V366">_xlfn.IFS(
  C366="United States","North America",
  C366="Canada","North America",
  C366="Mexico","North America",
  C366="Bermuda","North America",
  C366="United Kingdom","Europe",
  C366="Germany","Europe",
  C366="France","Europe",
  C366="Italy","Europe",
  C366="Switzerland","Europe",
  C366="Spain","Europe",
  C366="Netherlands","Europe",
  C366="Sweden","Europe",
  C366="Norway","Europe",
  C366="Finland","Europe",
  C366="Denmark","Europe",
  C366="Russia","Europe",
  C366="China","Asia",
  C366="Japan","Asia",
  C366="Taiwan, Province of China","Asia",
  C366="Hong Kong","Asia",
  C366="South Korea","Asia",
  C366="India","Asia",
  C366="Singapore","Asia",
  C366="Thailand","Asia",
  C366="Indonesia","Asia",
  C366="Malaysia","Asia",
  TRUE,"Other"
)</f>
        <v>North America</v>
      </c>
      <c r="W366" s="195" t="str">
        <f>_xlfn.XLOOKUP(Table2[[#This Row],[Column3]],Sheet1!G:G,Sheet1!H:H)</f>
        <v>Technology</v>
      </c>
      <c r="X366" s="195"/>
      <c r="Y366" s="195"/>
    </row>
    <row r="367" spans="1:25">
      <c r="A367" s="194" t="s">
        <v>621</v>
      </c>
      <c r="B367" s="68">
        <v>324</v>
      </c>
      <c r="C367" s="68" t="s">
        <v>3277</v>
      </c>
      <c r="D367" s="77" t="s">
        <v>4465</v>
      </c>
      <c r="E367" s="75"/>
      <c r="H367" s="75"/>
      <c r="K367" s="75"/>
      <c r="M367" s="76"/>
      <c r="N367" s="76"/>
      <c r="P367" s="75"/>
      <c r="U367" s="75" t="s">
        <v>1</v>
      </c>
      <c r="V367" s="195" t="str" cm="1">
        <f t="array" ref="V367">_xlfn.IFS(
  C367="United States","North America",
  C367="Canada","North America",
  C367="Mexico","North America",
  C367="Bermuda","North America",
  C367="United Kingdom","Europe",
  C367="Germany","Europe",
  C367="France","Europe",
  C367="Italy","Europe",
  C367="Switzerland","Europe",
  C367="Spain","Europe",
  C367="Netherlands","Europe",
  C367="Sweden","Europe",
  C367="Norway","Europe",
  C367="Finland","Europe",
  C367="Denmark","Europe",
  C367="Russia","Europe",
  C367="China","Asia",
  C367="Japan","Asia",
  C367="Taiwan, Province of China","Asia",
  C367="Hong Kong","Asia",
  C367="South Korea","Asia",
  C367="India","Asia",
  C367="Singapore","Asia",
  C367="Thailand","Asia",
  C367="Indonesia","Asia",
  C367="Malaysia","Asia",
  TRUE,"Other"
)</f>
        <v>Asia</v>
      </c>
      <c r="W367" s="195" t="str">
        <f>_xlfn.XLOOKUP(Table2[[#This Row],[Column3]],Sheet1!G:G,Sheet1!H:H)</f>
        <v>Financial services</v>
      </c>
      <c r="X367" s="195"/>
      <c r="Y367" s="195"/>
    </row>
    <row r="368" spans="1:25">
      <c r="A368" s="194" t="s">
        <v>86</v>
      </c>
      <c r="B368" s="68">
        <v>348</v>
      </c>
      <c r="C368" s="68" t="s">
        <v>87</v>
      </c>
      <c r="D368" s="77" t="s">
        <v>4260</v>
      </c>
      <c r="E368" s="75"/>
      <c r="H368" s="75"/>
      <c r="K368" s="75"/>
      <c r="M368" s="76"/>
      <c r="N368" s="76"/>
      <c r="P368" s="75"/>
      <c r="U368" s="75" t="s">
        <v>1</v>
      </c>
      <c r="V368" s="195" t="str" cm="1">
        <f t="array" ref="V368">_xlfn.IFS(
  C368="United States","North America",
  C368="Canada","North America",
  C368="Mexico","North America",
  C368="Bermuda","North America",
  C368="United Kingdom","Europe",
  C368="Germany","Europe",
  C368="France","Europe",
  C368="Italy","Europe",
  C368="Switzerland","Europe",
  C368="Spain","Europe",
  C368="Netherlands","Europe",
  C368="Sweden","Europe",
  C368="Norway","Europe",
  C368="Finland","Europe",
  C368="Denmark","Europe",
  C368="Russia","Europe",
  C368="China","Asia",
  C368="Japan","Asia",
  C368="Taiwan, Province of China","Asia",
  C368="Hong Kong","Asia",
  C368="South Korea","Asia",
  C368="India","Asia",
  C368="Singapore","Asia",
  C368="Thailand","Asia",
  C368="Indonesia","Asia",
  C368="Malaysia","Asia",
  TRUE,"Other"
)</f>
        <v>Asia</v>
      </c>
      <c r="W368" s="195" t="str">
        <f>_xlfn.XLOOKUP(Table2[[#This Row],[Column3]],Sheet1!G:G,Sheet1!H:H)</f>
        <v>Aerospace and defense</v>
      </c>
      <c r="X368" s="195"/>
      <c r="Y368" s="195"/>
    </row>
    <row r="369" spans="1:25">
      <c r="A369" s="194" t="s">
        <v>2576</v>
      </c>
      <c r="B369" s="68">
        <v>183</v>
      </c>
      <c r="C369" s="68" t="s">
        <v>82</v>
      </c>
      <c r="D369" s="77" t="s">
        <v>3498</v>
      </c>
      <c r="E369" s="75"/>
      <c r="H369" s="75"/>
      <c r="K369" s="75"/>
      <c r="M369" s="76"/>
      <c r="N369" s="76"/>
      <c r="P369" s="75"/>
      <c r="U369" s="75" t="s">
        <v>1</v>
      </c>
      <c r="V369" s="195" t="str" cm="1">
        <f t="array" ref="V369">_xlfn.IFS(
  C369="United States","North America",
  C369="Canada","North America",
  C369="Mexico","North America",
  C369="Bermuda","North America",
  C369="United Kingdom","Europe",
  C369="Germany","Europe",
  C369="France","Europe",
  C369="Italy","Europe",
  C369="Switzerland","Europe",
  C369="Spain","Europe",
  C369="Netherlands","Europe",
  C369="Sweden","Europe",
  C369="Norway","Europe",
  C369="Finland","Europe",
  C369="Denmark","Europe",
  C369="Russia","Europe",
  C369="China","Asia",
  C369="Japan","Asia",
  C369="Taiwan, Province of China","Asia",
  C369="Hong Kong","Asia",
  C369="South Korea","Asia",
  C369="India","Asia",
  C369="Singapore","Asia",
  C369="Thailand","Asia",
  C369="Indonesia","Asia",
  C369="Malaysia","Asia",
  TRUE,"Other"
)</f>
        <v>North America</v>
      </c>
      <c r="W369" s="195" t="str">
        <f>_xlfn.XLOOKUP(Table2[[#This Row],[Column3]],Sheet1!G:G,Sheet1!H:H)</f>
        <v>Oil and gas</v>
      </c>
      <c r="X369" s="195"/>
      <c r="Y369" s="195"/>
    </row>
    <row r="370" spans="1:25" ht="16">
      <c r="A370" s="194" t="s">
        <v>1505</v>
      </c>
      <c r="B370" s="68">
        <v>155</v>
      </c>
      <c r="C370" s="68" t="s">
        <v>87</v>
      </c>
      <c r="D370" s="77" t="s">
        <v>4476</v>
      </c>
      <c r="E370" s="75"/>
      <c r="H370" s="75"/>
      <c r="K370" s="75"/>
      <c r="M370" s="76"/>
      <c r="N370" s="76"/>
      <c r="P370" s="75" t="s">
        <v>2082</v>
      </c>
      <c r="R370" s="68">
        <v>2035</v>
      </c>
      <c r="S370" s="68">
        <v>2021</v>
      </c>
      <c r="T370" s="78" t="s">
        <v>4170</v>
      </c>
      <c r="U370" s="75" t="s">
        <v>1</v>
      </c>
      <c r="V370" s="195" t="str" cm="1">
        <f t="array" ref="V370">_xlfn.IFS(
  C370="United States","North America",
  C370="Canada","North America",
  C370="Mexico","North America",
  C370="Bermuda","North America",
  C370="United Kingdom","Europe",
  C370="Germany","Europe",
  C370="France","Europe",
  C370="Italy","Europe",
  C370="Switzerland","Europe",
  C370="Spain","Europe",
  C370="Netherlands","Europe",
  C370="Sweden","Europe",
  C370="Norway","Europe",
  C370="Finland","Europe",
  C370="Denmark","Europe",
  C370="Russia","Europe",
  C370="China","Asia",
  C370="Japan","Asia",
  C370="Taiwan, Province of China","Asia",
  C370="Hong Kong","Asia",
  C370="South Korea","Asia",
  C370="India","Asia",
  C370="Singapore","Asia",
  C370="Thailand","Asia",
  C370="Indonesia","Asia",
  C370="Malaysia","Asia",
  TRUE,"Other"
)</f>
        <v>Asia</v>
      </c>
      <c r="W370" s="195" t="str">
        <f>_xlfn.XLOOKUP(Table2[[#This Row],[Column3]],Sheet1!G:G,Sheet1!H:H)</f>
        <v>Automotive</v>
      </c>
      <c r="X370" s="195"/>
      <c r="Y370" s="195"/>
    </row>
    <row r="371" spans="1:25" ht="16">
      <c r="A371" s="194" t="s">
        <v>1354</v>
      </c>
      <c r="B371" s="68">
        <v>219</v>
      </c>
      <c r="C371" s="68" t="s">
        <v>63</v>
      </c>
      <c r="D371" s="77" t="s">
        <v>3498</v>
      </c>
      <c r="E371" s="75"/>
      <c r="H371" s="75" t="s">
        <v>4183</v>
      </c>
      <c r="I371" s="68">
        <v>2030</v>
      </c>
      <c r="J371" s="68">
        <v>2019</v>
      </c>
      <c r="K371" s="75" t="s">
        <v>1957</v>
      </c>
      <c r="L371" s="68" t="s">
        <v>1951</v>
      </c>
      <c r="M371" s="76">
        <v>2040</v>
      </c>
      <c r="N371" s="76">
        <v>2021</v>
      </c>
      <c r="O371" s="78" t="s">
        <v>4170</v>
      </c>
      <c r="P371" s="75"/>
      <c r="U371" s="75" t="s">
        <v>361</v>
      </c>
      <c r="V371" s="195" t="str" cm="1">
        <f t="array" ref="V371">_xlfn.IFS(
  C371="United States","North America",
  C371="Canada","North America",
  C371="Mexico","North America",
  C371="Bermuda","North America",
  C371="United Kingdom","Europe",
  C371="Germany","Europe",
  C371="France","Europe",
  C371="Italy","Europe",
  C371="Switzerland","Europe",
  C371="Spain","Europe",
  C371="Netherlands","Europe",
  C371="Sweden","Europe",
  C371="Norway","Europe",
  C371="Finland","Europe",
  C371="Denmark","Europe",
  C371="Russia","Europe",
  C371="China","Asia",
  C371="Japan","Asia",
  C371="Taiwan, Province of China","Asia",
  C371="Hong Kong","Asia",
  C371="South Korea","Asia",
  C371="India","Asia",
  C371="Singapore","Asia",
  C371="Thailand","Asia",
  C371="Indonesia","Asia",
  C371="Malaysia","Asia",
  TRUE,"Other"
)</f>
        <v>Europe</v>
      </c>
      <c r="W371" s="195" t="str">
        <f>_xlfn.XLOOKUP(Table2[[#This Row],[Column3]],Sheet1!G:G,Sheet1!H:H)</f>
        <v>Oil and gas</v>
      </c>
      <c r="X371" s="195"/>
      <c r="Y371" s="195"/>
    </row>
    <row r="372" spans="1:25">
      <c r="A372" s="194" t="s">
        <v>1161</v>
      </c>
      <c r="B372" s="68">
        <v>381</v>
      </c>
      <c r="C372" s="68" t="s">
        <v>267</v>
      </c>
      <c r="D372" s="77" t="s">
        <v>4459</v>
      </c>
      <c r="E372" s="75"/>
      <c r="H372" s="75"/>
      <c r="K372" s="75"/>
      <c r="M372" s="76"/>
      <c r="N372" s="76"/>
      <c r="P372" s="75" t="s">
        <v>4217</v>
      </c>
      <c r="Q372" s="68" t="s">
        <v>4259</v>
      </c>
      <c r="R372" s="68">
        <v>2050</v>
      </c>
      <c r="S372" s="68">
        <v>2019</v>
      </c>
      <c r="T372" s="79" t="s">
        <v>4170</v>
      </c>
      <c r="U372" s="75" t="s">
        <v>1</v>
      </c>
      <c r="V372" s="195" t="str" cm="1">
        <f t="array" ref="V372">_xlfn.IFS(
  C372="United States","North America",
  C372="Canada","North America",
  C372="Mexico","North America",
  C372="Bermuda","North America",
  C372="United Kingdom","Europe",
  C372="Germany","Europe",
  C372="France","Europe",
  C372="Italy","Europe",
  C372="Switzerland","Europe",
  C372="Spain","Europe",
  C372="Netherlands","Europe",
  C372="Sweden","Europe",
  C372="Norway","Europe",
  C372="Finland","Europe",
  C372="Denmark","Europe",
  C372="Russia","Europe",
  C372="China","Asia",
  C372="Japan","Asia",
  C372="Taiwan, Province of China","Asia",
  C372="Hong Kong","Asia",
  C372="South Korea","Asia",
  C372="India","Asia",
  C372="Singapore","Asia",
  C372="Thailand","Asia",
  C372="Indonesia","Asia",
  C372="Malaysia","Asia",
  TRUE,"Other"
)</f>
        <v>Europe</v>
      </c>
      <c r="W372" s="195" t="str">
        <f>_xlfn.XLOOKUP(Table2[[#This Row],[Column3]],Sheet1!G:G,Sheet1!H:H)</f>
        <v>Industrial goods</v>
      </c>
      <c r="X372" s="195"/>
      <c r="Y372" s="195"/>
    </row>
    <row r="373" spans="1:25" ht="16">
      <c r="A373" s="194" t="s">
        <v>819</v>
      </c>
      <c r="B373" s="68">
        <v>256</v>
      </c>
      <c r="C373" s="68" t="s">
        <v>4195</v>
      </c>
      <c r="D373" s="77" t="s">
        <v>4455</v>
      </c>
      <c r="E373" s="75"/>
      <c r="H373" s="75"/>
      <c r="K373" s="75"/>
      <c r="M373" s="76"/>
      <c r="N373" s="76"/>
      <c r="P373" s="75" t="s">
        <v>4217</v>
      </c>
      <c r="Q373" s="68" t="s">
        <v>4258</v>
      </c>
      <c r="R373" s="81">
        <v>2050</v>
      </c>
      <c r="S373" s="68">
        <v>2020</v>
      </c>
      <c r="T373" s="85" t="s">
        <v>4170</v>
      </c>
      <c r="U373" s="75" t="s">
        <v>1</v>
      </c>
      <c r="V373" s="195" t="str" cm="1">
        <f t="array" ref="V373">_xlfn.IFS(
  C373="United States","North America",
  C373="Canada","North America",
  C373="Mexico","North America",
  C373="Bermuda","North America",
  C373="United Kingdom","Europe",
  C373="Germany","Europe",
  C373="France","Europe",
  C373="Italy","Europe",
  C373="Switzerland","Europe",
  C373="Spain","Europe",
  C373="Netherlands","Europe",
  C373="Sweden","Europe",
  C373="Norway","Europe",
  C373="Finland","Europe",
  C373="Denmark","Europe",
  C373="Russia","Europe",
  C373="China","Asia",
  C373="Japan","Asia",
  C373="Taiwan, Province of China","Asia",
  C373="Hong Kong","Asia",
  C373="South Korea","Asia",
  C373="India","Asia",
  C373="Singapore","Asia",
  C373="Thailand","Asia",
  C373="Indonesia","Asia",
  C373="Malaysia","Asia",
  TRUE,"Other"
)</f>
        <v>Europe</v>
      </c>
      <c r="W373" s="195" t="str">
        <f>_xlfn.XLOOKUP(Table2[[#This Row],[Column3]],Sheet1!G:G,Sheet1!H:H)</f>
        <v>Food, beverages and agriculture</v>
      </c>
      <c r="X373" s="195"/>
      <c r="Y373" s="195"/>
    </row>
    <row r="374" spans="1:25">
      <c r="A374" s="194" t="s">
        <v>4257</v>
      </c>
      <c r="B374" s="68">
        <v>500</v>
      </c>
      <c r="C374" s="68" t="s">
        <v>82</v>
      </c>
      <c r="D374" s="77" t="s">
        <v>4201</v>
      </c>
      <c r="E374" s="75"/>
      <c r="H374" s="75"/>
      <c r="K374" s="75"/>
      <c r="M374" s="76"/>
      <c r="N374" s="76"/>
      <c r="P374" s="75"/>
      <c r="U374" s="75" t="s">
        <v>1</v>
      </c>
      <c r="V374" s="195" t="str" cm="1">
        <f t="array" ref="V374">_xlfn.IFS(
  C374="United States","North America",
  C374="Canada","North America",
  C374="Mexico","North America",
  C374="Bermuda","North America",
  C374="United Kingdom","Europe",
  C374="Germany","Europe",
  C374="France","Europe",
  C374="Italy","Europe",
  C374="Switzerland","Europe",
  C374="Spain","Europe",
  C374="Netherlands","Europe",
  C374="Sweden","Europe",
  C374="Norway","Europe",
  C374="Finland","Europe",
  C374="Denmark","Europe",
  C374="Russia","Europe",
  C374="China","Asia",
  C374="Japan","Asia",
  C374="Taiwan, Province of China","Asia",
  C374="Hong Kong","Asia",
  C374="South Korea","Asia",
  C374="India","Asia",
  C374="Singapore","Asia",
  C374="Thailand","Asia",
  C374="Indonesia","Asia",
  C374="Malaysia","Asia",
  TRUE,"Other"
)</f>
        <v>North America</v>
      </c>
      <c r="W374" s="195" t="str">
        <f>_xlfn.XLOOKUP(Table2[[#This Row],[Column3]],Sheet1!G:G,Sheet1!H:H)</f>
        <v>Health care and pharmaceuticals</v>
      </c>
      <c r="X374" s="195"/>
      <c r="Y374" s="195"/>
    </row>
    <row r="375" spans="1:25" ht="16">
      <c r="A375" s="194" t="s">
        <v>1285</v>
      </c>
      <c r="B375" s="68">
        <v>147</v>
      </c>
      <c r="C375" s="68" t="s">
        <v>287</v>
      </c>
      <c r="D375" s="77" t="s">
        <v>3498</v>
      </c>
      <c r="E375" s="75"/>
      <c r="H375" s="75"/>
      <c r="K375" s="75"/>
      <c r="M375" s="76"/>
      <c r="N375" s="76"/>
      <c r="P375" s="75" t="s">
        <v>4256</v>
      </c>
      <c r="Q375" s="68" t="s">
        <v>4255</v>
      </c>
      <c r="R375" s="68">
        <v>2050</v>
      </c>
      <c r="S375" s="68">
        <v>2018</v>
      </c>
      <c r="T375" s="78" t="s">
        <v>4170</v>
      </c>
      <c r="U375" s="75" t="s">
        <v>1</v>
      </c>
      <c r="V375" s="195" t="str" cm="1">
        <f t="array" ref="V375">_xlfn.IFS(
  C375="United States","North America",
  C375="Canada","North America",
  C375="Mexico","North America",
  C375="Bermuda","North America",
  C375="United Kingdom","Europe",
  C375="Germany","Europe",
  C375="France","Europe",
  C375="Italy","Europe",
  C375="Switzerland","Europe",
  C375="Spain","Europe",
  C375="Netherlands","Europe",
  C375="Sweden","Europe",
  C375="Norway","Europe",
  C375="Finland","Europe",
  C375="Denmark","Europe",
  C375="Russia","Europe",
  C375="China","Asia",
  C375="Japan","Asia",
  C375="Taiwan, Province of China","Asia",
  C375="Hong Kong","Asia",
  C375="South Korea","Asia",
  C375="India","Asia",
  C375="Singapore","Asia",
  C375="Thailand","Asia",
  C375="Indonesia","Asia",
  C375="Malaysia","Asia",
  TRUE,"Other"
)</f>
        <v>Europe</v>
      </c>
      <c r="W375" s="195" t="str">
        <f>_xlfn.XLOOKUP(Table2[[#This Row],[Column3]],Sheet1!G:G,Sheet1!H:H)</f>
        <v>Oil and gas</v>
      </c>
      <c r="X375" s="195"/>
      <c r="Y375" s="195"/>
    </row>
    <row r="376" spans="1:25">
      <c r="A376" s="194" t="s">
        <v>1595</v>
      </c>
      <c r="B376" s="68">
        <v>195</v>
      </c>
      <c r="C376" s="68" t="s">
        <v>972</v>
      </c>
      <c r="D376" s="77" t="s">
        <v>4455</v>
      </c>
      <c r="E376" s="75"/>
      <c r="H376" s="75"/>
      <c r="K376" s="75"/>
      <c r="M376" s="76"/>
      <c r="N376" s="76"/>
      <c r="P376" s="75"/>
      <c r="U376" s="75" t="s">
        <v>1</v>
      </c>
      <c r="V376" s="195" t="str" cm="1">
        <f t="array" ref="V376">_xlfn.IFS(
  C376="United States","North America",
  C376="Canada","North America",
  C376="Mexico","North America",
  C376="Bermuda","North America",
  C376="United Kingdom","Europe",
  C376="Germany","Europe",
  C376="France","Europe",
  C376="Italy","Europe",
  C376="Switzerland","Europe",
  C376="Spain","Europe",
  C376="Netherlands","Europe",
  C376="Sweden","Europe",
  C376="Norway","Europe",
  C376="Finland","Europe",
  C376="Denmark","Europe",
  C376="Russia","Europe",
  C376="China","Asia",
  C376="Japan","Asia",
  C376="Taiwan, Province of China","Asia",
  C376="Hong Kong","Asia",
  C376="South Korea","Asia",
  C376="India","Asia",
  C376="Singapore","Asia",
  C376="Thailand","Asia",
  C376="Indonesia","Asia",
  C376="Malaysia","Asia",
  TRUE,"Other"
)</f>
        <v>Europe</v>
      </c>
      <c r="W376" s="195" t="str">
        <f>_xlfn.XLOOKUP(Table2[[#This Row],[Column3]],Sheet1!G:G,Sheet1!H:H)</f>
        <v>Food, beverages and agriculture</v>
      </c>
      <c r="X376" s="195"/>
      <c r="Y376" s="195"/>
    </row>
    <row r="377" spans="1:25">
      <c r="A377" s="194" t="s">
        <v>1414</v>
      </c>
      <c r="B377" s="68">
        <v>87</v>
      </c>
      <c r="C377" s="68" t="s">
        <v>96</v>
      </c>
      <c r="D377" s="77" t="s">
        <v>4465</v>
      </c>
      <c r="E377" s="75"/>
      <c r="H377" s="75" t="s">
        <v>4183</v>
      </c>
      <c r="I377" s="68">
        <v>2030</v>
      </c>
      <c r="J377" s="68">
        <v>2020</v>
      </c>
      <c r="K377" s="75"/>
      <c r="M377" s="76"/>
      <c r="N377" s="76"/>
      <c r="P377" s="75" t="s">
        <v>1957</v>
      </c>
      <c r="Q377" s="68" t="s">
        <v>4223</v>
      </c>
      <c r="R377" s="68">
        <v>2050</v>
      </c>
      <c r="S377" s="68">
        <v>2020</v>
      </c>
      <c r="T377" s="79" t="s">
        <v>4170</v>
      </c>
      <c r="U377" s="75" t="s">
        <v>361</v>
      </c>
      <c r="V377" s="195" t="str" cm="1">
        <f t="array" ref="V377">_xlfn.IFS(
  C377="United States","North America",
  C377="Canada","North America",
  C377="Mexico","North America",
  C377="Bermuda","North America",
  C377="United Kingdom","Europe",
  C377="Germany","Europe",
  C377="France","Europe",
  C377="Italy","Europe",
  C377="Switzerland","Europe",
  C377="Spain","Europe",
  C377="Netherlands","Europe",
  C377="Sweden","Europe",
  C377="Norway","Europe",
  C377="Finland","Europe",
  C377="Denmark","Europe",
  C377="Russia","Europe",
  C377="China","Asia",
  C377="Japan","Asia",
  C377="Taiwan, Province of China","Asia",
  C377="Hong Kong","Asia",
  C377="South Korea","Asia",
  C377="India","Asia",
  C377="Singapore","Asia",
  C377="Thailand","Asia",
  C377="Indonesia","Asia",
  C377="Malaysia","Asia",
  TRUE,"Other"
)</f>
        <v>Europe</v>
      </c>
      <c r="W377" s="195" t="str">
        <f>_xlfn.XLOOKUP(Table2[[#This Row],[Column3]],Sheet1!G:G,Sheet1!H:H)</f>
        <v>Financial services</v>
      </c>
      <c r="X377" s="195"/>
      <c r="Y377" s="195"/>
    </row>
    <row r="378" spans="1:25" ht="16">
      <c r="A378" s="194" t="s">
        <v>969</v>
      </c>
      <c r="B378" s="68">
        <v>250</v>
      </c>
      <c r="C378" s="68" t="s">
        <v>78</v>
      </c>
      <c r="D378" s="77" t="s">
        <v>3498</v>
      </c>
      <c r="E378" s="75"/>
      <c r="H378" s="75"/>
      <c r="K378" s="75" t="s">
        <v>1957</v>
      </c>
      <c r="L378" s="68" t="s">
        <v>160</v>
      </c>
      <c r="M378" s="76">
        <v>2017</v>
      </c>
      <c r="N378" s="76">
        <v>2017</v>
      </c>
      <c r="O378" s="79" t="s">
        <v>4170</v>
      </c>
      <c r="P378" s="75" t="s">
        <v>4217</v>
      </c>
      <c r="Q378" s="68" t="s">
        <v>4254</v>
      </c>
      <c r="R378" s="68">
        <v>2050</v>
      </c>
      <c r="S378" s="68">
        <v>2021</v>
      </c>
      <c r="T378" s="78" t="s">
        <v>4170</v>
      </c>
      <c r="U378" s="75" t="s">
        <v>361</v>
      </c>
      <c r="V378" s="195" t="str" cm="1">
        <f t="array" ref="V378">_xlfn.IFS(
  C378="United States","North America",
  C378="Canada","North America",
  C378="Mexico","North America",
  C378="Bermuda","North America",
  C378="United Kingdom","Europe",
  C378="Germany","Europe",
  C378="France","Europe",
  C378="Italy","Europe",
  C378="Switzerland","Europe",
  C378="Spain","Europe",
  C378="Netherlands","Europe",
  C378="Sweden","Europe",
  C378="Norway","Europe",
  C378="Finland","Europe",
  C378="Denmark","Europe",
  C378="Russia","Europe",
  C378="China","Asia",
  C378="Japan","Asia",
  C378="Taiwan, Province of China","Asia",
  C378="Hong Kong","Asia",
  C378="South Korea","Asia",
  C378="India","Asia",
  C378="Singapore","Asia",
  C378="Thailand","Asia",
  C378="Indonesia","Asia",
  C378="Malaysia","Asia",
  TRUE,"Other"
)</f>
        <v>North America</v>
      </c>
      <c r="W378" s="195" t="str">
        <f>_xlfn.XLOOKUP(Table2[[#This Row],[Column3]],Sheet1!G:G,Sheet1!H:H)</f>
        <v>Oil and gas</v>
      </c>
      <c r="X378" s="195"/>
      <c r="Y378" s="195"/>
    </row>
    <row r="379" spans="1:25">
      <c r="A379" s="194" t="s">
        <v>1882</v>
      </c>
      <c r="B379" s="68">
        <v>19</v>
      </c>
      <c r="C379" s="68" t="s">
        <v>96</v>
      </c>
      <c r="D379" s="77" t="s">
        <v>4476</v>
      </c>
      <c r="E379" s="75"/>
      <c r="H379" s="75"/>
      <c r="K379" s="75"/>
      <c r="M379" s="76"/>
      <c r="N379" s="76"/>
      <c r="P379" s="75" t="s">
        <v>4217</v>
      </c>
      <c r="Q379" s="68" t="s">
        <v>4253</v>
      </c>
      <c r="R379" s="68">
        <v>2050</v>
      </c>
      <c r="S379" s="68">
        <v>2020</v>
      </c>
      <c r="T379" s="80" t="s">
        <v>4170</v>
      </c>
      <c r="U379" s="75" t="s">
        <v>1</v>
      </c>
      <c r="V379" s="195" t="str" cm="1">
        <f t="array" ref="V379">_xlfn.IFS(
  C379="United States","North America",
  C379="Canada","North America",
  C379="Mexico","North America",
  C379="Bermuda","North America",
  C379="United Kingdom","Europe",
  C379="Germany","Europe",
  C379="France","Europe",
  C379="Italy","Europe",
  C379="Switzerland","Europe",
  C379="Spain","Europe",
  C379="Netherlands","Europe",
  C379="Sweden","Europe",
  C379="Norway","Europe",
  C379="Finland","Europe",
  C379="Denmark","Europe",
  C379="Russia","Europe",
  C379="China","Asia",
  C379="Japan","Asia",
  C379="Taiwan, Province of China","Asia",
  C379="Hong Kong","Asia",
  C379="South Korea","Asia",
  C379="India","Asia",
  C379="Singapore","Asia",
  C379="Thailand","Asia",
  C379="Indonesia","Asia",
  C379="Malaysia","Asia",
  TRUE,"Other"
)</f>
        <v>Europe</v>
      </c>
      <c r="W379" s="195" t="str">
        <f>_xlfn.XLOOKUP(Table2[[#This Row],[Column3]],Sheet1!G:G,Sheet1!H:H)</f>
        <v>Automotive</v>
      </c>
      <c r="X379" s="195"/>
      <c r="Y379" s="195"/>
    </row>
    <row r="380" spans="1:25">
      <c r="A380" s="194" t="s">
        <v>1754</v>
      </c>
      <c r="B380" s="68">
        <v>60</v>
      </c>
      <c r="C380" s="68" t="s">
        <v>73</v>
      </c>
      <c r="D380" s="77" t="s">
        <v>4459</v>
      </c>
      <c r="E380" s="75"/>
      <c r="H380" s="75"/>
      <c r="K380" s="75"/>
      <c r="M380" s="76"/>
      <c r="N380" s="76"/>
      <c r="P380" s="75"/>
      <c r="U380" s="75" t="s">
        <v>1</v>
      </c>
      <c r="V380" s="195" t="str" cm="1">
        <f t="array" ref="V380">_xlfn.IFS(
  C380="United States","North America",
  C380="Canada","North America",
  C380="Mexico","North America",
  C380="Bermuda","North America",
  C380="United Kingdom","Europe",
  C380="Germany","Europe",
  C380="France","Europe",
  C380="Italy","Europe",
  C380="Switzerland","Europe",
  C380="Spain","Europe",
  C380="Netherlands","Europe",
  C380="Sweden","Europe",
  C380="Norway","Europe",
  C380="Finland","Europe",
  C380="Denmark","Europe",
  C380="Russia","Europe",
  C380="China","Asia",
  C380="Japan","Asia",
  C380="Taiwan, Province of China","Asia",
  C380="Hong Kong","Asia",
  C380="South Korea","Asia",
  C380="India","Asia",
  C380="Singapore","Asia",
  C380="Thailand","Asia",
  C380="Indonesia","Asia",
  C380="Malaysia","Asia",
  TRUE,"Other"
)</f>
        <v>Asia</v>
      </c>
      <c r="W380" s="195" t="str">
        <f>_xlfn.XLOOKUP(Table2[[#This Row],[Column3]],Sheet1!G:G,Sheet1!H:H)</f>
        <v>Industrial goods</v>
      </c>
      <c r="X380" s="195"/>
      <c r="Y380" s="195"/>
    </row>
    <row r="381" spans="1:25" ht="16">
      <c r="A381" s="194" t="s">
        <v>1074</v>
      </c>
      <c r="B381" s="68">
        <v>266</v>
      </c>
      <c r="C381" s="68" t="s">
        <v>63</v>
      </c>
      <c r="D381" s="77" t="s">
        <v>4465</v>
      </c>
      <c r="E381" s="75"/>
      <c r="H381" s="75" t="s">
        <v>4183</v>
      </c>
      <c r="I381" s="68">
        <v>2030</v>
      </c>
      <c r="J381" s="68">
        <v>2020</v>
      </c>
      <c r="K381" s="75" t="s">
        <v>1957</v>
      </c>
      <c r="L381" s="68" t="s">
        <v>4252</v>
      </c>
      <c r="M381" s="76">
        <v>2050</v>
      </c>
      <c r="N381" s="76">
        <v>2019</v>
      </c>
      <c r="O381" s="78" t="s">
        <v>4170</v>
      </c>
      <c r="P381" s="75"/>
      <c r="U381" s="75" t="s">
        <v>361</v>
      </c>
      <c r="V381" s="195" t="str" cm="1">
        <f t="array" ref="V381">_xlfn.IFS(
  C381="United States","North America",
  C381="Canada","North America",
  C381="Mexico","North America",
  C381="Bermuda","North America",
  C381="United Kingdom","Europe",
  C381="Germany","Europe",
  C381="France","Europe",
  C381="Italy","Europe",
  C381="Switzerland","Europe",
  C381="Spain","Europe",
  C381="Netherlands","Europe",
  C381="Sweden","Europe",
  C381="Norway","Europe",
  C381="Finland","Europe",
  C381="Denmark","Europe",
  C381="Russia","Europe",
  C381="China","Asia",
  C381="Japan","Asia",
  C381="Taiwan, Province of China","Asia",
  C381="Hong Kong","Asia",
  C381="South Korea","Asia",
  C381="India","Asia",
  C381="Singapore","Asia",
  C381="Thailand","Asia",
  C381="Indonesia","Asia",
  C381="Malaysia","Asia",
  TRUE,"Other"
)</f>
        <v>Europe</v>
      </c>
      <c r="W381" s="195" t="str">
        <f>_xlfn.XLOOKUP(Table2[[#This Row],[Column3]],Sheet1!G:G,Sheet1!H:H)</f>
        <v>Financial services</v>
      </c>
      <c r="X381" s="195"/>
      <c r="Y381" s="195"/>
    </row>
    <row r="382" spans="1:25">
      <c r="A382" s="194" t="s">
        <v>300</v>
      </c>
      <c r="B382" s="68">
        <v>473</v>
      </c>
      <c r="C382" s="68" t="s">
        <v>114</v>
      </c>
      <c r="D382" s="77" t="s">
        <v>186</v>
      </c>
      <c r="E382" s="75"/>
      <c r="H382" s="75"/>
      <c r="K382" s="75"/>
      <c r="M382" s="76"/>
      <c r="N382" s="76"/>
      <c r="P382" s="75"/>
      <c r="U382" s="75" t="s">
        <v>1</v>
      </c>
      <c r="V382" s="195" t="str" cm="1">
        <f t="array" ref="V382">_xlfn.IFS(
  C382="United States","North America",
  C382="Canada","North America",
  C382="Mexico","North America",
  C382="Bermuda","North America",
  C382="United Kingdom","Europe",
  C382="Germany","Europe",
  C382="France","Europe",
  C382="Italy","Europe",
  C382="Switzerland","Europe",
  C382="Spain","Europe",
  C382="Netherlands","Europe",
  C382="Sweden","Europe",
  C382="Norway","Europe",
  C382="Finland","Europe",
  C382="Denmark","Europe",
  C382="Russia","Europe",
  C382="China","Asia",
  C382="Japan","Asia",
  C382="Taiwan, Province of China","Asia",
  C382="Hong Kong","Asia",
  C382="South Korea","Asia",
  C382="India","Asia",
  C382="Singapore","Asia",
  C382="Thailand","Asia",
  C382="Indonesia","Asia",
  C382="Malaysia","Asia",
  TRUE,"Other"
)</f>
        <v>Asia</v>
      </c>
      <c r="W382" s="195" t="str">
        <f>_xlfn.XLOOKUP(Table2[[#This Row],[Column3]],Sheet1!G:G,Sheet1!H:H)</f>
        <v>Technology</v>
      </c>
      <c r="X382" s="195"/>
      <c r="Y382" s="195"/>
    </row>
    <row r="383" spans="1:25">
      <c r="A383" s="194" t="s">
        <v>1833</v>
      </c>
      <c r="B383" s="68">
        <v>15</v>
      </c>
      <c r="C383" s="68" t="s">
        <v>114</v>
      </c>
      <c r="D383" s="77" t="s">
        <v>4465</v>
      </c>
      <c r="E383" s="75"/>
      <c r="H383" s="75"/>
      <c r="K383" s="75"/>
      <c r="M383" s="76"/>
      <c r="N383" s="76"/>
      <c r="P383" s="75"/>
      <c r="U383" s="75" t="s">
        <v>1</v>
      </c>
      <c r="V383" s="195" t="str" cm="1">
        <f t="array" ref="V383">_xlfn.IFS(
  C383="United States","North America",
  C383="Canada","North America",
  C383="Mexico","North America",
  C383="Bermuda","North America",
  C383="United Kingdom","Europe",
  C383="Germany","Europe",
  C383="France","Europe",
  C383="Italy","Europe",
  C383="Switzerland","Europe",
  C383="Spain","Europe",
  C383="Netherlands","Europe",
  C383="Sweden","Europe",
  C383="Norway","Europe",
  C383="Finland","Europe",
  C383="Denmark","Europe",
  C383="Russia","Europe",
  C383="China","Asia",
  C383="Japan","Asia",
  C383="Taiwan, Province of China","Asia",
  C383="Hong Kong","Asia",
  C383="South Korea","Asia",
  C383="India","Asia",
  C383="Singapore","Asia",
  C383="Thailand","Asia",
  C383="Indonesia","Asia",
  C383="Malaysia","Asia",
  TRUE,"Other"
)</f>
        <v>Asia</v>
      </c>
      <c r="W383" s="195" t="str">
        <f>_xlfn.XLOOKUP(Table2[[#This Row],[Column3]],Sheet1!G:G,Sheet1!H:H)</f>
        <v>Financial services</v>
      </c>
      <c r="X383" s="195"/>
      <c r="Y383" s="195"/>
    </row>
    <row r="384" spans="1:25">
      <c r="A384" s="194" t="s">
        <v>370</v>
      </c>
      <c r="B384" s="68">
        <v>416</v>
      </c>
      <c r="C384" s="68" t="s">
        <v>114</v>
      </c>
      <c r="D384" s="77" t="s">
        <v>4201</v>
      </c>
      <c r="E384" s="75"/>
      <c r="H384" s="75"/>
      <c r="K384" s="75"/>
      <c r="M384" s="76"/>
      <c r="N384" s="76"/>
      <c r="P384" s="75"/>
      <c r="U384" s="75" t="s">
        <v>1</v>
      </c>
      <c r="V384" s="195" t="str" cm="1">
        <f t="array" ref="V384">_xlfn.IFS(
  C384="United States","North America",
  C384="Canada","North America",
  C384="Mexico","North America",
  C384="Bermuda","North America",
  C384="United Kingdom","Europe",
  C384="Germany","Europe",
  C384="France","Europe",
  C384="Italy","Europe",
  C384="Switzerland","Europe",
  C384="Spain","Europe",
  C384="Netherlands","Europe",
  C384="Sweden","Europe",
  C384="Norway","Europe",
  C384="Finland","Europe",
  C384="Denmark","Europe",
  C384="Russia","Europe",
  C384="China","Asia",
  C384="Japan","Asia",
  C384="Taiwan, Province of China","Asia",
  C384="Hong Kong","Asia",
  C384="South Korea","Asia",
  C384="India","Asia",
  C384="Singapore","Asia",
  C384="Thailand","Asia",
  C384="Indonesia","Asia",
  C384="Malaysia","Asia",
  TRUE,"Other"
)</f>
        <v>Asia</v>
      </c>
      <c r="W384" s="195" t="str">
        <f>_xlfn.XLOOKUP(Table2[[#This Row],[Column3]],Sheet1!G:G,Sheet1!H:H)</f>
        <v>Health care and pharmaceuticals</v>
      </c>
      <c r="X384" s="195"/>
      <c r="Y384" s="195"/>
    </row>
    <row r="385" spans="1:25">
      <c r="A385" s="194" t="s">
        <v>880</v>
      </c>
      <c r="B385" s="68">
        <v>276</v>
      </c>
      <c r="C385" s="68" t="s">
        <v>63</v>
      </c>
      <c r="D385" s="77" t="s">
        <v>186</v>
      </c>
      <c r="E385" s="75" t="s">
        <v>4174</v>
      </c>
      <c r="F385" s="68">
        <v>2030</v>
      </c>
      <c r="G385" s="68">
        <v>2020</v>
      </c>
      <c r="H385" s="75" t="s">
        <v>4183</v>
      </c>
      <c r="I385" s="68">
        <v>2030</v>
      </c>
      <c r="J385" s="68">
        <v>2020</v>
      </c>
      <c r="K385" s="75" t="s">
        <v>1957</v>
      </c>
      <c r="L385" s="68" t="s">
        <v>4251</v>
      </c>
      <c r="M385" s="76">
        <v>2050</v>
      </c>
      <c r="N385" s="76">
        <v>2021</v>
      </c>
      <c r="O385" s="79" t="s">
        <v>4170</v>
      </c>
      <c r="P385" s="75"/>
      <c r="U385" s="75" t="s">
        <v>361</v>
      </c>
      <c r="V385" s="195" t="str" cm="1">
        <f t="array" ref="V385">_xlfn.IFS(
  C385="United States","North America",
  C385="Canada","North America",
  C385="Mexico","North America",
  C385="Bermuda","North America",
  C385="United Kingdom","Europe",
  C385="Germany","Europe",
  C385="France","Europe",
  C385="Italy","Europe",
  C385="Switzerland","Europe",
  C385="Spain","Europe",
  C385="Netherlands","Europe",
  C385="Sweden","Europe",
  C385="Norway","Europe",
  C385="Finland","Europe",
  C385="Denmark","Europe",
  C385="Russia","Europe",
  C385="China","Asia",
  C385="Japan","Asia",
  C385="Taiwan, Province of China","Asia",
  C385="Hong Kong","Asia",
  C385="South Korea","Asia",
  C385="India","Asia",
  C385="Singapore","Asia",
  C385="Thailand","Asia",
  C385="Indonesia","Asia",
  C385="Malaysia","Asia",
  TRUE,"Other"
)</f>
        <v>Europe</v>
      </c>
      <c r="W385" s="195" t="str">
        <f>_xlfn.XLOOKUP(Table2[[#This Row],[Column3]],Sheet1!G:G,Sheet1!H:H)</f>
        <v>Technology</v>
      </c>
      <c r="X385" s="195"/>
      <c r="Y385" s="195"/>
    </row>
    <row r="386" spans="1:25" ht="16">
      <c r="A386" s="194" t="s">
        <v>362</v>
      </c>
      <c r="B386" s="68">
        <v>395</v>
      </c>
      <c r="C386" s="68" t="s">
        <v>146</v>
      </c>
      <c r="D386" s="77" t="s">
        <v>3498</v>
      </c>
      <c r="E386" s="75" t="s">
        <v>4174</v>
      </c>
      <c r="F386" s="68">
        <v>2014</v>
      </c>
      <c r="G386" s="68">
        <v>2015</v>
      </c>
      <c r="H386" s="75" t="s">
        <v>4183</v>
      </c>
      <c r="I386" s="68">
        <v>2025</v>
      </c>
      <c r="J386" s="68">
        <v>2019</v>
      </c>
      <c r="K386" s="75" t="s">
        <v>1957</v>
      </c>
      <c r="L386" s="68" t="s">
        <v>4250</v>
      </c>
      <c r="M386" s="76">
        <v>2023</v>
      </c>
      <c r="N386" s="76">
        <v>2021</v>
      </c>
      <c r="O386" s="78" t="s">
        <v>4170</v>
      </c>
      <c r="P386" s="75"/>
      <c r="U386" s="75" t="s">
        <v>361</v>
      </c>
      <c r="V386" s="195" t="str" cm="1">
        <f t="array" ref="V386">_xlfn.IFS(
  C386="United States","North America",
  C386="Canada","North America",
  C386="Mexico","North America",
  C386="Bermuda","North America",
  C386="United Kingdom","Europe",
  C386="Germany","Europe",
  C386="France","Europe",
  C386="Italy","Europe",
  C386="Switzerland","Europe",
  C386="Spain","Europe",
  C386="Netherlands","Europe",
  C386="Sweden","Europe",
  C386="Norway","Europe",
  C386="Finland","Europe",
  C386="Denmark","Europe",
  C386="Russia","Europe",
  C386="China","Asia",
  C386="Japan","Asia",
  C386="Taiwan, Province of China","Asia",
  C386="Hong Kong","Asia",
  C386="South Korea","Asia",
  C386="India","Asia",
  C386="Singapore","Asia",
  C386="Thailand","Asia",
  C386="Indonesia","Asia",
  C386="Malaysia","Asia",
  TRUE,"Other"
)</f>
        <v>Europe</v>
      </c>
      <c r="W386" s="195" t="str">
        <f>_xlfn.XLOOKUP(Table2[[#This Row],[Column3]],Sheet1!G:G,Sheet1!H:H)</f>
        <v>Oil and gas</v>
      </c>
      <c r="X386" s="195"/>
      <c r="Y386" s="195"/>
    </row>
    <row r="387" spans="1:25">
      <c r="A387" s="194" t="s">
        <v>1875</v>
      </c>
      <c r="B387" s="68">
        <v>14</v>
      </c>
      <c r="C387" s="68" t="s">
        <v>985</v>
      </c>
      <c r="D387" s="77" t="s">
        <v>4465</v>
      </c>
      <c r="E387" s="75"/>
      <c r="H387" s="75"/>
      <c r="K387" s="75"/>
      <c r="M387" s="76"/>
      <c r="N387" s="76"/>
      <c r="P387" s="75"/>
      <c r="U387" s="75" t="s">
        <v>1</v>
      </c>
      <c r="V387" s="195" t="str" cm="1">
        <f t="array" ref="V387">_xlfn.IFS(
  C387="United States","North America",
  C387="Canada","North America",
  C387="Mexico","North America",
  C387="Bermuda","North America",
  C387="United Kingdom","Europe",
  C387="Germany","Europe",
  C387="France","Europe",
  C387="Italy","Europe",
  C387="Switzerland","Europe",
  C387="Spain","Europe",
  C387="Netherlands","Europe",
  C387="Sweden","Europe",
  C387="Norway","Europe",
  C387="Finland","Europe",
  C387="Denmark","Europe",
  C387="Russia","Europe",
  C387="China","Asia",
  C387="Japan","Asia",
  C387="Taiwan, Province of China","Asia",
  C387="Hong Kong","Asia",
  C387="South Korea","Asia",
  C387="India","Asia",
  C387="Singapore","Asia",
  C387="Thailand","Asia",
  C387="Indonesia","Asia",
  C387="Malaysia","Asia",
  TRUE,"Other"
)</f>
        <v>Other</v>
      </c>
      <c r="W387" s="195" t="str">
        <f>_xlfn.XLOOKUP(Table2[[#This Row],[Column3]],Sheet1!G:G,Sheet1!H:H)</f>
        <v>Financial services</v>
      </c>
      <c r="X387" s="195"/>
      <c r="Y387" s="195"/>
    </row>
    <row r="388" spans="1:25" ht="16">
      <c r="A388" s="194" t="s">
        <v>971</v>
      </c>
      <c r="B388" s="68">
        <v>269</v>
      </c>
      <c r="C388" s="68" t="s">
        <v>972</v>
      </c>
      <c r="D388" s="77" t="s">
        <v>186</v>
      </c>
      <c r="E388" s="75"/>
      <c r="H388" s="75"/>
      <c r="K388" s="75" t="s">
        <v>1957</v>
      </c>
      <c r="L388" s="68" t="s">
        <v>2908</v>
      </c>
      <c r="M388" s="76">
        <v>2030</v>
      </c>
      <c r="N388" s="76">
        <v>2021</v>
      </c>
      <c r="O388" s="78" t="s">
        <v>4170</v>
      </c>
      <c r="P388" s="75"/>
      <c r="U388" s="75" t="s">
        <v>361</v>
      </c>
      <c r="V388" s="195" t="str" cm="1">
        <f t="array" ref="V388">_xlfn.IFS(
  C388="United States","North America",
  C388="Canada","North America",
  C388="Mexico","North America",
  C388="Bermuda","North America",
  C388="United Kingdom","Europe",
  C388="Germany","Europe",
  C388="France","Europe",
  C388="Italy","Europe",
  C388="Switzerland","Europe",
  C388="Spain","Europe",
  C388="Netherlands","Europe",
  C388="Sweden","Europe",
  C388="Norway","Europe",
  C388="Finland","Europe",
  C388="Denmark","Europe",
  C388="Russia","Europe",
  C388="China","Asia",
  C388="Japan","Asia",
  C388="Taiwan, Province of China","Asia",
  C388="Hong Kong","Asia",
  C388="South Korea","Asia",
  C388="India","Asia",
  C388="Singapore","Asia",
  C388="Thailand","Asia",
  C388="Indonesia","Asia",
  C388="Malaysia","Asia",
  TRUE,"Other"
)</f>
        <v>Europe</v>
      </c>
      <c r="W388" s="195" t="str">
        <f>_xlfn.XLOOKUP(Table2[[#This Row],[Column3]],Sheet1!G:G,Sheet1!H:H)</f>
        <v>Technology</v>
      </c>
      <c r="X388" s="195"/>
      <c r="Y388" s="195"/>
    </row>
    <row r="389" spans="1:25" ht="16">
      <c r="A389" s="194" t="s">
        <v>429</v>
      </c>
      <c r="B389" s="68">
        <v>424</v>
      </c>
      <c r="C389" s="68" t="s">
        <v>63</v>
      </c>
      <c r="D389" s="77" t="s">
        <v>4467</v>
      </c>
      <c r="E389" s="75" t="s">
        <v>4174</v>
      </c>
      <c r="F389" s="68">
        <v>2030</v>
      </c>
      <c r="G389" s="68">
        <v>2017</v>
      </c>
      <c r="H389" s="75" t="s">
        <v>4183</v>
      </c>
      <c r="I389" s="68">
        <v>2030</v>
      </c>
      <c r="J389" s="68">
        <v>2019</v>
      </c>
      <c r="K389" s="75" t="s">
        <v>4213</v>
      </c>
      <c r="L389" s="68" t="s">
        <v>4249</v>
      </c>
      <c r="M389" s="76">
        <v>2025</v>
      </c>
      <c r="N389" s="76">
        <v>2020</v>
      </c>
      <c r="O389" s="78" t="s">
        <v>4170</v>
      </c>
      <c r="P389" s="75"/>
      <c r="U389" s="75" t="s">
        <v>361</v>
      </c>
      <c r="V389" s="195" t="str" cm="1">
        <f t="array" ref="V389">_xlfn.IFS(
  C389="United States","North America",
  C389="Canada","North America",
  C389="Mexico","North America",
  C389="Bermuda","North America",
  C389="United Kingdom","Europe",
  C389="Germany","Europe",
  C389="France","Europe",
  C389="Italy","Europe",
  C389="Switzerland","Europe",
  C389="Spain","Europe",
  C389="Netherlands","Europe",
  C389="Sweden","Europe",
  C389="Norway","Europe",
  C389="Finland","Europe",
  C389="Denmark","Europe",
  C389="Russia","Europe",
  C389="China","Asia",
  C389="Japan","Asia",
  C389="Taiwan, Province of China","Asia",
  C389="Hong Kong","Asia",
  C389="South Korea","Asia",
  C389="India","Asia",
  C389="Singapore","Asia",
  C389="Thailand","Asia",
  C389="Indonesia","Asia",
  C389="Malaysia","Asia",
  TRUE,"Other"
)</f>
        <v>Europe</v>
      </c>
      <c r="W389" s="195" t="str">
        <f>_xlfn.XLOOKUP(Table2[[#This Row],[Column3]],Sheet1!G:G,Sheet1!H:H)</f>
        <v>Retail</v>
      </c>
      <c r="X389" s="195"/>
      <c r="Y389" s="195"/>
    </row>
    <row r="390" spans="1:25" ht="16">
      <c r="A390" s="194" t="s">
        <v>1298</v>
      </c>
      <c r="B390" s="68">
        <v>188</v>
      </c>
      <c r="C390" s="68" t="s">
        <v>207</v>
      </c>
      <c r="D390" s="77" t="s">
        <v>3498</v>
      </c>
      <c r="E390" s="75" t="s">
        <v>4174</v>
      </c>
      <c r="F390" s="68">
        <v>2050</v>
      </c>
      <c r="G390" s="68">
        <v>2020</v>
      </c>
      <c r="H390" s="75" t="s">
        <v>1957</v>
      </c>
      <c r="J390" s="68">
        <v>2021</v>
      </c>
      <c r="K390" s="75"/>
      <c r="M390" s="76"/>
      <c r="N390" s="76"/>
      <c r="P390" s="75" t="s">
        <v>1957</v>
      </c>
      <c r="Q390" s="68" t="s">
        <v>4248</v>
      </c>
      <c r="R390" s="68">
        <v>2050</v>
      </c>
      <c r="S390" s="68">
        <v>2020</v>
      </c>
      <c r="T390" s="78" t="s">
        <v>4170</v>
      </c>
      <c r="U390" s="75" t="s">
        <v>361</v>
      </c>
      <c r="V390" s="195" t="str" cm="1">
        <f t="array" ref="V390">_xlfn.IFS(
  C390="United States","North America",
  C390="Canada","North America",
  C390="Mexico","North America",
  C390="Bermuda","North America",
  C390="United Kingdom","Europe",
  C390="Germany","Europe",
  C390="France","Europe",
  C390="Italy","Europe",
  C390="Switzerland","Europe",
  C390="Spain","Europe",
  C390="Netherlands","Europe",
  C390="Sweden","Europe",
  C390="Norway","Europe",
  C390="Finland","Europe",
  C390="Denmark","Europe",
  C390="Russia","Europe",
  C390="China","Asia",
  C390="Japan","Asia",
  C390="Taiwan, Province of China","Asia",
  C390="Hong Kong","Asia",
  C390="South Korea","Asia",
  C390="India","Asia",
  C390="Singapore","Asia",
  C390="Thailand","Asia",
  C390="Indonesia","Asia",
  C390="Malaysia","Asia",
  TRUE,"Other"
)</f>
        <v>Asia</v>
      </c>
      <c r="W390" s="195" t="str">
        <f>_xlfn.XLOOKUP(Table2[[#This Row],[Column3]],Sheet1!G:G,Sheet1!H:H)</f>
        <v>Oil and gas</v>
      </c>
      <c r="X390" s="195"/>
      <c r="Y390" s="195"/>
    </row>
    <row r="391" spans="1:25">
      <c r="A391" s="194" t="s">
        <v>902</v>
      </c>
      <c r="B391" s="68">
        <v>220</v>
      </c>
      <c r="C391" s="68" t="s">
        <v>73</v>
      </c>
      <c r="D391" s="77" t="s">
        <v>3498</v>
      </c>
      <c r="E391" s="75"/>
      <c r="H391" s="75"/>
      <c r="K391" s="75"/>
      <c r="M391" s="76"/>
      <c r="N391" s="76"/>
      <c r="P391" s="75"/>
      <c r="U391" s="75" t="s">
        <v>1</v>
      </c>
      <c r="V391" s="195" t="str" cm="1">
        <f t="array" ref="V391">_xlfn.IFS(
  C391="United States","North America",
  C391="Canada","North America",
  C391="Mexico","North America",
  C391="Bermuda","North America",
  C391="United Kingdom","Europe",
  C391="Germany","Europe",
  C391="France","Europe",
  C391="Italy","Europe",
  C391="Switzerland","Europe",
  C391="Spain","Europe",
  C391="Netherlands","Europe",
  C391="Sweden","Europe",
  C391="Norway","Europe",
  C391="Finland","Europe",
  C391="Denmark","Europe",
  C391="Russia","Europe",
  C391="China","Asia",
  C391="Japan","Asia",
  C391="Taiwan, Province of China","Asia",
  C391="Hong Kong","Asia",
  C391="South Korea","Asia",
  C391="India","Asia",
  C391="Singapore","Asia",
  C391="Thailand","Asia",
  C391="Indonesia","Asia",
  C391="Malaysia","Asia",
  TRUE,"Other"
)</f>
        <v>Asia</v>
      </c>
      <c r="W391" s="195" t="str">
        <f>_xlfn.XLOOKUP(Table2[[#This Row],[Column3]],Sheet1!G:G,Sheet1!H:H)</f>
        <v>Oil and gas</v>
      </c>
      <c r="X391" s="195"/>
      <c r="Y391" s="195"/>
    </row>
    <row r="392" spans="1:25">
      <c r="A392" s="194" t="s">
        <v>952</v>
      </c>
      <c r="B392" s="68">
        <v>234</v>
      </c>
      <c r="C392" s="68" t="s">
        <v>73</v>
      </c>
      <c r="D392" s="77" t="s">
        <v>3498</v>
      </c>
      <c r="E392" s="75"/>
      <c r="H392" s="75"/>
      <c r="K392" s="75"/>
      <c r="M392" s="76"/>
      <c r="N392" s="76"/>
      <c r="P392" s="75"/>
      <c r="U392" s="75" t="s">
        <v>1</v>
      </c>
      <c r="V392" s="195" t="str" cm="1">
        <f t="array" ref="V392">_xlfn.IFS(
  C392="United States","North America",
  C392="Canada","North America",
  C392="Mexico","North America",
  C392="Bermuda","North America",
  C392="United Kingdom","Europe",
  C392="Germany","Europe",
  C392="France","Europe",
  C392="Italy","Europe",
  C392="Switzerland","Europe",
  C392="Spain","Europe",
  C392="Netherlands","Europe",
  C392="Sweden","Europe",
  C392="Norway","Europe",
  C392="Finland","Europe",
  C392="Denmark","Europe",
  C392="Russia","Europe",
  C392="China","Asia",
  C392="Japan","Asia",
  C392="Taiwan, Province of China","Asia",
  C392="Hong Kong","Asia",
  C392="South Korea","Asia",
  C392="India","Asia",
  C392="Singapore","Asia",
  C392="Thailand","Asia",
  C392="Indonesia","Asia",
  C392="Malaysia","Asia",
  TRUE,"Other"
)</f>
        <v>Asia</v>
      </c>
      <c r="W392" s="195" t="str">
        <f>_xlfn.XLOOKUP(Table2[[#This Row],[Column3]],Sheet1!G:G,Sheet1!H:H)</f>
        <v>Oil and gas</v>
      </c>
      <c r="X392" s="195"/>
      <c r="Y392" s="195"/>
    </row>
    <row r="393" spans="1:25">
      <c r="A393" s="194" t="s">
        <v>1128</v>
      </c>
      <c r="B393" s="68">
        <v>70</v>
      </c>
      <c r="C393" s="68" t="s">
        <v>73</v>
      </c>
      <c r="D393" s="77" t="s">
        <v>4459</v>
      </c>
      <c r="E393" s="75"/>
      <c r="H393" s="75"/>
      <c r="K393" s="75"/>
      <c r="M393" s="76"/>
      <c r="N393" s="76"/>
      <c r="P393" s="75"/>
      <c r="U393" s="75" t="s">
        <v>1</v>
      </c>
      <c r="V393" s="195" t="str" cm="1">
        <f t="array" ref="V393">_xlfn.IFS(
  C393="United States","North America",
  C393="Canada","North America",
  C393="Mexico","North America",
  C393="Bermuda","North America",
  C393="United Kingdom","Europe",
  C393="Germany","Europe",
  C393="France","Europe",
  C393="Italy","Europe",
  C393="Switzerland","Europe",
  C393="Spain","Europe",
  C393="Netherlands","Europe",
  C393="Sweden","Europe",
  C393="Norway","Europe",
  C393="Finland","Europe",
  C393="Denmark","Europe",
  C393="Russia","Europe",
  C393="China","Asia",
  C393="Japan","Asia",
  C393="Taiwan, Province of China","Asia",
  C393="Hong Kong","Asia",
  C393="South Korea","Asia",
  C393="India","Asia",
  C393="Singapore","Asia",
  C393="Thailand","Asia",
  C393="Indonesia","Asia",
  C393="Malaysia","Asia",
  TRUE,"Other"
)</f>
        <v>Asia</v>
      </c>
      <c r="W393" s="195" t="str">
        <f>_xlfn.XLOOKUP(Table2[[#This Row],[Column3]],Sheet1!G:G,Sheet1!H:H)</f>
        <v>Industrial goods</v>
      </c>
      <c r="X393" s="195"/>
      <c r="Y393" s="195"/>
    </row>
    <row r="394" spans="1:25">
      <c r="A394" s="194" t="s">
        <v>2454</v>
      </c>
      <c r="B394" s="68">
        <v>384</v>
      </c>
      <c r="C394" s="68" t="s">
        <v>73</v>
      </c>
      <c r="D394" s="77" t="s">
        <v>8318</v>
      </c>
      <c r="E394" s="75"/>
      <c r="H394" s="75"/>
      <c r="K394" s="75"/>
      <c r="M394" s="76"/>
      <c r="N394" s="76"/>
      <c r="P394" s="75"/>
      <c r="U394" s="75" t="s">
        <v>1</v>
      </c>
      <c r="V394" s="195" t="str" cm="1">
        <f t="array" ref="V394">_xlfn.IFS(
  C394="United States","North America",
  C394="Canada","North America",
  C394="Mexico","North America",
  C394="Bermuda","North America",
  C394="United Kingdom","Europe",
  C394="Germany","Europe",
  C394="France","Europe",
  C394="Italy","Europe",
  C394="Switzerland","Europe",
  C394="Spain","Europe",
  C394="Netherlands","Europe",
  C394="Sweden","Europe",
  C394="Norway","Europe",
  C394="Finland","Europe",
  C394="Denmark","Europe",
  C394="Russia","Europe",
  C394="China","Asia",
  C394="Japan","Asia",
  C394="Taiwan, Province of China","Asia",
  C394="Hong Kong","Asia",
  C394="South Korea","Asia",
  C394="India","Asia",
  C394="Singapore","Asia",
  C394="Thailand","Asia",
  C394="Indonesia","Asia",
  C394="Malaysia","Asia",
  TRUE,"Other"
)</f>
        <v>Asia</v>
      </c>
      <c r="W394" s="195" t="str">
        <f>_xlfn.XLOOKUP(Table2[[#This Row],[Column3]],Sheet1!G:G,Sheet1!H:H)</f>
        <v>Retail</v>
      </c>
      <c r="X394" s="195"/>
      <c r="Y394" s="195"/>
    </row>
    <row r="395" spans="1:25">
      <c r="A395" s="194" t="s">
        <v>926</v>
      </c>
      <c r="B395" s="68">
        <v>282</v>
      </c>
      <c r="C395" s="68" t="s">
        <v>78</v>
      </c>
      <c r="D395" s="77" t="s">
        <v>4197</v>
      </c>
      <c r="E395" s="75"/>
      <c r="H395" s="75"/>
      <c r="K395" s="75"/>
      <c r="M395" s="76"/>
      <c r="N395" s="76"/>
      <c r="P395" s="75"/>
      <c r="U395" s="75" t="s">
        <v>1</v>
      </c>
      <c r="V395" s="195" t="str" cm="1">
        <f t="array" ref="V395">_xlfn.IFS(
  C395="United States","North America",
  C395="Canada","North America",
  C395="Mexico","North America",
  C395="Bermuda","North America",
  C395="United Kingdom","Europe",
  C395="Germany","Europe",
  C395="France","Europe",
  C395="Italy","Europe",
  C395="Switzerland","Europe",
  C395="Spain","Europe",
  C395="Netherlands","Europe",
  C395="Sweden","Europe",
  C395="Norway","Europe",
  C395="Finland","Europe",
  C395="Denmark","Europe",
  C395="Russia","Europe",
  C395="China","Asia",
  C395="Japan","Asia",
  C395="Taiwan, Province of China","Asia",
  C395="Hong Kong","Asia",
  C395="South Korea","Asia",
  C395="India","Asia",
  C395="Singapore","Asia",
  C395="Thailand","Asia",
  C395="Indonesia","Asia",
  C395="Malaysia","Asia",
  TRUE,"Other"
)</f>
        <v>North America</v>
      </c>
      <c r="W395" s="195" t="str">
        <f>_xlfn.XLOOKUP(Table2[[#This Row],[Column3]],Sheet1!G:G,Sheet1!H:H)</f>
        <v>Engineering and construction</v>
      </c>
      <c r="X395" s="195"/>
      <c r="Y395" s="195"/>
    </row>
    <row r="396" spans="1:25">
      <c r="A396" s="194" t="s">
        <v>2449</v>
      </c>
      <c r="B396" s="68">
        <v>363</v>
      </c>
      <c r="C396" s="68" t="s">
        <v>73</v>
      </c>
      <c r="D396" s="77" t="s">
        <v>4201</v>
      </c>
      <c r="E396" s="75"/>
      <c r="H396" s="75"/>
      <c r="K396" s="75"/>
      <c r="M396" s="76"/>
      <c r="N396" s="76"/>
      <c r="P396" s="75"/>
      <c r="U396" s="75" t="s">
        <v>1</v>
      </c>
      <c r="V396" s="195" t="str" cm="1">
        <f t="array" ref="V396">_xlfn.IFS(
  C396="United States","North America",
  C396="Canada","North America",
  C396="Mexico","North America",
  C396="Bermuda","North America",
  C396="United Kingdom","Europe",
  C396="Germany","Europe",
  C396="France","Europe",
  C396="Italy","Europe",
  C396="Switzerland","Europe",
  C396="Spain","Europe",
  C396="Netherlands","Europe",
  C396="Sweden","Europe",
  C396="Norway","Europe",
  C396="Finland","Europe",
  C396="Denmark","Europe",
  C396="Russia","Europe",
  C396="China","Asia",
  C396="Japan","Asia",
  C396="Taiwan, Province of China","Asia",
  C396="Hong Kong","Asia",
  C396="South Korea","Asia",
  C396="India","Asia",
  C396="Singapore","Asia",
  C396="Thailand","Asia",
  C396="Indonesia","Asia",
  C396="Malaysia","Asia",
  TRUE,"Other"
)</f>
        <v>Asia</v>
      </c>
      <c r="W396" s="195" t="str">
        <f>_xlfn.XLOOKUP(Table2[[#This Row],[Column3]],Sheet1!G:G,Sheet1!H:H)</f>
        <v>Health care and pharmaceuticals</v>
      </c>
      <c r="X396" s="195"/>
      <c r="Y396" s="195"/>
    </row>
    <row r="397" spans="1:25">
      <c r="A397" s="194" t="s">
        <v>2446</v>
      </c>
      <c r="B397" s="68">
        <v>437</v>
      </c>
      <c r="C397" s="68" t="s">
        <v>73</v>
      </c>
      <c r="D397" s="77" t="s">
        <v>4465</v>
      </c>
      <c r="E397" s="75"/>
      <c r="H397" s="75"/>
      <c r="K397" s="75"/>
      <c r="M397" s="76"/>
      <c r="N397" s="76"/>
      <c r="P397" s="75"/>
      <c r="U397" s="75" t="s">
        <v>1</v>
      </c>
      <c r="V397" s="195" t="str" cm="1">
        <f t="array" ref="V397">_xlfn.IFS(
  C397="United States","North America",
  C397="Canada","North America",
  C397="Mexico","North America",
  C397="Bermuda","North America",
  C397="United Kingdom","Europe",
  C397="Germany","Europe",
  C397="France","Europe",
  C397="Italy","Europe",
  C397="Switzerland","Europe",
  C397="Spain","Europe",
  C397="Netherlands","Europe",
  C397="Sweden","Europe",
  C397="Norway","Europe",
  C397="Finland","Europe",
  C397="Denmark","Europe",
  C397="Russia","Europe",
  C397="China","Asia",
  C397="Japan","Asia",
  C397="Taiwan, Province of China","Asia",
  C397="Hong Kong","Asia",
  C397="South Korea","Asia",
  C397="India","Asia",
  C397="Singapore","Asia",
  C397="Thailand","Asia",
  C397="Indonesia","Asia",
  C397="Malaysia","Asia",
  TRUE,"Other"
)</f>
        <v>Asia</v>
      </c>
      <c r="W397" s="195" t="str">
        <f>_xlfn.XLOOKUP(Table2[[#This Row],[Column3]],Sheet1!G:G,Sheet1!H:H)</f>
        <v>Financial services</v>
      </c>
      <c r="X397" s="195"/>
      <c r="Y397" s="195"/>
    </row>
    <row r="398" spans="1:25">
      <c r="A398" s="194" t="s">
        <v>1116</v>
      </c>
      <c r="B398" s="68">
        <v>201</v>
      </c>
      <c r="C398" s="68" t="s">
        <v>73</v>
      </c>
      <c r="D398" s="77" t="s">
        <v>3498</v>
      </c>
      <c r="E398" s="75"/>
      <c r="H398" s="75"/>
      <c r="K398" s="75"/>
      <c r="M398" s="76"/>
      <c r="N398" s="76"/>
      <c r="P398" s="75"/>
      <c r="U398" s="75" t="s">
        <v>1</v>
      </c>
      <c r="V398" s="195" t="str" cm="1">
        <f t="array" ref="V398">_xlfn.IFS(
  C398="United States","North America",
  C398="Canada","North America",
  C398="Mexico","North America",
  C398="Bermuda","North America",
  C398="United Kingdom","Europe",
  C398="Germany","Europe",
  C398="France","Europe",
  C398="Italy","Europe",
  C398="Switzerland","Europe",
  C398="Spain","Europe",
  C398="Netherlands","Europe",
  C398="Sweden","Europe",
  C398="Norway","Europe",
  C398="Finland","Europe",
  C398="Denmark","Europe",
  C398="Russia","Europe",
  C398="China","Asia",
  C398="Japan","Asia",
  C398="Taiwan, Province of China","Asia",
  C398="Hong Kong","Asia",
  C398="South Korea","Asia",
  C398="India","Asia",
  C398="Singapore","Asia",
  C398="Thailand","Asia",
  C398="Indonesia","Asia",
  C398="Malaysia","Asia",
  TRUE,"Other"
)</f>
        <v>Asia</v>
      </c>
      <c r="W398" s="195" t="str">
        <f>_xlfn.XLOOKUP(Table2[[#This Row],[Column3]],Sheet1!G:G,Sheet1!H:H)</f>
        <v>Oil and gas</v>
      </c>
      <c r="X398" s="195"/>
      <c r="Y398" s="195"/>
    </row>
    <row r="399" spans="1:25">
      <c r="A399" s="194" t="s">
        <v>231</v>
      </c>
      <c r="B399" s="68">
        <v>403</v>
      </c>
      <c r="C399" s="68" t="s">
        <v>73</v>
      </c>
      <c r="D399" s="77" t="s">
        <v>66</v>
      </c>
      <c r="E399" s="75"/>
      <c r="H399" s="75"/>
      <c r="K399" s="75"/>
      <c r="M399" s="76"/>
      <c r="N399" s="76"/>
      <c r="P399" s="75"/>
      <c r="U399" s="75" t="s">
        <v>1</v>
      </c>
      <c r="V399" s="195" t="str" cm="1">
        <f t="array" ref="V399">_xlfn.IFS(
  C399="United States","North America",
  C399="Canada","North America",
  C399="Mexico","North America",
  C399="Bermuda","North America",
  C399="United Kingdom","Europe",
  C399="Germany","Europe",
  C399="France","Europe",
  C399="Italy","Europe",
  C399="Switzerland","Europe",
  C399="Spain","Europe",
  C399="Netherlands","Europe",
  C399="Sweden","Europe",
  C399="Norway","Europe",
  C399="Finland","Europe",
  C399="Denmark","Europe",
  C399="Russia","Europe",
  C399="China","Asia",
  C399="Japan","Asia",
  C399="Taiwan, Province of China","Asia",
  C399="Hong Kong","Asia",
  C399="South Korea","Asia",
  C399="India","Asia",
  C399="Singapore","Asia",
  C399="Thailand","Asia",
  C399="Indonesia","Asia",
  C399="Malaysia","Asia",
  TRUE,"Other"
)</f>
        <v>Asia</v>
      </c>
      <c r="W399" s="195" t="str">
        <f>_xlfn.XLOOKUP(Table2[[#This Row],[Column3]],Sheet1!G:G,Sheet1!H:H)</f>
        <v>Chemicals</v>
      </c>
      <c r="X399" s="195"/>
      <c r="Y399" s="195"/>
    </row>
    <row r="400" spans="1:25">
      <c r="A400" s="194" t="s">
        <v>2434</v>
      </c>
      <c r="B400" s="68">
        <v>311</v>
      </c>
      <c r="C400" s="68" t="s">
        <v>73</v>
      </c>
      <c r="D400" s="77" t="s">
        <v>4465</v>
      </c>
      <c r="E400" s="75"/>
      <c r="H400" s="75"/>
      <c r="K400" s="75"/>
      <c r="M400" s="76"/>
      <c r="N400" s="76"/>
      <c r="P400" s="75"/>
      <c r="U400" s="75" t="s">
        <v>1</v>
      </c>
      <c r="V400" s="195" t="str" cm="1">
        <f t="array" ref="V400">_xlfn.IFS(
  C400="United States","North America",
  C400="Canada","North America",
  C400="Mexico","North America",
  C400="Bermuda","North America",
  C400="United Kingdom","Europe",
  C400="Germany","Europe",
  C400="France","Europe",
  C400="Italy","Europe",
  C400="Switzerland","Europe",
  C400="Spain","Europe",
  C400="Netherlands","Europe",
  C400="Sweden","Europe",
  C400="Norway","Europe",
  C400="Finland","Europe",
  C400="Denmark","Europe",
  C400="Russia","Europe",
  C400="China","Asia",
  C400="Japan","Asia",
  C400="Taiwan, Province of China","Asia",
  C400="Hong Kong","Asia",
  C400="South Korea","Asia",
  C400="India","Asia",
  C400="Singapore","Asia",
  C400="Thailand","Asia",
  C400="Indonesia","Asia",
  C400="Malaysia","Asia",
  TRUE,"Other"
)</f>
        <v>Asia</v>
      </c>
      <c r="W400" s="195" t="str">
        <f>_xlfn.XLOOKUP(Table2[[#This Row],[Column3]],Sheet1!G:G,Sheet1!H:H)</f>
        <v>Financial services</v>
      </c>
      <c r="X400" s="195"/>
      <c r="Y400" s="195"/>
    </row>
    <row r="401" spans="1:25">
      <c r="A401" s="194" t="s">
        <v>2431</v>
      </c>
      <c r="B401" s="68">
        <v>396</v>
      </c>
      <c r="C401" s="68" t="s">
        <v>73</v>
      </c>
      <c r="D401" s="77" t="s">
        <v>4459</v>
      </c>
      <c r="E401" s="75"/>
      <c r="H401" s="75"/>
      <c r="K401" s="75"/>
      <c r="M401" s="76"/>
      <c r="N401" s="76"/>
      <c r="P401" s="75"/>
      <c r="U401" s="75" t="s">
        <v>1</v>
      </c>
      <c r="V401" s="195" t="str" cm="1">
        <f t="array" ref="V401">_xlfn.IFS(
  C401="United States","North America",
  C401="Canada","North America",
  C401="Mexico","North America",
  C401="Bermuda","North America",
  C401="United Kingdom","Europe",
  C401="Germany","Europe",
  C401="France","Europe",
  C401="Italy","Europe",
  C401="Switzerland","Europe",
  C401="Spain","Europe",
  C401="Netherlands","Europe",
  C401="Sweden","Europe",
  C401="Norway","Europe",
  C401="Finland","Europe",
  C401="Denmark","Europe",
  C401="Russia","Europe",
  C401="China","Asia",
  C401="Japan","Asia",
  C401="Taiwan, Province of China","Asia",
  C401="Hong Kong","Asia",
  C401="South Korea","Asia",
  C401="India","Asia",
  C401="Singapore","Asia",
  C401="Thailand","Asia",
  C401="Indonesia","Asia",
  C401="Malaysia","Asia",
  TRUE,"Other"
)</f>
        <v>Asia</v>
      </c>
      <c r="W401" s="195" t="str">
        <f>_xlfn.XLOOKUP(Table2[[#This Row],[Column3]],Sheet1!G:G,Sheet1!H:H)</f>
        <v>Industrial goods</v>
      </c>
      <c r="X401" s="195"/>
      <c r="Y401" s="195"/>
    </row>
    <row r="402" spans="1:25">
      <c r="A402" s="194" t="s">
        <v>480</v>
      </c>
      <c r="B402" s="68">
        <v>411</v>
      </c>
      <c r="C402" s="68" t="s">
        <v>73</v>
      </c>
      <c r="D402" s="77" t="s">
        <v>4459</v>
      </c>
      <c r="E402" s="75"/>
      <c r="H402" s="75"/>
      <c r="K402" s="75"/>
      <c r="M402" s="76"/>
      <c r="N402" s="76"/>
      <c r="P402" s="75"/>
      <c r="U402" s="75" t="s">
        <v>1</v>
      </c>
      <c r="V402" s="195" t="str" cm="1">
        <f t="array" ref="V402">_xlfn.IFS(
  C402="United States","North America",
  C402="Canada","North America",
  C402="Mexico","North America",
  C402="Bermuda","North America",
  C402="United Kingdom","Europe",
  C402="Germany","Europe",
  C402="France","Europe",
  C402="Italy","Europe",
  C402="Switzerland","Europe",
  C402="Spain","Europe",
  C402="Netherlands","Europe",
  C402="Sweden","Europe",
  C402="Norway","Europe",
  C402="Finland","Europe",
  C402="Denmark","Europe",
  C402="Russia","Europe",
  C402="China","Asia",
  C402="Japan","Asia",
  C402="Taiwan, Province of China","Asia",
  C402="Hong Kong","Asia",
  C402="South Korea","Asia",
  C402="India","Asia",
  C402="Singapore","Asia",
  C402="Thailand","Asia",
  C402="Indonesia","Asia",
  C402="Malaysia","Asia",
  TRUE,"Other"
)</f>
        <v>Asia</v>
      </c>
      <c r="W402" s="195" t="str">
        <f>_xlfn.XLOOKUP(Table2[[#This Row],[Column3]],Sheet1!G:G,Sheet1!H:H)</f>
        <v>Industrial goods</v>
      </c>
      <c r="X402" s="195"/>
      <c r="Y402" s="195"/>
    </row>
    <row r="403" spans="1:25" ht="16">
      <c r="A403" s="194" t="s">
        <v>1656</v>
      </c>
      <c r="B403" s="68">
        <v>150</v>
      </c>
      <c r="C403" s="68" t="s">
        <v>146</v>
      </c>
      <c r="D403" s="77" t="s">
        <v>4199</v>
      </c>
      <c r="E403" s="75" t="s">
        <v>4174</v>
      </c>
      <c r="F403" s="68">
        <v>2030</v>
      </c>
      <c r="G403" s="68">
        <v>2021</v>
      </c>
      <c r="H403" s="75" t="s">
        <v>4183</v>
      </c>
      <c r="I403" s="68">
        <v>2030</v>
      </c>
      <c r="J403" s="68">
        <v>2021</v>
      </c>
      <c r="K403" s="75" t="s">
        <v>4213</v>
      </c>
      <c r="L403" s="68" t="s">
        <v>1659</v>
      </c>
      <c r="M403" s="76">
        <v>2030</v>
      </c>
      <c r="N403" s="76">
        <v>2015</v>
      </c>
      <c r="O403" s="78" t="s">
        <v>4170</v>
      </c>
      <c r="P403" s="75"/>
      <c r="U403" s="75" t="s">
        <v>361</v>
      </c>
      <c r="V403" s="195" t="str" cm="1">
        <f t="array" ref="V403">_xlfn.IFS(
  C403="United States","North America",
  C403="Canada","North America",
  C403="Mexico","North America",
  C403="Bermuda","North America",
  C403="United Kingdom","Europe",
  C403="Germany","Europe",
  C403="France","Europe",
  C403="Italy","Europe",
  C403="Switzerland","Europe",
  C403="Spain","Europe",
  C403="Netherlands","Europe",
  C403="Sweden","Europe",
  C403="Norway","Europe",
  C403="Finland","Europe",
  C403="Denmark","Europe",
  C403="Russia","Europe",
  C403="China","Asia",
  C403="Japan","Asia",
  C403="Taiwan, Province of China","Asia",
  C403="Hong Kong","Asia",
  C403="South Korea","Asia",
  C403="India","Asia",
  C403="Singapore","Asia",
  C403="Thailand","Asia",
  C403="Indonesia","Asia",
  C403="Malaysia","Asia",
  TRUE,"Other"
)</f>
        <v>Europe</v>
      </c>
      <c r="W403" s="195" t="str">
        <f>_xlfn.XLOOKUP(Table2[[#This Row],[Column3]],Sheet1!G:G,Sheet1!H:H)</f>
        <v>Energy and utilities</v>
      </c>
      <c r="X403" s="195"/>
      <c r="Y403" s="195"/>
    </row>
    <row r="404" spans="1:25" ht="16">
      <c r="A404" s="194" t="s">
        <v>4247</v>
      </c>
      <c r="B404" s="68">
        <v>402</v>
      </c>
      <c r="C404" s="68" t="s">
        <v>146</v>
      </c>
      <c r="D404" s="77" t="s">
        <v>66</v>
      </c>
      <c r="E404" s="75"/>
      <c r="H404" s="75"/>
      <c r="K404" s="75" t="s">
        <v>1957</v>
      </c>
      <c r="L404" s="68" t="s">
        <v>4246</v>
      </c>
      <c r="M404" s="76">
        <v>2030</v>
      </c>
      <c r="N404" s="76">
        <v>2020</v>
      </c>
      <c r="O404" s="78" t="s">
        <v>4170</v>
      </c>
      <c r="P404" s="75"/>
      <c r="U404" s="75" t="s">
        <v>361</v>
      </c>
      <c r="V404" s="195" t="str" cm="1">
        <f t="array" ref="V404">_xlfn.IFS(
  C404="United States","North America",
  C404="Canada","North America",
  C404="Mexico","North America",
  C404="Bermuda","North America",
  C404="United Kingdom","Europe",
  C404="Germany","Europe",
  C404="France","Europe",
  C404="Italy","Europe",
  C404="Switzerland","Europe",
  C404="Spain","Europe",
  C404="Netherlands","Europe",
  C404="Sweden","Europe",
  C404="Norway","Europe",
  C404="Finland","Europe",
  C404="Denmark","Europe",
  C404="Russia","Europe",
  C404="China","Asia",
  C404="Japan","Asia",
  C404="Taiwan, Province of China","Asia",
  C404="Hong Kong","Asia",
  C404="South Korea","Asia",
  C404="India","Asia",
  C404="Singapore","Asia",
  C404="Thailand","Asia",
  C404="Indonesia","Asia",
  C404="Malaysia","Asia",
  TRUE,"Other"
)</f>
        <v>Europe</v>
      </c>
      <c r="W404" s="195" t="str">
        <f>_xlfn.XLOOKUP(Table2[[#This Row],[Column3]],Sheet1!G:G,Sheet1!H:H)</f>
        <v>Chemicals</v>
      </c>
      <c r="X404" s="195"/>
      <c r="Y404" s="195"/>
    </row>
    <row r="405" spans="1:25">
      <c r="A405" s="194" t="s">
        <v>1590</v>
      </c>
      <c r="B405" s="68">
        <v>151</v>
      </c>
      <c r="C405" s="68" t="s">
        <v>73</v>
      </c>
      <c r="D405" s="77" t="s">
        <v>4459</v>
      </c>
      <c r="E405" s="75"/>
      <c r="H405" s="75"/>
      <c r="K405" s="75"/>
      <c r="M405" s="76"/>
      <c r="N405" s="76"/>
      <c r="P405" s="75"/>
      <c r="U405" s="75" t="s">
        <v>1</v>
      </c>
      <c r="V405" s="195" t="str" cm="1">
        <f t="array" ref="V405">_xlfn.IFS(
  C405="United States","North America",
  C405="Canada","North America",
  C405="Mexico","North America",
  C405="Bermuda","North America",
  C405="United Kingdom","Europe",
  C405="Germany","Europe",
  C405="France","Europe",
  C405="Italy","Europe",
  C405="Switzerland","Europe",
  C405="Spain","Europe",
  C405="Netherlands","Europe",
  C405="Sweden","Europe",
  C405="Norway","Europe",
  C405="Finland","Europe",
  C405="Denmark","Europe",
  C405="Russia","Europe",
  C405="China","Asia",
  C405="Japan","Asia",
  C405="Taiwan, Province of China","Asia",
  C405="Hong Kong","Asia",
  C405="South Korea","Asia",
  C405="India","Asia",
  C405="Singapore","Asia",
  C405="Thailand","Asia",
  C405="Indonesia","Asia",
  C405="Malaysia","Asia",
  TRUE,"Other"
)</f>
        <v>Asia</v>
      </c>
      <c r="W405" s="195" t="str">
        <f>_xlfn.XLOOKUP(Table2[[#This Row],[Column3]],Sheet1!G:G,Sheet1!H:H)</f>
        <v>Industrial goods</v>
      </c>
      <c r="X405" s="195"/>
      <c r="Y405" s="195"/>
    </row>
    <row r="406" spans="1:25">
      <c r="A406" s="194" t="s">
        <v>989</v>
      </c>
      <c r="B406" s="68">
        <v>284</v>
      </c>
      <c r="C406" s="68" t="s">
        <v>73</v>
      </c>
      <c r="D406" s="77" t="s">
        <v>3498</v>
      </c>
      <c r="E406" s="75"/>
      <c r="H406" s="75"/>
      <c r="K406" s="75"/>
      <c r="M406" s="76"/>
      <c r="N406" s="76"/>
      <c r="P406" s="75"/>
      <c r="U406" s="75" t="s">
        <v>1</v>
      </c>
      <c r="V406" s="195" t="str" cm="1">
        <f t="array" ref="V406">_xlfn.IFS(
  C406="United States","North America",
  C406="Canada","North America",
  C406="Mexico","North America",
  C406="Bermuda","North America",
  C406="United Kingdom","Europe",
  C406="Germany","Europe",
  C406="France","Europe",
  C406="Italy","Europe",
  C406="Switzerland","Europe",
  C406="Spain","Europe",
  C406="Netherlands","Europe",
  C406="Sweden","Europe",
  C406="Norway","Europe",
  C406="Finland","Europe",
  C406="Denmark","Europe",
  C406="Russia","Europe",
  C406="China","Asia",
  C406="Japan","Asia",
  C406="Taiwan, Province of China","Asia",
  C406="Hong Kong","Asia",
  C406="South Korea","Asia",
  C406="India","Asia",
  C406="Singapore","Asia",
  C406="Thailand","Asia",
  C406="Indonesia","Asia",
  C406="Malaysia","Asia",
  TRUE,"Other"
)</f>
        <v>Asia</v>
      </c>
      <c r="W406" s="195" t="str">
        <f>_xlfn.XLOOKUP(Table2[[#This Row],[Column3]],Sheet1!G:G,Sheet1!H:H)</f>
        <v>Oil and gas</v>
      </c>
      <c r="X406" s="195"/>
      <c r="Y406" s="195"/>
    </row>
    <row r="407" spans="1:25" ht="16">
      <c r="A407" s="194" t="s">
        <v>1887</v>
      </c>
      <c r="B407" s="68">
        <v>5</v>
      </c>
      <c r="C407" s="68" t="s">
        <v>73</v>
      </c>
      <c r="D407" s="77" t="s">
        <v>4201</v>
      </c>
      <c r="E407" s="75"/>
      <c r="H407" s="75"/>
      <c r="K407" s="75" t="s">
        <v>2082</v>
      </c>
      <c r="M407" s="76">
        <v>2050</v>
      </c>
      <c r="N407" s="76">
        <v>2021</v>
      </c>
      <c r="O407" s="78" t="s">
        <v>4170</v>
      </c>
      <c r="P407" s="75"/>
      <c r="U407" s="75" t="s">
        <v>1</v>
      </c>
      <c r="V407" s="195" t="str" cm="1">
        <f t="array" ref="V407">_xlfn.IFS(
  C407="United States","North America",
  C407="Canada","North America",
  C407="Mexico","North America",
  C407="Bermuda","North America",
  C407="United Kingdom","Europe",
  C407="Germany","Europe",
  C407="France","Europe",
  C407="Italy","Europe",
  C407="Switzerland","Europe",
  C407="Spain","Europe",
  C407="Netherlands","Europe",
  C407="Sweden","Europe",
  C407="Norway","Europe",
  C407="Finland","Europe",
  C407="Denmark","Europe",
  C407="Russia","Europe",
  C407="China","Asia",
  C407="Japan","Asia",
  C407="Taiwan, Province of China","Asia",
  C407="Hong Kong","Asia",
  C407="South Korea","Asia",
  C407="India","Asia",
  C407="Singapore","Asia",
  C407="Thailand","Asia",
  C407="Indonesia","Asia",
  C407="Malaysia","Asia",
  TRUE,"Other"
)</f>
        <v>Asia</v>
      </c>
      <c r="W407" s="195" t="str">
        <f>_xlfn.XLOOKUP(Table2[[#This Row],[Column3]],Sheet1!G:G,Sheet1!H:H)</f>
        <v>Health care and pharmaceuticals</v>
      </c>
      <c r="X407" s="195"/>
      <c r="Y407" s="195"/>
    </row>
    <row r="408" spans="1:25">
      <c r="A408" s="194" t="s">
        <v>1267</v>
      </c>
      <c r="B408" s="68">
        <v>109</v>
      </c>
      <c r="C408" s="68" t="s">
        <v>73</v>
      </c>
      <c r="D408" s="77" t="s">
        <v>3498</v>
      </c>
      <c r="E408" s="75"/>
      <c r="H408" s="75"/>
      <c r="K408" s="75"/>
      <c r="M408" s="76"/>
      <c r="N408" s="76"/>
      <c r="P408" s="75"/>
      <c r="U408" s="75" t="s">
        <v>1</v>
      </c>
      <c r="V408" s="195" t="str" cm="1">
        <f t="array" ref="V408">_xlfn.IFS(
  C408="United States","North America",
  C408="Canada","North America",
  C408="Mexico","North America",
  C408="Bermuda","North America",
  C408="United Kingdom","Europe",
  C408="Germany","Europe",
  C408="France","Europe",
  C408="Italy","Europe",
  C408="Switzerland","Europe",
  C408="Spain","Europe",
  C408="Netherlands","Europe",
  C408="Sweden","Europe",
  C408="Norway","Europe",
  C408="Finland","Europe",
  C408="Denmark","Europe",
  C408="Russia","Europe",
  C408="China","Asia",
  C408="Japan","Asia",
  C408="Taiwan, Province of China","Asia",
  C408="Hong Kong","Asia",
  C408="South Korea","Asia",
  C408="India","Asia",
  C408="Singapore","Asia",
  C408="Thailand","Asia",
  C408="Indonesia","Asia",
  C408="Malaysia","Asia",
  TRUE,"Other"
)</f>
        <v>Asia</v>
      </c>
      <c r="W408" s="195" t="str">
        <f>_xlfn.XLOOKUP(Table2[[#This Row],[Column3]],Sheet1!G:G,Sheet1!H:H)</f>
        <v>Oil and gas</v>
      </c>
      <c r="X408" s="195"/>
      <c r="Y408" s="195"/>
    </row>
    <row r="409" spans="1:25" ht="16">
      <c r="A409" s="194" t="s">
        <v>4245</v>
      </c>
      <c r="B409" s="68">
        <v>129</v>
      </c>
      <c r="C409" s="68" t="s">
        <v>114</v>
      </c>
      <c r="D409" s="77" t="s">
        <v>186</v>
      </c>
      <c r="E409" s="75" t="s">
        <v>4174</v>
      </c>
      <c r="F409" s="68">
        <v>2040</v>
      </c>
      <c r="G409" s="68">
        <v>2020</v>
      </c>
      <c r="H409" s="75"/>
      <c r="K409" s="75"/>
      <c r="M409" s="76"/>
      <c r="N409" s="76"/>
      <c r="P409" s="75" t="s">
        <v>2082</v>
      </c>
      <c r="R409" s="68">
        <v>2050</v>
      </c>
      <c r="S409" s="68">
        <v>2021</v>
      </c>
      <c r="T409" s="78" t="s">
        <v>4170</v>
      </c>
      <c r="U409" s="75" t="s">
        <v>1</v>
      </c>
      <c r="V409" s="195" t="str" cm="1">
        <f t="array" ref="V409">_xlfn.IFS(
  C409="United States","North America",
  C409="Canada","North America",
  C409="Mexico","North America",
  C409="Bermuda","North America",
  C409="United Kingdom","Europe",
  C409="Germany","Europe",
  C409="France","Europe",
  C409="Italy","Europe",
  C409="Switzerland","Europe",
  C409="Spain","Europe",
  C409="Netherlands","Europe",
  C409="Sweden","Europe",
  C409="Norway","Europe",
  C409="Finland","Europe",
  C409="Denmark","Europe",
  C409="Russia","Europe",
  C409="China","Asia",
  C409="Japan","Asia",
  C409="Taiwan, Province of China","Asia",
  C409="Hong Kong","Asia",
  C409="South Korea","Asia",
  C409="India","Asia",
  C409="Singapore","Asia",
  C409="Thailand","Asia",
  C409="Indonesia","Asia",
  C409="Malaysia","Asia",
  TRUE,"Other"
)</f>
        <v>Asia</v>
      </c>
      <c r="W409" s="195" t="str">
        <f>_xlfn.XLOOKUP(Table2[[#This Row],[Column3]],Sheet1!G:G,Sheet1!H:H)</f>
        <v>Technology</v>
      </c>
      <c r="X409" s="195"/>
      <c r="Y409" s="195"/>
    </row>
    <row r="410" spans="1:25">
      <c r="A410" s="194" t="s">
        <v>709</v>
      </c>
      <c r="B410" s="68">
        <v>452</v>
      </c>
      <c r="C410" s="68" t="s">
        <v>114</v>
      </c>
      <c r="D410" s="77" t="s">
        <v>4179</v>
      </c>
      <c r="E410" s="75" t="s">
        <v>4174</v>
      </c>
      <c r="F410" s="68">
        <v>2050</v>
      </c>
      <c r="G410" s="68">
        <v>2020</v>
      </c>
      <c r="H410" s="75"/>
      <c r="K410" s="75"/>
      <c r="M410" s="76"/>
      <c r="N410" s="76"/>
      <c r="P410" s="75"/>
      <c r="U410" s="75" t="s">
        <v>1</v>
      </c>
      <c r="V410" s="195" t="str" cm="1">
        <f t="array" ref="V410">_xlfn.IFS(
  C410="United States","North America",
  C410="Canada","North America",
  C410="Mexico","North America",
  C410="Bermuda","North America",
  C410="United Kingdom","Europe",
  C410="Germany","Europe",
  C410="France","Europe",
  C410="Italy","Europe",
  C410="Switzerland","Europe",
  C410="Spain","Europe",
  C410="Netherlands","Europe",
  C410="Sweden","Europe",
  C410="Norway","Europe",
  C410="Finland","Europe",
  C410="Denmark","Europe",
  C410="Russia","Europe",
  C410="China","Asia",
  C410="Japan","Asia",
  C410="Taiwan, Province of China","Asia",
  C410="Hong Kong","Asia",
  C410="South Korea","Asia",
  C410="India","Asia",
  C410="Singapore","Asia",
  C410="Thailand","Asia",
  C410="Indonesia","Asia",
  C410="Malaysia","Asia",
  TRUE,"Other"
)</f>
        <v>Asia</v>
      </c>
      <c r="W410" s="195" t="str">
        <f>_xlfn.XLOOKUP(Table2[[#This Row],[Column3]],Sheet1!G:G,Sheet1!H:H)</f>
        <v>Transportation and logistics</v>
      </c>
      <c r="X410" s="195"/>
      <c r="Y410" s="195"/>
    </row>
    <row r="411" spans="1:25">
      <c r="A411" s="194" t="s">
        <v>2407</v>
      </c>
      <c r="B411" s="68">
        <v>356</v>
      </c>
      <c r="C411" s="68" t="s">
        <v>63</v>
      </c>
      <c r="D411" s="77" t="s">
        <v>4465</v>
      </c>
      <c r="E411" s="75"/>
      <c r="H411" s="75" t="s">
        <v>4183</v>
      </c>
      <c r="I411" s="68">
        <v>2030</v>
      </c>
      <c r="J411" s="68">
        <v>2019</v>
      </c>
      <c r="K411" s="75" t="s">
        <v>4193</v>
      </c>
      <c r="L411" s="68" t="s">
        <v>4244</v>
      </c>
      <c r="M411" s="76">
        <v>2030</v>
      </c>
      <c r="N411" s="76">
        <v>2020</v>
      </c>
      <c r="O411" s="84" t="s">
        <v>4170</v>
      </c>
      <c r="P411" s="75"/>
      <c r="U411" s="75" t="s">
        <v>361</v>
      </c>
      <c r="V411" s="195" t="str" cm="1">
        <f t="array" ref="V411">_xlfn.IFS(
  C411="United States","North America",
  C411="Canada","North America",
  C411="Mexico","North America",
  C411="Bermuda","North America",
  C411="United Kingdom","Europe",
  C411="Germany","Europe",
  C411="France","Europe",
  C411="Italy","Europe",
  C411="Switzerland","Europe",
  C411="Spain","Europe",
  C411="Netherlands","Europe",
  C411="Sweden","Europe",
  C411="Norway","Europe",
  C411="Finland","Europe",
  C411="Denmark","Europe",
  C411="Russia","Europe",
  C411="China","Asia",
  C411="Japan","Asia",
  C411="Taiwan, Province of China","Asia",
  C411="Hong Kong","Asia",
  C411="South Korea","Asia",
  C411="India","Asia",
  C411="Singapore","Asia",
  C411="Thailand","Asia",
  C411="Indonesia","Asia",
  C411="Malaysia","Asia",
  TRUE,"Other"
)</f>
        <v>Europe</v>
      </c>
      <c r="W411" s="195" t="str">
        <f>_xlfn.XLOOKUP(Table2[[#This Row],[Column3]],Sheet1!G:G,Sheet1!H:H)</f>
        <v>Financial services</v>
      </c>
      <c r="X411" s="195"/>
      <c r="Y411" s="195"/>
    </row>
    <row r="412" spans="1:25">
      <c r="A412" s="194" t="s">
        <v>1249</v>
      </c>
      <c r="B412" s="68">
        <v>203</v>
      </c>
      <c r="C412" s="68" t="s">
        <v>63</v>
      </c>
      <c r="D412" s="77" t="s">
        <v>4190</v>
      </c>
      <c r="E412" s="75"/>
      <c r="H412" s="75" t="s">
        <v>1957</v>
      </c>
      <c r="J412" s="68">
        <v>2016</v>
      </c>
      <c r="K412" s="75" t="s">
        <v>1957</v>
      </c>
      <c r="L412" s="68" t="s">
        <v>4243</v>
      </c>
      <c r="M412" s="76">
        <v>2050</v>
      </c>
      <c r="N412" s="76">
        <v>2021</v>
      </c>
      <c r="O412" s="79" t="s">
        <v>4170</v>
      </c>
      <c r="P412" s="75"/>
      <c r="U412" s="75" t="s">
        <v>361</v>
      </c>
      <c r="V412" s="195" t="str" cm="1">
        <f t="array" ref="V412">_xlfn.IFS(
  C412="United States","North America",
  C412="Canada","North America",
  C412="Mexico","North America",
  C412="Bermuda","North America",
  C412="United Kingdom","Europe",
  C412="Germany","Europe",
  C412="France","Europe",
  C412="Italy","Europe",
  C412="Switzerland","Europe",
  C412="Spain","Europe",
  C412="Netherlands","Europe",
  C412="Sweden","Europe",
  C412="Norway","Europe",
  C412="Finland","Europe",
  C412="Denmark","Europe",
  C412="Russia","Europe",
  C412="China","Asia",
  C412="Japan","Asia",
  C412="Taiwan, Province of China","Asia",
  C412="Hong Kong","Asia",
  C412="South Korea","Asia",
  C412="India","Asia",
  C412="Singapore","Asia",
  C412="Thailand","Asia",
  C412="Indonesia","Asia",
  C412="Malaysia","Asia",
  TRUE,"Other"
)</f>
        <v>Europe</v>
      </c>
      <c r="W412" s="195" t="str">
        <f>_xlfn.XLOOKUP(Table2[[#This Row],[Column3]],Sheet1!G:G,Sheet1!H:H)</f>
        <v>Telecommunications and media</v>
      </c>
      <c r="X412" s="195"/>
      <c r="Y412" s="195"/>
    </row>
    <row r="413" spans="1:25" ht="16">
      <c r="A413" s="194" t="s">
        <v>1548</v>
      </c>
      <c r="B413" s="68">
        <v>184</v>
      </c>
      <c r="C413" s="68" t="s">
        <v>207</v>
      </c>
      <c r="D413" s="77" t="s">
        <v>4465</v>
      </c>
      <c r="E413" s="75"/>
      <c r="H413" s="75" t="s">
        <v>4183</v>
      </c>
      <c r="I413" s="68">
        <v>2030</v>
      </c>
      <c r="J413" s="68">
        <v>2021</v>
      </c>
      <c r="K413" s="75" t="s">
        <v>1957</v>
      </c>
      <c r="L413" s="68" t="s">
        <v>2236</v>
      </c>
      <c r="M413" s="76">
        <v>2030</v>
      </c>
      <c r="N413" s="76">
        <v>2021</v>
      </c>
      <c r="O413" s="78" t="s">
        <v>4170</v>
      </c>
      <c r="P413" s="75"/>
      <c r="U413" s="75" t="s">
        <v>361</v>
      </c>
      <c r="V413" s="195" t="str" cm="1">
        <f t="array" ref="V413">_xlfn.IFS(
  C413="United States","North America",
  C413="Canada","North America",
  C413="Mexico","North America",
  C413="Bermuda","North America",
  C413="United Kingdom","Europe",
  C413="Germany","Europe",
  C413="France","Europe",
  C413="Italy","Europe",
  C413="Switzerland","Europe",
  C413="Spain","Europe",
  C413="Netherlands","Europe",
  C413="Sweden","Europe",
  C413="Norway","Europe",
  C413="Finland","Europe",
  C413="Denmark","Europe",
  C413="Russia","Europe",
  C413="China","Asia",
  C413="Japan","Asia",
  C413="Taiwan, Province of China","Asia",
  C413="Hong Kong","Asia",
  C413="South Korea","Asia",
  C413="India","Asia",
  C413="Singapore","Asia",
  C413="Thailand","Asia",
  C413="Indonesia","Asia",
  C413="Malaysia","Asia",
  TRUE,"Other"
)</f>
        <v>Asia</v>
      </c>
      <c r="W413" s="195" t="str">
        <f>_xlfn.XLOOKUP(Table2[[#This Row],[Column3]],Sheet1!G:G,Sheet1!H:H)</f>
        <v>Financial services</v>
      </c>
      <c r="X413" s="195"/>
      <c r="Y413" s="195"/>
    </row>
    <row r="414" spans="1:25">
      <c r="A414" s="194" t="s">
        <v>584</v>
      </c>
      <c r="B414" s="68">
        <v>331</v>
      </c>
      <c r="C414" s="68" t="s">
        <v>207</v>
      </c>
      <c r="D414" s="77" t="s">
        <v>186</v>
      </c>
      <c r="E414" s="75"/>
      <c r="H414" s="75" t="s">
        <v>1957</v>
      </c>
      <c r="J414" s="68">
        <v>2018</v>
      </c>
      <c r="K414" s="75"/>
      <c r="M414" s="76"/>
      <c r="N414" s="76"/>
      <c r="P414" s="75" t="s">
        <v>4172</v>
      </c>
      <c r="Q414" s="68" t="s">
        <v>4242</v>
      </c>
      <c r="R414" s="68">
        <v>2050</v>
      </c>
      <c r="S414" s="68">
        <v>2021</v>
      </c>
      <c r="T414" s="79" t="s">
        <v>4170</v>
      </c>
      <c r="U414" s="75" t="s">
        <v>361</v>
      </c>
      <c r="V414" s="195" t="str" cm="1">
        <f t="array" ref="V414">_xlfn.IFS(
  C414="United States","North America",
  C414="Canada","North America",
  C414="Mexico","North America",
  C414="Bermuda","North America",
  C414="United Kingdom","Europe",
  C414="Germany","Europe",
  C414="France","Europe",
  C414="Italy","Europe",
  C414="Switzerland","Europe",
  C414="Spain","Europe",
  C414="Netherlands","Europe",
  C414="Sweden","Europe",
  C414="Norway","Europe",
  C414="Finland","Europe",
  C414="Denmark","Europe",
  C414="Russia","Europe",
  C414="China","Asia",
  C414="Japan","Asia",
  C414="Taiwan, Province of China","Asia",
  C414="Hong Kong","Asia",
  C414="South Korea","Asia",
  C414="India","Asia",
  C414="Singapore","Asia",
  C414="Thailand","Asia",
  C414="Indonesia","Asia",
  C414="Malaysia","Asia",
  TRUE,"Other"
)</f>
        <v>Asia</v>
      </c>
      <c r="W414" s="195" t="str">
        <f>_xlfn.XLOOKUP(Table2[[#This Row],[Column3]],Sheet1!G:G,Sheet1!H:H)</f>
        <v>Technology</v>
      </c>
      <c r="X414" s="195"/>
      <c r="Y414" s="195"/>
    </row>
    <row r="415" spans="1:25" ht="16">
      <c r="A415" s="194" t="s">
        <v>1460</v>
      </c>
      <c r="B415" s="68">
        <v>88</v>
      </c>
      <c r="C415" s="68" t="s">
        <v>207</v>
      </c>
      <c r="D415" s="77" t="s">
        <v>4465</v>
      </c>
      <c r="E415" s="75" t="s">
        <v>4174</v>
      </c>
      <c r="F415" s="68">
        <v>2040</v>
      </c>
      <c r="G415" s="68">
        <v>2018</v>
      </c>
      <c r="H415" s="75" t="s">
        <v>4183</v>
      </c>
      <c r="I415" s="68">
        <v>2035</v>
      </c>
      <c r="J415" s="68">
        <v>2020</v>
      </c>
      <c r="K415" s="75"/>
      <c r="M415" s="76"/>
      <c r="N415" s="76"/>
      <c r="P415" s="75" t="s">
        <v>4172</v>
      </c>
      <c r="Q415" s="68" t="s">
        <v>4241</v>
      </c>
      <c r="R415" s="68">
        <v>2050</v>
      </c>
      <c r="S415" s="68">
        <v>2010</v>
      </c>
      <c r="T415" s="78" t="s">
        <v>4170</v>
      </c>
      <c r="U415" s="75" t="s">
        <v>361</v>
      </c>
      <c r="V415" s="195" t="str" cm="1">
        <f t="array" ref="V415">_xlfn.IFS(
  C415="United States","North America",
  C415="Canada","North America",
  C415="Mexico","North America",
  C415="Bermuda","North America",
  C415="United Kingdom","Europe",
  C415="Germany","Europe",
  C415="France","Europe",
  C415="Italy","Europe",
  C415="Switzerland","Europe",
  C415="Spain","Europe",
  C415="Netherlands","Europe",
  C415="Sweden","Europe",
  C415="Norway","Europe",
  C415="Finland","Europe",
  C415="Denmark","Europe",
  C415="Russia","Europe",
  C415="China","Asia",
  C415="Japan","Asia",
  C415="Taiwan, Province of China","Asia",
  C415="Hong Kong","Asia",
  C415="South Korea","Asia",
  C415="India","Asia",
  C415="Singapore","Asia",
  C415="Thailand","Asia",
  C415="Indonesia","Asia",
  C415="Malaysia","Asia",
  TRUE,"Other"
)</f>
        <v>Asia</v>
      </c>
      <c r="W415" s="195" t="str">
        <f>_xlfn.XLOOKUP(Table2[[#This Row],[Column3]],Sheet1!G:G,Sheet1!H:H)</f>
        <v>Financial services</v>
      </c>
      <c r="X415" s="195"/>
      <c r="Y415" s="195"/>
    </row>
    <row r="416" spans="1:25" ht="16">
      <c r="A416" s="194" t="s">
        <v>1033</v>
      </c>
      <c r="B416" s="68">
        <v>205</v>
      </c>
      <c r="C416" s="68" t="s">
        <v>87</v>
      </c>
      <c r="D416" s="77" t="s">
        <v>4465</v>
      </c>
      <c r="E416" s="75"/>
      <c r="H416" s="75"/>
      <c r="K416" s="75" t="s">
        <v>1957</v>
      </c>
      <c r="M416" s="76">
        <v>2030</v>
      </c>
      <c r="N416" s="76">
        <v>2018</v>
      </c>
      <c r="O416" s="78" t="s">
        <v>4170</v>
      </c>
      <c r="P416" s="75"/>
      <c r="U416" s="75" t="s">
        <v>361</v>
      </c>
      <c r="V416" s="195" t="str" cm="1">
        <f t="array" ref="V416">_xlfn.IFS(
  C416="United States","North America",
  C416="Canada","North America",
  C416="Mexico","North America",
  C416="Bermuda","North America",
  C416="United Kingdom","Europe",
  C416="Germany","Europe",
  C416="France","Europe",
  C416="Italy","Europe",
  C416="Switzerland","Europe",
  C416="Spain","Europe",
  C416="Netherlands","Europe",
  C416="Sweden","Europe",
  C416="Norway","Europe",
  C416="Finland","Europe",
  C416="Denmark","Europe",
  C416="Russia","Europe",
  C416="China","Asia",
  C416="Japan","Asia",
  C416="Taiwan, Province of China","Asia",
  C416="Hong Kong","Asia",
  C416="South Korea","Asia",
  C416="India","Asia",
  C416="Singapore","Asia",
  C416="Thailand","Asia",
  C416="Indonesia","Asia",
  C416="Malaysia","Asia",
  TRUE,"Other"
)</f>
        <v>Asia</v>
      </c>
      <c r="W416" s="195" t="str">
        <f>_xlfn.XLOOKUP(Table2[[#This Row],[Column3]],Sheet1!G:G,Sheet1!H:H)</f>
        <v>Financial services</v>
      </c>
      <c r="X416" s="195"/>
      <c r="Y416" s="195"/>
    </row>
    <row r="417" spans="1:25">
      <c r="A417" s="194" t="s">
        <v>2369</v>
      </c>
      <c r="B417" s="68">
        <v>106</v>
      </c>
      <c r="C417" s="68" t="s">
        <v>82</v>
      </c>
      <c r="D417" s="77" t="s">
        <v>4199</v>
      </c>
      <c r="E417" s="75"/>
      <c r="H417" s="75"/>
      <c r="K417" s="75"/>
      <c r="M417" s="76"/>
      <c r="N417" s="76"/>
      <c r="P417" s="75"/>
      <c r="U417" s="75" t="s">
        <v>1</v>
      </c>
      <c r="V417" s="195" t="str" cm="1">
        <f t="array" ref="V417">_xlfn.IFS(
  C417="United States","North America",
  C417="Canada","North America",
  C417="Mexico","North America",
  C417="Bermuda","North America",
  C417="United Kingdom","Europe",
  C417="Germany","Europe",
  C417="France","Europe",
  C417="Italy","Europe",
  C417="Switzerland","Europe",
  C417="Spain","Europe",
  C417="Netherlands","Europe",
  C417="Sweden","Europe",
  C417="Norway","Europe",
  C417="Finland","Europe",
  C417="Denmark","Europe",
  C417="Russia","Europe",
  C417="China","Asia",
  C417="Japan","Asia",
  C417="Taiwan, Province of China","Asia",
  C417="Hong Kong","Asia",
  C417="South Korea","Asia",
  C417="India","Asia",
  C417="Singapore","Asia",
  C417="Thailand","Asia",
  C417="Indonesia","Asia",
  C417="Malaysia","Asia",
  TRUE,"Other"
)</f>
        <v>North America</v>
      </c>
      <c r="W417" s="195" t="str">
        <f>_xlfn.XLOOKUP(Table2[[#This Row],[Column3]],Sheet1!G:G,Sheet1!H:H)</f>
        <v>Energy and utilities</v>
      </c>
      <c r="X417" s="195"/>
      <c r="Y417" s="195"/>
    </row>
    <row r="418" spans="1:25">
      <c r="A418" s="194" t="s">
        <v>1877</v>
      </c>
      <c r="B418" s="68">
        <v>2</v>
      </c>
      <c r="C418" s="68" t="s">
        <v>73</v>
      </c>
      <c r="D418" s="77" t="s">
        <v>4199</v>
      </c>
      <c r="E418" s="75"/>
      <c r="H418" s="75"/>
      <c r="K418" s="75" t="s">
        <v>4224</v>
      </c>
      <c r="L418" s="68" t="s">
        <v>1659</v>
      </c>
      <c r="M418" s="76"/>
      <c r="N418" s="76">
        <v>2021</v>
      </c>
      <c r="O418" s="79" t="s">
        <v>4170</v>
      </c>
      <c r="P418" s="75"/>
      <c r="U418" s="75" t="s">
        <v>1</v>
      </c>
      <c r="V418" s="195" t="str" cm="1">
        <f t="array" ref="V418">_xlfn.IFS(
  C418="United States","North America",
  C418="Canada","North America",
  C418="Mexico","North America",
  C418="Bermuda","North America",
  C418="United Kingdom","Europe",
  C418="Germany","Europe",
  C418="France","Europe",
  C418="Italy","Europe",
  C418="Switzerland","Europe",
  C418="Spain","Europe",
  C418="Netherlands","Europe",
  C418="Sweden","Europe",
  C418="Norway","Europe",
  C418="Finland","Europe",
  C418="Denmark","Europe",
  C418="Russia","Europe",
  C418="China","Asia",
  C418="Japan","Asia",
  C418="Taiwan, Province of China","Asia",
  C418="Hong Kong","Asia",
  C418="South Korea","Asia",
  C418="India","Asia",
  C418="Singapore","Asia",
  C418="Thailand","Asia",
  C418="Indonesia","Asia",
  C418="Malaysia","Asia",
  TRUE,"Other"
)</f>
        <v>Asia</v>
      </c>
      <c r="W418" s="195" t="str">
        <f>_xlfn.XLOOKUP(Table2[[#This Row],[Column3]],Sheet1!G:G,Sheet1!H:H)</f>
        <v>Energy and utilities</v>
      </c>
      <c r="X418" s="195"/>
      <c r="Y418" s="195"/>
    </row>
    <row r="419" spans="1:25">
      <c r="A419" s="194" t="s">
        <v>630</v>
      </c>
      <c r="B419" s="68">
        <v>293</v>
      </c>
      <c r="C419" s="68" t="s">
        <v>73</v>
      </c>
      <c r="D419" s="77" t="s">
        <v>4465</v>
      </c>
      <c r="E419" s="75"/>
      <c r="H419" s="75"/>
      <c r="K419" s="75"/>
      <c r="M419" s="76"/>
      <c r="N419" s="76"/>
      <c r="P419" s="75"/>
      <c r="U419" s="75" t="s">
        <v>1</v>
      </c>
      <c r="V419" s="195" t="str" cm="1">
        <f t="array" ref="V419">_xlfn.IFS(
  C419="United States","North America",
  C419="Canada","North America",
  C419="Mexico","North America",
  C419="Bermuda","North America",
  C419="United Kingdom","Europe",
  C419="Germany","Europe",
  C419="France","Europe",
  C419="Italy","Europe",
  C419="Switzerland","Europe",
  C419="Spain","Europe",
  C419="Netherlands","Europe",
  C419="Sweden","Europe",
  C419="Norway","Europe",
  C419="Finland","Europe",
  C419="Denmark","Europe",
  C419="Russia","Europe",
  C419="China","Asia",
  C419="Japan","Asia",
  C419="Taiwan, Province of China","Asia",
  C419="Hong Kong","Asia",
  C419="South Korea","Asia",
  C419="India","Asia",
  C419="Singapore","Asia",
  C419="Thailand","Asia",
  C419="Indonesia","Asia",
  C419="Malaysia","Asia",
  TRUE,"Other"
)</f>
        <v>Asia</v>
      </c>
      <c r="W419" s="195" t="str">
        <f>_xlfn.XLOOKUP(Table2[[#This Row],[Column3]],Sheet1!G:G,Sheet1!H:H)</f>
        <v>Financial services</v>
      </c>
      <c r="X419" s="195"/>
      <c r="Y419" s="195"/>
    </row>
    <row r="420" spans="1:25">
      <c r="A420" s="194" t="s">
        <v>4240</v>
      </c>
      <c r="B420" s="68">
        <v>190</v>
      </c>
      <c r="C420" s="68" t="s">
        <v>82</v>
      </c>
      <c r="D420" s="77" t="s">
        <v>4476</v>
      </c>
      <c r="E420" s="75"/>
      <c r="H420" s="75"/>
      <c r="K420" s="75"/>
      <c r="M420" s="76"/>
      <c r="N420" s="76"/>
      <c r="P420" s="75"/>
      <c r="U420" s="75" t="s">
        <v>1</v>
      </c>
      <c r="V420" s="195" t="str" cm="1">
        <f t="array" ref="V420">_xlfn.IFS(
  C420="United States","North America",
  C420="Canada","North America",
  C420="Mexico","North America",
  C420="Bermuda","North America",
  C420="United Kingdom","Europe",
  C420="Germany","Europe",
  C420="France","Europe",
  C420="Italy","Europe",
  C420="Switzerland","Europe",
  C420="Spain","Europe",
  C420="Netherlands","Europe",
  C420="Sweden","Europe",
  C420="Norway","Europe",
  C420="Finland","Europe",
  C420="Denmark","Europe",
  C420="Russia","Europe",
  C420="China","Asia",
  C420="Japan","Asia",
  C420="Taiwan, Province of China","Asia",
  C420="Hong Kong","Asia",
  C420="South Korea","Asia",
  C420="India","Asia",
  C420="Singapore","Asia",
  C420="Thailand","Asia",
  C420="Indonesia","Asia",
  C420="Malaysia","Asia",
  TRUE,"Other"
)</f>
        <v>North America</v>
      </c>
      <c r="W420" s="195" t="str">
        <f>_xlfn.XLOOKUP(Table2[[#This Row],[Column3]],Sheet1!G:G,Sheet1!H:H)</f>
        <v>Automotive</v>
      </c>
      <c r="X420" s="195"/>
      <c r="Y420" s="195"/>
    </row>
    <row r="421" spans="1:25" ht="16">
      <c r="A421" s="194" t="s">
        <v>308</v>
      </c>
      <c r="B421" s="68">
        <v>459</v>
      </c>
      <c r="C421" s="68" t="s">
        <v>207</v>
      </c>
      <c r="D421" s="77" t="s">
        <v>4465</v>
      </c>
      <c r="E421" s="75"/>
      <c r="H421" s="75"/>
      <c r="K421" s="75" t="s">
        <v>4239</v>
      </c>
      <c r="L421" s="68" t="s">
        <v>109</v>
      </c>
      <c r="M421" s="76">
        <v>2050</v>
      </c>
      <c r="N421" s="76">
        <v>2020</v>
      </c>
      <c r="O421" s="78" t="s">
        <v>4170</v>
      </c>
      <c r="P421" s="75"/>
      <c r="U421" s="75" t="s">
        <v>1</v>
      </c>
      <c r="V421" s="195" t="str" cm="1">
        <f t="array" ref="V421">_xlfn.IFS(
  C421="United States","North America",
  C421="Canada","North America",
  C421="Mexico","North America",
  C421="Bermuda","North America",
  C421="United Kingdom","Europe",
  C421="Germany","Europe",
  C421="France","Europe",
  C421="Italy","Europe",
  C421="Switzerland","Europe",
  C421="Spain","Europe",
  C421="Netherlands","Europe",
  C421="Sweden","Europe",
  C421="Norway","Europe",
  C421="Finland","Europe",
  C421="Denmark","Europe",
  C421="Russia","Europe",
  C421="China","Asia",
  C421="Japan","Asia",
  C421="Taiwan, Province of China","Asia",
  C421="Hong Kong","Asia",
  C421="South Korea","Asia",
  C421="India","Asia",
  C421="Singapore","Asia",
  C421="Thailand","Asia",
  C421="Indonesia","Asia",
  C421="Malaysia","Asia",
  TRUE,"Other"
)</f>
        <v>Asia</v>
      </c>
      <c r="W421" s="195" t="str">
        <f>_xlfn.XLOOKUP(Table2[[#This Row],[Column3]],Sheet1!G:G,Sheet1!H:H)</f>
        <v>Financial services</v>
      </c>
      <c r="X421" s="195"/>
      <c r="Y421" s="195"/>
    </row>
    <row r="422" spans="1:25" ht="16">
      <c r="A422" s="194" t="s">
        <v>1054</v>
      </c>
      <c r="B422" s="68">
        <v>261</v>
      </c>
      <c r="C422" s="68" t="s">
        <v>207</v>
      </c>
      <c r="D422" s="77" t="s">
        <v>4476</v>
      </c>
      <c r="E422" s="75"/>
      <c r="H422" s="75"/>
      <c r="K422" s="75" t="s">
        <v>1957</v>
      </c>
      <c r="L422" s="68" t="s">
        <v>2236</v>
      </c>
      <c r="M422" s="76">
        <v>2050</v>
      </c>
      <c r="N422" s="76">
        <v>2020</v>
      </c>
      <c r="O422" s="78" t="s">
        <v>4170</v>
      </c>
      <c r="P422" s="75"/>
      <c r="U422" s="75" t="s">
        <v>1</v>
      </c>
      <c r="V422" s="195" t="str" cm="1">
        <f t="array" ref="V422">_xlfn.IFS(
  C422="United States","North America",
  C422="Canada","North America",
  C422="Mexico","North America",
  C422="Bermuda","North America",
  C422="United Kingdom","Europe",
  C422="Germany","Europe",
  C422="France","Europe",
  C422="Italy","Europe",
  C422="Switzerland","Europe",
  C422="Spain","Europe",
  C422="Netherlands","Europe",
  C422="Sweden","Europe",
  C422="Norway","Europe",
  C422="Finland","Europe",
  C422="Denmark","Europe",
  C422="Russia","Europe",
  C422="China","Asia",
  C422="Japan","Asia",
  C422="Taiwan, Province of China","Asia",
  C422="Hong Kong","Asia",
  C422="South Korea","Asia",
  C422="India","Asia",
  C422="Singapore","Asia",
  C422="Thailand","Asia",
  C422="Indonesia","Asia",
  C422="Malaysia","Asia",
  TRUE,"Other"
)</f>
        <v>Asia</v>
      </c>
      <c r="W422" s="195" t="str">
        <f>_xlfn.XLOOKUP(Table2[[#This Row],[Column3]],Sheet1!G:G,Sheet1!H:H)</f>
        <v>Automotive</v>
      </c>
      <c r="X422" s="195"/>
      <c r="Y422" s="195"/>
    </row>
    <row r="423" spans="1:25" ht="16">
      <c r="A423" s="194" t="s">
        <v>314</v>
      </c>
      <c r="B423" s="68">
        <v>442</v>
      </c>
      <c r="C423" s="68" t="s">
        <v>207</v>
      </c>
      <c r="D423" s="77" t="s">
        <v>8319</v>
      </c>
      <c r="E423" s="75"/>
      <c r="H423" s="75" t="s">
        <v>4183</v>
      </c>
      <c r="I423" s="68">
        <v>2030</v>
      </c>
      <c r="J423" s="68">
        <v>2021</v>
      </c>
      <c r="K423" s="75" t="s">
        <v>1957</v>
      </c>
      <c r="L423" s="68" t="s">
        <v>4238</v>
      </c>
      <c r="M423" s="76">
        <v>2050</v>
      </c>
      <c r="N423" s="76">
        <v>2021</v>
      </c>
      <c r="O423" s="78" t="s">
        <v>4170</v>
      </c>
      <c r="P423" s="75"/>
      <c r="U423" s="75" t="s">
        <v>361</v>
      </c>
      <c r="V423" s="195" t="str" cm="1">
        <f t="array" ref="V423">_xlfn.IFS(
  C423="United States","North America",
  C423="Canada","North America",
  C423="Mexico","North America",
  C423="Bermuda","North America",
  C423="United Kingdom","Europe",
  C423="Germany","Europe",
  C423="France","Europe",
  C423="Italy","Europe",
  C423="Switzerland","Europe",
  C423="Spain","Europe",
  C423="Netherlands","Europe",
  C423="Sweden","Europe",
  C423="Norway","Europe",
  C423="Finland","Europe",
  C423="Denmark","Europe",
  C423="Russia","Europe",
  C423="China","Asia",
  C423="Japan","Asia",
  C423="Taiwan, Province of China","Asia",
  C423="Hong Kong","Asia",
  C423="South Korea","Asia",
  C423="India","Asia",
  C423="Singapore","Asia",
  C423="Thailand","Asia",
  C423="Indonesia","Asia",
  C423="Malaysia","Asia",
  TRUE,"Other"
)</f>
        <v>Asia</v>
      </c>
      <c r="W423" s="195" t="s">
        <v>4465</v>
      </c>
      <c r="X423" s="195"/>
      <c r="Y423" s="195"/>
    </row>
    <row r="424" spans="1:25">
      <c r="A424" s="194" t="s">
        <v>582</v>
      </c>
      <c r="B424" s="68">
        <v>367</v>
      </c>
      <c r="C424" s="68" t="s">
        <v>207</v>
      </c>
      <c r="D424" s="77" t="s">
        <v>4465</v>
      </c>
      <c r="E424" s="75"/>
      <c r="H424" s="75"/>
      <c r="K424" s="75"/>
      <c r="M424" s="76"/>
      <c r="N424" s="76"/>
      <c r="P424" s="75" t="s">
        <v>4172</v>
      </c>
      <c r="Q424" s="68" t="s">
        <v>4237</v>
      </c>
      <c r="R424" s="68">
        <v>2050</v>
      </c>
      <c r="S424" s="68">
        <v>2021</v>
      </c>
      <c r="T424" s="79" t="s">
        <v>4170</v>
      </c>
      <c r="U424" s="75" t="s">
        <v>1</v>
      </c>
      <c r="V424" s="195" t="str" cm="1">
        <f t="array" ref="V424">_xlfn.IFS(
  C424="United States","North America",
  C424="Canada","North America",
  C424="Mexico","North America",
  C424="Bermuda","North America",
  C424="United Kingdom","Europe",
  C424="Germany","Europe",
  C424="France","Europe",
  C424="Italy","Europe",
  C424="Switzerland","Europe",
  C424="Spain","Europe",
  C424="Netherlands","Europe",
  C424="Sweden","Europe",
  C424="Norway","Europe",
  C424="Finland","Europe",
  C424="Denmark","Europe",
  C424="Russia","Europe",
  C424="China","Asia",
  C424="Japan","Asia",
  C424="Taiwan, Province of China","Asia",
  C424="Hong Kong","Asia",
  C424="South Korea","Asia",
  C424="India","Asia",
  C424="Singapore","Asia",
  C424="Thailand","Asia",
  C424="Indonesia","Asia",
  C424="Malaysia","Asia",
  TRUE,"Other"
)</f>
        <v>Asia</v>
      </c>
      <c r="W424" s="195" t="str">
        <f>_xlfn.XLOOKUP(Table2[[#This Row],[Column3]],Sheet1!G:G,Sheet1!H:H)</f>
        <v>Financial services</v>
      </c>
      <c r="X424" s="195"/>
      <c r="Y424" s="195"/>
    </row>
    <row r="425" spans="1:25" ht="16">
      <c r="A425" s="194" t="s">
        <v>1132</v>
      </c>
      <c r="B425" s="68">
        <v>325</v>
      </c>
      <c r="C425" s="68" t="s">
        <v>207</v>
      </c>
      <c r="D425" s="77" t="s">
        <v>4465</v>
      </c>
      <c r="E425" s="75"/>
      <c r="H425" s="75"/>
      <c r="K425" s="75"/>
      <c r="M425" s="76"/>
      <c r="N425" s="76"/>
      <c r="P425" s="75" t="s">
        <v>4226</v>
      </c>
      <c r="Q425" s="68" t="s">
        <v>4236</v>
      </c>
      <c r="R425" s="68">
        <v>2030</v>
      </c>
      <c r="S425" s="68">
        <v>2021</v>
      </c>
      <c r="T425" s="78" t="s">
        <v>4170</v>
      </c>
      <c r="U425" s="75" t="s">
        <v>361</v>
      </c>
      <c r="V425" s="195" t="str" cm="1">
        <f t="array" ref="V425">_xlfn.IFS(
  C425="United States","North America",
  C425="Canada","North America",
  C425="Mexico","North America",
  C425="Bermuda","North America",
  C425="United Kingdom","Europe",
  C425="Germany","Europe",
  C425="France","Europe",
  C425="Italy","Europe",
  C425="Switzerland","Europe",
  C425="Spain","Europe",
  C425="Netherlands","Europe",
  C425="Sweden","Europe",
  C425="Norway","Europe",
  C425="Finland","Europe",
  C425="Denmark","Europe",
  C425="Russia","Europe",
  C425="China","Asia",
  C425="Japan","Asia",
  C425="Taiwan, Province of China","Asia",
  C425="Hong Kong","Asia",
  C425="South Korea","Asia",
  C425="India","Asia",
  C425="Singapore","Asia",
  C425="Thailand","Asia",
  C425="Indonesia","Asia",
  C425="Malaysia","Asia",
  TRUE,"Other"
)</f>
        <v>Asia</v>
      </c>
      <c r="W425" s="195" t="str">
        <f>_xlfn.XLOOKUP(Table2[[#This Row],[Column3]],Sheet1!G:G,Sheet1!H:H)</f>
        <v>Financial services</v>
      </c>
      <c r="X425" s="195"/>
      <c r="Y425" s="195"/>
    </row>
    <row r="426" spans="1:25">
      <c r="A426" s="194" t="s">
        <v>2334</v>
      </c>
      <c r="B426" s="68">
        <v>379</v>
      </c>
      <c r="C426" s="68" t="s">
        <v>78</v>
      </c>
      <c r="D426" s="77" t="s">
        <v>976</v>
      </c>
      <c r="E426" s="75"/>
      <c r="H426" s="75"/>
      <c r="K426" s="75" t="s">
        <v>1957</v>
      </c>
      <c r="L426" s="68" t="s">
        <v>4235</v>
      </c>
      <c r="M426" s="76">
        <v>2021</v>
      </c>
      <c r="N426" s="76">
        <v>2021</v>
      </c>
      <c r="O426" s="79" t="s">
        <v>4170</v>
      </c>
      <c r="P426" s="75"/>
      <c r="U426" s="75" t="s">
        <v>361</v>
      </c>
      <c r="V426" s="195" t="str" cm="1">
        <f t="array" ref="V426">_xlfn.IFS(
  C426="United States","North America",
  C426="Canada","North America",
  C426="Mexico","North America",
  C426="Bermuda","North America",
  C426="United Kingdom","Europe",
  C426="Germany","Europe",
  C426="France","Europe",
  C426="Italy","Europe",
  C426="Switzerland","Europe",
  C426="Spain","Europe",
  C426="Netherlands","Europe",
  C426="Sweden","Europe",
  C426="Norway","Europe",
  C426="Finland","Europe",
  C426="Denmark","Europe",
  C426="Russia","Europe",
  C426="China","Asia",
  C426="Japan","Asia",
  C426="Taiwan, Province of China","Asia",
  C426="Hong Kong","Asia",
  C426="South Korea","Asia",
  C426="India","Asia",
  C426="Singapore","Asia",
  C426="Thailand","Asia",
  C426="Indonesia","Asia",
  C426="Malaysia","Asia",
  TRUE,"Other"
)</f>
        <v>North America</v>
      </c>
      <c r="W426" s="195" t="str">
        <f>_xlfn.XLOOKUP(Table2[[#This Row],[Column3]],Sheet1!G:G,Sheet1!H:H)</f>
        <v>Real estate</v>
      </c>
      <c r="X426" s="195"/>
      <c r="Y426" s="195"/>
    </row>
    <row r="427" spans="1:25">
      <c r="A427" s="194" t="s">
        <v>4234</v>
      </c>
      <c r="B427" s="68">
        <v>364</v>
      </c>
      <c r="C427" s="68" t="s">
        <v>73</v>
      </c>
      <c r="D427" s="77" t="s">
        <v>4467</v>
      </c>
      <c r="E427" s="75"/>
      <c r="H427" s="75"/>
      <c r="K427" s="75"/>
      <c r="M427" s="76"/>
      <c r="N427" s="76"/>
      <c r="P427" s="75"/>
      <c r="U427" s="75" t="s">
        <v>1</v>
      </c>
      <c r="V427" s="195" t="str" cm="1">
        <f t="array" ref="V427">_xlfn.IFS(
  C427="United States","North America",
  C427="Canada","North America",
  C427="Mexico","North America",
  C427="Bermuda","North America",
  C427="United Kingdom","Europe",
  C427="Germany","Europe",
  C427="France","Europe",
  C427="Italy","Europe",
  C427="Switzerland","Europe",
  C427="Spain","Europe",
  C427="Netherlands","Europe",
  C427="Sweden","Europe",
  C427="Norway","Europe",
  C427="Finland","Europe",
  C427="Denmark","Europe",
  C427="Russia","Europe",
  C427="China","Asia",
  C427="Japan","Asia",
  C427="Taiwan, Province of China","Asia",
  C427="Hong Kong","Asia",
  C427="South Korea","Asia",
  C427="India","Asia",
  C427="Singapore","Asia",
  C427="Thailand","Asia",
  C427="Indonesia","Asia",
  C427="Malaysia","Asia",
  TRUE,"Other"
)</f>
        <v>Asia</v>
      </c>
      <c r="W427" s="195" t="str">
        <f>_xlfn.XLOOKUP(Table2[[#This Row],[Column3]],Sheet1!G:G,Sheet1!H:H)</f>
        <v>Retail</v>
      </c>
      <c r="X427" s="195"/>
      <c r="Y427" s="195"/>
    </row>
    <row r="428" spans="1:25">
      <c r="A428" s="194" t="s">
        <v>713</v>
      </c>
      <c r="B428" s="68">
        <v>328</v>
      </c>
      <c r="C428" s="68" t="s">
        <v>73</v>
      </c>
      <c r="D428" s="77" t="s">
        <v>4476</v>
      </c>
      <c r="E428" s="75"/>
      <c r="H428" s="75"/>
      <c r="K428" s="75"/>
      <c r="M428" s="76"/>
      <c r="N428" s="76"/>
      <c r="P428" s="75"/>
      <c r="U428" s="75" t="s">
        <v>1</v>
      </c>
      <c r="V428" s="195" t="str" cm="1">
        <f t="array" ref="V428">_xlfn.IFS(
  C428="United States","North America",
  C428="Canada","North America",
  C428="Mexico","North America",
  C428="Bermuda","North America",
  C428="United Kingdom","Europe",
  C428="Germany","Europe",
  C428="France","Europe",
  C428="Italy","Europe",
  C428="Switzerland","Europe",
  C428="Spain","Europe",
  C428="Netherlands","Europe",
  C428="Sweden","Europe",
  C428="Norway","Europe",
  C428="Finland","Europe",
  C428="Denmark","Europe",
  C428="Russia","Europe",
  C428="China","Asia",
  C428="Japan","Asia",
  C428="Taiwan, Province of China","Asia",
  C428="Hong Kong","Asia",
  C428="South Korea","Asia",
  C428="India","Asia",
  C428="Singapore","Asia",
  C428="Thailand","Asia",
  C428="Indonesia","Asia",
  C428="Malaysia","Asia",
  TRUE,"Other"
)</f>
        <v>Asia</v>
      </c>
      <c r="W428" s="195" t="str">
        <f>_xlfn.XLOOKUP(Table2[[#This Row],[Column3]],Sheet1!G:G,Sheet1!H:H)</f>
        <v>Automotive</v>
      </c>
      <c r="X428" s="195"/>
      <c r="Y428" s="195"/>
    </row>
    <row r="429" spans="1:25">
      <c r="A429" s="194" t="s">
        <v>642</v>
      </c>
      <c r="B429" s="68">
        <v>412</v>
      </c>
      <c r="C429" s="68" t="s">
        <v>207</v>
      </c>
      <c r="D429" s="77" t="s">
        <v>4465</v>
      </c>
      <c r="E429" s="75"/>
      <c r="H429" s="75"/>
      <c r="K429" s="75"/>
      <c r="M429" s="76"/>
      <c r="N429" s="76"/>
      <c r="P429" s="75"/>
      <c r="U429" s="75" t="s">
        <v>1</v>
      </c>
      <c r="V429" s="195" t="str" cm="1">
        <f t="array" ref="V429">_xlfn.IFS(
  C429="United States","North America",
  C429="Canada","North America",
  C429="Mexico","North America",
  C429="Bermuda","North America",
  C429="United Kingdom","Europe",
  C429="Germany","Europe",
  C429="France","Europe",
  C429="Italy","Europe",
  C429="Switzerland","Europe",
  C429="Spain","Europe",
  C429="Netherlands","Europe",
  C429="Sweden","Europe",
  C429="Norway","Europe",
  C429="Finland","Europe",
  C429="Denmark","Europe",
  C429="Russia","Europe",
  C429="China","Asia",
  C429="Japan","Asia",
  C429="Taiwan, Province of China","Asia",
  C429="Hong Kong","Asia",
  C429="South Korea","Asia",
  C429="India","Asia",
  C429="Singapore","Asia",
  C429="Thailand","Asia",
  C429="Indonesia","Asia",
  C429="Malaysia","Asia",
  TRUE,"Other"
)</f>
        <v>Asia</v>
      </c>
      <c r="W429" s="195" t="str">
        <f>_xlfn.XLOOKUP(Table2[[#This Row],[Column3]],Sheet1!G:G,Sheet1!H:H)</f>
        <v>Financial services</v>
      </c>
      <c r="X429" s="195"/>
      <c r="Y429" s="195"/>
    </row>
    <row r="430" spans="1:25" ht="16">
      <c r="A430" s="194" t="s">
        <v>717</v>
      </c>
      <c r="B430" s="68">
        <v>268</v>
      </c>
      <c r="C430" s="68" t="s">
        <v>287</v>
      </c>
      <c r="D430" s="77" t="s">
        <v>186</v>
      </c>
      <c r="E430" s="75" t="s">
        <v>4174</v>
      </c>
      <c r="F430" s="68">
        <v>2020</v>
      </c>
      <c r="G430" s="68">
        <v>2014</v>
      </c>
      <c r="H430" s="75" t="s">
        <v>1957</v>
      </c>
      <c r="J430" s="68">
        <v>2019</v>
      </c>
      <c r="K430" s="75" t="s">
        <v>1957</v>
      </c>
      <c r="L430" s="68" t="s">
        <v>418</v>
      </c>
      <c r="M430" s="76">
        <v>2003</v>
      </c>
      <c r="N430" s="76">
        <v>2003</v>
      </c>
      <c r="O430" s="79" t="s">
        <v>4170</v>
      </c>
      <c r="P430" s="75" t="s">
        <v>4233</v>
      </c>
      <c r="Q430" s="68" t="s">
        <v>4232</v>
      </c>
      <c r="R430" s="68">
        <v>2030</v>
      </c>
      <c r="S430" s="68">
        <v>2019</v>
      </c>
      <c r="T430" s="82" t="s">
        <v>4170</v>
      </c>
      <c r="U430" s="75" t="s">
        <v>361</v>
      </c>
      <c r="V430" s="195" t="str" cm="1">
        <f t="array" ref="V430">_xlfn.IFS(
  C430="United States","North America",
  C430="Canada","North America",
  C430="Mexico","North America",
  C430="Bermuda","North America",
  C430="United Kingdom","Europe",
  C430="Germany","Europe",
  C430="France","Europe",
  C430="Italy","Europe",
  C430="Switzerland","Europe",
  C430="Spain","Europe",
  C430="Netherlands","Europe",
  C430="Sweden","Europe",
  C430="Norway","Europe",
  C430="Finland","Europe",
  C430="Denmark","Europe",
  C430="Russia","Europe",
  C430="China","Asia",
  C430="Japan","Asia",
  C430="Taiwan, Province of China","Asia",
  C430="Hong Kong","Asia",
  C430="South Korea","Asia",
  C430="India","Asia",
  C430="Singapore","Asia",
  C430="Thailand","Asia",
  C430="Indonesia","Asia",
  C430="Malaysia","Asia",
  TRUE,"Other"
)</f>
        <v>Europe</v>
      </c>
      <c r="W430" s="195" t="str">
        <f>_xlfn.XLOOKUP(Table2[[#This Row],[Column3]],Sheet1!G:G,Sheet1!H:H)</f>
        <v>Technology</v>
      </c>
      <c r="X430" s="195"/>
      <c r="Y430" s="195"/>
    </row>
    <row r="431" spans="1:25">
      <c r="A431" s="194" t="s">
        <v>4231</v>
      </c>
      <c r="B431" s="68">
        <v>490</v>
      </c>
      <c r="C431" s="68" t="s">
        <v>82</v>
      </c>
      <c r="D431" s="77" t="s">
        <v>4455</v>
      </c>
      <c r="E431" s="75"/>
      <c r="H431" s="75"/>
      <c r="K431" s="75"/>
      <c r="M431" s="76"/>
      <c r="N431" s="76"/>
      <c r="P431" s="75"/>
      <c r="U431" s="75" t="s">
        <v>1</v>
      </c>
      <c r="V431" s="195" t="str" cm="1">
        <f t="array" ref="V431">_xlfn.IFS(
  C431="United States","North America",
  C431="Canada","North America",
  C431="Mexico","North America",
  C431="Bermuda","North America",
  C431="United Kingdom","Europe",
  C431="Germany","Europe",
  C431="France","Europe",
  C431="Italy","Europe",
  C431="Switzerland","Europe",
  C431="Spain","Europe",
  C431="Netherlands","Europe",
  C431="Sweden","Europe",
  C431="Norway","Europe",
  C431="Finland","Europe",
  C431="Denmark","Europe",
  C431="Russia","Europe",
  C431="China","Asia",
  C431="Japan","Asia",
  C431="Taiwan, Province of China","Asia",
  C431="Hong Kong","Asia",
  C431="South Korea","Asia",
  C431="India","Asia",
  C431="Singapore","Asia",
  C431="Thailand","Asia",
  C431="Indonesia","Asia",
  C431="Malaysia","Asia",
  TRUE,"Other"
)</f>
        <v>North America</v>
      </c>
      <c r="W431" s="195" t="str">
        <f>_xlfn.XLOOKUP(Table2[[#This Row],[Column3]],Sheet1!G:G,Sheet1!H:H)</f>
        <v>Food, beverages and agriculture</v>
      </c>
      <c r="X431" s="195"/>
      <c r="Y431" s="195"/>
    </row>
    <row r="432" spans="1:25">
      <c r="A432" s="194" t="s">
        <v>1259</v>
      </c>
      <c r="B432" s="68">
        <v>199</v>
      </c>
      <c r="C432" s="68" t="s">
        <v>82</v>
      </c>
      <c r="D432" s="77" t="s">
        <v>4465</v>
      </c>
      <c r="E432" s="75"/>
      <c r="H432" s="75"/>
      <c r="K432" s="75"/>
      <c r="M432" s="76"/>
      <c r="N432" s="76"/>
      <c r="P432" s="75"/>
      <c r="U432" s="75" t="s">
        <v>1</v>
      </c>
      <c r="V432" s="195" t="str" cm="1">
        <f t="array" ref="V432">_xlfn.IFS(
  C432="United States","North America",
  C432="Canada","North America",
  C432="Mexico","North America",
  C432="Bermuda","North America",
  C432="United Kingdom","Europe",
  C432="Germany","Europe",
  C432="France","Europe",
  C432="Italy","Europe",
  C432="Switzerland","Europe",
  C432="Spain","Europe",
  C432="Netherlands","Europe",
  C432="Sweden","Europe",
  C432="Norway","Europe",
  C432="Finland","Europe",
  C432="Denmark","Europe",
  C432="Russia","Europe",
  C432="China","Asia",
  C432="Japan","Asia",
  C432="Taiwan, Province of China","Asia",
  C432="Hong Kong","Asia",
  C432="South Korea","Asia",
  C432="India","Asia",
  C432="Singapore","Asia",
  C432="Thailand","Asia",
  C432="Indonesia","Asia",
  C432="Malaysia","Asia",
  TRUE,"Other"
)</f>
        <v>North America</v>
      </c>
      <c r="W432" s="195" t="str">
        <f>_xlfn.XLOOKUP(Table2[[#This Row],[Column3]],Sheet1!G:G,Sheet1!H:H)</f>
        <v>Financial services</v>
      </c>
      <c r="X432" s="195"/>
      <c r="Y432" s="195"/>
    </row>
    <row r="433" spans="1:25">
      <c r="A433" s="194" t="s">
        <v>72</v>
      </c>
      <c r="B433" s="68">
        <v>343</v>
      </c>
      <c r="C433" s="68" t="s">
        <v>73</v>
      </c>
      <c r="D433" s="77" t="s">
        <v>186</v>
      </c>
      <c r="E433" s="75"/>
      <c r="H433" s="75"/>
      <c r="K433" s="75"/>
      <c r="M433" s="76"/>
      <c r="N433" s="76"/>
      <c r="P433" s="75"/>
      <c r="U433" s="75" t="s">
        <v>1</v>
      </c>
      <c r="V433" s="195" t="str" cm="1">
        <f t="array" ref="V433">_xlfn.IFS(
  C433="United States","North America",
  C433="Canada","North America",
  C433="Mexico","North America",
  C433="Bermuda","North America",
  C433="United Kingdom","Europe",
  C433="Germany","Europe",
  C433="France","Europe",
  C433="Italy","Europe",
  C433="Switzerland","Europe",
  C433="Spain","Europe",
  C433="Netherlands","Europe",
  C433="Sweden","Europe",
  C433="Norway","Europe",
  C433="Finland","Europe",
  C433="Denmark","Europe",
  C433="Russia","Europe",
  C433="China","Asia",
  C433="Japan","Asia",
  C433="Taiwan, Province of China","Asia",
  C433="Hong Kong","Asia",
  C433="South Korea","Asia",
  C433="India","Asia",
  C433="Singapore","Asia",
  C433="Thailand","Asia",
  C433="Indonesia","Asia",
  C433="Malaysia","Asia",
  TRUE,"Other"
)</f>
        <v>Asia</v>
      </c>
      <c r="W433" s="195" t="str">
        <f>_xlfn.XLOOKUP(Table2[[#This Row],[Column3]],Sheet1!G:G,Sheet1!H:H)</f>
        <v>Technology</v>
      </c>
      <c r="X433" s="195"/>
      <c r="Y433" s="195"/>
    </row>
    <row r="434" spans="1:25">
      <c r="A434" s="194" t="s">
        <v>626</v>
      </c>
      <c r="B434" s="68">
        <v>251</v>
      </c>
      <c r="C434" s="68" t="s">
        <v>3277</v>
      </c>
      <c r="D434" s="77" t="s">
        <v>4201</v>
      </c>
      <c r="E434" s="75" t="s">
        <v>4174</v>
      </c>
      <c r="F434" s="68">
        <v>2050</v>
      </c>
      <c r="G434" s="68">
        <v>2020</v>
      </c>
      <c r="H434" s="75"/>
      <c r="K434" s="75"/>
      <c r="M434" s="76"/>
      <c r="N434" s="76"/>
      <c r="P434" s="75" t="s">
        <v>1957</v>
      </c>
      <c r="Q434" s="68" t="s">
        <v>4230</v>
      </c>
      <c r="R434" s="68">
        <v>2020</v>
      </c>
      <c r="S434" s="68">
        <v>2020</v>
      </c>
      <c r="T434" s="80" t="s">
        <v>4170</v>
      </c>
      <c r="U434" s="75" t="s">
        <v>361</v>
      </c>
      <c r="V434" s="195" t="str" cm="1">
        <f t="array" ref="V434">_xlfn.IFS(
  C434="United States","North America",
  C434="Canada","North America",
  C434="Mexico","North America",
  C434="Bermuda","North America",
  C434="United Kingdom","Europe",
  C434="Germany","Europe",
  C434="France","Europe",
  C434="Italy","Europe",
  C434="Switzerland","Europe",
  C434="Spain","Europe",
  C434="Netherlands","Europe",
  C434="Sweden","Europe",
  C434="Norway","Europe",
  C434="Finland","Europe",
  C434="Denmark","Europe",
  C434="Russia","Europe",
  C434="China","Asia",
  C434="Japan","Asia",
  C434="Taiwan, Province of China","Asia",
  C434="Hong Kong","Asia",
  C434="South Korea","Asia",
  C434="India","Asia",
  C434="Singapore","Asia",
  C434="Thailand","Asia",
  C434="Indonesia","Asia",
  C434="Malaysia","Asia",
  TRUE,"Other"
)</f>
        <v>Asia</v>
      </c>
      <c r="W434" s="195" t="str">
        <f>_xlfn.XLOOKUP(Table2[[#This Row],[Column3]],Sheet1!G:G,Sheet1!H:H)</f>
        <v>Health care and pharmaceuticals</v>
      </c>
      <c r="X434" s="195"/>
      <c r="Y434" s="195"/>
    </row>
    <row r="435" spans="1:25" ht="16">
      <c r="A435" s="194" t="s">
        <v>2301</v>
      </c>
      <c r="B435" s="68">
        <v>409</v>
      </c>
      <c r="C435" s="68" t="s">
        <v>207</v>
      </c>
      <c r="D435" s="77" t="s">
        <v>4465</v>
      </c>
      <c r="E435" s="75"/>
      <c r="H435" s="75" t="s">
        <v>4183</v>
      </c>
      <c r="I435" s="68">
        <v>2025</v>
      </c>
      <c r="J435" s="68">
        <v>2020</v>
      </c>
      <c r="K435" s="75" t="s">
        <v>1957</v>
      </c>
      <c r="L435" s="68" t="s">
        <v>2760</v>
      </c>
      <c r="M435" s="76">
        <v>2020</v>
      </c>
      <c r="N435" s="76">
        <v>2019</v>
      </c>
      <c r="O435" s="78" t="s">
        <v>4170</v>
      </c>
      <c r="P435" s="75" t="s">
        <v>4172</v>
      </c>
      <c r="Q435" s="68" t="s">
        <v>4229</v>
      </c>
      <c r="R435" s="68">
        <v>2040</v>
      </c>
      <c r="S435" s="68">
        <v>2019</v>
      </c>
      <c r="T435" s="82" t="s">
        <v>4170</v>
      </c>
      <c r="U435" s="75" t="s">
        <v>361</v>
      </c>
      <c r="V435" s="195" t="str" cm="1">
        <f t="array" ref="V435">_xlfn.IFS(
  C435="United States","North America",
  C435="Canada","North America",
  C435="Mexico","North America",
  C435="Bermuda","North America",
  C435="United Kingdom","Europe",
  C435="Germany","Europe",
  C435="France","Europe",
  C435="Italy","Europe",
  C435="Switzerland","Europe",
  C435="Spain","Europe",
  C435="Netherlands","Europe",
  C435="Sweden","Europe",
  C435="Norway","Europe",
  C435="Finland","Europe",
  C435="Denmark","Europe",
  C435="Russia","Europe",
  C435="China","Asia",
  C435="Japan","Asia",
  C435="Taiwan, Province of China","Asia",
  C435="Hong Kong","Asia",
  C435="South Korea","Asia",
  C435="India","Asia",
  C435="Singapore","Asia",
  C435="Thailand","Asia",
  C435="Indonesia","Asia",
  C435="Malaysia","Asia",
  TRUE,"Other"
)</f>
        <v>Asia</v>
      </c>
      <c r="W435" s="195" t="str">
        <f>_xlfn.XLOOKUP(Table2[[#This Row],[Column3]],Sheet1!G:G,Sheet1!H:H)</f>
        <v>Financial services</v>
      </c>
      <c r="X435" s="195"/>
      <c r="Y435" s="195"/>
    </row>
    <row r="436" spans="1:25" ht="16">
      <c r="A436" s="194" t="s">
        <v>900</v>
      </c>
      <c r="B436" s="68">
        <v>241</v>
      </c>
      <c r="C436" s="68" t="s">
        <v>146</v>
      </c>
      <c r="D436" s="77" t="s">
        <v>4467</v>
      </c>
      <c r="E436" s="75"/>
      <c r="H436" s="75"/>
      <c r="K436" s="75" t="s">
        <v>1957</v>
      </c>
      <c r="L436" s="68" t="s">
        <v>160</v>
      </c>
      <c r="M436" s="76">
        <v>2030</v>
      </c>
      <c r="N436" s="76">
        <v>2021</v>
      </c>
      <c r="O436" s="78" t="s">
        <v>4170</v>
      </c>
      <c r="P436" s="75"/>
      <c r="U436" s="75" t="s">
        <v>361</v>
      </c>
      <c r="V436" s="195" t="str" cm="1">
        <f t="array" ref="V436">_xlfn.IFS(
  C436="United States","North America",
  C436="Canada","North America",
  C436="Mexico","North America",
  C436="Bermuda","North America",
  C436="United Kingdom","Europe",
  C436="Germany","Europe",
  C436="France","Europe",
  C436="Italy","Europe",
  C436="Switzerland","Europe",
  C436="Spain","Europe",
  C436="Netherlands","Europe",
  C436="Sweden","Europe",
  C436="Norway","Europe",
  C436="Finland","Europe",
  C436="Denmark","Europe",
  C436="Russia","Europe",
  C436="China","Asia",
  C436="Japan","Asia",
  C436="Taiwan, Province of China","Asia",
  C436="Hong Kong","Asia",
  C436="South Korea","Asia",
  C436="India","Asia",
  C436="Singapore","Asia",
  C436="Thailand","Asia",
  C436="Indonesia","Asia",
  C436="Malaysia","Asia",
  TRUE,"Other"
)</f>
        <v>Europe</v>
      </c>
      <c r="W436" s="195" t="str">
        <f>_xlfn.XLOOKUP(Table2[[#This Row],[Column3]],Sheet1!G:G,Sheet1!H:H)</f>
        <v>Retail</v>
      </c>
      <c r="X436" s="195"/>
      <c r="Y436" s="195"/>
    </row>
    <row r="437" spans="1:25">
      <c r="A437" s="194" t="s">
        <v>1432</v>
      </c>
      <c r="B437" s="68">
        <v>78</v>
      </c>
      <c r="C437" s="68" t="s">
        <v>82</v>
      </c>
      <c r="D437" s="77" t="s">
        <v>4476</v>
      </c>
      <c r="E437" s="75" t="s">
        <v>4174</v>
      </c>
      <c r="F437" s="68">
        <v>2030</v>
      </c>
      <c r="G437" s="68">
        <v>2019</v>
      </c>
      <c r="H437" s="75" t="s">
        <v>4183</v>
      </c>
      <c r="I437" s="68">
        <v>2030</v>
      </c>
      <c r="J437" s="68">
        <v>2019</v>
      </c>
      <c r="K437" s="75"/>
      <c r="M437" s="76"/>
      <c r="N437" s="76"/>
      <c r="P437" s="75" t="s">
        <v>4172</v>
      </c>
      <c r="Q437" s="68" t="s">
        <v>4228</v>
      </c>
      <c r="R437" s="68">
        <v>2040</v>
      </c>
      <c r="S437" s="68">
        <v>2021</v>
      </c>
      <c r="T437" s="79" t="s">
        <v>4170</v>
      </c>
      <c r="U437" s="75" t="s">
        <v>361</v>
      </c>
      <c r="V437" s="195" t="str" cm="1">
        <f t="array" ref="V437">_xlfn.IFS(
  C437="United States","North America",
  C437="Canada","North America",
  C437="Mexico","North America",
  C437="Bermuda","North America",
  C437="United Kingdom","Europe",
  C437="Germany","Europe",
  C437="France","Europe",
  C437="Italy","Europe",
  C437="Switzerland","Europe",
  C437="Spain","Europe",
  C437="Netherlands","Europe",
  C437="Sweden","Europe",
  C437="Norway","Europe",
  C437="Finland","Europe",
  C437="Denmark","Europe",
  C437="Russia","Europe",
  C437="China","Asia",
  C437="Japan","Asia",
  C437="Taiwan, Province of China","Asia",
  C437="Hong Kong","Asia",
  C437="South Korea","Asia",
  C437="India","Asia",
  C437="Singapore","Asia",
  C437="Thailand","Asia",
  C437="Indonesia","Asia",
  C437="Malaysia","Asia",
  TRUE,"Other"
)</f>
        <v>North America</v>
      </c>
      <c r="W437" s="195" t="str">
        <f>_xlfn.XLOOKUP(Table2[[#This Row],[Column3]],Sheet1!G:G,Sheet1!H:H)</f>
        <v>Automotive</v>
      </c>
      <c r="X437" s="195"/>
      <c r="Y437" s="195"/>
    </row>
    <row r="438" spans="1:25" ht="16">
      <c r="A438" s="194" t="s">
        <v>948</v>
      </c>
      <c r="B438" s="68">
        <v>357</v>
      </c>
      <c r="C438" s="68" t="s">
        <v>87</v>
      </c>
      <c r="D438" s="77" t="s">
        <v>4190</v>
      </c>
      <c r="E438" s="75" t="s">
        <v>4174</v>
      </c>
      <c r="F438" s="68">
        <v>2030</v>
      </c>
      <c r="G438" s="68">
        <v>2016</v>
      </c>
      <c r="H438" s="75"/>
      <c r="K438" s="75"/>
      <c r="M438" s="76"/>
      <c r="N438" s="76"/>
      <c r="P438" s="75" t="s">
        <v>4217</v>
      </c>
      <c r="Q438" s="68" t="s">
        <v>4227</v>
      </c>
      <c r="R438" s="68">
        <v>2039</v>
      </c>
      <c r="S438" s="68">
        <v>2021</v>
      </c>
      <c r="T438" s="83" t="s">
        <v>4170</v>
      </c>
      <c r="U438" s="75" t="s">
        <v>361</v>
      </c>
      <c r="V438" s="195" t="str" cm="1">
        <f t="array" ref="V438">_xlfn.IFS(
  C438="United States","North America",
  C438="Canada","North America",
  C438="Mexico","North America",
  C438="Bermuda","North America",
  C438="United Kingdom","Europe",
  C438="Germany","Europe",
  C438="France","Europe",
  C438="Italy","Europe",
  C438="Switzerland","Europe",
  C438="Spain","Europe",
  C438="Netherlands","Europe",
  C438="Sweden","Europe",
  C438="Norway","Europe",
  C438="Finland","Europe",
  C438="Denmark","Europe",
  C438="Russia","Europe",
  C438="China","Asia",
  C438="Japan","Asia",
  C438="Taiwan, Province of China","Asia",
  C438="Hong Kong","Asia",
  C438="South Korea","Asia",
  C438="India","Asia",
  C438="Singapore","Asia",
  C438="Thailand","Asia",
  C438="Indonesia","Asia",
  C438="Malaysia","Asia",
  TRUE,"Other"
)</f>
        <v>Asia</v>
      </c>
      <c r="W438" s="195" t="str">
        <f>_xlfn.XLOOKUP(Table2[[#This Row],[Column3]],Sheet1!G:G,Sheet1!H:H)</f>
        <v>Telecommunications and media</v>
      </c>
      <c r="X438" s="195"/>
      <c r="Y438" s="195"/>
    </row>
    <row r="439" spans="1:25" ht="16">
      <c r="A439" s="194" t="s">
        <v>1240</v>
      </c>
      <c r="B439" s="68">
        <v>223</v>
      </c>
      <c r="C439" s="68" t="s">
        <v>267</v>
      </c>
      <c r="D439" s="77" t="s">
        <v>4467</v>
      </c>
      <c r="E439" s="75" t="s">
        <v>4174</v>
      </c>
      <c r="F439" s="68">
        <v>2030</v>
      </c>
      <c r="G439" s="68">
        <v>2017</v>
      </c>
      <c r="H439" s="75" t="s">
        <v>4183</v>
      </c>
      <c r="I439" s="68">
        <v>2025</v>
      </c>
      <c r="J439" s="68">
        <v>2021</v>
      </c>
      <c r="K439" s="75"/>
      <c r="M439" s="76"/>
      <c r="N439" s="76"/>
      <c r="P439" s="75" t="s">
        <v>4226</v>
      </c>
      <c r="Q439" s="68" t="s">
        <v>4225</v>
      </c>
      <c r="R439" s="68">
        <v>2025</v>
      </c>
      <c r="S439" s="68">
        <v>2020</v>
      </c>
      <c r="T439" s="78" t="s">
        <v>4170</v>
      </c>
      <c r="U439" s="75" t="s">
        <v>361</v>
      </c>
      <c r="V439" s="195" t="str" cm="1">
        <f t="array" ref="V439">_xlfn.IFS(
  C439="United States","North America",
  C439="Canada","North America",
  C439="Mexico","North America",
  C439="Bermuda","North America",
  C439="United Kingdom","Europe",
  C439="Germany","Europe",
  C439="France","Europe",
  C439="Italy","Europe",
  C439="Switzerland","Europe",
  C439="Spain","Europe",
  C439="Netherlands","Europe",
  C439="Sweden","Europe",
  C439="Norway","Europe",
  C439="Finland","Europe",
  C439="Denmark","Europe",
  C439="Russia","Europe",
  C439="China","Asia",
  C439="Japan","Asia",
  C439="Taiwan, Province of China","Asia",
  C439="Hong Kong","Asia",
  C439="South Korea","Asia",
  C439="India","Asia",
  C439="Singapore","Asia",
  C439="Thailand","Asia",
  C439="Indonesia","Asia",
  C439="Malaysia","Asia",
  TRUE,"Other"
)</f>
        <v>Europe</v>
      </c>
      <c r="W439" s="195" t="str">
        <f>_xlfn.XLOOKUP(Table2[[#This Row],[Column3]],Sheet1!G:G,Sheet1!H:H)</f>
        <v>Retail</v>
      </c>
      <c r="X439" s="195"/>
      <c r="Y439" s="195"/>
    </row>
    <row r="440" spans="1:25" ht="16">
      <c r="A440" s="194" t="s">
        <v>1031</v>
      </c>
      <c r="B440" s="68">
        <v>132</v>
      </c>
      <c r="C440" s="68" t="s">
        <v>73</v>
      </c>
      <c r="D440" s="77" t="s">
        <v>4455</v>
      </c>
      <c r="E440" s="75"/>
      <c r="H440" s="75"/>
      <c r="K440" s="75" t="s">
        <v>4224</v>
      </c>
      <c r="M440" s="76"/>
      <c r="N440" s="76">
        <v>2021</v>
      </c>
      <c r="O440" s="78" t="s">
        <v>4170</v>
      </c>
      <c r="P440" s="75"/>
      <c r="U440" s="75" t="s">
        <v>1</v>
      </c>
      <c r="V440" s="195" t="str" cm="1">
        <f t="array" ref="V440">_xlfn.IFS(
  C440="United States","North America",
  C440="Canada","North America",
  C440="Mexico","North America",
  C440="Bermuda","North America",
  C440="United Kingdom","Europe",
  C440="Germany","Europe",
  C440="France","Europe",
  C440="Italy","Europe",
  C440="Switzerland","Europe",
  C440="Spain","Europe",
  C440="Netherlands","Europe",
  C440="Sweden","Europe",
  C440="Norway","Europe",
  C440="Finland","Europe",
  C440="Denmark","Europe",
  C440="Russia","Europe",
  C440="China","Asia",
  C440="Japan","Asia",
  C440="Taiwan, Province of China","Asia",
  C440="Hong Kong","Asia",
  C440="South Korea","Asia",
  C440="India","Asia",
  C440="Singapore","Asia",
  C440="Thailand","Asia",
  C440="Indonesia","Asia",
  C440="Malaysia","Asia",
  TRUE,"Other"
)</f>
        <v>Asia</v>
      </c>
      <c r="W440" s="195" t="str">
        <f>_xlfn.XLOOKUP(Table2[[#This Row],[Column3]],Sheet1!G:G,Sheet1!H:H)</f>
        <v>Food, beverages and agriculture</v>
      </c>
      <c r="X440" s="195"/>
      <c r="Y440" s="195"/>
    </row>
    <row r="441" spans="1:25">
      <c r="A441" s="194" t="s">
        <v>1517</v>
      </c>
      <c r="B441" s="68">
        <v>99</v>
      </c>
      <c r="C441" s="68" t="s">
        <v>4195</v>
      </c>
      <c r="D441" s="77" t="s">
        <v>4476</v>
      </c>
      <c r="E441" s="75" t="s">
        <v>4174</v>
      </c>
      <c r="F441" s="68">
        <v>2030</v>
      </c>
      <c r="G441" s="68">
        <v>2017</v>
      </c>
      <c r="H441" s="75" t="s">
        <v>4183</v>
      </c>
      <c r="I441" s="68">
        <v>2025</v>
      </c>
      <c r="J441" s="68">
        <v>2017</v>
      </c>
      <c r="K441" s="75"/>
      <c r="M441" s="76"/>
      <c r="N441" s="76"/>
      <c r="P441" s="75" t="s">
        <v>1957</v>
      </c>
      <c r="Q441" s="68" t="s">
        <v>4223</v>
      </c>
      <c r="R441" s="68">
        <v>2035</v>
      </c>
      <c r="S441" s="68">
        <v>2020</v>
      </c>
      <c r="T441" s="79" t="s">
        <v>4170</v>
      </c>
      <c r="U441" s="75" t="s">
        <v>361</v>
      </c>
      <c r="V441" s="195" t="str" cm="1">
        <f t="array" ref="V441">_xlfn.IFS(
  C441="United States","North America",
  C441="Canada","North America",
  C441="Mexico","North America",
  C441="Bermuda","North America",
  C441="United Kingdom","Europe",
  C441="Germany","Europe",
  C441="France","Europe",
  C441="Italy","Europe",
  C441="Switzerland","Europe",
  C441="Spain","Europe",
  C441="Netherlands","Europe",
  C441="Sweden","Europe",
  C441="Norway","Europe",
  C441="Finland","Europe",
  C441="Denmark","Europe",
  C441="Russia","Europe",
  C441="China","Asia",
  C441="Japan","Asia",
  C441="Taiwan, Province of China","Asia",
  C441="Hong Kong","Asia",
  C441="South Korea","Asia",
  C441="India","Asia",
  C441="Singapore","Asia",
  C441="Thailand","Asia",
  C441="Indonesia","Asia",
  C441="Malaysia","Asia",
  TRUE,"Other"
)</f>
        <v>Europe</v>
      </c>
      <c r="W441" s="195" t="str">
        <f>_xlfn.XLOOKUP(Table2[[#This Row],[Column3]],Sheet1!G:G,Sheet1!H:H)</f>
        <v>Automotive</v>
      </c>
      <c r="X441" s="195"/>
      <c r="Y441" s="195"/>
    </row>
    <row r="442" spans="1:25">
      <c r="A442" s="194" t="s">
        <v>4222</v>
      </c>
      <c r="B442" s="68">
        <v>392</v>
      </c>
      <c r="C442" s="68" t="s">
        <v>82</v>
      </c>
      <c r="D442" s="77" t="s">
        <v>186</v>
      </c>
      <c r="E442" s="75"/>
      <c r="H442" s="75"/>
      <c r="K442" s="75"/>
      <c r="M442" s="76"/>
      <c r="N442" s="76"/>
      <c r="P442" s="75"/>
      <c r="U442" s="75" t="s">
        <v>1</v>
      </c>
      <c r="V442" s="195" t="str" cm="1">
        <f t="array" ref="V442">_xlfn.IFS(
  C442="United States","North America",
  C442="Canada","North America",
  C442="Mexico","North America",
  C442="Bermuda","North America",
  C442="United Kingdom","Europe",
  C442="Germany","Europe",
  C442="France","Europe",
  C442="Italy","Europe",
  C442="Switzerland","Europe",
  C442="Spain","Europe",
  C442="Netherlands","Europe",
  C442="Sweden","Europe",
  C442="Norway","Europe",
  C442="Finland","Europe",
  C442="Denmark","Europe",
  C442="Russia","Europe",
  C442="China","Asia",
  C442="Japan","Asia",
  C442="Taiwan, Province of China","Asia",
  C442="Hong Kong","Asia",
  C442="South Korea","Asia",
  C442="India","Asia",
  C442="Singapore","Asia",
  C442="Thailand","Asia",
  C442="Indonesia","Asia",
  C442="Malaysia","Asia",
  TRUE,"Other"
)</f>
        <v>North America</v>
      </c>
      <c r="W442" s="195" t="str">
        <f>_xlfn.XLOOKUP(Table2[[#This Row],[Column3]],Sheet1!G:G,Sheet1!H:H)</f>
        <v>Technology</v>
      </c>
      <c r="X442" s="195"/>
      <c r="Y442" s="195"/>
    </row>
    <row r="443" spans="1:25">
      <c r="A443" s="194" t="s">
        <v>2250</v>
      </c>
      <c r="B443" s="68">
        <v>380</v>
      </c>
      <c r="C443" s="68" t="s">
        <v>82</v>
      </c>
      <c r="D443" s="77" t="s">
        <v>4197</v>
      </c>
      <c r="E443" s="75"/>
      <c r="H443" s="75" t="s">
        <v>1957</v>
      </c>
      <c r="J443" s="68">
        <v>2021</v>
      </c>
      <c r="K443" s="75"/>
      <c r="M443" s="76"/>
      <c r="N443" s="76"/>
      <c r="P443" s="75" t="s">
        <v>4172</v>
      </c>
      <c r="Q443" s="68" t="s">
        <v>4221</v>
      </c>
      <c r="R443" s="68">
        <v>2050</v>
      </c>
      <c r="S443" s="68">
        <v>2021</v>
      </c>
      <c r="T443" s="79" t="s">
        <v>4170</v>
      </c>
      <c r="U443" s="75" t="s">
        <v>361</v>
      </c>
      <c r="V443" s="195" t="str" cm="1">
        <f t="array" ref="V443">_xlfn.IFS(
  C443="United States","North America",
  C443="Canada","North America",
  C443="Mexico","North America",
  C443="Bermuda","North America",
  C443="United Kingdom","Europe",
  C443="Germany","Europe",
  C443="France","Europe",
  C443="Italy","Europe",
  C443="Switzerland","Europe",
  C443="Spain","Europe",
  C443="Netherlands","Europe",
  C443="Sweden","Europe",
  C443="Norway","Europe",
  C443="Finland","Europe",
  C443="Denmark","Europe",
  C443="Russia","Europe",
  C443="China","Asia",
  C443="Japan","Asia",
  C443="Taiwan, Province of China","Asia",
  C443="Hong Kong","Asia",
  C443="South Korea","Asia",
  C443="India","Asia",
  C443="Singapore","Asia",
  C443="Thailand","Asia",
  C443="Indonesia","Asia",
  C443="Malaysia","Asia",
  TRUE,"Other"
)</f>
        <v>North America</v>
      </c>
      <c r="W443" s="195" t="str">
        <f>_xlfn.XLOOKUP(Table2[[#This Row],[Column3]],Sheet1!G:G,Sheet1!H:H)</f>
        <v>Engineering and construction</v>
      </c>
      <c r="X443" s="195"/>
      <c r="Y443" s="195"/>
    </row>
    <row r="444" spans="1:25">
      <c r="A444" s="194" t="s">
        <v>1117</v>
      </c>
      <c r="B444" s="68">
        <v>298</v>
      </c>
      <c r="C444" s="68" t="s">
        <v>146</v>
      </c>
      <c r="D444" s="77" t="s">
        <v>4465</v>
      </c>
      <c r="E444" s="75"/>
      <c r="H444" s="75" t="s">
        <v>4183</v>
      </c>
      <c r="I444" s="68">
        <v>2030</v>
      </c>
      <c r="J444" s="68">
        <v>2019</v>
      </c>
      <c r="K444" s="75" t="s">
        <v>4193</v>
      </c>
      <c r="L444" s="68" t="s">
        <v>4220</v>
      </c>
      <c r="M444" s="76">
        <v>2050</v>
      </c>
      <c r="N444" s="76">
        <v>2019</v>
      </c>
      <c r="O444" s="79" t="s">
        <v>4170</v>
      </c>
      <c r="P444" s="75"/>
      <c r="U444" s="75" t="s">
        <v>361</v>
      </c>
      <c r="V444" s="195" t="str" cm="1">
        <f t="array" ref="V444">_xlfn.IFS(
  C444="United States","North America",
  C444="Canada","North America",
  C444="Mexico","North America",
  C444="Bermuda","North America",
  C444="United Kingdom","Europe",
  C444="Germany","Europe",
  C444="France","Europe",
  C444="Italy","Europe",
  C444="Switzerland","Europe",
  C444="Spain","Europe",
  C444="Netherlands","Europe",
  C444="Sweden","Europe",
  C444="Norway","Europe",
  C444="Finland","Europe",
  C444="Denmark","Europe",
  C444="Russia","Europe",
  C444="China","Asia",
  C444="Japan","Asia",
  C444="Taiwan, Province of China","Asia",
  C444="Hong Kong","Asia",
  C444="South Korea","Asia",
  C444="India","Asia",
  C444="Singapore","Asia",
  C444="Thailand","Asia",
  C444="Indonesia","Asia",
  C444="Malaysia","Asia",
  TRUE,"Other"
)</f>
        <v>Europe</v>
      </c>
      <c r="W444" s="195" t="str">
        <f>_xlfn.XLOOKUP(Table2[[#This Row],[Column3]],Sheet1!G:G,Sheet1!H:H)</f>
        <v>Financial services</v>
      </c>
      <c r="X444" s="195"/>
      <c r="Y444" s="195"/>
    </row>
    <row r="445" spans="1:25">
      <c r="A445" s="194" t="s">
        <v>838</v>
      </c>
      <c r="B445" s="68">
        <v>285</v>
      </c>
      <c r="C445" s="68" t="s">
        <v>82</v>
      </c>
      <c r="D445" s="77" t="s">
        <v>4467</v>
      </c>
      <c r="E445" s="75"/>
      <c r="H445" s="75"/>
      <c r="K445" s="75"/>
      <c r="M445" s="76"/>
      <c r="N445" s="76"/>
      <c r="P445" s="75"/>
      <c r="U445" s="75" t="s">
        <v>1</v>
      </c>
      <c r="V445" s="195" t="str" cm="1">
        <f t="array" ref="V445">_xlfn.IFS(
  C445="United States","North America",
  C445="Canada","North America",
  C445="Mexico","North America",
  C445="Bermuda","North America",
  C445="United Kingdom","Europe",
  C445="Germany","Europe",
  C445="France","Europe",
  C445="Italy","Europe",
  C445="Switzerland","Europe",
  C445="Spain","Europe",
  C445="Netherlands","Europe",
  C445="Sweden","Europe",
  C445="Norway","Europe",
  C445="Finland","Europe",
  C445="Denmark","Europe",
  C445="Russia","Europe",
  C445="China","Asia",
  C445="Japan","Asia",
  C445="Taiwan, Province of China","Asia",
  C445="Hong Kong","Asia",
  C445="South Korea","Asia",
  C445="India","Asia",
  C445="Singapore","Asia",
  C445="Thailand","Asia",
  C445="Indonesia","Asia",
  C445="Malaysia","Asia",
  TRUE,"Other"
)</f>
        <v>North America</v>
      </c>
      <c r="W445" s="195" t="str">
        <f>_xlfn.XLOOKUP(Table2[[#This Row],[Column3]],Sheet1!G:G,Sheet1!H:H)</f>
        <v>Retail</v>
      </c>
      <c r="X445" s="195"/>
      <c r="Y445" s="195"/>
    </row>
    <row r="446" spans="1:25">
      <c r="A446" s="194" t="s">
        <v>768</v>
      </c>
      <c r="B446" s="68">
        <v>383</v>
      </c>
      <c r="C446" s="68" t="s">
        <v>82</v>
      </c>
      <c r="D446" s="77" t="s">
        <v>4465</v>
      </c>
      <c r="E446" s="75"/>
      <c r="H446" s="75"/>
      <c r="K446" s="75"/>
      <c r="M446" s="76"/>
      <c r="N446" s="76"/>
      <c r="P446" s="75"/>
      <c r="U446" s="75" t="s">
        <v>1</v>
      </c>
      <c r="V446" s="195" t="str" cm="1">
        <f t="array" ref="V446">_xlfn.IFS(
  C446="United States","North America",
  C446="Canada","North America",
  C446="Mexico","North America",
  C446="Bermuda","North America",
  C446="United Kingdom","Europe",
  C446="Germany","Europe",
  C446="France","Europe",
  C446="Italy","Europe",
  C446="Switzerland","Europe",
  C446="Spain","Europe",
  C446="Netherlands","Europe",
  C446="Sweden","Europe",
  C446="Norway","Europe",
  C446="Finland","Europe",
  C446="Denmark","Europe",
  C446="Russia","Europe",
  C446="China","Asia",
  C446="Japan","Asia",
  C446="Taiwan, Province of China","Asia",
  C446="Hong Kong","Asia",
  C446="South Korea","Asia",
  C446="India","Asia",
  C446="Singapore","Asia",
  C446="Thailand","Asia",
  C446="Indonesia","Asia",
  C446="Malaysia","Asia",
  TRUE,"Other"
)</f>
        <v>North America</v>
      </c>
      <c r="W446" s="195" t="str">
        <f>_xlfn.XLOOKUP(Table2[[#This Row],[Column3]],Sheet1!G:G,Sheet1!H:H)</f>
        <v>Financial services</v>
      </c>
      <c r="X446" s="195"/>
      <c r="Y446" s="195"/>
    </row>
    <row r="447" spans="1:25" ht="16">
      <c r="A447" s="194" t="s">
        <v>1085</v>
      </c>
      <c r="B447" s="68">
        <v>208</v>
      </c>
      <c r="C447" s="68" t="s">
        <v>207</v>
      </c>
      <c r="D447" s="77" t="s">
        <v>4199</v>
      </c>
      <c r="E447" s="75"/>
      <c r="H447" s="75" t="s">
        <v>1957</v>
      </c>
      <c r="J447" s="68">
        <v>2018</v>
      </c>
      <c r="K447" s="75" t="s">
        <v>1957</v>
      </c>
      <c r="L447" s="68" t="s">
        <v>4219</v>
      </c>
      <c r="M447" s="76">
        <v>2013</v>
      </c>
      <c r="N447" s="76">
        <v>2013</v>
      </c>
      <c r="O447" s="78" t="s">
        <v>4170</v>
      </c>
      <c r="P447" s="75"/>
      <c r="U447" s="75" t="s">
        <v>361</v>
      </c>
      <c r="V447" s="195" t="str" cm="1">
        <f t="array" ref="V447">_xlfn.IFS(
  C447="United States","North America",
  C447="Canada","North America",
  C447="Mexico","North America",
  C447="Bermuda","North America",
  C447="United Kingdom","Europe",
  C447="Germany","Europe",
  C447="France","Europe",
  C447="Italy","Europe",
  C447="Switzerland","Europe",
  C447="Spain","Europe",
  C447="Netherlands","Europe",
  C447="Sweden","Europe",
  C447="Norway","Europe",
  C447="Finland","Europe",
  C447="Denmark","Europe",
  C447="Russia","Europe",
  C447="China","Asia",
  C447="Japan","Asia",
  C447="Taiwan, Province of China","Asia",
  C447="Hong Kong","Asia",
  C447="South Korea","Asia",
  C447="India","Asia",
  C447="Singapore","Asia",
  C447="Thailand","Asia",
  C447="Indonesia","Asia",
  C447="Malaysia","Asia",
  TRUE,"Other"
)</f>
        <v>Asia</v>
      </c>
      <c r="W447" s="195" t="str">
        <f>_xlfn.XLOOKUP(Table2[[#This Row],[Column3]],Sheet1!G:G,Sheet1!H:H)</f>
        <v>Energy and utilities</v>
      </c>
      <c r="X447" s="195"/>
      <c r="Y447" s="195"/>
    </row>
    <row r="448" spans="1:25" ht="16">
      <c r="A448" s="194" t="s">
        <v>1229</v>
      </c>
      <c r="B448" s="68">
        <v>187</v>
      </c>
      <c r="C448" s="68" t="s">
        <v>207</v>
      </c>
      <c r="D448" s="77" t="s">
        <v>4459</v>
      </c>
      <c r="E448" s="75"/>
      <c r="H448" s="75"/>
      <c r="K448" s="75"/>
      <c r="M448" s="76"/>
      <c r="N448" s="76"/>
      <c r="P448" s="75" t="s">
        <v>2082</v>
      </c>
      <c r="R448" s="68">
        <v>2050</v>
      </c>
      <c r="S448" s="68">
        <v>2020</v>
      </c>
      <c r="T448" s="78" t="s">
        <v>4170</v>
      </c>
      <c r="U448" s="75" t="s">
        <v>1</v>
      </c>
      <c r="V448" s="195" t="str" cm="1">
        <f t="array" ref="V448">_xlfn.IFS(
  C448="United States","North America",
  C448="Canada","North America",
  C448="Mexico","North America",
  C448="Bermuda","North America",
  C448="United Kingdom","Europe",
  C448="Germany","Europe",
  C448="France","Europe",
  C448="Italy","Europe",
  C448="Switzerland","Europe",
  C448="Spain","Europe",
  C448="Netherlands","Europe",
  C448="Sweden","Europe",
  C448="Norway","Europe",
  C448="Finland","Europe",
  C448="Denmark","Europe",
  C448="Russia","Europe",
  C448="China","Asia",
  C448="Japan","Asia",
  C448="Taiwan, Province of China","Asia",
  C448="Hong Kong","Asia",
  C448="South Korea","Asia",
  C448="India","Asia",
  C448="Singapore","Asia",
  C448="Thailand","Asia",
  C448="Indonesia","Asia",
  C448="Malaysia","Asia",
  TRUE,"Other"
)</f>
        <v>Asia</v>
      </c>
      <c r="W448" s="195" t="str">
        <f>_xlfn.XLOOKUP(Table2[[#This Row],[Column3]],Sheet1!G:G,Sheet1!H:H)</f>
        <v>Industrial goods</v>
      </c>
      <c r="X448" s="195"/>
      <c r="Y448" s="195"/>
    </row>
    <row r="449" spans="1:25">
      <c r="A449" s="194" t="s">
        <v>239</v>
      </c>
      <c r="B449" s="68">
        <v>407</v>
      </c>
      <c r="C449" s="68" t="s">
        <v>73</v>
      </c>
      <c r="D449" s="77" t="s">
        <v>4465</v>
      </c>
      <c r="E449" s="75"/>
      <c r="H449" s="75"/>
      <c r="K449" s="75"/>
      <c r="M449" s="76"/>
      <c r="N449" s="76"/>
      <c r="P449" s="75"/>
      <c r="U449" s="75" t="s">
        <v>1</v>
      </c>
      <c r="V449" s="195" t="str" cm="1">
        <f t="array" ref="V449">_xlfn.IFS(
  C449="United States","North America",
  C449="Canada","North America",
  C449="Mexico","North America",
  C449="Bermuda","North America",
  C449="United Kingdom","Europe",
  C449="Germany","Europe",
  C449="France","Europe",
  C449="Italy","Europe",
  C449="Switzerland","Europe",
  C449="Spain","Europe",
  C449="Netherlands","Europe",
  C449="Sweden","Europe",
  C449="Norway","Europe",
  C449="Finland","Europe",
  C449="Denmark","Europe",
  C449="Russia","Europe",
  C449="China","Asia",
  C449="Japan","Asia",
  C449="Taiwan, Province of China","Asia",
  C449="Hong Kong","Asia",
  C449="South Korea","Asia",
  C449="India","Asia",
  C449="Singapore","Asia",
  C449="Thailand","Asia",
  C449="Indonesia","Asia",
  C449="Malaysia","Asia",
  TRUE,"Other"
)</f>
        <v>Asia</v>
      </c>
      <c r="W449" s="195" t="str">
        <f>_xlfn.XLOOKUP(Table2[[#This Row],[Column3]],Sheet1!G:G,Sheet1!H:H)</f>
        <v>Financial services</v>
      </c>
      <c r="X449" s="195"/>
      <c r="Y449" s="195"/>
    </row>
    <row r="450" spans="1:25">
      <c r="A450" s="194" t="s">
        <v>849</v>
      </c>
      <c r="B450" s="68">
        <v>296</v>
      </c>
      <c r="C450" s="68" t="s">
        <v>78</v>
      </c>
      <c r="D450" s="77" t="s">
        <v>186</v>
      </c>
      <c r="E450" s="75"/>
      <c r="H450" s="75"/>
      <c r="K450" s="75" t="s">
        <v>1957</v>
      </c>
      <c r="L450" s="68" t="s">
        <v>4218</v>
      </c>
      <c r="M450" s="76">
        <v>2010</v>
      </c>
      <c r="N450" s="76">
        <v>2008</v>
      </c>
      <c r="O450" s="79" t="s">
        <v>4170</v>
      </c>
      <c r="P450" s="75" t="s">
        <v>4217</v>
      </c>
      <c r="Q450" s="68" t="s">
        <v>4216</v>
      </c>
      <c r="R450" s="68">
        <v>2050</v>
      </c>
      <c r="S450" s="68">
        <v>2020</v>
      </c>
      <c r="T450" s="79" t="s">
        <v>4170</v>
      </c>
      <c r="U450" s="75" t="s">
        <v>361</v>
      </c>
      <c r="V450" s="195" t="str" cm="1">
        <f t="array" ref="V450">_xlfn.IFS(
  C450="United States","North America",
  C450="Canada","North America",
  C450="Mexico","North America",
  C450="Bermuda","North America",
  C450="United Kingdom","Europe",
  C450="Germany","Europe",
  C450="France","Europe",
  C450="Italy","Europe",
  C450="Switzerland","Europe",
  C450="Spain","Europe",
  C450="Netherlands","Europe",
  C450="Sweden","Europe",
  C450="Norway","Europe",
  C450="Finland","Europe",
  C450="Denmark","Europe",
  C450="Russia","Europe",
  C450="China","Asia",
  C450="Japan","Asia",
  C450="Taiwan, Province of China","Asia",
  C450="Hong Kong","Asia",
  C450="South Korea","Asia",
  C450="India","Asia",
  C450="Singapore","Asia",
  C450="Thailand","Asia",
  C450="Indonesia","Asia",
  C450="Malaysia","Asia",
  TRUE,"Other"
)</f>
        <v>North America</v>
      </c>
      <c r="W450" s="195" t="str">
        <f>_xlfn.XLOOKUP(Table2[[#This Row],[Column3]],Sheet1!G:G,Sheet1!H:H)</f>
        <v>Technology</v>
      </c>
      <c r="X450" s="195"/>
      <c r="Y450" s="195"/>
    </row>
    <row r="451" spans="1:25" ht="16">
      <c r="A451" s="194" t="s">
        <v>606</v>
      </c>
      <c r="B451" s="68">
        <v>420</v>
      </c>
      <c r="C451" s="68" t="s">
        <v>207</v>
      </c>
      <c r="D451" s="77" t="s">
        <v>3498</v>
      </c>
      <c r="E451" s="75"/>
      <c r="H451" s="75" t="s">
        <v>4183</v>
      </c>
      <c r="I451" s="68">
        <v>2030</v>
      </c>
      <c r="J451" s="68">
        <v>2020</v>
      </c>
      <c r="K451" s="75"/>
      <c r="M451" s="76"/>
      <c r="N451" s="76"/>
      <c r="P451" s="75"/>
      <c r="T451" s="78"/>
      <c r="U451" s="75" t="s">
        <v>361</v>
      </c>
      <c r="V451" s="195" t="str" cm="1">
        <f t="array" ref="V451">_xlfn.IFS(
  C451="United States","North America",
  C451="Canada","North America",
  C451="Mexico","North America",
  C451="Bermuda","North America",
  C451="United Kingdom","Europe",
  C451="Germany","Europe",
  C451="France","Europe",
  C451="Italy","Europe",
  C451="Switzerland","Europe",
  C451="Spain","Europe",
  C451="Netherlands","Europe",
  C451="Sweden","Europe",
  C451="Norway","Europe",
  C451="Finland","Europe",
  C451="Denmark","Europe",
  C451="Russia","Europe",
  C451="China","Asia",
  C451="Japan","Asia",
  C451="Taiwan, Province of China","Asia",
  C451="Hong Kong","Asia",
  C451="South Korea","Asia",
  C451="India","Asia",
  C451="Singapore","Asia",
  C451="Thailand","Asia",
  C451="Indonesia","Asia",
  C451="Malaysia","Asia",
  TRUE,"Other"
)</f>
        <v>Asia</v>
      </c>
      <c r="W451" s="195" t="str">
        <f>_xlfn.XLOOKUP(Table2[[#This Row],[Column3]],Sheet1!G:G,Sheet1!H:H)</f>
        <v>Oil and gas</v>
      </c>
      <c r="X451" s="195"/>
      <c r="Y451" s="195"/>
    </row>
    <row r="452" spans="1:25" ht="16">
      <c r="A452" s="194" t="s">
        <v>4215</v>
      </c>
      <c r="B452" s="68">
        <v>52</v>
      </c>
      <c r="C452" s="68" t="s">
        <v>63</v>
      </c>
      <c r="D452" s="77" t="s">
        <v>4476</v>
      </c>
      <c r="E452" s="75"/>
      <c r="H452" s="75"/>
      <c r="K452" s="75"/>
      <c r="M452" s="76"/>
      <c r="N452" s="76"/>
      <c r="P452" s="75" t="s">
        <v>1957</v>
      </c>
      <c r="Q452" s="68" t="s">
        <v>4214</v>
      </c>
      <c r="R452" s="68">
        <v>2050</v>
      </c>
      <c r="S452" s="68">
        <v>2020</v>
      </c>
      <c r="T452" s="78" t="s">
        <v>4170</v>
      </c>
      <c r="U452" s="75" t="s">
        <v>1</v>
      </c>
      <c r="V452" s="195" t="str" cm="1">
        <f t="array" ref="V452">_xlfn.IFS(
  C452="United States","North America",
  C452="Canada","North America",
  C452="Mexico","North America",
  C452="Bermuda","North America",
  C452="United Kingdom","Europe",
  C452="Germany","Europe",
  C452="France","Europe",
  C452="Italy","Europe",
  C452="Switzerland","Europe",
  C452="Spain","Europe",
  C452="Netherlands","Europe",
  C452="Sweden","Europe",
  C452="Norway","Europe",
  C452="Finland","Europe",
  C452="Denmark","Europe",
  C452="Russia","Europe",
  C452="China","Asia",
  C452="Japan","Asia",
  C452="Taiwan, Province of China","Asia",
  C452="Hong Kong","Asia",
  C452="South Korea","Asia",
  C452="India","Asia",
  C452="Singapore","Asia",
  C452="Thailand","Asia",
  C452="Indonesia","Asia",
  C452="Malaysia","Asia",
  TRUE,"Other"
)</f>
        <v>Europe</v>
      </c>
      <c r="W452" s="195" t="str">
        <f>_xlfn.XLOOKUP(Table2[[#This Row],[Column3]],Sheet1!G:G,Sheet1!H:H)</f>
        <v>Automotive</v>
      </c>
      <c r="X452" s="195"/>
      <c r="Y452" s="195"/>
    </row>
    <row r="453" spans="1:25" ht="16">
      <c r="A453" s="194" t="s">
        <v>1851</v>
      </c>
      <c r="B453" s="68">
        <v>9</v>
      </c>
      <c r="C453" s="68" t="s">
        <v>207</v>
      </c>
      <c r="D453" s="77" t="s">
        <v>4465</v>
      </c>
      <c r="E453" s="75"/>
      <c r="H453" s="75"/>
      <c r="K453" s="75" t="s">
        <v>4213</v>
      </c>
      <c r="L453" s="68" t="s">
        <v>4212</v>
      </c>
      <c r="M453" s="76">
        <v>2035</v>
      </c>
      <c r="N453" s="76">
        <v>2015</v>
      </c>
      <c r="O453" s="78" t="s">
        <v>4170</v>
      </c>
      <c r="P453" s="75"/>
      <c r="U453" s="75" t="s">
        <v>1</v>
      </c>
      <c r="V453" s="195" t="str" cm="1">
        <f t="array" ref="V453">_xlfn.IFS(
  C453="United States","North America",
  C453="Canada","North America",
  C453="Mexico","North America",
  C453="Bermuda","North America",
  C453="United Kingdom","Europe",
  C453="Germany","Europe",
  C453="France","Europe",
  C453="Italy","Europe",
  C453="Switzerland","Europe",
  C453="Spain","Europe",
  C453="Netherlands","Europe",
  C453="Sweden","Europe",
  C453="Norway","Europe",
  C453="Finland","Europe",
  C453="Denmark","Europe",
  C453="Russia","Europe",
  C453="China","Asia",
  C453="Japan","Asia",
  C453="Taiwan, Province of China","Asia",
  C453="Hong Kong","Asia",
  C453="South Korea","Asia",
  C453="India","Asia",
  C453="Singapore","Asia",
  C453="Thailand","Asia",
  C453="Indonesia","Asia",
  C453="Malaysia","Asia",
  TRUE,"Other"
)</f>
        <v>Asia</v>
      </c>
      <c r="W453" s="195" t="str">
        <f>_xlfn.XLOOKUP(Table2[[#This Row],[Column3]],Sheet1!G:G,Sheet1!H:H)</f>
        <v>Financial services</v>
      </c>
      <c r="X453" s="195"/>
      <c r="Y453" s="195"/>
    </row>
    <row r="454" spans="1:25">
      <c r="A454" s="194" t="s">
        <v>1289</v>
      </c>
      <c r="B454" s="68">
        <v>167</v>
      </c>
      <c r="C454" s="68" t="s">
        <v>207</v>
      </c>
      <c r="D454" s="77" t="s">
        <v>4465</v>
      </c>
      <c r="E454" s="75"/>
      <c r="H454" s="75"/>
      <c r="K454" s="75" t="s">
        <v>1957</v>
      </c>
      <c r="L454" s="68" t="s">
        <v>4211</v>
      </c>
      <c r="M454" s="76">
        <v>2050</v>
      </c>
      <c r="N454" s="76">
        <v>2021</v>
      </c>
      <c r="O454" s="79" t="s">
        <v>4170</v>
      </c>
      <c r="P454" s="75"/>
      <c r="U454" s="75" t="s">
        <v>1</v>
      </c>
      <c r="V454" s="195" t="str" cm="1">
        <f t="array" ref="V454">_xlfn.IFS(
  C454="United States","North America",
  C454="Canada","North America",
  C454="Mexico","North America",
  C454="Bermuda","North America",
  C454="United Kingdom","Europe",
  C454="Germany","Europe",
  C454="France","Europe",
  C454="Italy","Europe",
  C454="Switzerland","Europe",
  C454="Spain","Europe",
  C454="Netherlands","Europe",
  C454="Sweden","Europe",
  C454="Norway","Europe",
  C454="Finland","Europe",
  C454="Denmark","Europe",
  C454="Russia","Europe",
  C454="China","Asia",
  C454="Japan","Asia",
  C454="Taiwan, Province of China","Asia",
  C454="Hong Kong","Asia",
  C454="South Korea","Asia",
  C454="India","Asia",
  C454="Singapore","Asia",
  C454="Thailand","Asia",
  C454="Indonesia","Asia",
  C454="Malaysia","Asia",
  TRUE,"Other"
)</f>
        <v>Asia</v>
      </c>
      <c r="W454" s="195" t="str">
        <f>_xlfn.XLOOKUP(Table2[[#This Row],[Column3]],Sheet1!G:G,Sheet1!H:H)</f>
        <v>Financial services</v>
      </c>
      <c r="X454" s="195"/>
      <c r="Y454" s="195"/>
    </row>
    <row r="455" spans="1:25">
      <c r="A455" s="194" t="s">
        <v>1810</v>
      </c>
      <c r="B455" s="68">
        <v>31</v>
      </c>
      <c r="C455" s="68" t="s">
        <v>183</v>
      </c>
      <c r="D455" s="77" t="s">
        <v>4465</v>
      </c>
      <c r="E455" s="75"/>
      <c r="H455" s="75"/>
      <c r="K455" s="75"/>
      <c r="M455" s="76"/>
      <c r="N455" s="76"/>
      <c r="P455" s="75"/>
      <c r="U455" s="75" t="s">
        <v>1</v>
      </c>
      <c r="V455" s="195" t="str" cm="1">
        <f t="array" ref="V455">_xlfn.IFS(
  C455="United States","North America",
  C455="Canada","North America",
  C455="Mexico","North America",
  C455="Bermuda","North America",
  C455="United Kingdom","Europe",
  C455="Germany","Europe",
  C455="France","Europe",
  C455="Italy","Europe",
  C455="Switzerland","Europe",
  C455="Spain","Europe",
  C455="Netherlands","Europe",
  C455="Sweden","Europe",
  C455="Norway","Europe",
  C455="Finland","Europe",
  C455="Denmark","Europe",
  C455="Russia","Europe",
  C455="China","Asia",
  C455="Japan","Asia",
  C455="Taiwan, Province of China","Asia",
  C455="Hong Kong","Asia",
  C455="South Korea","Asia",
  C455="India","Asia",
  C455="Singapore","Asia",
  C455="Thailand","Asia",
  C455="Indonesia","Asia",
  C455="Malaysia","Asia",
  TRUE,"Other"
)</f>
        <v>Asia</v>
      </c>
      <c r="W455" s="195" t="str">
        <f>_xlfn.XLOOKUP(Table2[[#This Row],[Column3]],Sheet1!G:G,Sheet1!H:H)</f>
        <v>Financial services</v>
      </c>
      <c r="X455" s="195"/>
      <c r="Y455" s="195"/>
    </row>
    <row r="456" spans="1:25">
      <c r="A456" s="194" t="s">
        <v>2193</v>
      </c>
      <c r="B456" s="68">
        <v>385</v>
      </c>
      <c r="C456" s="68" t="s">
        <v>82</v>
      </c>
      <c r="D456" s="77" t="s">
        <v>4465</v>
      </c>
      <c r="E456" s="75"/>
      <c r="H456" s="75"/>
      <c r="K456" s="75" t="s">
        <v>1957</v>
      </c>
      <c r="L456" s="68" t="s">
        <v>4210</v>
      </c>
      <c r="M456" s="76">
        <v>2030</v>
      </c>
      <c r="N456" s="76">
        <v>2021</v>
      </c>
      <c r="O456" s="79" t="s">
        <v>4170</v>
      </c>
      <c r="P456" s="75"/>
      <c r="U456" s="75" t="s">
        <v>361</v>
      </c>
      <c r="V456" s="195" t="str" cm="1">
        <f t="array" ref="V456">_xlfn.IFS(
  C456="United States","North America",
  C456="Canada","North America",
  C456="Mexico","North America",
  C456="Bermuda","North America",
  C456="United Kingdom","Europe",
  C456="Germany","Europe",
  C456="France","Europe",
  C456="Italy","Europe",
  C456="Switzerland","Europe",
  C456="Spain","Europe",
  C456="Netherlands","Europe",
  C456="Sweden","Europe",
  C456="Norway","Europe",
  C456="Finland","Europe",
  C456="Denmark","Europe",
  C456="Russia","Europe",
  C456="China","Asia",
  C456="Japan","Asia",
  C456="Taiwan, Province of China","Asia",
  C456="Hong Kong","Asia",
  C456="South Korea","Asia",
  C456="India","Asia",
  C456="Singapore","Asia",
  C456="Thailand","Asia",
  C456="Indonesia","Asia",
  C456="Malaysia","Asia",
  TRUE,"Other"
)</f>
        <v>North America</v>
      </c>
      <c r="W456" s="195" t="str">
        <f>_xlfn.XLOOKUP(Table2[[#This Row],[Column3]],Sheet1!G:G,Sheet1!H:H)</f>
        <v>Financial services</v>
      </c>
      <c r="X456" s="195"/>
      <c r="Y456" s="195"/>
    </row>
    <row r="457" spans="1:25">
      <c r="A457" s="194" t="s">
        <v>4209</v>
      </c>
      <c r="B457" s="68">
        <v>496</v>
      </c>
      <c r="C457" s="68" t="s">
        <v>82</v>
      </c>
      <c r="D457" s="77" t="s">
        <v>4459</v>
      </c>
      <c r="E457" s="75"/>
      <c r="H457" s="75"/>
      <c r="K457" s="75"/>
      <c r="M457" s="76"/>
      <c r="N457" s="76"/>
      <c r="P457" s="75"/>
      <c r="U457" s="75" t="s">
        <v>1</v>
      </c>
      <c r="V457" s="195" t="str" cm="1">
        <f t="array" ref="V457">_xlfn.IFS(
  C457="United States","North America",
  C457="Canada","North America",
  C457="Mexico","North America",
  C457="Bermuda","North America",
  C457="United Kingdom","Europe",
  C457="Germany","Europe",
  C457="France","Europe",
  C457="Italy","Europe",
  C457="Switzerland","Europe",
  C457="Spain","Europe",
  C457="Netherlands","Europe",
  C457="Sweden","Europe",
  C457="Norway","Europe",
  C457="Finland","Europe",
  C457="Denmark","Europe",
  C457="Russia","Europe",
  C457="China","Asia",
  C457="Japan","Asia",
  C457="Taiwan, Province of China","Asia",
  C457="Hong Kong","Asia",
  C457="South Korea","Asia",
  C457="India","Asia",
  C457="Singapore","Asia",
  C457="Thailand","Asia",
  C457="Indonesia","Asia",
  C457="Malaysia","Asia",
  TRUE,"Other"
)</f>
        <v>North America</v>
      </c>
      <c r="W457" s="195" t="str">
        <f>_xlfn.XLOOKUP(Table2[[#This Row],[Column3]],Sheet1!G:G,Sheet1!H:H)</f>
        <v>Industrial goods</v>
      </c>
      <c r="X457" s="195"/>
      <c r="Y457" s="195"/>
    </row>
    <row r="458" spans="1:25">
      <c r="A458" s="194" t="s">
        <v>632</v>
      </c>
      <c r="B458" s="68">
        <v>279</v>
      </c>
      <c r="C458" s="68" t="s">
        <v>73</v>
      </c>
      <c r="D458" s="77" t="s">
        <v>4455</v>
      </c>
      <c r="E458" s="75"/>
      <c r="H458" s="75"/>
      <c r="K458" s="75"/>
      <c r="M458" s="76"/>
      <c r="N458" s="76"/>
      <c r="P458" s="75"/>
      <c r="U458" s="75" t="s">
        <v>1</v>
      </c>
      <c r="V458" s="195" t="str" cm="1">
        <f t="array" ref="V458">_xlfn.IFS(
  C458="United States","North America",
  C458="Canada","North America",
  C458="Mexico","North America",
  C458="Bermuda","North America",
  C458="United Kingdom","Europe",
  C458="Germany","Europe",
  C458="France","Europe",
  C458="Italy","Europe",
  C458="Switzerland","Europe",
  C458="Spain","Europe",
  C458="Netherlands","Europe",
  C458="Sweden","Europe",
  C458="Norway","Europe",
  C458="Finland","Europe",
  C458="Denmark","Europe",
  C458="Russia","Europe",
  C458="China","Asia",
  C458="Japan","Asia",
  C458="Taiwan, Province of China","Asia",
  C458="Hong Kong","Asia",
  C458="South Korea","Asia",
  C458="India","Asia",
  C458="Singapore","Asia",
  C458="Thailand","Asia",
  C458="Indonesia","Asia",
  C458="Malaysia","Asia",
  TRUE,"Other"
)</f>
        <v>Asia</v>
      </c>
      <c r="W458" s="195" t="str">
        <f>_xlfn.XLOOKUP(Table2[[#This Row],[Column3]],Sheet1!G:G,Sheet1!H:H)</f>
        <v>Food, beverages and agriculture</v>
      </c>
      <c r="X458" s="195"/>
      <c r="Y458" s="195"/>
    </row>
    <row r="459" spans="1:25">
      <c r="A459" s="194" t="s">
        <v>805</v>
      </c>
      <c r="B459" s="68">
        <v>270</v>
      </c>
      <c r="C459" s="68" t="s">
        <v>82</v>
      </c>
      <c r="D459" s="77" t="s">
        <v>4465</v>
      </c>
      <c r="E459" s="75"/>
      <c r="H459" s="75" t="s">
        <v>4183</v>
      </c>
      <c r="I459" s="68">
        <v>2030</v>
      </c>
      <c r="J459" s="68">
        <v>2018</v>
      </c>
      <c r="K459" s="75"/>
      <c r="M459" s="76"/>
      <c r="N459" s="76"/>
      <c r="P459" s="75" t="s">
        <v>4172</v>
      </c>
      <c r="Q459" s="68" t="s">
        <v>4208</v>
      </c>
      <c r="R459" s="68">
        <v>2050</v>
      </c>
      <c r="S459" s="68">
        <v>2021</v>
      </c>
      <c r="T459" s="79" t="s">
        <v>4170</v>
      </c>
      <c r="U459" s="75" t="s">
        <v>361</v>
      </c>
      <c r="V459" s="195" t="str" cm="1">
        <f t="array" ref="V459">_xlfn.IFS(
  C459="United States","North America",
  C459="Canada","North America",
  C459="Mexico","North America",
  C459="Bermuda","North America",
  C459="United Kingdom","Europe",
  C459="Germany","Europe",
  C459="France","Europe",
  C459="Italy","Europe",
  C459="Switzerland","Europe",
  C459="Spain","Europe",
  C459="Netherlands","Europe",
  C459="Sweden","Europe",
  C459="Norway","Europe",
  C459="Finland","Europe",
  C459="Denmark","Europe",
  C459="Russia","Europe",
  C459="China","Asia",
  C459="Japan","Asia",
  C459="Taiwan, Province of China","Asia",
  C459="Hong Kong","Asia",
  C459="South Korea","Asia",
  C459="India","Asia",
  C459="Singapore","Asia",
  C459="Thailand","Asia",
  C459="Indonesia","Asia",
  C459="Malaysia","Asia",
  TRUE,"Other"
)</f>
        <v>North America</v>
      </c>
      <c r="W459" s="195" t="str">
        <f>_xlfn.XLOOKUP(Table2[[#This Row],[Column3]],Sheet1!G:G,Sheet1!H:H)</f>
        <v>Financial services</v>
      </c>
      <c r="X459" s="195"/>
      <c r="Y459" s="195"/>
    </row>
    <row r="460" spans="1:25">
      <c r="A460" s="194" t="s">
        <v>131</v>
      </c>
      <c r="B460" s="68">
        <v>479</v>
      </c>
      <c r="C460" s="68" t="s">
        <v>82</v>
      </c>
      <c r="D460" s="77" t="s">
        <v>4179</v>
      </c>
      <c r="E460" s="75"/>
      <c r="H460" s="75"/>
      <c r="K460" s="75"/>
      <c r="M460" s="76"/>
      <c r="N460" s="76"/>
      <c r="P460" s="75"/>
      <c r="U460" s="75" t="s">
        <v>1</v>
      </c>
      <c r="V460" s="195" t="str" cm="1">
        <f t="array" ref="V460">_xlfn.IFS(
  C460="United States","North America",
  C460="Canada","North America",
  C460="Mexico","North America",
  C460="Bermuda","North America",
  C460="United Kingdom","Europe",
  C460="Germany","Europe",
  C460="France","Europe",
  C460="Italy","Europe",
  C460="Switzerland","Europe",
  C460="Spain","Europe",
  C460="Netherlands","Europe",
  C460="Sweden","Europe",
  C460="Norway","Europe",
  C460="Finland","Europe",
  C460="Denmark","Europe",
  C460="Russia","Europe",
  C460="China","Asia",
  C460="Japan","Asia",
  C460="Taiwan, Province of China","Asia",
  C460="Hong Kong","Asia",
  C460="South Korea","Asia",
  C460="India","Asia",
  C460="Singapore","Asia",
  C460="Thailand","Asia",
  C460="Indonesia","Asia",
  C460="Malaysia","Asia",
  TRUE,"Other"
)</f>
        <v>North America</v>
      </c>
      <c r="W460" s="195" t="str">
        <f>_xlfn.XLOOKUP(Table2[[#This Row],[Column3]],Sheet1!G:G,Sheet1!H:H)</f>
        <v>Transportation and logistics</v>
      </c>
      <c r="X460" s="195"/>
      <c r="Y460" s="195"/>
    </row>
    <row r="461" spans="1:25">
      <c r="A461" s="194" t="s">
        <v>1375</v>
      </c>
      <c r="B461" s="68">
        <v>123</v>
      </c>
      <c r="C461" s="68" t="s">
        <v>82</v>
      </c>
      <c r="D461" s="77" t="s">
        <v>4465</v>
      </c>
      <c r="E461" s="75"/>
      <c r="H461" s="75"/>
      <c r="K461" s="75"/>
      <c r="M461" s="76"/>
      <c r="N461" s="76"/>
      <c r="P461" s="75"/>
      <c r="U461" s="75" t="s">
        <v>1</v>
      </c>
      <c r="V461" s="195" t="str" cm="1">
        <f t="array" ref="V461">_xlfn.IFS(
  C461="United States","North America",
  C461="Canada","North America",
  C461="Mexico","North America",
  C461="Bermuda","North America",
  C461="United Kingdom","Europe",
  C461="Germany","Europe",
  C461="France","Europe",
  C461="Italy","Europe",
  C461="Switzerland","Europe",
  C461="Spain","Europe",
  C461="Netherlands","Europe",
  C461="Sweden","Europe",
  C461="Norway","Europe",
  C461="Finland","Europe",
  C461="Denmark","Europe",
  C461="Russia","Europe",
  C461="China","Asia",
  C461="Japan","Asia",
  C461="Taiwan, Province of China","Asia",
  C461="Hong Kong","Asia",
  C461="South Korea","Asia",
  C461="India","Asia",
  C461="Singapore","Asia",
  C461="Thailand","Asia",
  C461="Indonesia","Asia",
  C461="Malaysia","Asia",
  TRUE,"Other"
)</f>
        <v>North America</v>
      </c>
      <c r="W461" s="195" t="str">
        <f>_xlfn.XLOOKUP(Table2[[#This Row],[Column3]],Sheet1!G:G,Sheet1!H:H)</f>
        <v>Financial services</v>
      </c>
      <c r="X461" s="195"/>
      <c r="Y461" s="195"/>
    </row>
    <row r="462" spans="1:25" ht="16">
      <c r="A462" s="194" t="s">
        <v>919</v>
      </c>
      <c r="B462" s="68">
        <v>302</v>
      </c>
      <c r="C462" s="68" t="s">
        <v>287</v>
      </c>
      <c r="D462" s="77" t="s">
        <v>4465</v>
      </c>
      <c r="E462" s="75" t="s">
        <v>4174</v>
      </c>
      <c r="F462" s="68">
        <v>2020</v>
      </c>
      <c r="G462" s="68">
        <v>2015</v>
      </c>
      <c r="H462" s="75"/>
      <c r="K462" s="75" t="s">
        <v>1957</v>
      </c>
      <c r="L462" s="68" t="s">
        <v>4207</v>
      </c>
      <c r="M462" s="76">
        <v>2007</v>
      </c>
      <c r="N462" s="76">
        <v>2006</v>
      </c>
      <c r="O462" s="79" t="s">
        <v>4170</v>
      </c>
      <c r="P462" s="75" t="s">
        <v>4206</v>
      </c>
      <c r="Q462" s="68" t="s">
        <v>4205</v>
      </c>
      <c r="R462" s="68">
        <v>2025</v>
      </c>
      <c r="S462" s="68">
        <v>2021</v>
      </c>
      <c r="T462" s="78" t="s">
        <v>4170</v>
      </c>
      <c r="U462" s="75" t="s">
        <v>361</v>
      </c>
      <c r="V462" s="195" t="str" cm="1">
        <f t="array" ref="V462">_xlfn.IFS(
  C462="United States","North America",
  C462="Canada","North America",
  C462="Mexico","North America",
  C462="Bermuda","North America",
  C462="United Kingdom","Europe",
  C462="Germany","Europe",
  C462="France","Europe",
  C462="Italy","Europe",
  C462="Switzerland","Europe",
  C462="Spain","Europe",
  C462="Netherlands","Europe",
  C462="Sweden","Europe",
  C462="Norway","Europe",
  C462="Finland","Europe",
  C462="Denmark","Europe",
  C462="Russia","Europe",
  C462="China","Asia",
  C462="Japan","Asia",
  C462="Taiwan, Province of China","Asia",
  C462="Hong Kong","Asia",
  C462="South Korea","Asia",
  C462="India","Asia",
  C462="Singapore","Asia",
  C462="Thailand","Asia",
  C462="Indonesia","Asia",
  C462="Malaysia","Asia",
  TRUE,"Other"
)</f>
        <v>Europe</v>
      </c>
      <c r="W462" s="195" t="str">
        <f>_xlfn.XLOOKUP(Table2[[#This Row],[Column3]],Sheet1!G:G,Sheet1!H:H)</f>
        <v>Financial services</v>
      </c>
      <c r="X462" s="195"/>
      <c r="Y462" s="195"/>
    </row>
    <row r="463" spans="1:25">
      <c r="A463" s="194" t="s">
        <v>373</v>
      </c>
      <c r="B463" s="68">
        <v>491</v>
      </c>
      <c r="C463" s="68" t="s">
        <v>376</v>
      </c>
      <c r="D463" s="77" t="s">
        <v>4643</v>
      </c>
      <c r="E463" s="75"/>
      <c r="H463" s="75"/>
      <c r="K463" s="75"/>
      <c r="M463" s="76"/>
      <c r="N463" s="76"/>
      <c r="P463" s="75"/>
      <c r="U463" s="75" t="s">
        <v>1</v>
      </c>
      <c r="V463" s="195" t="str" cm="1">
        <f t="array" ref="V463">_xlfn.IFS(
  C463="United States","North America",
  C463="Canada","North America",
  C463="Mexico","North America",
  C463="Bermuda","North America",
  C463="United Kingdom","Europe",
  C463="Germany","Europe",
  C463="France","Europe",
  C463="Italy","Europe",
  C463="Switzerland","Europe",
  C463="Spain","Europe",
  C463="Netherlands","Europe",
  C463="Sweden","Europe",
  C463="Norway","Europe",
  C463="Finland","Europe",
  C463="Denmark","Europe",
  C463="Russia","Europe",
  C463="China","Asia",
  C463="Japan","Asia",
  C463="Taiwan, Province of China","Asia",
  C463="Hong Kong","Asia",
  C463="South Korea","Asia",
  C463="India","Asia",
  C463="Singapore","Asia",
  C463="Thailand","Asia",
  C463="Indonesia","Asia",
  C463="Malaysia","Asia",
  TRUE,"Other"
)</f>
        <v>Europe</v>
      </c>
      <c r="W463" s="195" t="str">
        <f>_xlfn.XLOOKUP(Table2[[#This Row],[Column3]],Sheet1!G:G,Sheet1!H:H)</f>
        <v>Household and personal products</v>
      </c>
      <c r="X463" s="195"/>
      <c r="Y463" s="195"/>
    </row>
    <row r="464" spans="1:25" ht="16">
      <c r="A464" s="194" t="s">
        <v>1273</v>
      </c>
      <c r="B464" s="68">
        <v>175</v>
      </c>
      <c r="C464" s="68" t="s">
        <v>4195</v>
      </c>
      <c r="D464" s="77" t="s">
        <v>4455</v>
      </c>
      <c r="E464" s="75" t="s">
        <v>4174</v>
      </c>
      <c r="F464" s="68">
        <v>2030</v>
      </c>
      <c r="G464" s="68">
        <v>2015</v>
      </c>
      <c r="H464" s="75" t="s">
        <v>4183</v>
      </c>
      <c r="I464" s="68">
        <v>2030</v>
      </c>
      <c r="J464" s="68">
        <v>2017</v>
      </c>
      <c r="K464" s="75"/>
      <c r="M464" s="76"/>
      <c r="N464" s="76"/>
      <c r="P464" s="75" t="s">
        <v>4172</v>
      </c>
      <c r="Q464" s="68" t="s">
        <v>4204</v>
      </c>
      <c r="R464" s="68">
        <v>2039</v>
      </c>
      <c r="S464" s="68">
        <v>2020</v>
      </c>
      <c r="T464" s="78" t="s">
        <v>4170</v>
      </c>
      <c r="U464" s="75" t="s">
        <v>361</v>
      </c>
      <c r="V464" s="195" t="str" cm="1">
        <f t="array" ref="V464">_xlfn.IFS(
  C464="United States","North America",
  C464="Canada","North America",
  C464="Mexico","North America",
  C464="Bermuda","North America",
  C464="United Kingdom","Europe",
  C464="Germany","Europe",
  C464="France","Europe",
  C464="Italy","Europe",
  C464="Switzerland","Europe",
  C464="Spain","Europe",
  C464="Netherlands","Europe",
  C464="Sweden","Europe",
  C464="Norway","Europe",
  C464="Finland","Europe",
  C464="Denmark","Europe",
  C464="Russia","Europe",
  C464="China","Asia",
  C464="Japan","Asia",
  C464="Taiwan, Province of China","Asia",
  C464="Hong Kong","Asia",
  C464="South Korea","Asia",
  C464="India","Asia",
  C464="Singapore","Asia",
  C464="Thailand","Asia",
  C464="Indonesia","Asia",
  C464="Malaysia","Asia",
  TRUE,"Other"
)</f>
        <v>Europe</v>
      </c>
      <c r="W464" s="195" t="str">
        <f>_xlfn.XLOOKUP(Table2[[#This Row],[Column3]],Sheet1!G:G,Sheet1!H:H)</f>
        <v>Food, beverages and agriculture</v>
      </c>
      <c r="X464" s="195"/>
      <c r="Y464" s="195"/>
    </row>
    <row r="465" spans="1:25">
      <c r="A465" s="194" t="s">
        <v>4203</v>
      </c>
      <c r="B465" s="68">
        <v>457</v>
      </c>
      <c r="C465" s="68" t="s">
        <v>82</v>
      </c>
      <c r="D465" s="77" t="s">
        <v>4179</v>
      </c>
      <c r="E465" s="75"/>
      <c r="H465" s="75" t="s">
        <v>1957</v>
      </c>
      <c r="J465" s="68">
        <v>2020</v>
      </c>
      <c r="K465" s="75"/>
      <c r="M465" s="76"/>
      <c r="N465" s="76"/>
      <c r="P465" s="75"/>
      <c r="U465" s="75" t="s">
        <v>361</v>
      </c>
      <c r="V465" s="195" t="str" cm="1">
        <f t="array" ref="V465">_xlfn.IFS(
  C465="United States","North America",
  C465="Canada","North America",
  C465="Mexico","North America",
  C465="Bermuda","North America",
  C465="United Kingdom","Europe",
  C465="Germany","Europe",
  C465="France","Europe",
  C465="Italy","Europe",
  C465="Switzerland","Europe",
  C465="Spain","Europe",
  C465="Netherlands","Europe",
  C465="Sweden","Europe",
  C465="Norway","Europe",
  C465="Finland","Europe",
  C465="Denmark","Europe",
  C465="Russia","Europe",
  C465="China","Asia",
  C465="Japan","Asia",
  C465="Taiwan, Province of China","Asia",
  C465="Hong Kong","Asia",
  C465="South Korea","Asia",
  C465="India","Asia",
  C465="Singapore","Asia",
  C465="Thailand","Asia",
  C465="Indonesia","Asia",
  C465="Malaysia","Asia",
  TRUE,"Other"
)</f>
        <v>North America</v>
      </c>
      <c r="W465" s="195" t="str">
        <f>_xlfn.XLOOKUP(Table2[[#This Row],[Column3]],Sheet1!G:G,Sheet1!H:H)</f>
        <v>Transportation and logistics</v>
      </c>
      <c r="X465" s="195"/>
      <c r="Y465" s="195"/>
    </row>
    <row r="466" spans="1:25" ht="16">
      <c r="A466" s="194" t="s">
        <v>1386</v>
      </c>
      <c r="B466" s="68">
        <v>89</v>
      </c>
      <c r="C466" s="68" t="s">
        <v>82</v>
      </c>
      <c r="D466" s="77" t="s">
        <v>4201</v>
      </c>
      <c r="E466" s="75"/>
      <c r="H466" s="75"/>
      <c r="K466" s="75" t="s">
        <v>4193</v>
      </c>
      <c r="L466" s="68" t="s">
        <v>4202</v>
      </c>
      <c r="M466" s="76">
        <v>2050</v>
      </c>
      <c r="N466" s="76">
        <v>2021</v>
      </c>
      <c r="O466" s="78" t="s">
        <v>4170</v>
      </c>
      <c r="P466" s="75"/>
      <c r="U466" s="75" t="s">
        <v>1</v>
      </c>
      <c r="V466" s="195" t="str" cm="1">
        <f t="array" ref="V466">_xlfn.IFS(
  C466="United States","North America",
  C466="Canada","North America",
  C466="Mexico","North America",
  C466="Bermuda","North America",
  C466="United Kingdom","Europe",
  C466="Germany","Europe",
  C466="France","Europe",
  C466="Italy","Europe",
  C466="Switzerland","Europe",
  C466="Spain","Europe",
  C466="Netherlands","Europe",
  C466="Sweden","Europe",
  C466="Norway","Europe",
  C466="Finland","Europe",
  C466="Denmark","Europe",
  C466="Russia","Europe",
  C466="China","Asia",
  C466="Japan","Asia",
  C466="Taiwan, Province of China","Asia",
  C466="Hong Kong","Asia",
  C466="South Korea","Asia",
  C466="India","Asia",
  C466="Singapore","Asia",
  C466="Thailand","Asia",
  C466="Indonesia","Asia",
  C466="Malaysia","Asia",
  TRUE,"Other"
)</f>
        <v>North America</v>
      </c>
      <c r="W466" s="195" t="str">
        <f>_xlfn.XLOOKUP(Table2[[#This Row],[Column3]],Sheet1!G:G,Sheet1!H:H)</f>
        <v>Health care and pharmaceuticals</v>
      </c>
      <c r="X466" s="195"/>
      <c r="Y466" s="195"/>
    </row>
    <row r="467" spans="1:25">
      <c r="A467" s="194" t="s">
        <v>1835</v>
      </c>
      <c r="B467" s="68">
        <v>8</v>
      </c>
      <c r="C467" s="68" t="s">
        <v>82</v>
      </c>
      <c r="D467" s="77" t="s">
        <v>4465</v>
      </c>
      <c r="E467" s="75"/>
      <c r="H467" s="75"/>
      <c r="K467" s="75"/>
      <c r="M467" s="76"/>
      <c r="N467" s="76"/>
      <c r="P467" s="75"/>
      <c r="U467" s="75" t="s">
        <v>1</v>
      </c>
      <c r="V467" s="195" t="str" cm="1">
        <f t="array" ref="V467">_xlfn.IFS(
  C467="United States","North America",
  C467="Canada","North America",
  C467="Mexico","North America",
  C467="Bermuda","North America",
  C467="United Kingdom","Europe",
  C467="Germany","Europe",
  C467="France","Europe",
  C467="Italy","Europe",
  C467="Switzerland","Europe",
  C467="Spain","Europe",
  C467="Netherlands","Europe",
  C467="Sweden","Europe",
  C467="Norway","Europe",
  C467="Finland","Europe",
  C467="Denmark","Europe",
  C467="Russia","Europe",
  C467="China","Asia",
  C467="Japan","Asia",
  C467="Taiwan, Province of China","Asia",
  C467="Hong Kong","Asia",
  C467="South Korea","Asia",
  C467="India","Asia",
  C467="Singapore","Asia",
  C467="Thailand","Asia",
  C467="Indonesia","Asia",
  C467="Malaysia","Asia",
  TRUE,"Other"
)</f>
        <v>North America</v>
      </c>
      <c r="W467" s="195" t="str">
        <f>_xlfn.XLOOKUP(Table2[[#This Row],[Column3]],Sheet1!G:G,Sheet1!H:H)</f>
        <v>Financial services</v>
      </c>
      <c r="X467" s="195"/>
      <c r="Y467" s="195"/>
    </row>
    <row r="468" spans="1:25">
      <c r="A468" s="194" t="s">
        <v>489</v>
      </c>
      <c r="B468" s="68">
        <v>330</v>
      </c>
      <c r="C468" s="68" t="s">
        <v>82</v>
      </c>
      <c r="D468" s="77" t="s">
        <v>4459</v>
      </c>
      <c r="E468" s="75"/>
      <c r="H468" s="75"/>
      <c r="K468" s="75"/>
      <c r="M468" s="76"/>
      <c r="N468" s="76"/>
      <c r="P468" s="75"/>
      <c r="U468" s="75" t="s">
        <v>1</v>
      </c>
      <c r="V468" s="195" t="str" cm="1">
        <f t="array" ref="V468">_xlfn.IFS(
  C468="United States","North America",
  C468="Canada","North America",
  C468="Mexico","North America",
  C468="Bermuda","North America",
  C468="United Kingdom","Europe",
  C468="Germany","Europe",
  C468="France","Europe",
  C468="Italy","Europe",
  C468="Switzerland","Europe",
  C468="Spain","Europe",
  C468="Netherlands","Europe",
  C468="Sweden","Europe",
  C468="Norway","Europe",
  C468="Finland","Europe",
  C468="Denmark","Europe",
  C468="Russia","Europe",
  C468="China","Asia",
  C468="Japan","Asia",
  C468="Taiwan, Province of China","Asia",
  C468="Hong Kong","Asia",
  C468="South Korea","Asia",
  C468="India","Asia",
  C468="Singapore","Asia",
  C468="Thailand","Asia",
  C468="Indonesia","Asia",
  C468="Malaysia","Asia",
  TRUE,"Other"
)</f>
        <v>North America</v>
      </c>
      <c r="W468" s="195" t="str">
        <f>_xlfn.XLOOKUP(Table2[[#This Row],[Column3]],Sheet1!G:G,Sheet1!H:H)</f>
        <v>Industrial goods</v>
      </c>
      <c r="X468" s="195"/>
      <c r="Y468" s="195"/>
    </row>
    <row r="469" spans="1:25" ht="16">
      <c r="A469" s="194" t="s">
        <v>705</v>
      </c>
      <c r="B469" s="68">
        <v>294</v>
      </c>
      <c r="C469" s="68" t="s">
        <v>68</v>
      </c>
      <c r="D469" s="77" t="s">
        <v>3498</v>
      </c>
      <c r="E469" s="75"/>
      <c r="H469" s="75" t="s">
        <v>1957</v>
      </c>
      <c r="J469" s="68">
        <v>2019</v>
      </c>
      <c r="K469" s="75" t="s">
        <v>1957</v>
      </c>
      <c r="L469" s="68" t="s">
        <v>1659</v>
      </c>
      <c r="M469" s="76">
        <v>2050</v>
      </c>
      <c r="N469" s="76">
        <v>2020</v>
      </c>
      <c r="O469" s="78" t="s">
        <v>4170</v>
      </c>
      <c r="P469" s="75"/>
      <c r="U469" s="75" t="s">
        <v>361</v>
      </c>
      <c r="V469" s="195" t="str" cm="1">
        <f t="array" ref="V469">_xlfn.IFS(
  C469="United States","North America",
  C469="Canada","North America",
  C469="Mexico","North America",
  C469="Bermuda","North America",
  C469="United Kingdom","Europe",
  C469="Germany","Europe",
  C469="France","Europe",
  C469="Italy","Europe",
  C469="Switzerland","Europe",
  C469="Spain","Europe",
  C469="Netherlands","Europe",
  C469="Sweden","Europe",
  C469="Norway","Europe",
  C469="Finland","Europe",
  C469="Denmark","Europe",
  C469="Russia","Europe",
  C469="China","Asia",
  C469="Japan","Asia",
  C469="Taiwan, Province of China","Asia",
  C469="Hong Kong","Asia",
  C469="South Korea","Asia",
  C469="India","Asia",
  C469="Singapore","Asia",
  C469="Thailand","Asia",
  C469="Indonesia","Asia",
  C469="Malaysia","Asia",
  TRUE,"Other"
)</f>
        <v>Other</v>
      </c>
      <c r="W469" s="195" t="str">
        <f>_xlfn.XLOOKUP(Table2[[#This Row],[Column3]],Sheet1!G:G,Sheet1!H:H)</f>
        <v>Oil and gas</v>
      </c>
      <c r="X469" s="195"/>
      <c r="Y469" s="195"/>
    </row>
    <row r="470" spans="1:25" ht="16">
      <c r="A470" s="194" t="s">
        <v>1698</v>
      </c>
      <c r="B470" s="68">
        <v>164</v>
      </c>
      <c r="C470" s="68" t="s">
        <v>82</v>
      </c>
      <c r="D470" s="77" t="s">
        <v>4199</v>
      </c>
      <c r="E470" s="75"/>
      <c r="H470" s="75"/>
      <c r="K470" s="75" t="s">
        <v>1957</v>
      </c>
      <c r="L470" s="68" t="s">
        <v>4200</v>
      </c>
      <c r="M470" s="76">
        <v>2035</v>
      </c>
      <c r="N470" s="76">
        <v>2021</v>
      </c>
      <c r="O470" s="78" t="s">
        <v>4170</v>
      </c>
      <c r="P470" s="75"/>
      <c r="U470" s="75" t="s">
        <v>1</v>
      </c>
      <c r="V470" s="195" t="str" cm="1">
        <f t="array" ref="V470">_xlfn.IFS(
  C470="United States","North America",
  C470="Canada","North America",
  C470="Mexico","North America",
  C470="Bermuda","North America",
  C470="United Kingdom","Europe",
  C470="Germany","Europe",
  C470="France","Europe",
  C470="Italy","Europe",
  C470="Switzerland","Europe",
  C470="Spain","Europe",
  C470="Netherlands","Europe",
  C470="Sweden","Europe",
  C470="Norway","Europe",
  C470="Finland","Europe",
  C470="Denmark","Europe",
  C470="Russia","Europe",
  C470="China","Asia",
  C470="Japan","Asia",
  C470="Taiwan, Province of China","Asia",
  C470="Hong Kong","Asia",
  C470="South Korea","Asia",
  C470="India","Asia",
  C470="Singapore","Asia",
  C470="Thailand","Asia",
  C470="Indonesia","Asia",
  C470="Malaysia","Asia",
  TRUE,"Other"
)</f>
        <v>North America</v>
      </c>
      <c r="W470" s="195" t="str">
        <f>_xlfn.XLOOKUP(Table2[[#This Row],[Column3]],Sheet1!G:G,Sheet1!H:H)</f>
        <v>Energy and utilities</v>
      </c>
      <c r="X470" s="195"/>
      <c r="Y470" s="195"/>
    </row>
    <row r="471" spans="1:25">
      <c r="A471" s="194" t="s">
        <v>447</v>
      </c>
      <c r="B471" s="68">
        <v>413</v>
      </c>
      <c r="C471" s="68" t="s">
        <v>63</v>
      </c>
      <c r="D471" s="77" t="s">
        <v>4190</v>
      </c>
      <c r="E471" s="75"/>
      <c r="H471" s="75" t="s">
        <v>4183</v>
      </c>
      <c r="I471" s="68">
        <v>2034</v>
      </c>
      <c r="J471" s="68">
        <v>2019</v>
      </c>
      <c r="K471" s="75"/>
      <c r="M471" s="76"/>
      <c r="N471" s="76"/>
      <c r="P471" s="75"/>
      <c r="U471" s="75" t="s">
        <v>361</v>
      </c>
      <c r="V471" s="195" t="str" cm="1">
        <f t="array" ref="V471">_xlfn.IFS(
  C471="United States","North America",
  C471="Canada","North America",
  C471="Mexico","North America",
  C471="Bermuda","North America",
  C471="United Kingdom","Europe",
  C471="Germany","Europe",
  C471="France","Europe",
  C471="Italy","Europe",
  C471="Switzerland","Europe",
  C471="Spain","Europe",
  C471="Netherlands","Europe",
  C471="Sweden","Europe",
  C471="Norway","Europe",
  C471="Finland","Europe",
  C471="Denmark","Europe",
  C471="Russia","Europe",
  C471="China","Asia",
  C471="Japan","Asia",
  C471="Taiwan, Province of China","Asia",
  C471="Hong Kong","Asia",
  C471="South Korea","Asia",
  C471="India","Asia",
  C471="Singapore","Asia",
  C471="Thailand","Asia",
  C471="Indonesia","Asia",
  C471="Malaysia","Asia",
  TRUE,"Other"
)</f>
        <v>Europe</v>
      </c>
      <c r="W471" s="195" t="str">
        <f>_xlfn.XLOOKUP(Table2[[#This Row],[Column3]],Sheet1!G:G,Sheet1!H:H)</f>
        <v>Telecommunications and media</v>
      </c>
      <c r="X471" s="195"/>
      <c r="Y471" s="195"/>
    </row>
    <row r="472" spans="1:25" ht="16">
      <c r="A472" s="194" t="s">
        <v>1742</v>
      </c>
      <c r="B472" s="68">
        <v>45</v>
      </c>
      <c r="C472" s="68" t="s">
        <v>82</v>
      </c>
      <c r="D472" s="77" t="s">
        <v>4190</v>
      </c>
      <c r="E472" s="75"/>
      <c r="H472" s="75" t="s">
        <v>4183</v>
      </c>
      <c r="I472" s="68">
        <v>2030</v>
      </c>
      <c r="J472" s="68">
        <v>2021</v>
      </c>
      <c r="K472" s="75" t="s">
        <v>1957</v>
      </c>
      <c r="L472" s="68" t="s">
        <v>4198</v>
      </c>
      <c r="M472" s="76">
        <v>2035</v>
      </c>
      <c r="N472" s="76">
        <v>2019</v>
      </c>
      <c r="O472" s="82" t="s">
        <v>4170</v>
      </c>
      <c r="P472" s="75"/>
      <c r="U472" s="75" t="s">
        <v>361</v>
      </c>
      <c r="V472" s="195" t="str" cm="1">
        <f t="array" ref="V472">_xlfn.IFS(
  C472="United States","North America",
  C472="Canada","North America",
  C472="Mexico","North America",
  C472="Bermuda","North America",
  C472="United Kingdom","Europe",
  C472="Germany","Europe",
  C472="France","Europe",
  C472="Italy","Europe",
  C472="Switzerland","Europe",
  C472="Spain","Europe",
  C472="Netherlands","Europe",
  C472="Sweden","Europe",
  C472="Norway","Europe",
  C472="Finland","Europe",
  C472="Denmark","Europe",
  C472="Russia","Europe",
  C472="China","Asia",
  C472="Japan","Asia",
  C472="Taiwan, Province of China","Asia",
  C472="Hong Kong","Asia",
  C472="South Korea","Asia",
  C472="India","Asia",
  C472="Singapore","Asia",
  C472="Thailand","Asia",
  C472="Indonesia","Asia",
  C472="Malaysia","Asia",
  TRUE,"Other"
)</f>
        <v>North America</v>
      </c>
      <c r="W472" s="195" t="str">
        <f>_xlfn.XLOOKUP(Table2[[#This Row],[Column3]],Sheet1!G:G,Sheet1!H:H)</f>
        <v>Telecommunications and media</v>
      </c>
      <c r="X472" s="195"/>
      <c r="Y472" s="195"/>
    </row>
    <row r="473" spans="1:25">
      <c r="A473" s="194" t="s">
        <v>2091</v>
      </c>
      <c r="B473" s="68">
        <v>465</v>
      </c>
      <c r="C473" s="68" t="s">
        <v>82</v>
      </c>
      <c r="D473" s="77" t="s">
        <v>4197</v>
      </c>
      <c r="E473" s="75"/>
      <c r="H473" s="75"/>
      <c r="K473" s="75"/>
      <c r="M473" s="76"/>
      <c r="N473" s="76"/>
      <c r="P473" s="75"/>
      <c r="U473" s="75" t="s">
        <v>1</v>
      </c>
      <c r="V473" s="195" t="str" cm="1">
        <f t="array" ref="V473">_xlfn.IFS(
  C473="United States","North America",
  C473="Canada","North America",
  C473="Mexico","North America",
  C473="Bermuda","North America",
  C473="United Kingdom","Europe",
  C473="Germany","Europe",
  C473="France","Europe",
  C473="Italy","Europe",
  C473="Switzerland","Europe",
  C473="Spain","Europe",
  C473="Netherlands","Europe",
  C473="Sweden","Europe",
  C473="Norway","Europe",
  C473="Finland","Europe",
  C473="Denmark","Europe",
  C473="Russia","Europe",
  C473="China","Asia",
  C473="Japan","Asia",
  C473="Taiwan, Province of China","Asia",
  C473="Hong Kong","Asia",
  C473="South Korea","Asia",
  C473="India","Asia",
  C473="Singapore","Asia",
  C473="Thailand","Asia",
  C473="Indonesia","Asia",
  C473="Malaysia","Asia",
  TRUE,"Other"
)</f>
        <v>North America</v>
      </c>
      <c r="W473" s="195" t="str">
        <f>_xlfn.XLOOKUP(Table2[[#This Row],[Column3]],Sheet1!G:G,Sheet1!H:H)</f>
        <v>Engineering and construction</v>
      </c>
      <c r="X473" s="195"/>
      <c r="Y473" s="195"/>
    </row>
    <row r="474" spans="1:25" ht="16">
      <c r="A474" s="194" t="s">
        <v>1141</v>
      </c>
      <c r="B474" s="68">
        <v>214</v>
      </c>
      <c r="C474" s="68" t="s">
        <v>63</v>
      </c>
      <c r="D474" s="77" t="s">
        <v>4190</v>
      </c>
      <c r="E474" s="75"/>
      <c r="H474" s="75"/>
      <c r="K474" s="75" t="s">
        <v>1957</v>
      </c>
      <c r="L474" s="68" t="s">
        <v>4196</v>
      </c>
      <c r="M474" s="76">
        <v>2050</v>
      </c>
      <c r="N474" s="76">
        <v>2020</v>
      </c>
      <c r="O474" s="78" t="s">
        <v>4170</v>
      </c>
      <c r="P474" s="75"/>
      <c r="U474" s="75" t="s">
        <v>1</v>
      </c>
      <c r="V474" s="195" t="str" cm="1">
        <f t="array" ref="V474">_xlfn.IFS(
  C474="United States","North America",
  C474="Canada","North America",
  C474="Mexico","North America",
  C474="Bermuda","North America",
  C474="United Kingdom","Europe",
  C474="Germany","Europe",
  C474="France","Europe",
  C474="Italy","Europe",
  C474="Switzerland","Europe",
  C474="Spain","Europe",
  C474="Netherlands","Europe",
  C474="Sweden","Europe",
  C474="Norway","Europe",
  C474="Finland","Europe",
  C474="Denmark","Europe",
  C474="Russia","Europe",
  C474="China","Asia",
  C474="Japan","Asia",
  C474="Taiwan, Province of China","Asia",
  C474="Hong Kong","Asia",
  C474="South Korea","Asia",
  C474="India","Asia",
  C474="Singapore","Asia",
  C474="Thailand","Asia",
  C474="Indonesia","Asia",
  C474="Malaysia","Asia",
  TRUE,"Other"
)</f>
        <v>Europe</v>
      </c>
      <c r="W474" s="195" t="str">
        <f>_xlfn.XLOOKUP(Table2[[#This Row],[Column3]],Sheet1!G:G,Sheet1!H:H)</f>
        <v>Telecommunications and media</v>
      </c>
      <c r="X474" s="195"/>
      <c r="Y474" s="195"/>
    </row>
    <row r="475" spans="1:25">
      <c r="A475" s="194" t="s">
        <v>1111</v>
      </c>
      <c r="B475" s="68">
        <v>209</v>
      </c>
      <c r="C475" s="68" t="s">
        <v>4195</v>
      </c>
      <c r="D475" s="77" t="s">
        <v>4476</v>
      </c>
      <c r="E475" s="75" t="s">
        <v>4174</v>
      </c>
      <c r="F475" s="68">
        <v>2025</v>
      </c>
      <c r="G475" s="68">
        <v>2018</v>
      </c>
      <c r="H475" s="75" t="s">
        <v>4183</v>
      </c>
      <c r="I475" s="68">
        <v>2030</v>
      </c>
      <c r="J475" s="68">
        <v>2020</v>
      </c>
      <c r="K475" s="75"/>
      <c r="M475" s="76"/>
      <c r="N475" s="76"/>
      <c r="P475" s="75" t="s">
        <v>4172</v>
      </c>
      <c r="Q475" s="68" t="s">
        <v>4194</v>
      </c>
      <c r="R475" s="81">
        <v>2040</v>
      </c>
      <c r="S475" s="68">
        <v>2020</v>
      </c>
      <c r="T475" s="80" t="s">
        <v>4170</v>
      </c>
      <c r="U475" s="75" t="s">
        <v>361</v>
      </c>
      <c r="V475" s="195" t="str" cm="1">
        <f t="array" ref="V475">_xlfn.IFS(
  C475="United States","North America",
  C475="Canada","North America",
  C475="Mexico","North America",
  C475="Bermuda","North America",
  C475="United Kingdom","Europe",
  C475="Germany","Europe",
  C475="France","Europe",
  C475="Italy","Europe",
  C475="Switzerland","Europe",
  C475="Spain","Europe",
  C475="Netherlands","Europe",
  C475="Sweden","Europe",
  C475="Norway","Europe",
  C475="Finland","Europe",
  C475="Denmark","Europe",
  C475="Russia","Europe",
  C475="China","Asia",
  C475="Japan","Asia",
  C475="Taiwan, Province of China","Asia",
  C475="Hong Kong","Asia",
  C475="South Korea","Asia",
  C475="India","Asia",
  C475="Singapore","Asia",
  C475="Thailand","Asia",
  C475="Indonesia","Asia",
  C475="Malaysia","Asia",
  TRUE,"Other"
)</f>
        <v>Europe</v>
      </c>
      <c r="W475" s="195" t="str">
        <f>_xlfn.XLOOKUP(Table2[[#This Row],[Column3]],Sheet1!G:G,Sheet1!H:H)</f>
        <v>Automotive</v>
      </c>
      <c r="X475" s="195"/>
      <c r="Y475" s="195"/>
    </row>
    <row r="476" spans="1:25">
      <c r="A476" s="194" t="s">
        <v>1863</v>
      </c>
      <c r="B476" s="68">
        <v>10</v>
      </c>
      <c r="C476" s="68" t="s">
        <v>146</v>
      </c>
      <c r="D476" s="77" t="s">
        <v>4476</v>
      </c>
      <c r="E476" s="75"/>
      <c r="H476" s="75" t="s">
        <v>4183</v>
      </c>
      <c r="I476" s="68">
        <v>2030</v>
      </c>
      <c r="J476" s="68">
        <v>2020</v>
      </c>
      <c r="K476" s="75" t="s">
        <v>4193</v>
      </c>
      <c r="L476" s="68" t="s">
        <v>4192</v>
      </c>
      <c r="M476" s="76">
        <v>2050</v>
      </c>
      <c r="N476" s="76">
        <v>2019</v>
      </c>
      <c r="O476" s="80" t="s">
        <v>4170</v>
      </c>
      <c r="P476" s="75"/>
      <c r="U476" s="75" t="s">
        <v>361</v>
      </c>
      <c r="V476" s="195" t="str" cm="1">
        <f t="array" ref="V476">_xlfn.IFS(
  C476="United States","North America",
  C476="Canada","North America",
  C476="Mexico","North America",
  C476="Bermuda","North America",
  C476="United Kingdom","Europe",
  C476="Germany","Europe",
  C476="France","Europe",
  C476="Italy","Europe",
  C476="Switzerland","Europe",
  C476="Spain","Europe",
  C476="Netherlands","Europe",
  C476="Sweden","Europe",
  C476="Norway","Europe",
  C476="Finland","Europe",
  C476="Denmark","Europe",
  C476="Russia","Europe",
  C476="China","Asia",
  C476="Japan","Asia",
  C476="Taiwan, Province of China","Asia",
  C476="Hong Kong","Asia",
  C476="South Korea","Asia",
  C476="India","Asia",
  C476="Singapore","Asia",
  C476="Thailand","Asia",
  C476="Indonesia","Asia",
  C476="Malaysia","Asia",
  TRUE,"Other"
)</f>
        <v>Europe</v>
      </c>
      <c r="W476" s="195" t="str">
        <f>_xlfn.XLOOKUP(Table2[[#This Row],[Column3]],Sheet1!G:G,Sheet1!H:H)</f>
        <v>Automotive</v>
      </c>
      <c r="X476" s="195"/>
      <c r="Y476" s="195"/>
    </row>
    <row r="477" spans="1:25" ht="16">
      <c r="A477" s="194" t="s">
        <v>977</v>
      </c>
      <c r="B477" s="68">
        <v>327</v>
      </c>
      <c r="C477" s="68" t="s">
        <v>980</v>
      </c>
      <c r="D477" s="77" t="s">
        <v>4455</v>
      </c>
      <c r="E477" s="75"/>
      <c r="H477" s="75" t="s">
        <v>4183</v>
      </c>
      <c r="I477" s="68">
        <v>2030</v>
      </c>
      <c r="J477" s="68">
        <v>2021</v>
      </c>
      <c r="K477" s="75" t="s">
        <v>1957</v>
      </c>
      <c r="L477" s="68" t="s">
        <v>4191</v>
      </c>
      <c r="M477" s="76">
        <v>2025</v>
      </c>
      <c r="N477" s="76">
        <v>2019</v>
      </c>
      <c r="O477" s="79" t="s">
        <v>4170</v>
      </c>
      <c r="P477" s="75" t="s">
        <v>4172</v>
      </c>
      <c r="Q477" s="68" t="s">
        <v>2760</v>
      </c>
      <c r="R477" s="68">
        <v>2050</v>
      </c>
      <c r="S477" s="68">
        <v>2021</v>
      </c>
      <c r="T477" s="78" t="s">
        <v>4170</v>
      </c>
      <c r="U477" s="75" t="s">
        <v>361</v>
      </c>
      <c r="V477" s="195" t="str" cm="1">
        <f t="array" ref="V477">_xlfn.IFS(
  C477="United States","North America",
  C477="Canada","North America",
  C477="Mexico","North America",
  C477="Bermuda","North America",
  C477="United Kingdom","Europe",
  C477="Germany","Europe",
  C477="France","Europe",
  C477="Italy","Europe",
  C477="Switzerland","Europe",
  C477="Spain","Europe",
  C477="Netherlands","Europe",
  C477="Sweden","Europe",
  C477="Norway","Europe",
  C477="Finland","Europe",
  C477="Denmark","Europe",
  C477="Russia","Europe",
  C477="China","Asia",
  C477="Japan","Asia",
  C477="Taiwan, Province of China","Asia",
  C477="Hong Kong","Asia",
  C477="South Korea","Asia",
  C477="India","Asia",
  C477="Singapore","Asia",
  C477="Thailand","Asia",
  C477="Indonesia","Asia",
  C477="Malaysia","Asia",
  TRUE,"Other"
)</f>
        <v>Europe</v>
      </c>
      <c r="W477" s="195" t="str">
        <f>_xlfn.XLOOKUP(Table2[[#This Row],[Column3]],Sheet1!G:G,Sheet1!H:H)</f>
        <v>Food, beverages and agriculture</v>
      </c>
      <c r="X477" s="195"/>
      <c r="Y477" s="195"/>
    </row>
    <row r="478" spans="1:25">
      <c r="A478" s="194" t="s">
        <v>1753</v>
      </c>
      <c r="B478" s="68">
        <v>36</v>
      </c>
      <c r="C478" s="68" t="s">
        <v>82</v>
      </c>
      <c r="D478" s="77" t="s">
        <v>4467</v>
      </c>
      <c r="E478" s="75"/>
      <c r="H478" s="75"/>
      <c r="K478" s="75"/>
      <c r="M478" s="76"/>
      <c r="N478" s="76"/>
      <c r="P478" s="75"/>
      <c r="U478" s="75" t="s">
        <v>1</v>
      </c>
      <c r="V478" s="195" t="str" cm="1">
        <f t="array" ref="V478">_xlfn.IFS(
  C478="United States","North America",
  C478="Canada","North America",
  C478="Mexico","North America",
  C478="Bermuda","North America",
  C478="United Kingdom","Europe",
  C478="Germany","Europe",
  C478="France","Europe",
  C478="Italy","Europe",
  C478="Switzerland","Europe",
  C478="Spain","Europe",
  C478="Netherlands","Europe",
  C478="Sweden","Europe",
  C478="Norway","Europe",
  C478="Finland","Europe",
  C478="Denmark","Europe",
  C478="Russia","Europe",
  C478="China","Asia",
  C478="Japan","Asia",
  C478="Taiwan, Province of China","Asia",
  C478="Hong Kong","Asia",
  C478="South Korea","Asia",
  C478="India","Asia",
  C478="Singapore","Asia",
  C478="Thailand","Asia",
  C478="Indonesia","Asia",
  C478="Malaysia","Asia",
  TRUE,"Other"
)</f>
        <v>North America</v>
      </c>
      <c r="W478" s="195" t="str">
        <f>_xlfn.XLOOKUP(Table2[[#This Row],[Column3]],Sheet1!G:G,Sheet1!H:H)</f>
        <v>Retail</v>
      </c>
      <c r="X478" s="195"/>
      <c r="Y478" s="195"/>
    </row>
    <row r="479" spans="1:25">
      <c r="A479" s="194" t="s">
        <v>1889</v>
      </c>
      <c r="B479" s="68">
        <v>1</v>
      </c>
      <c r="C479" s="68" t="s">
        <v>82</v>
      </c>
      <c r="D479" s="77" t="s">
        <v>4190</v>
      </c>
      <c r="E479" s="75" t="s">
        <v>4174</v>
      </c>
      <c r="F479" s="68">
        <v>2035</v>
      </c>
      <c r="G479" s="68">
        <v>2015</v>
      </c>
      <c r="H479" s="75" t="s">
        <v>4183</v>
      </c>
      <c r="I479" s="68">
        <v>2025</v>
      </c>
      <c r="J479" s="68">
        <v>2016</v>
      </c>
      <c r="K479" s="75"/>
      <c r="M479" s="76"/>
      <c r="N479" s="76"/>
      <c r="P479" s="75" t="s">
        <v>1957</v>
      </c>
      <c r="Q479" s="68" t="s">
        <v>160</v>
      </c>
      <c r="R479" s="68">
        <v>2040</v>
      </c>
      <c r="S479" s="68">
        <v>2020</v>
      </c>
      <c r="T479" s="80" t="s">
        <v>4170</v>
      </c>
      <c r="U479" s="75" t="s">
        <v>361</v>
      </c>
      <c r="V479" s="195" t="str" cm="1">
        <f t="array" ref="V479">_xlfn.IFS(
  C479="United States","North America",
  C479="Canada","North America",
  C479="Mexico","North America",
  C479="Bermuda","North America",
  C479="United Kingdom","Europe",
  C479="Germany","Europe",
  C479="France","Europe",
  C479="Italy","Europe",
  C479="Switzerland","Europe",
  C479="Spain","Europe",
  C479="Netherlands","Europe",
  C479="Sweden","Europe",
  C479="Norway","Europe",
  C479="Finland","Europe",
  C479="Denmark","Europe",
  C479="Russia","Europe",
  C479="China","Asia",
  C479="Japan","Asia",
  C479="Taiwan, Province of China","Asia",
  C479="Hong Kong","Asia",
  C479="South Korea","Asia",
  C479="India","Asia",
  C479="Singapore","Asia",
  C479="Thailand","Asia",
  C479="Indonesia","Asia",
  C479="Malaysia","Asia",
  TRUE,"Other"
)</f>
        <v>North America</v>
      </c>
      <c r="W479" s="195" t="str">
        <f>_xlfn.XLOOKUP(Table2[[#This Row],[Column3]],Sheet1!G:G,Sheet1!H:H)</f>
        <v>Telecommunications and media</v>
      </c>
      <c r="X479" s="195"/>
      <c r="Y479" s="195"/>
    </row>
    <row r="480" spans="1:25" ht="16">
      <c r="A480" s="194" t="s">
        <v>1263</v>
      </c>
      <c r="B480" s="68">
        <v>145</v>
      </c>
      <c r="C480" s="68" t="s">
        <v>82</v>
      </c>
      <c r="D480" s="77" t="s">
        <v>4459</v>
      </c>
      <c r="E480" s="75"/>
      <c r="H480" s="75"/>
      <c r="K480" s="75"/>
      <c r="M480" s="76"/>
      <c r="N480" s="76"/>
      <c r="P480" s="75" t="s">
        <v>1957</v>
      </c>
      <c r="Q480" s="68" t="s">
        <v>4189</v>
      </c>
      <c r="R480" s="68">
        <v>2030</v>
      </c>
      <c r="S480" s="68">
        <v>2009</v>
      </c>
      <c r="T480" s="78" t="s">
        <v>4170</v>
      </c>
      <c r="U480" s="75" t="s">
        <v>361</v>
      </c>
      <c r="V480" s="195" t="str" cm="1">
        <f t="array" ref="V480">_xlfn.IFS(
  C480="United States","North America",
  C480="Canada","North America",
  C480="Mexico","North America",
  C480="Bermuda","North America",
  C480="United Kingdom","Europe",
  C480="Germany","Europe",
  C480="France","Europe",
  C480="Italy","Europe",
  C480="Switzerland","Europe",
  C480="Spain","Europe",
  C480="Netherlands","Europe",
  C480="Sweden","Europe",
  C480="Norway","Europe",
  C480="Finland","Europe",
  C480="Denmark","Europe",
  C480="Russia","Europe",
  C480="China","Asia",
  C480="Japan","Asia",
  C480="Taiwan, Province of China","Asia",
  C480="Hong Kong","Asia",
  C480="South Korea","Asia",
  C480="India","Asia",
  C480="Singapore","Asia",
  C480="Thailand","Asia",
  C480="Indonesia","Asia",
  C480="Malaysia","Asia",
  TRUE,"Other"
)</f>
        <v>North America</v>
      </c>
      <c r="W480" s="195" t="str">
        <f>_xlfn.XLOOKUP(Table2[[#This Row],[Column3]],Sheet1!G:G,Sheet1!H:H)</f>
        <v>Industrial goods</v>
      </c>
      <c r="X480" s="195"/>
      <c r="Y480" s="195"/>
    </row>
    <row r="481" spans="1:25">
      <c r="A481" s="194" t="s">
        <v>4188</v>
      </c>
      <c r="B481" s="68">
        <v>425</v>
      </c>
      <c r="C481" s="68" t="s">
        <v>73</v>
      </c>
      <c r="D481" s="77" t="s">
        <v>4465</v>
      </c>
      <c r="E481" s="75"/>
      <c r="H481" s="75"/>
      <c r="K481" s="75"/>
      <c r="M481" s="76"/>
      <c r="N481" s="76"/>
      <c r="P481" s="75"/>
      <c r="U481" s="75" t="s">
        <v>1</v>
      </c>
      <c r="V481" s="195" t="str" cm="1">
        <f t="array" ref="V481">_xlfn.IFS(
  C481="United States","North America",
  C481="Canada","North America",
  C481="Mexico","North America",
  C481="Bermuda","North America",
  C481="United Kingdom","Europe",
  C481="Germany","Europe",
  C481="France","Europe",
  C481="Italy","Europe",
  C481="Switzerland","Europe",
  C481="Spain","Europe",
  C481="Netherlands","Europe",
  C481="Sweden","Europe",
  C481="Norway","Europe",
  C481="Finland","Europe",
  C481="Denmark","Europe",
  C481="Russia","Europe",
  C481="China","Asia",
  C481="Japan","Asia",
  C481="Taiwan, Province of China","Asia",
  C481="Hong Kong","Asia",
  C481="South Korea","Asia",
  C481="India","Asia",
  C481="Singapore","Asia",
  C481="Thailand","Asia",
  C481="Indonesia","Asia",
  C481="Malaysia","Asia",
  TRUE,"Other"
)</f>
        <v>Asia</v>
      </c>
      <c r="W481" s="195" t="str">
        <f>_xlfn.XLOOKUP(Table2[[#This Row],[Column3]],Sheet1!G:G,Sheet1!H:H)</f>
        <v>Financial services</v>
      </c>
      <c r="X481" s="195"/>
      <c r="Y481" s="195"/>
    </row>
    <row r="482" spans="1:25" ht="16">
      <c r="A482" s="194" t="s">
        <v>1661</v>
      </c>
      <c r="B482" s="68">
        <v>103</v>
      </c>
      <c r="C482" s="68" t="s">
        <v>82</v>
      </c>
      <c r="D482" s="77" t="s">
        <v>4455</v>
      </c>
      <c r="E482" s="75" t="s">
        <v>4174</v>
      </c>
      <c r="F482" s="68">
        <v>2017</v>
      </c>
      <c r="G482" s="68">
        <v>2016</v>
      </c>
      <c r="H482" s="75"/>
      <c r="K482" s="75" t="s">
        <v>1957</v>
      </c>
      <c r="L482" s="68" t="s">
        <v>4187</v>
      </c>
      <c r="M482" s="76">
        <v>2019</v>
      </c>
      <c r="N482" s="76">
        <v>2019</v>
      </c>
      <c r="O482" s="79" t="s">
        <v>4170</v>
      </c>
      <c r="P482" s="75" t="s">
        <v>4186</v>
      </c>
      <c r="Q482" s="68" t="s">
        <v>4185</v>
      </c>
      <c r="R482" s="68">
        <v>2050</v>
      </c>
      <c r="S482" s="68">
        <v>2021</v>
      </c>
      <c r="T482" s="78" t="s">
        <v>4170</v>
      </c>
      <c r="U482" s="75" t="s">
        <v>361</v>
      </c>
      <c r="V482" s="195" t="str" cm="1">
        <f t="array" ref="V482">_xlfn.IFS(
  C482="United States","North America",
  C482="Canada","North America",
  C482="Mexico","North America",
  C482="Bermuda","North America",
  C482="United Kingdom","Europe",
  C482="Germany","Europe",
  C482="France","Europe",
  C482="Italy","Europe",
  C482="Switzerland","Europe",
  C482="Spain","Europe",
  C482="Netherlands","Europe",
  C482="Sweden","Europe",
  C482="Norway","Europe",
  C482="Finland","Europe",
  C482="Denmark","Europe",
  C482="Russia","Europe",
  C482="China","Asia",
  C482="Japan","Asia",
  C482="Taiwan, Province of China","Asia",
  C482="Hong Kong","Asia",
  C482="South Korea","Asia",
  C482="India","Asia",
  C482="Singapore","Asia",
  C482="Thailand","Asia",
  C482="Indonesia","Asia",
  C482="Malaysia","Asia",
  TRUE,"Other"
)</f>
        <v>North America</v>
      </c>
      <c r="W482" s="195" t="str">
        <f>_xlfn.XLOOKUP(Table2[[#This Row],[Column3]],Sheet1!G:G,Sheet1!H:H)</f>
        <v>Food, beverages and agriculture</v>
      </c>
      <c r="X482" s="195"/>
      <c r="Y482" s="195"/>
    </row>
    <row r="483" spans="1:25">
      <c r="A483" s="194" t="s">
        <v>4184</v>
      </c>
      <c r="B483" s="68">
        <v>474</v>
      </c>
      <c r="C483" s="68" t="s">
        <v>73</v>
      </c>
      <c r="D483" s="77" t="s">
        <v>4455</v>
      </c>
      <c r="E483" s="75"/>
      <c r="H483" s="75"/>
      <c r="K483" s="75"/>
      <c r="M483" s="76"/>
      <c r="N483" s="76"/>
      <c r="P483" s="75"/>
      <c r="U483" s="75" t="s">
        <v>1</v>
      </c>
      <c r="V483" s="195" t="str" cm="1">
        <f t="array" ref="V483">_xlfn.IFS(
  C483="United States","North America",
  C483="Canada","North America",
  C483="Mexico","North America",
  C483="Bermuda","North America",
  C483="United Kingdom","Europe",
  C483="Germany","Europe",
  C483="France","Europe",
  C483="Italy","Europe",
  C483="Switzerland","Europe",
  C483="Spain","Europe",
  C483="Netherlands","Europe",
  C483="Sweden","Europe",
  C483="Norway","Europe",
  C483="Finland","Europe",
  C483="Denmark","Europe",
  C483="Russia","Europe",
  C483="China","Asia",
  C483="Japan","Asia",
  C483="Taiwan, Province of China","Asia",
  C483="Hong Kong","Asia",
  C483="South Korea","Asia",
  C483="India","Asia",
  C483="Singapore","Asia",
  C483="Thailand","Asia",
  C483="Indonesia","Asia",
  C483="Malaysia","Asia",
  TRUE,"Other"
)</f>
        <v>Asia</v>
      </c>
      <c r="W483" s="195" t="str">
        <f>_xlfn.XLOOKUP(Table2[[#This Row],[Column3]],Sheet1!G:G,Sheet1!H:H)</f>
        <v>Food, beverages and agriculture</v>
      </c>
      <c r="X483" s="195"/>
      <c r="Y483" s="195"/>
    </row>
    <row r="484" spans="1:25">
      <c r="A484" s="194" t="s">
        <v>962</v>
      </c>
      <c r="B484" s="68">
        <v>211</v>
      </c>
      <c r="C484" s="68" t="s">
        <v>183</v>
      </c>
      <c r="D484" s="77" t="s">
        <v>186</v>
      </c>
      <c r="E484" s="75"/>
      <c r="H484" s="75"/>
      <c r="K484" s="75"/>
      <c r="M484" s="76"/>
      <c r="N484" s="76"/>
      <c r="P484" s="75"/>
      <c r="U484" s="75" t="s">
        <v>1</v>
      </c>
      <c r="V484" s="195" t="str" cm="1">
        <f t="array" ref="V484">_xlfn.IFS(
  C484="United States","North America",
  C484="Canada","North America",
  C484="Mexico","North America",
  C484="Bermuda","North America",
  C484="United Kingdom","Europe",
  C484="Germany","Europe",
  C484="France","Europe",
  C484="Italy","Europe",
  C484="Switzerland","Europe",
  C484="Spain","Europe",
  C484="Netherlands","Europe",
  C484="Sweden","Europe",
  C484="Norway","Europe",
  C484="Finland","Europe",
  C484="Denmark","Europe",
  C484="Russia","Europe",
  C484="China","Asia",
  C484="Japan","Asia",
  C484="Taiwan, Province of China","Asia",
  C484="Hong Kong","Asia",
  C484="South Korea","Asia",
  C484="India","Asia",
  C484="Singapore","Asia",
  C484="Thailand","Asia",
  C484="Indonesia","Asia",
  C484="Malaysia","Asia",
  TRUE,"Other"
)</f>
        <v>Asia</v>
      </c>
      <c r="W484" s="195" t="str">
        <f>_xlfn.XLOOKUP(Table2[[#This Row],[Column3]],Sheet1!G:G,Sheet1!H:H)</f>
        <v>Technology</v>
      </c>
      <c r="X484" s="195"/>
      <c r="Y484" s="195"/>
    </row>
    <row r="485" spans="1:25">
      <c r="A485" s="194" t="s">
        <v>378</v>
      </c>
      <c r="B485" s="68">
        <v>421</v>
      </c>
      <c r="C485" s="68" t="s">
        <v>3277</v>
      </c>
      <c r="D485" s="77" t="s">
        <v>4455</v>
      </c>
      <c r="E485" s="75"/>
      <c r="H485" s="75"/>
      <c r="K485" s="75"/>
      <c r="M485" s="76"/>
      <c r="N485" s="76"/>
      <c r="P485" s="75"/>
      <c r="U485" s="75" t="s">
        <v>1</v>
      </c>
      <c r="V485" s="195" t="str" cm="1">
        <f t="array" ref="V485">_xlfn.IFS(
  C485="United States","North America",
  C485="Canada","North America",
  C485="Mexico","North America",
  C485="Bermuda","North America",
  C485="United Kingdom","Europe",
  C485="Germany","Europe",
  C485="France","Europe",
  C485="Italy","Europe",
  C485="Switzerland","Europe",
  C485="Spain","Europe",
  C485="Netherlands","Europe",
  C485="Sweden","Europe",
  C485="Norway","Europe",
  C485="Finland","Europe",
  C485="Denmark","Europe",
  C485="Russia","Europe",
  C485="China","Asia",
  C485="Japan","Asia",
  C485="Taiwan, Province of China","Asia",
  C485="Hong Kong","Asia",
  C485="South Korea","Asia",
  C485="India","Asia",
  C485="Singapore","Asia",
  C485="Thailand","Asia",
  C485="Indonesia","Asia",
  C485="Malaysia","Asia",
  TRUE,"Other"
)</f>
        <v>Asia</v>
      </c>
      <c r="W485" s="195" t="str">
        <f>_xlfn.XLOOKUP(Table2[[#This Row],[Column3]],Sheet1!G:G,Sheet1!H:H)</f>
        <v>Food, beverages and agriculture</v>
      </c>
      <c r="X485" s="195"/>
      <c r="Y485" s="195"/>
    </row>
    <row r="486" spans="1:25" ht="16">
      <c r="A486" s="194" t="s">
        <v>1051</v>
      </c>
      <c r="B486" s="68">
        <v>274</v>
      </c>
      <c r="C486" s="68" t="s">
        <v>161</v>
      </c>
      <c r="D486" s="77" t="s">
        <v>4465</v>
      </c>
      <c r="E486" s="75"/>
      <c r="H486" s="75" t="s">
        <v>4183</v>
      </c>
      <c r="I486" s="68">
        <v>2030</v>
      </c>
      <c r="J486" s="68">
        <v>2020</v>
      </c>
      <c r="K486" s="75"/>
      <c r="M486" s="76"/>
      <c r="N486" s="76"/>
      <c r="P486" s="75" t="s">
        <v>1957</v>
      </c>
      <c r="Q486" s="68" t="s">
        <v>1659</v>
      </c>
      <c r="R486" s="68">
        <v>2050</v>
      </c>
      <c r="S486" s="68">
        <v>2020</v>
      </c>
      <c r="T486" s="78" t="s">
        <v>4170</v>
      </c>
      <c r="U486" s="75" t="s">
        <v>361</v>
      </c>
      <c r="V486" s="195" t="str" cm="1">
        <f t="array" ref="V486">_xlfn.IFS(
  C486="United States","North America",
  C486="Canada","North America",
  C486="Mexico","North America",
  C486="Bermuda","North America",
  C486="United Kingdom","Europe",
  C486="Germany","Europe",
  C486="France","Europe",
  C486="Italy","Europe",
  C486="Switzerland","Europe",
  C486="Spain","Europe",
  C486="Netherlands","Europe",
  C486="Sweden","Europe",
  C486="Norway","Europe",
  C486="Finland","Europe",
  C486="Denmark","Europe",
  C486="Russia","Europe",
  C486="China","Asia",
  C486="Japan","Asia",
  C486="Taiwan, Province of China","Asia",
  C486="Hong Kong","Asia",
  C486="South Korea","Asia",
  C486="India","Asia",
  C486="Singapore","Asia",
  C486="Thailand","Asia",
  C486="Indonesia","Asia",
  C486="Malaysia","Asia",
  TRUE,"Other"
)</f>
        <v>Other</v>
      </c>
      <c r="W486" s="195" t="str">
        <f>_xlfn.XLOOKUP(Table2[[#This Row],[Column3]],Sheet1!G:G,Sheet1!H:H)</f>
        <v>Financial services</v>
      </c>
      <c r="X486" s="195"/>
      <c r="Y486" s="195"/>
    </row>
    <row r="487" spans="1:25">
      <c r="A487" s="194" t="s">
        <v>991</v>
      </c>
      <c r="B487" s="68">
        <v>170</v>
      </c>
      <c r="C487" s="68" t="s">
        <v>73</v>
      </c>
      <c r="D487" s="77" t="s">
        <v>4455</v>
      </c>
      <c r="E487" s="75"/>
      <c r="H487" s="75"/>
      <c r="K487" s="75"/>
      <c r="M487" s="76"/>
      <c r="N487" s="76"/>
      <c r="P487" s="75"/>
      <c r="U487" s="75" t="s">
        <v>1</v>
      </c>
      <c r="V487" s="195" t="str" cm="1">
        <f t="array" ref="V487">_xlfn.IFS(
  C487="United States","North America",
  C487="Canada","North America",
  C487="Mexico","North America",
  C487="Bermuda","North America",
  C487="United Kingdom","Europe",
  C487="Germany","Europe",
  C487="France","Europe",
  C487="Italy","Europe",
  C487="Switzerland","Europe",
  C487="Spain","Europe",
  C487="Netherlands","Europe",
  C487="Sweden","Europe",
  C487="Norway","Europe",
  C487="Finland","Europe",
  C487="Denmark","Europe",
  C487="Russia","Europe",
  C487="China","Asia",
  C487="Japan","Asia",
  C487="Taiwan, Province of China","Asia",
  C487="Hong Kong","Asia",
  C487="South Korea","Asia",
  C487="India","Asia",
  C487="Singapore","Asia",
  C487="Thailand","Asia",
  C487="Indonesia","Asia",
  C487="Malaysia","Asia",
  TRUE,"Other"
)</f>
        <v>Asia</v>
      </c>
      <c r="W487" s="195" t="str">
        <f>_xlfn.XLOOKUP(Table2[[#This Row],[Column3]],Sheet1!G:G,Sheet1!H:H)</f>
        <v>Food, beverages and agriculture</v>
      </c>
      <c r="X487" s="195"/>
      <c r="Y487" s="195"/>
    </row>
    <row r="488" spans="1:25">
      <c r="A488" s="194" t="s">
        <v>2001</v>
      </c>
      <c r="B488" s="68">
        <v>445</v>
      </c>
      <c r="C488" s="68" t="s">
        <v>972</v>
      </c>
      <c r="D488" s="77" t="s">
        <v>4465</v>
      </c>
      <c r="E488" s="75"/>
      <c r="H488" s="75" t="s">
        <v>1957</v>
      </c>
      <c r="J488" s="68">
        <v>2020</v>
      </c>
      <c r="K488" s="75" t="s">
        <v>1957</v>
      </c>
      <c r="L488" s="68" t="s">
        <v>2082</v>
      </c>
      <c r="M488" s="76">
        <v>2050</v>
      </c>
      <c r="N488" s="76">
        <v>2020</v>
      </c>
      <c r="O488" s="79" t="s">
        <v>4170</v>
      </c>
      <c r="P488" s="75"/>
      <c r="U488" s="75" t="s">
        <v>361</v>
      </c>
      <c r="V488" s="195" t="str" cm="1">
        <f t="array" ref="V488">_xlfn.IFS(
  C488="United States","North America",
  C488="Canada","North America",
  C488="Mexico","North America",
  C488="Bermuda","North America",
  C488="United Kingdom","Europe",
  C488="Germany","Europe",
  C488="France","Europe",
  C488="Italy","Europe",
  C488="Switzerland","Europe",
  C488="Spain","Europe",
  C488="Netherlands","Europe",
  C488="Sweden","Europe",
  C488="Norway","Europe",
  C488="Finland","Europe",
  C488="Denmark","Europe",
  C488="Russia","Europe",
  C488="China","Asia",
  C488="Japan","Asia",
  C488="Taiwan, Province of China","Asia",
  C488="Hong Kong","Asia",
  C488="South Korea","Asia",
  C488="India","Asia",
  C488="Singapore","Asia",
  C488="Thailand","Asia",
  C488="Indonesia","Asia",
  C488="Malaysia","Asia",
  TRUE,"Other"
)</f>
        <v>Europe</v>
      </c>
      <c r="W488" s="195" t="str">
        <f>_xlfn.XLOOKUP(Table2[[#This Row],[Column3]],Sheet1!G:G,Sheet1!H:H)</f>
        <v>Financial services</v>
      </c>
      <c r="X488" s="195"/>
      <c r="Y488" s="195"/>
    </row>
    <row r="489" spans="1:25">
      <c r="A489" s="194" t="s">
        <v>911</v>
      </c>
      <c r="B489" s="68">
        <v>148</v>
      </c>
      <c r="C489" s="68" t="s">
        <v>73</v>
      </c>
      <c r="D489" s="77" t="s">
        <v>186</v>
      </c>
      <c r="E489" s="75"/>
      <c r="H489" s="75"/>
      <c r="K489" s="75"/>
      <c r="M489" s="76"/>
      <c r="N489" s="76"/>
      <c r="P489" s="75"/>
      <c r="U489" s="75" t="s">
        <v>1</v>
      </c>
      <c r="V489" s="195" t="str" cm="1">
        <f t="array" ref="V489">_xlfn.IFS(
  C489="United States","North America",
  C489="Canada","North America",
  C489="Mexico","North America",
  C489="Bermuda","North America",
  C489="United Kingdom","Europe",
  C489="Germany","Europe",
  C489="France","Europe",
  C489="Italy","Europe",
  C489="Switzerland","Europe",
  C489="Spain","Europe",
  C489="Netherlands","Europe",
  C489="Sweden","Europe",
  C489="Norway","Europe",
  C489="Finland","Europe",
  C489="Denmark","Europe",
  C489="Russia","Europe",
  C489="China","Asia",
  C489="Japan","Asia",
  C489="Taiwan, Province of China","Asia",
  C489="Hong Kong","Asia",
  C489="South Korea","Asia",
  C489="India","Asia",
  C489="Singapore","Asia",
  C489="Thailand","Asia",
  C489="Indonesia","Asia",
  C489="Malaysia","Asia",
  TRUE,"Other"
)</f>
        <v>Asia</v>
      </c>
      <c r="W489" s="195" t="str">
        <f>_xlfn.XLOOKUP(Table2[[#This Row],[Column3]],Sheet1!G:G,Sheet1!H:H)</f>
        <v>Technology</v>
      </c>
      <c r="X489" s="195"/>
      <c r="Y489" s="195"/>
    </row>
    <row r="490" spans="1:25">
      <c r="A490" s="194" t="s">
        <v>873</v>
      </c>
      <c r="B490" s="68">
        <v>171</v>
      </c>
      <c r="C490" s="68" t="s">
        <v>73</v>
      </c>
      <c r="D490" s="77" t="s">
        <v>4467</v>
      </c>
      <c r="E490" s="75"/>
      <c r="H490" s="75"/>
      <c r="K490" s="75"/>
      <c r="M490" s="76"/>
      <c r="N490" s="76"/>
      <c r="P490" s="75"/>
      <c r="U490" s="75" t="s">
        <v>1</v>
      </c>
      <c r="V490" s="195" t="str" cm="1">
        <f t="array" ref="V490">_xlfn.IFS(
  C490="United States","North America",
  C490="Canada","North America",
  C490="Mexico","North America",
  C490="Bermuda","North America",
  C490="United Kingdom","Europe",
  C490="Germany","Europe",
  C490="France","Europe",
  C490="Italy","Europe",
  C490="Switzerland","Europe",
  C490="Spain","Europe",
  C490="Netherlands","Europe",
  C490="Sweden","Europe",
  C490="Norway","Europe",
  C490="Finland","Europe",
  C490="Denmark","Europe",
  C490="Russia","Europe",
  C490="China","Asia",
  C490="Japan","Asia",
  C490="Taiwan, Province of China","Asia",
  C490="Hong Kong","Asia",
  C490="South Korea","Asia",
  C490="India","Asia",
  C490="Singapore","Asia",
  C490="Thailand","Asia",
  C490="Indonesia","Asia",
  C490="Malaysia","Asia",
  TRUE,"Other"
)</f>
        <v>Asia</v>
      </c>
      <c r="W490" s="195" t="str">
        <f>_xlfn.XLOOKUP(Table2[[#This Row],[Column3]],Sheet1!G:G,Sheet1!H:H)</f>
        <v>Retail</v>
      </c>
      <c r="X490" s="195"/>
      <c r="Y490" s="195"/>
    </row>
    <row r="491" spans="1:25">
      <c r="A491" s="194" t="s">
        <v>213</v>
      </c>
      <c r="B491" s="68">
        <v>338</v>
      </c>
      <c r="C491" s="68" t="s">
        <v>73</v>
      </c>
      <c r="D491" s="77" t="s">
        <v>4465</v>
      </c>
      <c r="E491" s="75"/>
      <c r="H491" s="75"/>
      <c r="K491" s="75"/>
      <c r="M491" s="76"/>
      <c r="N491" s="76"/>
      <c r="P491" s="75"/>
      <c r="U491" s="75" t="s">
        <v>1</v>
      </c>
      <c r="V491" s="195" t="str" cm="1">
        <f t="array" ref="V491">_xlfn.IFS(
  C491="United States","North America",
  C491="Canada","North America",
  C491="Mexico","North America",
  C491="Bermuda","North America",
  C491="United Kingdom","Europe",
  C491="Germany","Europe",
  C491="France","Europe",
  C491="Italy","Europe",
  C491="Switzerland","Europe",
  C491="Spain","Europe",
  C491="Netherlands","Europe",
  C491="Sweden","Europe",
  C491="Norway","Europe",
  C491="Finland","Europe",
  C491="Denmark","Europe",
  C491="Russia","Europe",
  C491="China","Asia",
  C491="Japan","Asia",
  C491="Taiwan, Province of China","Asia",
  C491="Hong Kong","Asia",
  C491="South Korea","Asia",
  C491="India","Asia",
  C491="Singapore","Asia",
  C491="Thailand","Asia",
  C491="Indonesia","Asia",
  C491="Malaysia","Asia",
  TRUE,"Other"
)</f>
        <v>Asia</v>
      </c>
      <c r="W491" s="195" t="str">
        <f>_xlfn.XLOOKUP(Table2[[#This Row],[Column3]],Sheet1!G:G,Sheet1!H:H)</f>
        <v>Financial services</v>
      </c>
      <c r="X491" s="195"/>
      <c r="Y491" s="195"/>
    </row>
    <row r="492" spans="1:25">
      <c r="A492" s="194" t="s">
        <v>310</v>
      </c>
      <c r="B492" s="68">
        <v>444</v>
      </c>
      <c r="C492" s="68" t="s">
        <v>73</v>
      </c>
      <c r="D492" s="77" t="s">
        <v>4465</v>
      </c>
      <c r="E492" s="75"/>
      <c r="H492" s="75"/>
      <c r="K492" s="75"/>
      <c r="M492" s="76"/>
      <c r="N492" s="76"/>
      <c r="P492" s="75"/>
      <c r="U492" s="75" t="s">
        <v>1</v>
      </c>
      <c r="V492" s="195" t="str" cm="1">
        <f t="array" ref="V492">_xlfn.IFS(
  C492="United States","North America",
  C492="Canada","North America",
  C492="Mexico","North America",
  C492="Bermuda","North America",
  C492="United Kingdom","Europe",
  C492="Germany","Europe",
  C492="France","Europe",
  C492="Italy","Europe",
  C492="Switzerland","Europe",
  C492="Spain","Europe",
  C492="Netherlands","Europe",
  C492="Sweden","Europe",
  C492="Norway","Europe",
  C492="Finland","Europe",
  C492="Denmark","Europe",
  C492="Russia","Europe",
  C492="China","Asia",
  C492="Japan","Asia",
  C492="Taiwan, Province of China","Asia",
  C492="Hong Kong","Asia",
  C492="South Korea","Asia",
  C492="India","Asia",
  C492="Singapore","Asia",
  C492="Thailand","Asia",
  C492="Indonesia","Asia",
  C492="Malaysia","Asia",
  TRUE,"Other"
)</f>
        <v>Asia</v>
      </c>
      <c r="W492" s="195" t="str">
        <f>_xlfn.XLOOKUP(Table2[[#This Row],[Column3]],Sheet1!G:G,Sheet1!H:H)</f>
        <v>Financial services</v>
      </c>
      <c r="X492" s="195"/>
      <c r="Y492" s="195"/>
    </row>
    <row r="493" spans="1:25">
      <c r="A493" s="194" t="s">
        <v>702</v>
      </c>
      <c r="B493" s="68">
        <v>189</v>
      </c>
      <c r="C493" s="68" t="s">
        <v>73</v>
      </c>
      <c r="D493" s="77" t="s">
        <v>4465</v>
      </c>
      <c r="E493" s="75"/>
      <c r="H493" s="75"/>
      <c r="K493" s="75"/>
      <c r="M493" s="76"/>
      <c r="N493" s="76"/>
      <c r="P493" s="75"/>
      <c r="U493" s="75" t="s">
        <v>1</v>
      </c>
      <c r="V493" s="195" t="str" cm="1">
        <f t="array" ref="V493">_xlfn.IFS(
  C493="United States","North America",
  C493="Canada","North America",
  C493="Mexico","North America",
  C493="Bermuda","North America",
  C493="United Kingdom","Europe",
  C493="Germany","Europe",
  C493="France","Europe",
  C493="Italy","Europe",
  C493="Switzerland","Europe",
  C493="Spain","Europe",
  C493="Netherlands","Europe",
  C493="Sweden","Europe",
  C493="Norway","Europe",
  C493="Finland","Europe",
  C493="Denmark","Europe",
  C493="Russia","Europe",
  C493="China","Asia",
  C493="Japan","Asia",
  C493="Taiwan, Province of China","Asia",
  C493="Hong Kong","Asia",
  C493="South Korea","Asia",
  C493="India","Asia",
  C493="Singapore","Asia",
  C493="Thailand","Asia",
  C493="Indonesia","Asia",
  C493="Malaysia","Asia",
  TRUE,"Other"
)</f>
        <v>Asia</v>
      </c>
      <c r="W493" s="195" t="str">
        <f>_xlfn.XLOOKUP(Table2[[#This Row],[Column3]],Sheet1!G:G,Sheet1!H:H)</f>
        <v>Financial services</v>
      </c>
      <c r="X493" s="195"/>
      <c r="Y493" s="195"/>
    </row>
    <row r="494" spans="1:25">
      <c r="A494" s="194" t="s">
        <v>615</v>
      </c>
      <c r="B494" s="68">
        <v>332</v>
      </c>
      <c r="C494" s="68" t="s">
        <v>73</v>
      </c>
      <c r="D494" s="77" t="s">
        <v>4465</v>
      </c>
      <c r="E494" s="75"/>
      <c r="H494" s="75"/>
      <c r="K494" s="75"/>
      <c r="M494" s="76"/>
      <c r="N494" s="76"/>
      <c r="P494" s="75"/>
      <c r="U494" s="75" t="s">
        <v>1</v>
      </c>
      <c r="V494" s="195" t="str" cm="1">
        <f t="array" ref="V494">_xlfn.IFS(
  C494="United States","North America",
  C494="Canada","North America",
  C494="Mexico","North America",
  C494="Bermuda","North America",
  C494="United Kingdom","Europe",
  C494="Germany","Europe",
  C494="France","Europe",
  C494="Italy","Europe",
  C494="Switzerland","Europe",
  C494="Spain","Europe",
  C494="Netherlands","Europe",
  C494="Sweden","Europe",
  C494="Norway","Europe",
  C494="Finland","Europe",
  C494="Denmark","Europe",
  C494="Russia","Europe",
  C494="China","Asia",
  C494="Japan","Asia",
  C494="Taiwan, Province of China","Asia",
  C494="Hong Kong","Asia",
  C494="South Korea","Asia",
  C494="India","Asia",
  C494="Singapore","Asia",
  C494="Thailand","Asia",
  C494="Indonesia","Asia",
  C494="Malaysia","Asia",
  TRUE,"Other"
)</f>
        <v>Asia</v>
      </c>
      <c r="W494" s="195" t="str">
        <f>_xlfn.XLOOKUP(Table2[[#This Row],[Column3]],Sheet1!G:G,Sheet1!H:H)</f>
        <v>Financial services</v>
      </c>
      <c r="X494" s="195"/>
      <c r="Y494" s="195"/>
    </row>
    <row r="495" spans="1:25">
      <c r="A495" s="194" t="s">
        <v>4182</v>
      </c>
      <c r="B495" s="68">
        <v>471</v>
      </c>
      <c r="C495" s="68" t="s">
        <v>73</v>
      </c>
      <c r="D495" s="77" t="s">
        <v>4476</v>
      </c>
      <c r="E495" s="75"/>
      <c r="H495" s="75"/>
      <c r="K495" s="75"/>
      <c r="M495" s="76"/>
      <c r="N495" s="76"/>
      <c r="P495" s="75"/>
      <c r="U495" s="75" t="s">
        <v>1</v>
      </c>
      <c r="V495" s="195" t="str" cm="1">
        <f t="array" ref="V495">_xlfn.IFS(
  C495="United States","North America",
  C495="Canada","North America",
  C495="Mexico","North America",
  C495="Bermuda","North America",
  C495="United Kingdom","Europe",
  C495="Germany","Europe",
  C495="France","Europe",
  C495="Italy","Europe",
  C495="Switzerland","Europe",
  C495="Spain","Europe",
  C495="Netherlands","Europe",
  C495="Sweden","Europe",
  C495="Norway","Europe",
  C495="Finland","Europe",
  C495="Denmark","Europe",
  C495="Russia","Europe",
  C495="China","Asia",
  C495="Japan","Asia",
  C495="Taiwan, Province of China","Asia",
  C495="Hong Kong","Asia",
  C495="South Korea","Asia",
  C495="India","Asia",
  C495="Singapore","Asia",
  C495="Thailand","Asia",
  C495="Indonesia","Asia",
  C495="Malaysia","Asia",
  TRUE,"Other"
)</f>
        <v>Asia</v>
      </c>
      <c r="W495" s="195" t="str">
        <f>_xlfn.XLOOKUP(Table2[[#This Row],[Column3]],Sheet1!G:G,Sheet1!H:H)</f>
        <v>Automotive</v>
      </c>
      <c r="X495" s="195"/>
      <c r="Y495" s="195"/>
    </row>
    <row r="496" spans="1:25" ht="16">
      <c r="A496" s="194" t="s">
        <v>944</v>
      </c>
      <c r="B496" s="68">
        <v>323</v>
      </c>
      <c r="C496" s="68" t="s">
        <v>146</v>
      </c>
      <c r="D496" s="77" t="s">
        <v>4179</v>
      </c>
      <c r="E496" s="75"/>
      <c r="H496" s="75" t="s">
        <v>1957</v>
      </c>
      <c r="J496" s="68">
        <v>2021</v>
      </c>
      <c r="K496" s="75" t="s">
        <v>1957</v>
      </c>
      <c r="L496" s="68" t="s">
        <v>4181</v>
      </c>
      <c r="M496" s="76">
        <v>2040</v>
      </c>
      <c r="N496" s="76">
        <v>2019</v>
      </c>
      <c r="O496" s="78" t="s">
        <v>4170</v>
      </c>
      <c r="P496" s="75"/>
      <c r="U496" s="75" t="s">
        <v>361</v>
      </c>
      <c r="V496" s="195" t="str" cm="1">
        <f t="array" ref="V496">_xlfn.IFS(
  C496="United States","North America",
  C496="Canada","North America",
  C496="Mexico","North America",
  C496="Bermuda","North America",
  C496="United Kingdom","Europe",
  C496="Germany","Europe",
  C496="France","Europe",
  C496="Italy","Europe",
  C496="Switzerland","Europe",
  C496="Spain","Europe",
  C496="Netherlands","Europe",
  C496="Sweden","Europe",
  C496="Norway","Europe",
  C496="Finland","Europe",
  C496="Denmark","Europe",
  C496="Russia","Europe",
  C496="China","Asia",
  C496="Japan","Asia",
  C496="Taiwan, Province of China","Asia",
  C496="Hong Kong","Asia",
  C496="South Korea","Asia",
  C496="India","Asia",
  C496="Singapore","Asia",
  C496="Thailand","Asia",
  C496="Indonesia","Asia",
  C496="Malaysia","Asia",
  TRUE,"Other"
)</f>
        <v>Europe</v>
      </c>
      <c r="W496" s="195" t="str">
        <f>_xlfn.XLOOKUP(Table2[[#This Row],[Column3]],Sheet1!G:G,Sheet1!H:H)</f>
        <v>Transportation and logistics</v>
      </c>
      <c r="X496" s="195"/>
      <c r="Y496" s="195"/>
    </row>
    <row r="497" spans="1:25">
      <c r="A497" s="194" t="s">
        <v>4180</v>
      </c>
      <c r="B497" s="68">
        <v>433</v>
      </c>
      <c r="C497" s="68" t="s">
        <v>73</v>
      </c>
      <c r="D497" s="77" t="s">
        <v>4476</v>
      </c>
      <c r="E497" s="75"/>
      <c r="H497" s="75"/>
      <c r="K497" s="75"/>
      <c r="M497" s="76"/>
      <c r="N497" s="76"/>
      <c r="P497" s="75"/>
      <c r="U497" s="75" t="s">
        <v>1</v>
      </c>
      <c r="V497" s="195" t="str" cm="1">
        <f t="array" ref="V497">_xlfn.IFS(
  C497="United States","North America",
  C497="Canada","North America",
  C497="Mexico","North America",
  C497="Bermuda","North America",
  C497="United Kingdom","Europe",
  C497="Germany","Europe",
  C497="France","Europe",
  C497="Italy","Europe",
  C497="Switzerland","Europe",
  C497="Spain","Europe",
  C497="Netherlands","Europe",
  C497="Sweden","Europe",
  C497="Norway","Europe",
  C497="Finland","Europe",
  C497="Denmark","Europe",
  C497="Russia","Europe",
  C497="China","Asia",
  C497="Japan","Asia",
  C497="Taiwan, Province of China","Asia",
  C497="Hong Kong","Asia",
  C497="South Korea","Asia",
  C497="India","Asia",
  C497="Singapore","Asia",
  C497="Thailand","Asia",
  C497="Indonesia","Asia",
  C497="Malaysia","Asia",
  TRUE,"Other"
)</f>
        <v>Asia</v>
      </c>
      <c r="W497" s="195" t="str">
        <f>_xlfn.XLOOKUP(Table2[[#This Row],[Column3]],Sheet1!G:G,Sheet1!H:H)</f>
        <v>Automotive</v>
      </c>
      <c r="X497" s="195"/>
      <c r="Y497" s="195"/>
    </row>
    <row r="498" spans="1:25">
      <c r="A498" s="194" t="s">
        <v>1102</v>
      </c>
      <c r="B498" s="68">
        <v>239</v>
      </c>
      <c r="C498" s="68" t="s">
        <v>73</v>
      </c>
      <c r="D498" s="77" t="s">
        <v>66</v>
      </c>
      <c r="E498" s="75"/>
      <c r="H498" s="75"/>
      <c r="K498" s="75"/>
      <c r="M498" s="76"/>
      <c r="N498" s="76"/>
      <c r="P498" s="75"/>
      <c r="U498" s="75" t="s">
        <v>1</v>
      </c>
      <c r="V498" s="195" t="str" cm="1">
        <f t="array" ref="V498">_xlfn.IFS(
  C498="United States","North America",
  C498="Canada","North America",
  C498="Mexico","North America",
  C498="Bermuda","North America",
  C498="United Kingdom","Europe",
  C498="Germany","Europe",
  C498="France","Europe",
  C498="Italy","Europe",
  C498="Switzerland","Europe",
  C498="Spain","Europe",
  C498="Netherlands","Europe",
  C498="Sweden","Europe",
  C498="Norway","Europe",
  C498="Finland","Europe",
  C498="Denmark","Europe",
  C498="Russia","Europe",
  C498="China","Asia",
  C498="Japan","Asia",
  C498="Taiwan, Province of China","Asia",
  C498="Hong Kong","Asia",
  C498="South Korea","Asia",
  C498="India","Asia",
  C498="Singapore","Asia",
  C498="Thailand","Asia",
  C498="Indonesia","Asia",
  C498="Malaysia","Asia",
  TRUE,"Other"
)</f>
        <v>Asia</v>
      </c>
      <c r="W498" s="195" t="str">
        <f>_xlfn.XLOOKUP(Table2[[#This Row],[Column3]],Sheet1!G:G,Sheet1!H:H)</f>
        <v>Chemicals</v>
      </c>
      <c r="X498" s="195"/>
      <c r="Y498" s="195"/>
    </row>
    <row r="499" spans="1:25">
      <c r="A499" s="194" t="s">
        <v>4178</v>
      </c>
      <c r="B499" s="68">
        <v>309</v>
      </c>
      <c r="C499" s="68" t="s">
        <v>73</v>
      </c>
      <c r="D499" s="77" t="s">
        <v>66</v>
      </c>
      <c r="E499" s="75"/>
      <c r="H499" s="75"/>
      <c r="K499" s="75"/>
      <c r="M499" s="76"/>
      <c r="N499" s="76"/>
      <c r="P499" s="75"/>
      <c r="U499" s="75" t="s">
        <v>1</v>
      </c>
      <c r="V499" s="195" t="str" cm="1">
        <f t="array" ref="V499">_xlfn.IFS(
  C499="United States","North America",
  C499="Canada","North America",
  C499="Mexico","North America",
  C499="Bermuda","North America",
  C499="United Kingdom","Europe",
  C499="Germany","Europe",
  C499="France","Europe",
  C499="Italy","Europe",
  C499="Switzerland","Europe",
  C499="Spain","Europe",
  C499="Netherlands","Europe",
  C499="Sweden","Europe",
  C499="Norway","Europe",
  C499="Finland","Europe",
  C499="Denmark","Europe",
  C499="Russia","Europe",
  C499="China","Asia",
  C499="Japan","Asia",
  C499="Taiwan, Province of China","Asia",
  C499="Hong Kong","Asia",
  C499="South Korea","Asia",
  C499="India","Asia",
  C499="Singapore","Asia",
  C499="Thailand","Asia",
  C499="Indonesia","Asia",
  C499="Malaysia","Asia",
  TRUE,"Other"
)</f>
        <v>Asia</v>
      </c>
      <c r="W499" s="195" t="str">
        <f>_xlfn.XLOOKUP(Table2[[#This Row],[Column3]],Sheet1!G:G,Sheet1!H:H)</f>
        <v>Chemicals</v>
      </c>
      <c r="X499" s="195"/>
      <c r="Y499" s="195"/>
    </row>
    <row r="500" spans="1:25">
      <c r="A500" s="194" t="s">
        <v>4177</v>
      </c>
      <c r="B500" s="68">
        <v>255</v>
      </c>
      <c r="C500" s="68" t="s">
        <v>73</v>
      </c>
      <c r="D500" s="77" t="s">
        <v>4459</v>
      </c>
      <c r="E500" s="75"/>
      <c r="H500" s="75"/>
      <c r="K500" s="75"/>
      <c r="M500" s="76"/>
      <c r="N500" s="76"/>
      <c r="P500" s="75"/>
      <c r="U500" s="75" t="s">
        <v>1</v>
      </c>
      <c r="V500" s="195" t="str" cm="1">
        <f t="array" ref="V500">_xlfn.IFS(
  C500="United States","North America",
  C500="Canada","North America",
  C500="Mexico","North America",
  C500="Bermuda","North America",
  C500="United Kingdom","Europe",
  C500="Germany","Europe",
  C500="France","Europe",
  C500="Italy","Europe",
  C500="Switzerland","Europe",
  C500="Spain","Europe",
  C500="Netherlands","Europe",
  C500="Sweden","Europe",
  C500="Norway","Europe",
  C500="Finland","Europe",
  C500="Denmark","Europe",
  C500="Russia","Europe",
  C500="China","Asia",
  C500="Japan","Asia",
  C500="Taiwan, Province of China","Asia",
  C500="Hong Kong","Asia",
  C500="South Korea","Asia",
  C500="India","Asia",
  C500="Singapore","Asia",
  C500="Thailand","Asia",
  C500="Indonesia","Asia",
  C500="Malaysia","Asia",
  TRUE,"Other"
)</f>
        <v>Asia</v>
      </c>
      <c r="W500" s="195" t="str">
        <f>_xlfn.XLOOKUP(Table2[[#This Row],[Column3]],Sheet1!G:G,Sheet1!H:H)</f>
        <v>Industrial goods</v>
      </c>
      <c r="X500" s="195"/>
      <c r="Y500" s="195"/>
    </row>
    <row r="501" spans="1:25">
      <c r="A501" s="194" t="s">
        <v>4176</v>
      </c>
      <c r="B501" s="68">
        <v>486</v>
      </c>
      <c r="C501" s="68" t="s">
        <v>73</v>
      </c>
      <c r="D501" s="77" t="s">
        <v>4465</v>
      </c>
      <c r="E501" s="75"/>
      <c r="H501" s="75"/>
      <c r="K501" s="75"/>
      <c r="M501" s="76"/>
      <c r="N501" s="76"/>
      <c r="P501" s="75"/>
      <c r="U501" s="75" t="s">
        <v>1</v>
      </c>
      <c r="V501" s="195" t="str" cm="1">
        <f t="array" ref="V501">_xlfn.IFS(
  C501="United States","North America",
  C501="Canada","North America",
  C501="Mexico","North America",
  C501="Bermuda","North America",
  C501="United Kingdom","Europe",
  C501="Germany","Europe",
  C501="France","Europe",
  C501="Italy","Europe",
  C501="Switzerland","Europe",
  C501="Spain","Europe",
  C501="Netherlands","Europe",
  C501="Sweden","Europe",
  C501="Norway","Europe",
  C501="Finland","Europe",
  C501="Denmark","Europe",
  C501="Russia","Europe",
  C501="China","Asia",
  C501="Japan","Asia",
  C501="Taiwan, Province of China","Asia",
  C501="Hong Kong","Asia",
  C501="South Korea","Asia",
  C501="India","Asia",
  C501="Singapore","Asia",
  C501="Thailand","Asia",
  C501="Indonesia","Asia",
  C501="Malaysia","Asia",
  TRUE,"Other"
)</f>
        <v>Asia</v>
      </c>
      <c r="W501" s="195" t="str">
        <f>_xlfn.XLOOKUP(Table2[[#This Row],[Column3]],Sheet1!G:G,Sheet1!H:H)</f>
        <v>Financial services</v>
      </c>
      <c r="X501" s="195"/>
      <c r="Y501" s="195"/>
    </row>
    <row r="502" spans="1:25" ht="16">
      <c r="A502" s="70" t="s">
        <v>1027</v>
      </c>
      <c r="B502" s="70">
        <v>168</v>
      </c>
      <c r="C502" s="70" t="s">
        <v>287</v>
      </c>
      <c r="D502" s="74" t="s">
        <v>4175</v>
      </c>
      <c r="E502" s="71" t="s">
        <v>4174</v>
      </c>
      <c r="F502" s="70">
        <v>2022</v>
      </c>
      <c r="G502" s="70">
        <v>2019</v>
      </c>
      <c r="H502" s="71" t="s">
        <v>1957</v>
      </c>
      <c r="I502" s="70"/>
      <c r="J502" s="70">
        <v>2019</v>
      </c>
      <c r="K502" s="71" t="s">
        <v>1957</v>
      </c>
      <c r="L502" s="70" t="s">
        <v>4173</v>
      </c>
      <c r="M502" s="73">
        <v>2014</v>
      </c>
      <c r="N502" s="73">
        <v>2014</v>
      </c>
      <c r="O502" s="72" t="s">
        <v>4170</v>
      </c>
      <c r="P502" s="71" t="s">
        <v>4172</v>
      </c>
      <c r="Q502" s="68" t="s">
        <v>4171</v>
      </c>
      <c r="R502" s="68">
        <v>2050</v>
      </c>
      <c r="S502" s="70">
        <v>2019</v>
      </c>
      <c r="T502" s="69" t="s">
        <v>4170</v>
      </c>
      <c r="U502" s="71" t="s">
        <v>361</v>
      </c>
      <c r="V502" s="195" t="str" cm="1">
        <f t="array" ref="V502">_xlfn.IFS(
  C502="United States","North America",
  C502="Canada","North America",
  C502="Mexico","North America",
  C502="Bermuda","North America",
  C502="United Kingdom","Europe",
  C502="Germany","Europe",
  C502="France","Europe",
  C502="Italy","Europe",
  C502="Switzerland","Europe",
  C502="Spain","Europe",
  C502="Netherlands","Europe",
  C502="Sweden","Europe",
  C502="Norway","Europe",
  C502="Finland","Europe",
  C502="Denmark","Europe",
  C502="Russia","Europe",
  C502="China","Asia",
  C502="Japan","Asia",
  C502="Taiwan, Province of China","Asia",
  C502="Hong Kong","Asia",
  C502="South Korea","Asia",
  C502="India","Asia",
  C502="Singapore","Asia",
  C502="Thailand","Asia",
  C502="Indonesia","Asia",
  C502="Malaysia","Asia",
  TRUE,"Other"
)</f>
        <v>Europe</v>
      </c>
      <c r="W502" s="195" t="s">
        <v>4465</v>
      </c>
      <c r="X502" s="195"/>
      <c r="Y502" s="195"/>
    </row>
    <row r="503" spans="1:25">
      <c r="A503" s="195"/>
      <c r="B503" s="195"/>
      <c r="C503" s="195"/>
      <c r="D503" s="196"/>
      <c r="E503" s="197">
        <v>74</v>
      </c>
      <c r="F503" s="195"/>
      <c r="G503" s="195"/>
      <c r="H503" s="197"/>
      <c r="I503" s="195"/>
      <c r="J503" s="195"/>
      <c r="K503" s="197"/>
      <c r="L503" s="195"/>
      <c r="M503" s="198"/>
      <c r="N503" s="198"/>
      <c r="O503" s="195"/>
      <c r="P503" s="197"/>
      <c r="Q503" s="195"/>
      <c r="R503" s="195"/>
      <c r="S503" s="195"/>
      <c r="T503" s="195"/>
      <c r="U503" s="197"/>
      <c r="V503" s="195"/>
      <c r="W503" s="195"/>
      <c r="X503" s="195"/>
      <c r="Y503" s="195"/>
    </row>
    <row r="504" spans="1:25">
      <c r="A504" s="195"/>
      <c r="B504" s="195"/>
      <c r="C504" s="195"/>
      <c r="D504" s="196"/>
      <c r="E504" s="197"/>
      <c r="F504" s="195"/>
      <c r="G504" s="195"/>
      <c r="H504" s="197">
        <v>86</v>
      </c>
      <c r="I504" s="195"/>
      <c r="J504" s="195"/>
      <c r="K504" s="197"/>
      <c r="L504" s="195"/>
      <c r="M504" s="198"/>
      <c r="N504" s="198"/>
      <c r="O504" s="195"/>
      <c r="P504" s="197"/>
      <c r="Q504" s="195"/>
      <c r="R504" s="195"/>
      <c r="S504" s="195"/>
      <c r="T504" s="195"/>
      <c r="U504" s="197"/>
      <c r="V504" s="195"/>
      <c r="W504" s="195"/>
      <c r="X504" s="195"/>
      <c r="Y504" s="195"/>
    </row>
    <row r="505" spans="1:25">
      <c r="A505" s="195"/>
      <c r="B505" s="195"/>
      <c r="C505" s="195"/>
      <c r="D505" s="196"/>
      <c r="E505" s="197"/>
      <c r="F505" s="195"/>
      <c r="G505" s="195"/>
      <c r="H505" s="197"/>
      <c r="I505" s="195"/>
      <c r="J505" s="195"/>
      <c r="K505" s="197">
        <v>147</v>
      </c>
      <c r="L505" s="195"/>
      <c r="M505" s="198"/>
      <c r="N505" s="198"/>
      <c r="O505" s="195"/>
      <c r="P505" s="197"/>
      <c r="Q505" s="195"/>
      <c r="R505" s="195"/>
      <c r="S505" s="195"/>
      <c r="T505" s="195"/>
      <c r="U505" s="197"/>
      <c r="V505" s="195"/>
      <c r="W505" s="195"/>
      <c r="X505" s="195"/>
      <c r="Y505" s="195"/>
    </row>
  </sheetData>
  <mergeCells count="16">
    <mergeCell ref="AA7:AC7"/>
    <mergeCell ref="AD7:AF7"/>
    <mergeCell ref="AG7:AI7"/>
    <mergeCell ref="AJ7:AL7"/>
    <mergeCell ref="AA27:AC27"/>
    <mergeCell ref="AD27:AF27"/>
    <mergeCell ref="AG27:AI27"/>
    <mergeCell ref="AJ27:AL27"/>
    <mergeCell ref="Z68:AB68"/>
    <mergeCell ref="AC68:AE68"/>
    <mergeCell ref="AF68:AH68"/>
    <mergeCell ref="AI68:AK68"/>
    <mergeCell ref="Z88:AB88"/>
    <mergeCell ref="AC88:AE88"/>
    <mergeCell ref="AF88:AH88"/>
    <mergeCell ref="AI88:AK88"/>
  </mergeCells>
  <phoneticPr fontId="38" type="noConversion"/>
  <hyperlinks>
    <hyperlink ref="O8" r:id="rId1" xr:uid="{31891356-44AE-454A-9249-2C282F6866A1}"/>
    <hyperlink ref="O3" r:id="rId2" xr:uid="{2F68BB74-62EA-44FC-BE2F-43B89996E51A}"/>
    <hyperlink ref="O4" r:id="rId3" xr:uid="{212EF35E-42C3-4137-99D0-CFBE2BB7E591}"/>
    <hyperlink ref="O10" r:id="rId4" xr:uid="{EDCFAE62-874C-4C02-95FF-F9E6108E768D}"/>
    <hyperlink ref="O15" r:id="rId5" xr:uid="{3477DCEC-4AD8-44CB-895D-5D5BFCCC6DB1}"/>
    <hyperlink ref="O20" r:id="rId6" xr:uid="{DE83E008-63D8-4E48-AB9C-F002DD25D5F6}"/>
    <hyperlink ref="O22" r:id="rId7" xr:uid="{65BA70F2-6B94-4A9A-8D3F-4D88E7C3DACC}"/>
    <hyperlink ref="O26" r:id="rId8" xr:uid="{E230189B-F59D-4EC8-97D7-D1C7F47E090F}"/>
    <hyperlink ref="O30" r:id="rId9" xr:uid="{933F2AB4-27D5-452E-854C-0199A27A45BA}"/>
    <hyperlink ref="O36" r:id="rId10" display="https://www.apple.com/newsroom/2020/07/apple-commits-to-be-100-percent-carbon-neutral-for-its-supply-chain-and-products-by-2030/" xr:uid="{D0B131CA-C2F6-4A76-8861-DC644658F5B6}"/>
    <hyperlink ref="O37" r:id="rId11" display="https://corporate.arcelormittal.com/media/press-releases/arcelormittal-sets-2050-group-carbon-emissions-target-of-net-zero" xr:uid="{D1DB5EB6-CBF5-4162-883E-3E6DBB32B4CC}"/>
    <hyperlink ref="O40" r:id="rId12" display="https://www.generali.com/media/press-releases/all/2021/Generali-updates-its-strategy-for-climate-protection" xr:uid="{005437B7-B071-4EA7-88F5-1D834339879E}"/>
    <hyperlink ref="T41" r:id="rId13" display="https://www.astrazeneca.com/content/astraz/media-centre/press-releases/2020/astrazenecas-ambition-zero-carbon-strategy-to-eliminate-emissions-by-2025-and-be-carbon-negative-across-the-entire-value-chain-by-2030-22012020.html" xr:uid="{BDDC0531-D1AC-4041-9B87-F3AF27527A53}"/>
    <hyperlink ref="O42" r:id="rId14" display="https://about.att.com/story/2020/att_carbon_neutral.html https://about.att.com/csr/home/environment/carbon-neutral.html" xr:uid="{17652BF7-0F70-49EC-B647-4C25E1A836AA}"/>
    <hyperlink ref="O44" r:id="rId15" display="https://www.aviva.com/newsroom/news-releases/2006/12/aviva-to-be-the-first-insurer-to-carbon-neutralise-its-operations-worldwide-2954/" xr:uid="{EE139F37-50BD-4321-B33F-E1F5C84FC35E}"/>
    <hyperlink ref="O45" r:id="rId16" display="https://www.axa.com/en/about-us/environmental-footprint-management" xr:uid="{23D97B61-B9F3-4650-BEE5-BF4D65C30F48}"/>
    <hyperlink ref="O47" r:id="rId17" xr:uid="{B92503AC-005D-456A-A9B7-09B9FA58D924}"/>
    <hyperlink ref="O48" r:id="rId18" display="https://banco.bradesco/assets/classic/pdf/sustentabilidade/Climate%20Change_Bradesco-1.pdf" xr:uid="{5E9E2114-0AA7-46B1-A47F-753CFF18F8F6}"/>
    <hyperlink ref="O49" r:id="rId19" display="https://api.mziq.com/mzfilemanager/v2/d/5760dff3-15e1-4962-9e81-322a0b3d0bbd/e2adbb31-32bf-8188-be3f-28424d7877f0?origin=2" xr:uid="{E5BDCA2E-60E7-4E61-B0A5-95B5B3234E55}"/>
    <hyperlink ref="O50" r:id="rId20" display="https://www.santander.com/content/dam/santander-com/en/documentos/notas-de-prensa/2019/12/np-2019-12-11-santander-se-compromete-a-ser-neutro-en-carbono-en-2020-en.pdf" xr:uid="{A82DE557-5810-4487-B8CF-C04FA32E984F}"/>
    <hyperlink ref="O54" r:id="rId21" display="https://newsroom.bmo.com/2010-08-24-BMO-Achieves-Carbon-Neutrality" xr:uid="{F355E651-9CDD-46B3-8598-257BBB9B0295}"/>
    <hyperlink ref="O145" r:id="rId22" display="https://www.cma-cgm.com/news/3143/the-cma-cgm-group-heads-towards-carbon-neutrality-by-2050" xr:uid="{474A1C38-D9AF-4481-8968-4CAEDB67FE0B}"/>
    <hyperlink ref="O153" r:id="rId23" display="https://www.continental.com/en/sustainability/sustainability-framework/carbon-neutrality/" xr:uid="{3978D60E-0B78-405B-ABF0-1174CC6B2547}"/>
    <hyperlink ref="O178" r:id="rId24" display="https://www.eon.com/content/dam/eon/eon-com/Documents/en/climate-commitment/2020/climate-commitment-2020.pdf" xr:uid="{DA2F377E-C892-4BFE-B4A7-9AA168DBEE9C}"/>
    <hyperlink ref="O198" r:id="rId25" display="https://www.vivendi.com/en/our-group/environmental-societal-social-commitments/our-environmental-commitments/" xr:uid="{D1888119-FC1B-426A-B570-CF3599148D76}"/>
    <hyperlink ref="O202" r:id="rId26" display="https://www.fortum.com/files/fortum-sustainability-2020/download" xr:uid="{6281102C-0D74-48F5-8FB5-6E2515407DE7}"/>
    <hyperlink ref="O258" r:id="rId27" display="https://www.japanpost.jp/en/ir/news/jpn/pdf/20210514_01.pdf" xr:uid="{8AE7E12D-9E41-4DF9-B3AA-30A44A8F08DC}"/>
    <hyperlink ref="O278" r:id="rId28" display="https://www.groupelaposte.com/en/news/20-years-of-concrete-commitments-to-fight-climate-change" xr:uid="{EB018926-173C-48A9-8D38-F404F23CB3C2}"/>
    <hyperlink ref="O403" r:id="rId29" display="https://new.siemens.com/global/en/company/sustainability/carbonneutral.html" xr:uid="{9B9CA98C-BF81-421E-B02E-BDFAA33216F5}"/>
    <hyperlink ref="O413" r:id="rId30" display="https://www.softbank.jp/en/corp/sustainability/special/carbon-neutral2030/" xr:uid="{2F1FBD9D-336F-48C6-A9C1-4AB8C87C6ED0}"/>
    <hyperlink ref="O421" r:id="rId31" display="https://www.subaru.co.jp/press/news-en/2020_04_13_8613/" xr:uid="{7B7C0408-EB2D-4D6E-A172-F13C96A1DFAC}"/>
    <hyperlink ref="O422" r:id="rId32" display="https://www.sumitomocorp.com/en/jp/news/release/2020/group/13510" xr:uid="{CE9157EB-16A8-44B7-8140-DA526DAF9F26}"/>
    <hyperlink ref="O423" r:id="rId33" display="https://sumitomoelectric.com/sites/default/files/2021-08/download_documents/SUMITOMOELECTRIC%20InegratedReport2021.pdf" xr:uid="{3FAEE1D1-42BA-4298-BE50-E631C0A872B2}"/>
    <hyperlink ref="O435" r:id="rId34" display="https://www.takeda.com/newsroom/newsreleases/2021/takeda-achieved-carbon-neutrality-in-2020/ " xr:uid="{AE6D6978-EE0A-436E-BFBC-7DA73634C84C}"/>
    <hyperlink ref="O436" r:id="rId35" display="https://www.talanx.com/en/newsroom/press_articles/talanx_sustainability_report_2020/?t=1629845759071" xr:uid="{C6FC4A69-6876-4C5F-867B-E48B0EF3D0F2}"/>
    <hyperlink ref="O440" r:id="rId36" display="https://chinadialogue.net/en/business/how-will-chinas-internet-giants-become-carbon-neutral/" xr:uid="{F3EAEE15-E78B-4C83-B851-4FBB20D28FF8}"/>
    <hyperlink ref="O447" r:id="rId37" display="https://www.tokiomarinehd.com/en/release_topics/release/k82ffv000000a0si-att/20210528_climate_change_initiatives_e.pdf" xr:uid="{B65DB646-B60C-456E-9D6E-DD455168B366}"/>
    <hyperlink ref="O469" r:id="rId38" display="http://www.vale.com/brasil/EN/sustainability/Pages/carbonneutral.aspx" xr:uid="{E1764671-35E0-4DA9-9FF5-BFFA2F6002C3}"/>
    <hyperlink ref="O27" r:id="rId39" display="https://about.americanexpress.com/corporate-responsibility/sustainability/sustainability/default.aspx" xr:uid="{31622DCA-53B2-461C-8407-DB87C5A208CD}"/>
    <hyperlink ref="O31" r:id="rId40" display="https://www.angloamerican.com/media/press-releases/2020/30-10-2020" xr:uid="{0CA12385-65A1-46A3-8BD3-8045630DDB6B}"/>
    <hyperlink ref="O51" r:id="rId41" display="https://about.bankofamerica.com/content/dam/about/report-center/esg/2016/BRO-02-17-0321_ADA.pdf" xr:uid="{3508A33A-B1A0-49D4-B190-FAB26A7BFA4F}"/>
    <hyperlink ref="O52" r:id="rId42" xr:uid="{A4BFF68E-C145-46C9-9145-56F7A9A15862}"/>
    <hyperlink ref="O57" r:id="rId43" display="https://www.basf.com/global/en/media/news-releases/2021/03/p-21-166.html" xr:uid="{E7899F0D-F757-4399-B221-6CE8A0E6D315}"/>
    <hyperlink ref="O58" r:id="rId44" display="https://www.bayer.com/en/sustainability/climate-protection" xr:uid="{E627074F-EAC2-4364-874F-F3B57D004B98}"/>
    <hyperlink ref="O62" r:id="rId45" display="https://corporate.bestbuy.com/best-buy-signs-the-climate-pledge-accelerating-sustainability-goals/" xr:uid="{AF4FD9AC-795E-4A23-8B60-49E938792045}"/>
    <hyperlink ref="O65" r:id="rId46" display="https://www.bmwgroup.com/content/dam/grpw/websites/bmwgroup_com/ir/downloads/en/2021/bericht/BMW-Group-Bericht-2020-EN.pdf" xr:uid="{8720156E-8002-4A31-B3AA-D23B75303406}"/>
    <hyperlink ref="O66" r:id="rId47" display="https://group.bnpparibas/en/news/closer-carbon-neutrality-bnp-paribas" xr:uid="{3F87B848-D9B3-4146-BD60-67A42C845921}"/>
    <hyperlink ref="O69" r:id="rId48" display="https://www.bosch.com/sustainability/environment/" xr:uid="{87353344-7156-45F8-B02E-57CA34982138}"/>
    <hyperlink ref="O72" r:id="rId49" display="https://www.bridgestoneamericas.com/content/dam/bscorpcomm-sites/bridgestone-americas/press/2021/bridgestone-releases-sustainability-report-2020/bridgestone-sustainability-report-2020-21.pdf" xr:uid="{82347038-B86B-4A11-9681-050E05800196}"/>
    <hyperlink ref="O73" r:id="rId50" display="https://news.bms.com/news/corporate-financial/2020/Bristol-Myers-Squibb-Strengthens-its-Commitment-to-the-Environment-with-New-Corporate-Goals/default.aspx" xr:uid="{779050CB-DC29-48DD-B966-D59E1C2AF0BC}"/>
    <hyperlink ref="O74" r:id="rId51" display="https://www.bat.com/group/sites/UK__9D9KCY.nsf/vwPagesWebLive/DOBMZH6K" xr:uid="{1A306E7C-0679-48A6-ADFC-2309DB5F2180}"/>
    <hyperlink ref="O87" r:id="rId52" location="page=3" display="https://corporate.charter.com/sites/default/files/2021-07/Charter-2020-ESG-ReportFull.pdf#page=3" xr:uid="{F873DA22-F91F-4B38-A0A8-970A1D34D3ED}"/>
    <hyperlink ref="O92" r:id="rId53" display="https://www.reuters.com/article/us-china-climatechange-baowu/chinas-top-steelmaker-baowu-group-vows-to-achieve-carbon-neutrality-by-2050-idUSKBN29Q0G1" xr:uid="{71923FE4-0427-4B75-A3F8-74BBD9AD30EA}"/>
    <hyperlink ref="O96" r:id="rId54" display="https://wind.in-en.com/html/wind-2403675.shtml " xr:uid="{BD4B8892-2A01-41EF-95AB-D2C866298341}"/>
    <hyperlink ref="O112" r:id="rId55" display="https://www.chinamobileltd.com/en/ir/reports/ar2020/sd2020.pdf" xr:uid="{D5395CEA-4319-49EE-9324-D751CD7F5E29}"/>
    <hyperlink ref="O139" r:id="rId56" display="https://www.cigna.com/about-us/corporate-responsibility/report/environment/sustainability-performance-plan" xr:uid="{C71F9E52-C71A-44E1-9D52-98C3BFCDC055}"/>
    <hyperlink ref="O141" r:id="rId57" display="https://min.news/en/economy/27f4ba9bd87ef879494949440bb8bddb.html" xr:uid="{8BE37F2D-4621-4136-84D1-0DEBF35F2108}"/>
    <hyperlink ref="O142" r:id="rId58" display="https://www.citigroup.com/citi/about/citizenship/operations-supply-chain.html" xr:uid="{29DDE0B0-594E-41B8-83AE-75EEC97757E6}"/>
    <hyperlink ref="O149" r:id="rId59" display="https://corporate.comcast.com/stories/carbon-neutral-by-2035" xr:uid="{9791D099-33C1-49F7-80B3-D9250356B51F}"/>
    <hyperlink ref="O154" r:id="rId60" display="https://www.coop.ch/content/taten-statt-worte/en/sustainability-topics/umweltschutz.html" xr:uid="{68CE3708-C1EB-4DF0-8391-842FEDB93F5C}"/>
    <hyperlink ref="O169" r:id="rId61" display="https://gruen.deutschebahn.com/en/strategy" xr:uid="{1013C7E1-0103-42DE-A1B6-D8D34941CB2B}"/>
    <hyperlink ref="O168" r:id="rId62" display="https://www.denso.com/global/en/news/newsroom/2021/20210202-g02/" xr:uid="{7CBFD66C-B32F-4FEF-91E5-6D630CFF8D3A}"/>
    <hyperlink ref="O159" r:id="rId63" display="https://www.crh.com/media/3224/crh-sustainability-report-2019-interactive.pdf" xr:uid="{4E2830C6-E328-4E1A-91C8-A50CE1713005}"/>
    <hyperlink ref="O156" r:id="rId64" display="https://www.bgy.com.cn/upload/file/2021-06-28/aec49441-f3a3-4c5a-98db-b97fc045ad0c.pdf" xr:uid="{509C19F8-F283-49F9-A37B-31E194D26D86}"/>
    <hyperlink ref="O163" r:id="rId65" display="https://media.daimler.com/marsMediaSite/en/instance/ko/Next-Milestone-Ambition-2039-The-global-Mercedes-Benz-supply-chain-is-becoming-CO2-neutral.xhtml?oid=48369319 " xr:uid="{38D37A78-E92C-42B9-8CCB-1950D95C4BFF}"/>
    <hyperlink ref="O165" r:id="rId66" display="https://www.danone.com/impact/planet/towards-carbon-neutrality.html" xr:uid="{DC147243-8FAF-4855-A60B-CCB4EC503D89}"/>
    <hyperlink ref="O172" r:id="rId67" display="https://www.telekom.com/en/media/media-information/archive/deutsche-telekom-tightens-its-climate-targets-623582" xr:uid="{F37CAF75-5BFE-45D2-BF10-5E57E98619D7}"/>
    <hyperlink ref="O170" r:id="rId68" display="https://www.db.com/newsroom_news/archive/medien/climate-protection-deutsche-bank-set-to-neutralize-its-carbon-footprint-by-2012-en-11448.htm" xr:uid="{A27BB7B2-0CAB-44BD-92E0-A9065A525D1A}"/>
    <hyperlink ref="O176" r:id="rId69" display="https://investors.dow.com/en/news/news-details/2020/Dow-sets-targets-to-reduce-GHG-emissions-stop-plastic-waste-and-drive-toward-a-circular-economy/default.aspx " xr:uid="{7979A04C-36CA-48EB-9F65-D06458D1BA21}"/>
    <hyperlink ref="O180" r:id="rId70" display="https://www.edf.fr/en/the-edf-group/our-raison-d-etre" xr:uid="{4A955CA2-00CF-4F48-9536-FE42E21A2F92}"/>
    <hyperlink ref="O181" r:id="rId71" display="https://www.lilly.com/impact/minimizing-our-environmental-impact" xr:uid="{5B09D954-AE95-43A3-A0AF-6DC7E1EB7927}"/>
    <hyperlink ref="O190" r:id="rId72" display="https://www.equinor.com/en/news/2020-02-06-climate-roadmap.html" xr:uid="{B5AB9940-8F0E-40EF-A0C2-209DEE10DD4C}"/>
    <hyperlink ref="O191" r:id="rId73" display="https://www.ericsson.com/en/about-us/sustainability-and-corporate-responsibility/responsible-business/responsible-sourcing/environment/supply-chain-climate-action" xr:uid="{357836AC-21B5-46F2-AE1A-37399DF9ECCE}"/>
    <hyperlink ref="O197" r:id="rId74" display="https://newsroom.fedex.com/newsroom/sustainability2021/" xr:uid="{F2F3D02D-EE59-44D3-B6E0-17C67BFFD7A0}"/>
    <hyperlink ref="O201" r:id="rId75" display="https://media.ford.com/content/fordmedia/fna/us/en/news/2020/06/24/ford-expands-climate-change-goals.html" xr:uid="{4D245222-2DB0-4063-BAF6-D69E7E0B6199}"/>
    <hyperlink ref="O209" r:id="rId76" display="https://www.ge.com/news/reports/ge-commits-to-carbon-neutral-2030-goal" xr:uid="{8FAD8606-62BE-445B-B20B-39A13929E310}"/>
    <hyperlink ref="O210" r:id="rId77" display="https://media.gm.com/media/us/en/gm/home.detail.html/content/Pages/news/us/en/2021/jan/0128-carbon.html" xr:uid="{A2C3D890-D217-403D-B4DF-6BFDA051BC6E}"/>
    <hyperlink ref="O215" r:id="rId78" display="https://www.goldmansachs.com/our-commitments/sustainability/sustainable-finance/documents/reports/2020-sustainability-report.pdf?source=website" xr:uid="{05C2C063-5C03-4283-9389-D2F3A259B247}"/>
    <hyperlink ref="O226" r:id="rId79" display="https://www.reuters.com/article/us-china-steel-hbis-emissions/chinese-steelmaker-hbis-aims-to-reach-carbon-emissions-peak-in-2022-idUSKBN2B4200" xr:uid="{C5A490D4-4C36-460B-A86D-301D77DF6C15}"/>
    <hyperlink ref="O231" r:id="rId80" display="https://www.hitachi.com/sustainability/download/pdf/en_sustainability2020_17.pdf" xr:uid="{9E7E98EF-3465-42F5-BA5C-C8D3FA3431BA}"/>
    <hyperlink ref="O235" r:id="rId81" display="https://global.honda/newsroom/news/2021/c210423eng.html" xr:uid="{839A719B-6A47-4F76-AFB6-7E812B6785E9}"/>
    <hyperlink ref="O236" r:id="rId82" display="https://www.honeywell.com/us/en/press/2021/04/honeywell-commits-to-carbon-neutrality-in-its-operations-and-facilities-by-2035" xr:uid="{82B2DCAD-DBC1-4371-A517-035EDA95DF14}"/>
    <hyperlink ref="O237" r:id="rId83" display="https://press.hp.com/us/en/press-releases/2021/hp-inc-announces-ambitious-climate-action-goals.html" xr:uid="{26C08219-8FCC-4D53-A61E-343C04C041C3}"/>
    <hyperlink ref="O243" r:id="rId84" display="https://www.hyundai.com/worldwide/en/company/newsroom/hyundai-motor-presents-carbon-neutral-commitment-at-iaa-mobility-2021-0000016716" xr:uid="{AE74F3BC-E323-4979-8B74-2BD906E16E38}"/>
    <hyperlink ref="O244" r:id="rId85" display="https://www.iberdrola.com/sustainability/against-climate-change/climate-action" xr:uid="{2B7032FD-B456-4259-A503-6A3D9ADF8EC7}"/>
    <hyperlink ref="O245" r:id="rId86" display="https://www.idemitsu.com/en/company/policy/2030_Revision.pdf" xr:uid="{6F187451-7CB6-4A3E-AD76-A26DB1505E59}"/>
    <hyperlink ref="O249" r:id="rId87" display="https://www.ing.com/Newsroom/News/Press-releases/PROld/ING-to-become-carbon-neutral-in-2007.htm" xr:uid="{E18AB987-489E-4456-BE01-2F2E389BCD8B}"/>
    <hyperlink ref="O251" r:id="rId88" display="http://csrreportbuilder.intel.com/pdfbuilder/pdfs/CSR-2020-21-Full-Report.pdf" xr:uid="{38676EBB-6D8F-4C10-B2A4-72527C778D76}"/>
    <hyperlink ref="O262" r:id="rId89" display="https://www.jfe-holdings.co.jp/en/csr/environment/climate/" xr:uid="{62293110-86B3-41F4-B2D1-DE1DC67D03BF}"/>
    <hyperlink ref="O268" r:id="rId90" display="https://www.jnj.com/environmental-sustainability/climate-and-energy-action" xr:uid="{C5451B8A-9298-4703-8DCF-20E84D891AD5}"/>
    <hyperlink ref="O269" r:id="rId91" display="https://www.jpmorganchase.com/ir/news/2020/adopts-paris-aligned-financing-commitment" xr:uid="{BDB22E1A-2EE5-4068-862C-8A79A0D116E7}"/>
    <hyperlink ref="O274" r:id="rId92" display="https://www.koc.com.tr/media-center/latest-news/2021/koc-holding-low-carbon-transition-tcfd" xr:uid="{13A324A5-EE6D-4935-9BAF-CC4BD6424646}"/>
    <hyperlink ref="O288" r:id="rId93" display="https://www.loreal-finance.com/en/annual-report-2019/responsibility-1-4-0/how-do-we-achieve-carbon-neutrality-1-4-3/" xr:uid="{7DEC9A97-B575-480F-8BE2-F0280A39929F}"/>
    <hyperlink ref="O282" r:id="rId94" display="https://www.lg.com/us/solar/solar/files/news/5.20.19_LG_Carbon_Neutral_2030_Release_FINAL.pdf" xr:uid="{6443065F-C099-4D31-8965-265448B0AEDA}"/>
    <hyperlink ref="O293" r:id="rId95" display="https://www.maersk.com/news/articles/2019/06/26/towards-a-zero-carbon-future" xr:uid="{D743EE4D-7AD1-4500-BB78-C3B62E49CE79}"/>
    <hyperlink ref="O294" r:id="rId96" display="https://www.magna.com/docs/default-source/2021-press-releases/magna_sustainability_release_04222021-final.pdf?sfvrsn=21b1e639_2" xr:uid="{68F0B479-97C3-495A-8019-82EA50477B93}"/>
    <hyperlink ref="O302" r:id="rId97" display="https://newsroom.medtronic.com/news-releases/news-release-details/medtronic-2020-integrated-performance-report-shares-goal-carbon" xr:uid="{38320504-8E88-4F44-B78B-5218D11A29F3}"/>
    <hyperlink ref="O304" r:id="rId98" display="https://www.merck.com/news/merck-accelerates-climate-goals-announces-carbon-neutrality-in-operations-by-2025/" xr:uid="{8D7D2FE2-1442-43FE-AE52-FFEA478FA4C9}"/>
    <hyperlink ref="O306" r:id="rId99" display="https://www.metroag.de/en/news/2021/07/05/metro-aims-to-be-climate-neutral-by-2040" xr:uid="{CFA97CD3-3955-47B1-B3A4-72AD24DA3A11}"/>
    <hyperlink ref="O307" r:id="rId100" display="https://blogs.microsoft.com/blog/2012/05/08/making-carbon-neutrality-everyones-responsibility-at-microsoft/" xr:uid="{892906E1-E575-4701-8AB1-1B9D6A173863}"/>
    <hyperlink ref="O296" r:id="rId101" display="https://noticias.mapfre.com/en/mapfre-supporting-climate-change-conference-madrid/" xr:uid="{D6E1BCC8-BCC0-4098-8CBF-E0C058CF36C9}"/>
    <hyperlink ref="O305" r:id="rId102" display="https://www.metlife.com/about-us/newsroom/2015/november/metlife-is-first-u-s--insurer-to-adopt-carbon-neutrality/" xr:uid="{C4376673-E10B-4163-993F-688095779DF1}"/>
    <hyperlink ref="O314" r:id="rId103" display="https://www.mufg.jp/dam/pressrelease/2021/pdf/news-20210517-003_en.pdf" xr:uid="{EF9C4F9C-9932-4F1D-97B7-977AAA57895A}"/>
    <hyperlink ref="O315" r:id="rId104" display="https://www.mitsui.com/jp/en/sustainability/sustainabilityreport/2020/pdf/en_sustainability_2020.pdf" xr:uid="{9A265BA3-D69E-4A1F-957A-FE6E3C416D4E}"/>
    <hyperlink ref="O318" r:id="rId105" display="https://www.morganstanley.com/pub/content/dam/msdotcom/sustainability/Morgan-Stanley_2020-Sustainability-Report_Final.pdf" xr:uid="{A84990B8-4363-4B2E-A070-196DCE24825C}"/>
    <hyperlink ref="O322" r:id="rId106" display="https://www.nec.com/en/press/202106/global_20210611_01.html" xr:uid="{2C5214D0-DA58-4A74-A190-B0DB6616851F}"/>
    <hyperlink ref="O316" r:id="rId107" display="https://www.mizuhogroup.com/news/2021/05/strengthening-our-sustainability-action.html" xr:uid="{31926B05-1FC6-4E51-A2A8-E784EADF919F}"/>
    <hyperlink ref="O320" r:id="rId108" display="https://www.munichre.com/en/company/corporate-responsibility/environment.html" xr:uid="{A281241C-C744-4EF3-87A6-C3D3C314833A}"/>
    <hyperlink ref="O330" r:id="rId109" display="https://www.nipponsteel.com/en/ir/library/pdf/20210330_ZC.pdf" xr:uid="{D76351FF-FCD9-45D7-98A4-992E90B5E697}"/>
    <hyperlink ref="O332" r:id="rId110" display="https://www.nipponsteel.com/en/ir/library/pdf/20210330_ZC.pdf" xr:uid="{6880D171-715A-4B7B-8780-CA136270F449}"/>
    <hyperlink ref="O329" r:id="rId111" display="https://www.bloomberg.com/news/articles/2021-01-30/nippon-life-to-make-portfolio-carbon-neutral-kyodo-says" xr:uid="{3582A96D-466D-4A96-AFE6-5B74EAD41A90}"/>
    <hyperlink ref="O336" r:id="rId112" display="https://www.novartis.com/our-company/corporate-responsibility/environmental-sustainability/climate" xr:uid="{C21290D8-AE3D-4160-9A7C-A71A8414914D}"/>
    <hyperlink ref="O337" r:id="rId113" display="https://www.ongcindia.com/wps/wcm/connect/cebab774-f108-4e87-95ae-97e4b537ddea/ongc_cnbrr.pdf?MOD=AJPERES&amp;CVID=l1xUf.s" xr:uid="{F934F9FE-56A7-4BF3-B88A-07002F1C8EC7}"/>
    <hyperlink ref="O351" r:id="rId114" display="https://www.linkedin.com/pulse/pfizers-renewed-commitments-climate-action-sustainable-caroline-roan" xr:uid="{B43CEA6C-A395-4145-85E5-70B7217C69C9}"/>
    <hyperlink ref="O352" r:id="rId115" display="https://www.pmi.com/sustainability/climate-change" xr:uid="{5CD0E37F-99FA-46BC-B329-D5C54AB9511E}"/>
    <hyperlink ref="O354" r:id="rId116" display="https://www.thephoenixgroup.com/newsroom/news/phoenixs-net-zero-commitment-customers-clients-and-advisers" xr:uid="{3FA37FB2-9868-4865-B345-5CF299F5FFFC}"/>
    <hyperlink ref="O361" r:id="rId117" display="https://fortune.com/2020/07/16/emissions-climate-neutral-procter-and-gambler/" xr:uid="{3E1D5C38-F422-441C-9AA6-FA9BD4E8A3E0}"/>
    <hyperlink ref="O357" r:id="rId118" location="page=1" display="https://www.posco.co.kr/homepage/docs/eng6/jsp/dn/irinfo/2020_POSCO_CLIMATE_ACTION_REPORT.pdf#page=1" xr:uid="{59F1384D-E47C-4425-BCF5-4CF92A5EE97A}"/>
    <hyperlink ref="O364" r:id="rId119" display="https://www.prudentialplc.com/en/news-and-insights/all-news/news-releases/2021/07-05-2021" xr:uid="{DF573A7C-074D-462E-952A-14E4E8410169}"/>
    <hyperlink ref="O371" r:id="rId120" display="https://renaultgroup.publispeak.com/climate-report-2021/article/2/" xr:uid="{97C3F5EE-C596-42F6-8BC4-656AA673983E}"/>
    <hyperlink ref="O378" r:id="rId121" display="https://www.rbc.com/community-social-impact/environment/environmental-footprint.html" xr:uid="{7A69F201-8680-4DEF-809D-5BA0E102B850}"/>
    <hyperlink ref="O385" r:id="rId122" display="https://www.sanofi.com/-/media/Project/One-Sanofi-Web/Websites/Global/Sanofi-COM/Home/common/docs/our-responsibility/SANOFI_Infog_EN_170321.pdf?la=en&amp;hash=1D54A0EF40114978EDC4075F1426FFEE" xr:uid="{2BA84994-E7AA-41FD-9806-A5B89764C745}"/>
    <hyperlink ref="O386" r:id="rId123" display="https://news.sap.com/2021/03/sap-carbon-neutrality-goal-2023/" xr:uid="{4B3875F6-9EC9-4439-850E-54CE9495D75A}"/>
    <hyperlink ref="O381" r:id="rId124" display="https://www.saint-gobain.com/sites/saint-gobain.com/files/20201112_roadmap_net_zero_carbon_va.pdf" xr:uid="{D457208E-870B-4A80-AE60-0B462E2E3112}"/>
    <hyperlink ref="O388" r:id="rId125" display="https://www.sberbank.ru/en/press_center/all/article?newsID=3ca05ffe-b2b9-4487-8935-9028db123901&amp;blockID=1539&amp;regionID=77&amp;lang=en&amp;type=NEWS" xr:uid="{6CB100B2-8420-41F3-9452-D1A7C9132C14}"/>
    <hyperlink ref="O389" r:id="rId126" display="https://www.se.com/ww/en/about-us/newsroom/news/press-releases/schneider-electric-gears-up-for-climate-week-nyc-by-launching-an-inspiring-new-program-for-un-sdgs-and-reinforcing-accelerating-its-commitments-for-a-carbon-neutral-world-sdg13-5f64b6c639d17f46594937ae" xr:uid="{DE407B01-2E11-4508-947E-49BA07F324DF}"/>
    <hyperlink ref="O404" r:id="rId127" display="https://press.siemens-energy.com/global/en/pressrelease/science-based-targets-initiative-sbti-confirms-siemens-energys-co2-reduction-targets" xr:uid="{29786709-481A-44BD-9EC7-FEAC7648EBCE}"/>
    <hyperlink ref="O411" r:id="rId128" display="https://medias.sncf.com/sncfcom/ese/CSR_REPORT_SNCF_2019.pdf" xr:uid="{C3DA5A76-3B5F-4989-902A-F392107E5D6D}"/>
    <hyperlink ref="O412" r:id="rId129" display="https://www.societegenerale.com/en/news/press-release/societe-generale-joins-net-zero-banking-alliance" xr:uid="{675D6D2A-FEA8-4F62-9594-D70616A271B8}"/>
    <hyperlink ref="O426" r:id="rId130" display="https://www.sunlife.com/en/newsroom/news-releases/announcement/sun-life-announces-new-sustainable-investing-and-climate-change-commitments/123516/" xr:uid="{502A7D17-9F23-4199-9A8B-9A475204BBEE}"/>
    <hyperlink ref="O430" r:id="rId131" display="https://www.swissre.com/dam/jcr:1bf2200b-460e-4dfe-b45e-c0a2e098e929/pr_20031030_en.pdf" xr:uid="{995ABD08-01E0-4CBB-BBA5-57CF90A9C317}"/>
    <hyperlink ref="O407" r:id="rId132" display="https://www.reuters.com/article/us-sinopec-carbon/sinopec-aims-for-carbon-neutrality-by-2050-plans-pivot-to-hydrogen-idUSKBN2BL079" xr:uid="{2776B195-3DBB-4D68-8D95-181BD65E8F8C}"/>
    <hyperlink ref="O416" r:id="rId133" display="https://economictimes.indiatimes.com/industry/banking/finance/banking/sbi-announces-steps-to-go-carbon-neutral-by-2030/articleshow/65855255.cms?from=mdr" xr:uid="{51D224D3-F2A5-4762-A37A-E05997AF0663}"/>
    <hyperlink ref="O418" r:id="rId134" xr:uid="{674D789D-57D4-47F2-92DF-3453C06B8538}"/>
    <hyperlink ref="O444" r:id="rId135" display="https://www.thyssenkrupp.com/en/newsroom/press-releases/thyssenkrupp-sets-clear-targets--group-aims-to-be-climate-neutral-by-2050------30-percent-emissions-reduction-planned-for-2030-12803.html" xr:uid="{71708E4C-3AB9-43FB-9B55-B469AEFC96DD}"/>
    <hyperlink ref="O450" r:id="rId136" display="https://www.newswire.ca/news-releases/tds-global-business-operations-are-now-carbon-neutral-539358601.html" xr:uid="{9CFACAFB-8ECC-4D84-9D38-D20AE0A7D5ED}"/>
    <hyperlink ref="O454" r:id="rId137" display="https://www.toyota-tsusho.com/english/press/detail/210708_004862.html" xr:uid="{C906DABE-1041-423E-B001-75DB1123DA28}"/>
    <hyperlink ref="O456" r:id="rId138" display="https://investor.travelers.com/newsroom/press-releases/news-details/2021/Travelers-Makes-Earth-Day-Pledge-to-Become-Carbon-Neutral-by-2030/default.aspx" xr:uid="{450E1756-CA91-47F0-BDC8-C1E1908FF193}"/>
    <hyperlink ref="O462" r:id="rId139" display="https://www.ubs.com/global/en/investor-relations/financial-information/annual-reporting/ar-archive/_jcr_content/mainpar/toplevelgrid/col1/accordionbox/table_1070826431.1968746683.file/dGFibGVUZXh0PS9jb250ZW50L2RhbS91YnMvZ2xvYmFsL2ludmVzdG9ycy9hbm51YWxfcmVwb3J0aW5nMjAwNy9TdHJhdGVneV9QZXJmb3JtYW5jZV9SZXNwb25zYWJpbGl0eV9lX0ZJTkFMLnBkZg==/Strategy_Performance_Responsability_e_FINAL.pdf" xr:uid="{5E1AAE10-54D9-43FA-8D2D-EA1C06307B92}"/>
    <hyperlink ref="O466" r:id="rId140" display="https://investors.ups.com/_assets/ups/files/pages/ups/db/1149/description/UPS+ESG+Strategy+June+2021.pdf" xr:uid="{0BE399BE-3A2D-4680-BB6B-2F4D018739D7}"/>
    <hyperlink ref="O472" r:id="rId141" display="https://www.verizon.com/about/news/verizon-goes-carbon-neutral-2035" xr:uid="{CDAC2B36-9C7D-4865-99D2-297307E2D12A}"/>
    <hyperlink ref="O476" r:id="rId142" display="https://www.volkswagenag.com/presence/nachhaltigkeit/documents/sustainability-report/2020/Nonfinancial_Report_2020_e.pdf" xr:uid="{E6BEA382-BAFF-4175-AA7F-D3018314C6C4}"/>
    <hyperlink ref="O477" r:id="rId143" display="https://www.media.volvocars.com/global/en-gb/media/pressreleases/259147/volvo-cars-to-radically-reduce-carbon-emissions-as-part-of-new-ambitious-climate-plan" xr:uid="{5F8877E0-9C09-439D-BC8F-EF8E4C353BB9}"/>
    <hyperlink ref="O482" r:id="rId144" display="https://newsroom.wf.com/English/news-releases/news-release-details/2021/Wells-Fargo-Sets-Goal-to-Achieve-Net-Zero-Greenhouse-Gas-Emissions-by-2050/default.aspx" xr:uid="{07B938BE-4066-4FE5-8E7B-BB9A14B5D78E}"/>
    <hyperlink ref="O488" r:id="rId145" display="https://www.x5.ru/en/Pages/Media/News/021220.aspx" xr:uid="{2C5C514E-3A64-487F-BA71-A697ACF88CF0}"/>
    <hyperlink ref="O496" r:id="rId146" display="https://www.zf.com/mobile/en/company/sustainability/sustainability.html" xr:uid="{6A94F569-761B-4A6F-89CC-B8796DB86E23}"/>
    <hyperlink ref="O502" r:id="rId147" display="https://www.zurich.com/en/sustainability/environment/our-climate-commitment/carbon-neutral" xr:uid="{D62E7A7C-F964-41A6-8DB2-8F2B3DAA33F2}"/>
    <hyperlink ref="O255" r:id="rId148" display="https://www.itochu.co.jp/en/csr/environment/climate_change/index.html" xr:uid="{AC231D74-B85A-4FAD-AD2D-6C94EAAEB729}"/>
    <hyperlink ref="T7" r:id="rId149" display="https://newsroom.accenture.com/news/accenture-sets-industry-leading-net-zero-waste-and-water-goals.htm" xr:uid="{09384BD7-978A-450F-BF10-982F1AB0E3FF}"/>
    <hyperlink ref="T11" r:id="rId150" display="https://www.aeon.info/export/sites/default/common/images/en/pressroom/imgsrc/180328R_3.pdf" xr:uid="{950D2B39-956D-4C5D-8D61-5A91D3861AA0}"/>
    <hyperlink ref="T15" r:id="rId151" display="https://www.aisin.com/en/pdf/catalog_company_print2021.pdf" xr:uid="{9843CC0F-CFDE-4312-B780-4A9226A250D4}"/>
    <hyperlink ref="T20" r:id="rId152" display="https://www.allianz.com/en/press/news/commitment/environment/210712_Allianz-joins-newly-formed-Net-Zero-Insurance-Alliance.html" xr:uid="{2613281D-5DAC-41EE-9A7C-41C9D39F1D5B}"/>
    <hyperlink ref="T24" r:id="rId153" display="https://sustainability.aboutamazon.com/" xr:uid="{996D0517-E862-4971-BF55-5E525A0B32ED}"/>
    <hyperlink ref="T36" r:id="rId154" display="https://www.apple.com/uk/newsroom/2020/07/apple-commits-to-be-100-percent-carbon-neutral-for-its-supply-chain-and-products-by-2030/" xr:uid="{4A427C48-25C4-4441-84A2-C97FD7ED6FBA}"/>
    <hyperlink ref="T40" r:id="rId155" display="https://www.generali.com/our-responsibilities/our-commitment-to-the-environment-and-climate/investing-for-the-climate" xr:uid="{2674B1CC-8EEF-4FD3-9C58-796AF2D0D48E}"/>
    <hyperlink ref="T44" r:id="rId156" display="https://www.aviva.com/newsroom/news-releases/2021/03/aviva-becomes-the-first-major-insurer-worldwide-to-target-Net-Zero-carbon-by-2040/" xr:uid="{4E2357E3-86E1-4792-819F-B9F11BD486A4}"/>
    <hyperlink ref="T48" r:id="rId157" display="https://www.reuters.com/article/brazil-bradesco-esg/brazils-bradesco-plans-to-decarbonize-loan-book-by-2050-idUKL2N2OI2NH" xr:uid="{76DB1449-780B-40EA-868B-B1789CA24437}"/>
    <hyperlink ref="T45" r:id="rId158" display="https://www.axa.ch/en/about-axa/our-responsibility/core-business/investing-sustainably/net-zero-emissions.html" xr:uid="{D08B89DE-CEC2-432C-B978-B1C41BD3E8EF}"/>
    <hyperlink ref="T50" r:id="rId159" display="https://www.santander.com/en/press-room/press-releases/2021/02/santander-group-sets-ambition-to-be-net-zero-by-2050-supported-by-first-decarbonization-targets" xr:uid="{B2F69B5B-954E-47F6-9001-0A75E9691904}"/>
    <hyperlink ref="T51" r:id="rId160" display="https://newsroom.bankofamerica.com/content/newsroom/press-releases/2021/02/bank-of-america-announces-actions-to-achieve-net-zero-greenhouse.html?cm_mmc=EBZ-EnterpriseBrand-_-vanity-_-EB01VN00I2_netzero-_-N/A" xr:uid="{3760C429-BD54-479D-81EA-C21898E5DA27}"/>
    <hyperlink ref="T54" r:id="rId161" display="https://about.bmo.com/blog/bmo-declares-climate-ambition/" xr:uid="{0A1499E4-983A-40D0-87D1-E76258893381}"/>
    <hyperlink ref="T56" r:id="rId162" display="https://home.barclays/content/dam/home-barclays/documents/citizenship/ESG/Barclays-PLC-Climate-Change-2020.pdf" xr:uid="{ED44B244-5BE0-43B4-8041-4A468C93EBF1}"/>
    <hyperlink ref="T58" r:id="rId163" display="https://www.bayer.com/en/sustainability/climate-protection" xr:uid="{8635AE66-14E1-4409-9FF2-9E1D4278CE53}"/>
    <hyperlink ref="T64" r:id="rId164" display="https://www.bhp.com/news/media-centre/releases/2020/09/bhp-climate-change-briefing" xr:uid="{CAC0E27D-F076-450E-8370-4C61D8B16FDE}"/>
    <hyperlink ref="T66" r:id="rId165" display="https://group.bnpparibas/en/press-release/bnp-paribas-joins-net-zero-banking-alliance-launched-unep" xr:uid="{2265B34A-6365-4A83-BFB9-516EDE59E5FB}"/>
    <hyperlink ref="T68" r:id="rId166" display="https://www.boeing.com/features/2020/12/boeing-reaches-net-zero-carbon-emissions-from-manufacturing-and-worksites.page" xr:uid="{12FAC451-B082-41FC-8789-F59FFECE3402}"/>
    <hyperlink ref="T71" r:id="rId167" display="https://www.bp.com/en/global/corporate/news-and-insights/press-releases/bernard-looney-announces-new-ambition-for-bp.html" xr:uid="{2B053F0F-7B31-460B-86BF-765309A52639}"/>
    <hyperlink ref="T75" r:id="rId168" display="https://www.brookfield.com/sites/default/files/2021-06/2020_ESG_Report.pdf https://www.brookfield.com/responsibility" xr:uid="{A25814BA-5C4E-4858-A787-3FAEF2F681BA}"/>
    <hyperlink ref="T76" r:id="rId169" display="https://www.bt.com/about/annual-reports/2021summary/assets/documents/bt-annual-report.pdf" xr:uid="{504ED617-9CED-4CCB-9614-4B8FF0BF9DDC}"/>
    <hyperlink ref="T78" r:id="rId170" display="https://global.canon/en/environment/target.html" xr:uid="{B7EA3A14-8774-4598-AE29-5F8DCCE390C3}"/>
    <hyperlink ref="T86" r:id="rId171" display="https://www.centrica.com/media-centre/news/2021/centrica-commits-to-be-net-zero-by-2045/" xr:uid="{A26A5645-DAE3-4CBD-90B7-5A98055D92EE}"/>
    <hyperlink ref="T117" r:id="rId172" display="https://www.rechargenews.com/transition/chinese-oil-giant-to-spend-1-5bn-a-year-on-clean-energy-and-reach-net-zero-by-2050/2-1-940717" xr:uid="{97F17802-33D5-4FD1-9697-0159BC12EA3E}"/>
    <hyperlink ref="T138" r:id="rId173" display="https://www.chuden.co.jp/english/corporate/releases/pressreleases/1206307_5163.html" xr:uid="{5C190668-9208-4549-85C0-5D0850F720F2}"/>
    <hyperlink ref="T142" r:id="rId174" display="https://blog.citigroup.com/2021/03/citis-commitment-to-net-zero-by-2050/" xr:uid="{804CA9DE-820F-4103-B5BC-9A87BA0B4E41}"/>
    <hyperlink ref="T144" r:id="rId175" display="https://www.ckh.com.hk/en/esg/env_emissions_management.php" xr:uid="{0A0DF051-C33B-4418-9298-89B9C9980764}"/>
    <hyperlink ref="T146" r:id="rId176" display="https://www.cocacolaep.com/media/news/2020/net-zero-ceo-comment-damian-gammell/" xr:uid="{A52ABDFF-554C-44E4-A074-D2FDEDFDA89E}"/>
    <hyperlink ref="T148" r:id="rId177" display="https://www.colesgroup.com.au/sustainability/?page=climate-change" xr:uid="{359034B1-106B-474A-BFC5-BA621C0AA7C9}"/>
    <hyperlink ref="T157" r:id="rId178" display="https://pressroom.credit-agricole.com/news/climate-responsible-finance-credit-agricole-group-joins-the-net-zero-carbon-alliance-3c81-94727.html" xr:uid="{EE9C02B5-FC53-446C-ACDB-68BE77DA3BBD}"/>
    <hyperlink ref="T158" r:id="rId179" display="https://www.credit-suisse.com/about-us/en/our-company/corporate-responsibility/environment/climate-protection.html" xr:uid="{DA52351A-EBE0-4B06-9034-FB06E0F74810}"/>
    <hyperlink ref="T164" r:id="rId180" display="https://www.daiwahouse.com/English/sustainable/eco/vision/" xr:uid="{0A165C58-F725-4107-8343-DC4ABAC93711}"/>
    <hyperlink ref="T167" r:id="rId181" display="https://www.delltechnologies.com/en-us/blog/getting-to-net-zero-it-takes-an-entire-company/" xr:uid="{FD11F876-714F-4C99-8CD0-6BB3AD04A5A1}"/>
    <hyperlink ref="T162" r:id="rId182" display="https://www.dai-ichi-life-hd.com/en/investor/share/meeting/pdf/2021invite.pdf" xr:uid="{06E106BC-BFE5-4DCF-BAB8-A94F4417B3F9}"/>
    <hyperlink ref="T170" r:id="rId183" display="https://www.db.com/news/detail/20210421-deutsche-bank-joins-new-net-zero-banking-alliance?language_id=1" xr:uid="{9A974ED7-6271-41C3-B4CC-9FB4AAA734D8}"/>
    <hyperlink ref="T171" r:id="rId184" display="https://www.dhl.com/content/dam/dhl/global/core/documents/pdf/dhl-partnerships-gogreen-2017.pdf" xr:uid="{0D71C330-ED3C-4132-A598-7DD8C2B5FAFB}"/>
    <hyperlink ref="T172" r:id="rId185" display="https://www.telekom.com/en/media/media-information/archive/deutsche-telekom-tightens-its-climate-targets-623582" xr:uid="{9FF49217-01A9-4F48-B778-185F09F8BF6E}"/>
    <hyperlink ref="T183" r:id="rId186" display="https://www.enbridge.com/~/media/Enb/Documents/About%20Us/Net_Zero_by_2050.pdf?la=en" xr:uid="{88F048C2-F793-40CC-9DA6-F82989DD75D1}"/>
    <hyperlink ref="T184" r:id="rId187" display="https://www.enel.com/content/dam/enel-com/documenti/investitori/sostenibilita/2020/net-zero-ambition-2020_en.pdf" xr:uid="{E5FD696A-6EC4-4535-9196-63B74FFCB700}"/>
    <hyperlink ref="T187" r:id="rId188" display="https://www.engieimpact.com/insights/decarbonization-energy-sector" xr:uid="{240D01C0-5E35-4468-957E-305E463F7DFC}"/>
    <hyperlink ref="T188" r:id="rId189" display="https://www.eni.com/assets/documents/eng/just-transition/2020/Eni-for-2020-Carbon-neutrality-by-2050.pdf" xr:uid="{48C01B64-42AF-44DB-A0EC-1C6FCCCCDBB6}"/>
    <hyperlink ref="T190" r:id="rId190" display="https://www.equinor.com/en/news/20201102-emissions.html" xr:uid="{59DFE05D-095F-47F0-830C-41E736048C2E}"/>
    <hyperlink ref="T192" r:id="rId191" display="https://www.exeloncorp.com/newsroom/exelon-utilities-announces-goal-to-achieve-net-zero-emissions-by-2050" xr:uid="{E05957F6-87C2-4C4F-A65A-FE2E6F2D1771}"/>
    <hyperlink ref="T195" r:id="rId192" display="https://engineering.fb.com/2020/09/14/data-center-engineering/net-zero-carbon/" xr:uid="{6DF96232-365D-4BD1-B94F-E044FFE44060}"/>
    <hyperlink ref="T206" r:id="rId193" display="https://www.fujitsu.com/global/about/environment/climate-energy-vision/" xr:uid="{BCF17B3B-95B0-405E-98DE-9DE0E413ED72}"/>
    <hyperlink ref="T209" r:id="rId194" display="https://www.asyousow.org/press-releases/2021/7/15/general-electric-net-zero-by-2050-target" xr:uid="{A3B3A465-FCBA-46A6-8A0B-50C36E84356D}"/>
    <hyperlink ref="T213" r:id="rId195" display="https://www.gsk.com/media/6662/annual-report-2020.pdf" xr:uid="{D6CE0BCC-8E4F-41A1-9865-A09F3FBF3300}"/>
    <hyperlink ref="T214" r:id="rId196" display="https://www.glencore.com/media-and-insights/news/Climate-Report-2020--Pathway-to-Net-Zero" xr:uid="{BD5D85B7-C977-4201-8935-A4D1530091FB}"/>
    <hyperlink ref="T215" r:id="rId197" display="https://www.goldmansachs.com/media-relations/press-releases/2021/announcement-04-mar-2021.html" xr:uid="{29947B84-D581-463A-98D4-68C6275AF6ED}"/>
    <hyperlink ref="T218" r:id="rId198" display="https://www.globenewswire.com/news-release/2021/07/08/2259637/0/en/Bpce-BPCE-2024-an-ambitious-business-development-plan-deeply-aligned-with-the-ongoing-transformation-of-society.html" xr:uid="{CC7E6C73-C187-4ECB-A02D-368B2401CC58}"/>
    <hyperlink ref="T230" r:id="rId199" display="https://assets.ext.hpe.com/is/content/hpedam/documents/a50001000-1999/a50001298/a50001298enw.pdf" xr:uid="{F50C3D99-FB43-4734-9965-1F451FEDC0B5}"/>
    <hyperlink ref="T232" r:id="rId200" display="https://www.holcim.com/sites/holcim/files/atoms/files/210920_sustainability_lafargeholcim-sbti-net-zero-pledge_en.pdf" xr:uid="{C5420F88-36A7-45EE-B975-196DC2B78371}"/>
    <hyperlink ref="T234" r:id="rId201" display="https://www.esgtoday.com/foxconn-pledges-to-reach-net-zero-ghg-emissions-by-2050/" xr:uid="{D222E90E-B05E-41D9-8177-9012CD69CC3D}"/>
    <hyperlink ref="T237" r:id="rId202" display="https://press.hp.com/us/en/press-releases/2021/hp-inc-announces-ambitious-climate-action-goals.html" xr:uid="{1CFF1A5E-EB74-4A39-BB60-B4D7690162D2}"/>
    <hyperlink ref="T238" r:id="rId203" display="https://www.hsbc.com/news-and-media/hsbc-news/our-net-zero-ambition-a-letter-to-customers" xr:uid="{4437651E-C771-454B-82C9-847B45D7CD2E}"/>
    <hyperlink ref="T250" r:id="rId204" display="https://about.ikea.com/en/sustainability/becoming-climate-positive/what-is-climate-positive" xr:uid="{710EA21D-E12A-4816-BB51-24769C6D1C07}"/>
    <hyperlink ref="T252" r:id="rId205" display="https://newsroom.ibm.com/2021-02-16-IBM-Commits-To-Net-Zero-Greenhouse-Gas-Emissions-By-2030" xr:uid="{78B3ACF2-5C12-45D7-9AB1-0EF1C56CF4FB}"/>
    <hyperlink ref="T255" r:id="rId206" display="https://www.itochu.co.jp/en/csr/environment/climate_change/index.html" xr:uid="{5E5E4708-1AFF-45CE-936E-E6BAFB05E5CF}"/>
    <hyperlink ref="T256" r:id="rId207" display="https://www.about.sainsburys.co.uk/sustainability/plan-for-better/our-stories/2020/28-01-20-climate-crisis" xr:uid="{E39D1ACF-40FA-43AA-8636-A52B43CF89EC}"/>
    <hyperlink ref="T260" r:id="rId208" display="https://www.jbs.com.br/netzero/en/" xr:uid="{E1486B6B-FF6A-4A1B-BF06-8D7A792122B2}"/>
    <hyperlink ref="T268" r:id="rId209" display="https://www.jnj.com/environmental-sustainability/climate-and-energy-action" xr:uid="{1AD6058A-41A1-489D-A9D7-EF928CD69CC6}"/>
    <hyperlink ref="T271" r:id="rId210" display="https://m.kbfg.com/Eng/esg/approach/approach01.htm" xr:uid="{12E5D999-894E-4EE0-8FC8-636DB874C458}"/>
    <hyperlink ref="T272" r:id="rId211" display="https://www.kddi.com/extlib/files/english/corporate/csr/csr_report/2020/pdf/report2020_en-interactive.pdf" xr:uid="{CE679648-D9C0-41CA-9FD1-D990267A34CF}"/>
    <hyperlink ref="T279" r:id="rId212" display="https://www.lgim.com/landg-assets/lgim/_document-library/responsible-investing/climate-impact-pledge-brochure-uk-eu-2021.pdf" xr:uid="{90414426-AB00-460B-8F0A-23CA97CC9F57}"/>
    <hyperlink ref="T285" r:id="rId213" display="https://www.lloydsbankinggroup.com/assets/pdfs/who-we-are/responsible-business/downloads/lbg-esg-interactive-210223.pdf" xr:uid="{C3A240AA-0E22-40FA-AFF0-B36CDDECBBFB}"/>
    <hyperlink ref="T288" r:id="rId214" display="https://www.loreal-finance.com/eng/news-events/loreal-recognized-global-compact-lead-united-nations-and-steps-its-climate-action" xr:uid="{8EA289DC-A878-4B7A-B4E4-1AA26FF4DCEA}"/>
    <hyperlink ref="T293" r:id="rId215" display="https://www.maersk.com/news/articles/2019/06/26/towards-a-zero-carbon-future" xr:uid="{6C957A7C-1A1D-410D-BC1F-6124A3046B88}"/>
    <hyperlink ref="T295" r:id="rId216" display="https://www.manulife.com/en/about/sustainability/climate-change.html" xr:uid="{2AEE73A7-D029-4DA0-BF82-3607745BA459}"/>
    <hyperlink ref="T298" r:id="rId217" display="https://www.marubeni.com/en/news/2021/release/00022.html" xr:uid="{5AFB98FD-65AF-4014-AC49-8895F989FD77}"/>
    <hyperlink ref="T303" r:id="rId218" display="https://www.meijiyasuda.co.jp/english/news/pdf/20210705_01.pdf" xr:uid="{67B853DA-576F-46A3-876E-BF5B69C68A64}"/>
    <hyperlink ref="T307" r:id="rId219" display="https://blogs.microsoft.com/blog/2020/01/16/microsoft-will-be-carbon-negative-by-2030/" xr:uid="{2E92C3A1-D100-4238-9171-479A4A8D318C}"/>
    <hyperlink ref="T312" r:id="rId220" display="https://www.mitsubishielectric.com/en/sustainability/environment/ev2050/index.page" xr:uid="{3DF7FA04-B6AF-4460-AC8A-6CA7CBA1087E}"/>
    <hyperlink ref="T314" r:id="rId221" display="https://www.mufg.jp/dam/pressrelease/2021/pdf/news-20210517-003_en.pdf" xr:uid="{0BB19CA3-6424-4564-B2B5-4DB9984B7975}"/>
    <hyperlink ref="T315" r:id="rId222" display="https://www.mitsui.com/jp/en/sustainability/sustainabilityreport/2020/pdf/en_sustainability_2020.pdf " xr:uid="{C3B46241-29C0-4208-8E25-BDE39A68CFC6}"/>
    <hyperlink ref="T318" r:id="rId223" display="https://www.morganstanley.com/ideas/climate-change-net-zero-financed-emissions" xr:uid="{24180AA6-7138-4158-BEDF-612236ADA339}"/>
    <hyperlink ref="T319" r:id="rId224" display="https://www.ms-ad-hd.com/en/news/news_topics/news_topics-20210520_en/main/0/link/20210520_msad_netzero_en.pdf" xr:uid="{E449C9EB-5B3B-45FF-88DE-3EFC9FD4BC18}"/>
    <hyperlink ref="T320" r:id="rId225" display="https://www.munichre.com/content/dam/munichre/contentlounge/website-pieces/documents/CR-Report-2020.pdf/_jcr_content/renditions/original./CR-Report-2020.pdf" xr:uid="{9E29F920-8EDC-44AE-833E-E41B6BD17526}"/>
    <hyperlink ref="T323" r:id="rId226" display="https://www.nestle.com/sites/default/files/2020-12/nestle-net-zero-roadmap-en.pdf" xr:uid="{E2A26028-FC2D-4738-BCED-C6BB2B8A438C}"/>
    <hyperlink ref="T324" r:id="rId227" display="https://about.netflix.com/en/news/net-zero-nature-our-climate-commitment" xr:uid="{0D501E0C-8B35-4E4E-A302-6E20AC7DD1C0}"/>
    <hyperlink ref="T336" r:id="rId228" display="https://www.novartis.com/our-company/corporate-responsibility/environmental-sustainability/climate" xr:uid="{351C2A89-52FB-4098-B0DC-69EA2CA3018D}"/>
    <hyperlink ref="T340" r:id="rId229" display="https://www.orange.com/en/net-zero-carbon-vs-carbon-neutral-whats-difference" xr:uid="{DCC583E4-E491-4CF3-A4E6-67E25528DF7E}"/>
    <hyperlink ref="T342" r:id="rId230" display="https://www.panasonic.com/global/corporate/ir/pdf/annual/2020/pana_ar2020e.pdf" xr:uid="{BEC5E421-B297-4D85-BC24-D0B0998904C3}"/>
    <hyperlink ref="T346" r:id="rId231" display="https://www.pepsico.com/news/press-release/pepsico-doubles-down-on-climate-goal-and-pledges-net-zero-emissions-by-204001142021" xr:uid="{4DE431E6-56F6-423E-A62C-1192A6533B38}"/>
    <hyperlink ref="T350" r:id="rId232" display="https://www.petronas.com/media/press-release/petronas-sets-net-zero-carbon-emissions-target-2050" xr:uid="{A4F33C07-C923-47D3-A4C8-6283349C864B}"/>
    <hyperlink ref="T352" r:id="rId233" display="https://www.pmi.com/sustainability/protecting-the-environment/climate-protection" xr:uid="{18A8C0EC-F70D-4D3A-B5E3-A2A105E1258C}"/>
    <hyperlink ref="T354" r:id="rId234" display="https://www.thephoenixgroup.com/newsroom/news/phoenix-group-set-near-term-carbon-targets-ps250bn-investments-and-call-industry-take" xr:uid="{219F4FA5-40CE-454B-9995-7662582B8642}"/>
    <hyperlink ref="T358" r:id="rId235" display="https://www.posteitaliane.it/en/press-releases/posteitaliane2024-1476534599743.html" xr:uid="{710C58CE-F288-493E-A5C1-E10FA89D67AB}"/>
    <hyperlink ref="T370" r:id="rId236" display="https://www.ril.com/ar2020-21/natural-capital.html" xr:uid="{897F3BA9-A77A-4C37-A5F4-16D6C1360715}"/>
    <hyperlink ref="T373" r:id="rId237" display="https://www.riotinto.com/en/sustainability/climate-change" xr:uid="{F9392DD2-F91E-4364-92FE-49A35FC1242B}"/>
    <hyperlink ref="T372" r:id="rId238" display="https://www.repsol.com/en/press-room/press-releases/2019/repsol-will-be-a-net-zero-emissions-company-by-2050/index.cshtml" xr:uid="{AB5702CD-3C75-451B-BAF2-820936D68A5A}"/>
    <hyperlink ref="T375" r:id="rId239" display="https://www.roche.com/dam/jcr:906a5aef-1035-4cc2-a011-dcf0e5b9f481/en/8-global_position_greenhouse_gases_climate_change.pdf" xr:uid="{15C28B45-D3EE-4CFE-B3C4-9C230E72A852}"/>
    <hyperlink ref="T379" r:id="rId240" display="https://www.shell.com/media/news-and-media-releases/2021/shell-accelerates-drive-for-net-zero-emissions-with-customer-first-strategy.html" xr:uid="{358706CC-293D-449B-9808-2F0565B068E7}"/>
    <hyperlink ref="T390" r:id="rId241" display="https://www.7andi.com/en/sustainability/policy/environment_03.html " xr:uid="{096F15E5-23FB-4F9E-8C26-5D7F5FED6B52}"/>
    <hyperlink ref="T378" r:id="rId242" display="http://www.rbc.com/community-sustainability/_assets-custom/pdf/RBC-Climate-Blueprint.pdf" xr:uid="{F9A42F04-7DFB-4C51-A9E2-F18980A0395F}"/>
    <hyperlink ref="T377" r:id="rId243" display="https://www.aholddelhaize.com/sustainability/our-position-on-societal-and-environmental-topics/climate-change/" xr:uid="{AEFBBC85-28C4-4D9C-85DD-0E03E2CD0932}"/>
    <hyperlink ref="T409" r:id="rId244" display="https://www.kedglobal.com/newsView/ked202106230012" xr:uid="{BAA694BE-50B7-4B02-8C18-7277B5C78CCB}"/>
    <hyperlink ref="T414" r:id="rId245" display="https://www.sompo-hd.com/en/csr/materiality/topic2/" xr:uid="{6261CCD8-FB9F-4AB3-82F3-2D2DA710AF3C}"/>
    <hyperlink ref="T415" r:id="rId246" location="page=122" display="https://www.sony.com/en/SonyInfo/csr/library/reports/SustainabilityReport2021_E.pdf#page=122" xr:uid="{FD51110B-BBD6-43D2-B488-C35C397693B5}"/>
    <hyperlink ref="T424" r:id="rId247" display="https://www.sumitomolife.co.jp/english/newsrelease/pdf/nr20210401.pdf" xr:uid="{BEC03768-5755-432C-8C73-0D015D33A0DB}"/>
    <hyperlink ref="T425" r:id="rId248" display="https://www.smfg.co.jp/news_e/pdf/e20210831_02.pdf" xr:uid="{4C0AE8F3-6C35-4E20-A56E-17A13263448E}"/>
    <hyperlink ref="T430" r:id="rId249" display="https://www.swissre.com/media/news-releases/nr-20200220-swiss-re-takes-further-steps-towards-net-zero-emissions.html" xr:uid="{E5809DE5-D6AC-4D43-946E-C63ABFC9E744}"/>
    <hyperlink ref="T434" r:id="rId250" display="https://esg.tsmc.com/download/csr/2020-csr-report/english/pdf/e-all.pdf" xr:uid="{1851C89A-B08D-46E8-8FC5-9D328E79023A}"/>
    <hyperlink ref="T435" r:id="rId251" display="https://www.takeda.com/corporate-responsibility/environment/commitment-to-carbon-neutrality-at-takeda/" xr:uid="{7CFCA4B0-D045-4F8B-AB0D-C8C391B261B5}"/>
    <hyperlink ref="T437" r:id="rId252" display="https://corporate.target.com/press/releases/2021/06/target-forward" xr:uid="{9039E14A-C37E-46C2-956E-AB3F82829B31}"/>
    <hyperlink ref="T438" r:id="rId253" display="https://www.jaguarlandrover.com/environment" xr:uid="{6BB92A4F-3113-4550-A0F3-42D3D64207A2}"/>
    <hyperlink ref="T439" r:id="rId254" display="https://www.telefonica.com/en/web/press-office/-/telefonica-s-three-steps-towards-net-zero-emissions" xr:uid="{9799897F-130C-4F79-82AE-C16FAA237160}"/>
    <hyperlink ref="T441" r:id="rId255" display="https://www.tescoplc.com/news/2020/from-solar-farms-to-electric-delivery-fleets-tesco-takes-action-to-hit-net-zero-in-uk-by-2035/" xr:uid="{54A8CD83-34D9-4C27-83D8-5CCE28E28503}"/>
    <hyperlink ref="T443" r:id="rId256" display="https://thermofisher.mediaroom.com/2021-07-27-Thermo-Fisher-Scientific-Commits-to-Achieve-Net-Zero-Carbon-Emissions-by-2050" xr:uid="{DDCB78EA-1E6B-4D44-8AD1-4397E5DEE45B}"/>
    <hyperlink ref="T448" r:id="rId257" display="https://www.japantimes.co.jp/news/2020/12/16/business/corporate-business/tepco-emissions-to-net-zero-2050/" xr:uid="{4ADD1E94-FFBE-41CA-987D-44D3A433240C}"/>
    <hyperlink ref="T450" r:id="rId258" display="https://stories.td.com/us/en/article/td-commits-to-ambitious-climate-action-plan-and-targets-net-zero-emissions-by-2050" xr:uid="{A347D7C8-27D1-4642-AE92-11E0F4FB46E7}"/>
    <hyperlink ref="T452" r:id="rId259" display="https://totalenergies.com/media/news/total-adopts-new-climate-ambition-get-net-zero-2050" xr:uid="{7F875952-4AD4-4699-9F8D-68A9A0A6EEF3}"/>
    <hyperlink ref="T459" r:id="rId260" display="https://www.tysonfoods.com/news/news-releases/2021/6/tyson-foods-targets-2050-achieve-net-zero-greenhouse-gas-emissions" xr:uid="{ABEC2005-B695-4EC6-8584-F275BF5CF148}"/>
    <hyperlink ref="T462" r:id="rId261" display="https://www.ubs.com/global/en/ubs-society/our-stories/2021/our-quest-for-zero.html" xr:uid="{15C98720-AC01-48ED-A2EB-422755D921AE}"/>
    <hyperlink ref="T464" r:id="rId262" display="https://www.unilever.com/planet-and-society/climate-action/strategy-and-goals/" xr:uid="{72818F9C-D20C-458B-83AB-5D15CEF1F2FA}"/>
    <hyperlink ref="T475" r:id="rId263" display="https://www.vodafone.com/news/press-release/vodafone-commits-to-net-zero-carbon-emissions-by-2040" xr:uid="{47743C03-ABD7-45D1-8DA5-E3DE95110BEA}"/>
    <hyperlink ref="T477" r:id="rId264" display="https://www.volvoce.com/global/en/news-and-events/press-releases/2021/volvo-ce-commits-to-science-based-targets-with-approved-carbon-reduction-pathway/" xr:uid="{2CBBF519-AA60-4A84-BC43-9E5CBC76266D}"/>
    <hyperlink ref="T479" r:id="rId265" display="https://corporate.walmart.com/newsroom/2020/09/21/walmart-sets-goal-to-become-a-regenerative-company" xr:uid="{4B8CE5D4-8707-4D62-B6F0-ABA00EAB5541}"/>
    <hyperlink ref="T480" r:id="rId266" display="https://thewaltdisneycompany.com/app/uploads/2020/12/disneyenvironmentwhitepaper.pdf" xr:uid="{4F3C1248-86EC-4E6A-95DF-7051A7636600}"/>
    <hyperlink ref="T482" r:id="rId267" display="https://newsroom.wf.com/English/news-releases/news-release-details/2021/Wells-Fargo-Sets-Goal-to-Achieve-Net-Zero-Greenhouse-Gas-Emissions-by-2050/default.aspx" xr:uid="{B64EE0BE-9FA9-44EF-9AA4-F61F78B07A25}"/>
    <hyperlink ref="T486" r:id="rId268" display="https://www.woolworthsgroup.com.au/page/community-and-responsibility/corporate-responsibility-reports/woolworths-group-sustainability-plan-2025/" xr:uid="{E5AE447D-9CE5-4229-9C46-AB869F19E53D}"/>
    <hyperlink ref="T502" r:id="rId269" display="https://www.zurich.com/en/media/news-releases/2021/2021-0331-01" xr:uid="{7DB80011-74A6-4709-833F-AE3EEBE6E2A7}"/>
  </hyperlinks>
  <pageMargins left="0.7" right="0.7" top="0.75" bottom="0.75" header="0.3" footer="0.3"/>
  <pageSetup paperSize="9" orientation="portrait" horizontalDpi="4294967293" verticalDpi="0" r:id="rId270"/>
  <tableParts count="1">
    <tablePart r:id="rId27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8FC44-CDED-4F1F-86A3-A4C5F5642A9E}">
  <dimension ref="A1:DQ502"/>
  <sheetViews>
    <sheetView zoomScale="70" zoomScaleNormal="88" workbookViewId="0">
      <pane xSplit="1" ySplit="1" topLeftCell="B2" activePane="bottomRight" state="frozen"/>
      <selection pane="topRight" activeCell="B1" sqref="B1"/>
      <selection pane="bottomLeft" activeCell="A2" sqref="A2"/>
      <selection pane="bottomRight" activeCell="DE4" sqref="DE4"/>
    </sheetView>
  </sheetViews>
  <sheetFormatPr defaultColWidth="9.1796875" defaultRowHeight="14.5"/>
  <cols>
    <col min="1" max="1" width="16.54296875" style="7" customWidth="1"/>
    <col min="2" max="2" width="5.1796875" style="7" customWidth="1"/>
    <col min="3" max="3" width="8.453125" style="7" customWidth="1"/>
    <col min="4" max="5" width="33.26953125" style="7" customWidth="1"/>
    <col min="6" max="9" width="9.1796875" style="7" customWidth="1"/>
    <col min="10" max="12" width="9.1796875" style="7"/>
    <col min="13" max="13" width="9.1796875" style="21"/>
    <col min="14" max="20" width="9.1796875" style="7"/>
    <col min="21" max="21" width="9.54296875" style="7" customWidth="1"/>
    <col min="22" max="24" width="9.1796875" style="7" customWidth="1"/>
    <col min="25" max="29" width="9.1796875" style="7"/>
    <col min="30" max="30" width="14.1796875" style="7" customWidth="1"/>
    <col min="31" max="45" width="9.1796875" style="7" customWidth="1"/>
    <col min="46" max="46" width="22.81640625" style="7" bestFit="1" customWidth="1"/>
    <col min="47" max="54" width="9.1796875" style="7" customWidth="1"/>
    <col min="55" max="55" width="19" style="7" customWidth="1"/>
    <col min="56" max="85" width="9.1796875" style="7" customWidth="1"/>
    <col min="86" max="16384" width="9.1796875" style="7"/>
  </cols>
  <sheetData>
    <row r="1" spans="1:121" s="61" customFormat="1">
      <c r="A1" s="61" t="s">
        <v>1943</v>
      </c>
      <c r="B1" s="61" t="s">
        <v>1944</v>
      </c>
      <c r="C1" s="64" t="s">
        <v>1926</v>
      </c>
      <c r="D1" s="64" t="s">
        <v>4169</v>
      </c>
      <c r="E1" s="64" t="s">
        <v>4164</v>
      </c>
      <c r="F1" s="61" t="s">
        <v>4168</v>
      </c>
      <c r="G1" s="61" t="s">
        <v>4163</v>
      </c>
      <c r="H1" s="64" t="s">
        <v>4155</v>
      </c>
      <c r="I1" s="64" t="s">
        <v>3034</v>
      </c>
      <c r="J1" s="61" t="s">
        <v>4168</v>
      </c>
      <c r="K1" s="61" t="s">
        <v>4163</v>
      </c>
      <c r="L1" s="61" t="s">
        <v>4167</v>
      </c>
      <c r="M1" s="67" t="s">
        <v>4166</v>
      </c>
      <c r="N1" s="64" t="s">
        <v>1912</v>
      </c>
      <c r="O1" s="64" t="s">
        <v>4165</v>
      </c>
      <c r="P1" s="64" t="s">
        <v>4164</v>
      </c>
      <c r="Q1" s="64" t="s">
        <v>1432</v>
      </c>
      <c r="R1" s="61" t="s">
        <v>4163</v>
      </c>
      <c r="S1" s="66" t="s">
        <v>4155</v>
      </c>
      <c r="T1" s="66" t="s">
        <v>4162</v>
      </c>
      <c r="U1" s="63" t="s">
        <v>4161</v>
      </c>
      <c r="V1" s="63" t="s">
        <v>4160</v>
      </c>
      <c r="W1" s="63" t="s">
        <v>4159</v>
      </c>
      <c r="X1" s="63" t="s">
        <v>4158</v>
      </c>
      <c r="Y1" s="63" t="s">
        <v>4157</v>
      </c>
      <c r="Z1" s="63" t="s">
        <v>1917</v>
      </c>
      <c r="AA1" s="63" t="s">
        <v>4156</v>
      </c>
      <c r="AB1" s="64" t="s">
        <v>4155</v>
      </c>
      <c r="AC1" s="64" t="s">
        <v>4155</v>
      </c>
      <c r="AD1" s="65" t="s">
        <v>1934</v>
      </c>
      <c r="AE1" s="62" t="s">
        <v>1933</v>
      </c>
      <c r="AF1" s="62" t="s">
        <v>1932</v>
      </c>
      <c r="AG1" s="62" t="s">
        <v>1930</v>
      </c>
      <c r="AH1" s="62" t="s">
        <v>1931</v>
      </c>
      <c r="AI1" s="62" t="s">
        <v>1929</v>
      </c>
      <c r="AJ1" s="62" t="s">
        <v>4154</v>
      </c>
      <c r="AK1" s="62" t="s">
        <v>4153</v>
      </c>
      <c r="AL1" s="63" t="s">
        <v>1915</v>
      </c>
      <c r="AM1" s="63" t="s">
        <v>1936</v>
      </c>
      <c r="AN1" s="63" t="s">
        <v>4152</v>
      </c>
      <c r="AO1" s="62" t="s">
        <v>4151</v>
      </c>
      <c r="AP1" s="62" t="s">
        <v>1941</v>
      </c>
      <c r="AQ1" s="62" t="s">
        <v>1940</v>
      </c>
      <c r="AR1" s="62" t="s">
        <v>1939</v>
      </c>
      <c r="AS1" s="62" t="s">
        <v>1938</v>
      </c>
      <c r="AT1" s="62" t="s">
        <v>4150</v>
      </c>
      <c r="AU1" s="62" t="s">
        <v>4149</v>
      </c>
      <c r="AV1" s="62" t="s">
        <v>4148</v>
      </c>
      <c r="AW1" s="62" t="s">
        <v>4147</v>
      </c>
      <c r="AX1" s="62" t="s">
        <v>4146</v>
      </c>
      <c r="AY1" s="62" t="s">
        <v>4145</v>
      </c>
      <c r="AZ1" s="62" t="s">
        <v>1935</v>
      </c>
      <c r="BA1" s="62" t="s">
        <v>1917</v>
      </c>
      <c r="BB1" s="62" t="s">
        <v>4144</v>
      </c>
      <c r="BC1" s="62" t="s">
        <v>4143</v>
      </c>
      <c r="BD1" s="64" t="s">
        <v>4142</v>
      </c>
      <c r="BE1" s="64" t="s">
        <v>4141</v>
      </c>
      <c r="BF1" s="64" t="s">
        <v>4140</v>
      </c>
      <c r="BG1" s="64" t="s">
        <v>4139</v>
      </c>
      <c r="BH1" s="63" t="s">
        <v>4138</v>
      </c>
      <c r="BI1" s="63" t="s">
        <v>4137</v>
      </c>
      <c r="BJ1" s="63" t="s">
        <v>4136</v>
      </c>
      <c r="BK1" s="63" t="s">
        <v>1911</v>
      </c>
      <c r="BL1" s="63" t="s">
        <v>1910</v>
      </c>
      <c r="BM1" s="63" t="s">
        <v>1909</v>
      </c>
      <c r="BN1" s="63" t="s">
        <v>4135</v>
      </c>
      <c r="BO1" s="63" t="s">
        <v>4134</v>
      </c>
      <c r="BP1" s="63" t="s">
        <v>4133</v>
      </c>
      <c r="BQ1" s="63" t="s">
        <v>4132</v>
      </c>
      <c r="BR1" s="63" t="s">
        <v>4131</v>
      </c>
      <c r="BS1" s="63" t="s">
        <v>4130</v>
      </c>
      <c r="BT1" s="63" t="s">
        <v>4129</v>
      </c>
      <c r="BU1" s="63" t="s">
        <v>1907</v>
      </c>
      <c r="BV1" s="63" t="s">
        <v>1906</v>
      </c>
      <c r="BW1" s="63" t="s">
        <v>1905</v>
      </c>
      <c r="BX1" s="62" t="s">
        <v>1904</v>
      </c>
      <c r="BY1" s="62" t="s">
        <v>1903</v>
      </c>
      <c r="BZ1" s="62" t="s">
        <v>1902</v>
      </c>
      <c r="CA1" s="62" t="s">
        <v>1901</v>
      </c>
      <c r="CB1" s="62" t="s">
        <v>1900</v>
      </c>
      <c r="CC1" s="62" t="s">
        <v>1899</v>
      </c>
      <c r="CD1" s="61" t="s">
        <v>4128</v>
      </c>
      <c r="CE1" s="61" t="s">
        <v>4127</v>
      </c>
      <c r="CF1" s="61" t="s">
        <v>4126</v>
      </c>
      <c r="CG1" s="61" t="s">
        <v>4125</v>
      </c>
      <c r="CH1" s="61" t="s">
        <v>4124</v>
      </c>
      <c r="CI1" s="61" t="s">
        <v>4123</v>
      </c>
      <c r="CJ1" s="61" t="s">
        <v>4122</v>
      </c>
      <c r="CK1" s="61" t="s">
        <v>4121</v>
      </c>
      <c r="CL1" s="61" t="s">
        <v>4120</v>
      </c>
      <c r="CM1" s="61" t="s">
        <v>4119</v>
      </c>
      <c r="CN1" s="61" t="s">
        <v>4118</v>
      </c>
      <c r="CO1" s="61" t="s">
        <v>4117</v>
      </c>
      <c r="CP1" s="61" t="s">
        <v>4116</v>
      </c>
      <c r="CQ1" s="61" t="s">
        <v>4115</v>
      </c>
      <c r="CR1" s="61" t="s">
        <v>4114</v>
      </c>
      <c r="CS1" s="61" t="s">
        <v>4113</v>
      </c>
      <c r="CT1" s="61" t="s">
        <v>4112</v>
      </c>
      <c r="CU1" s="61" t="s">
        <v>4111</v>
      </c>
      <c r="CV1" s="61" t="s">
        <v>4110</v>
      </c>
      <c r="CW1" s="61" t="s">
        <v>4109</v>
      </c>
      <c r="CX1" s="61" t="s">
        <v>4108</v>
      </c>
      <c r="CY1" s="61" t="s">
        <v>4107</v>
      </c>
      <c r="DD1"/>
      <c r="DE1" s="216" t="s">
        <v>8311</v>
      </c>
      <c r="DF1" s="217"/>
      <c r="DG1" s="218"/>
      <c r="DH1" s="216" t="s">
        <v>3034</v>
      </c>
      <c r="DI1" s="217"/>
      <c r="DJ1" s="218"/>
      <c r="DK1" s="216" t="s">
        <v>32</v>
      </c>
      <c r="DL1" s="217"/>
      <c r="DM1" s="218"/>
      <c r="DN1" s="216" t="s">
        <v>2072</v>
      </c>
      <c r="DO1" s="217"/>
      <c r="DP1" s="218"/>
      <c r="DQ1" s="200" t="s">
        <v>7213</v>
      </c>
    </row>
    <row r="2" spans="1:121">
      <c r="A2" s="7" t="s">
        <v>574</v>
      </c>
      <c r="B2" s="7">
        <v>389</v>
      </c>
      <c r="C2" s="7" t="s">
        <v>127</v>
      </c>
      <c r="I2" s="24" t="str">
        <f t="shared" ref="I2:I65" si="0">IF(J2="","","Yes")</f>
        <v>Yes</v>
      </c>
      <c r="J2" s="7">
        <v>2050</v>
      </c>
      <c r="K2" s="7">
        <v>2019</v>
      </c>
      <c r="L2" s="7" t="str">
        <f t="shared" ref="L2:L65" si="1">IF(BH2="","",IF(BH2="Targets Set","T","C"))</f>
        <v/>
      </c>
      <c r="M2" s="21" t="str">
        <f t="shared" ref="M2:M65" si="2">IF(BM2="","",AVERAGE(BN2:BP2))</f>
        <v/>
      </c>
      <c r="N2" s="7" t="s">
        <v>1960</v>
      </c>
      <c r="T2" s="7" t="str">
        <f t="shared" ref="T2:T65" si="3">IF(AND(O2="",D2=""),"Nothing","")</f>
        <v>Nothing</v>
      </c>
      <c r="U2" s="7" t="s">
        <v>1963</v>
      </c>
      <c r="AD2" s="24">
        <v>32136</v>
      </c>
      <c r="AE2" s="7">
        <v>-1.9E-2</v>
      </c>
      <c r="AF2" s="7" t="s">
        <v>4106</v>
      </c>
      <c r="AG2" s="7">
        <v>-0.14599999999999999</v>
      </c>
      <c r="AH2" s="7" t="s">
        <v>4105</v>
      </c>
      <c r="AI2" s="7">
        <v>96163</v>
      </c>
      <c r="AJ2" s="7">
        <v>-9</v>
      </c>
      <c r="AK2" s="7">
        <v>26</v>
      </c>
      <c r="AL2" s="7" t="s">
        <v>66</v>
      </c>
      <c r="AN2" s="7" t="s">
        <v>2029</v>
      </c>
      <c r="AT2" s="7" t="s">
        <v>3034</v>
      </c>
      <c r="AU2" s="7" t="str">
        <f t="shared" ref="AU2:AU65" si="4">IF((BC2="Carbon Neutral"),IF((OR(BH2="Committed",BH2="Targets Set")),IF(CH2="yes", "CN, SBT &amp; RE100", "CN &amp; SBT"),IF(CH2="yes", "CN &amp; RE100", "CN")),IF((OR(BH2="Committed",BH2="Targets Set")),IF(CH2="yes", "SBT &amp; RE100", "SBT"),IF(CH2="yes", "RE100", "None")))</f>
        <v>None</v>
      </c>
      <c r="AV2" s="7" t="str">
        <f t="shared" ref="AV2:AV65" si="5">IF(BC2="Carbon Neutral",G2,"")</f>
        <v/>
      </c>
      <c r="AW2" s="7" t="str">
        <f t="shared" ref="AW2:AW65" si="6">IF(N2="","",N2)</f>
        <v/>
      </c>
      <c r="AX2" s="7" t="str">
        <f t="shared" ref="AX2:AX65" si="7">IF(J2="","",IF(J2="2020 - achieved",K2,IF(J2="2020 - not achieved",K2,IF(J2="2020 - achieved pre-July 2019",K2,IF(J2&gt;2030,"",K2)))))</f>
        <v/>
      </c>
      <c r="BB2" s="7" t="str">
        <f t="shared" ref="BB2:BB33" si="8">IF(BH2="","","Yes")</f>
        <v/>
      </c>
      <c r="BC2" s="7" t="str">
        <f t="shared" ref="BC2:BC65" si="9">IF(U2="No","No",IF(AND(OR(U2="No - but future commitment",U2="No - but future commitment and further future commitment across more scopes"),F2&lt;=2030),"Carbon Neutral",IF(OR(U2="No - but future commitment",U2="No - but future commitment and further future commitment across more scopes"),"No - but post-2030 commitment",IF(OR(U2="Yes",U2="Yes and future commitment across more scopes",U2="Yes by virtue of zero net"),"Carbon Neutral","No"))))</f>
        <v>No</v>
      </c>
      <c r="BD2" s="7" t="s">
        <v>1963</v>
      </c>
      <c r="CG2" s="7" t="s">
        <v>2027</v>
      </c>
      <c r="CH2" s="7" t="str">
        <f t="shared" ref="CH2:CH65" si="10">IF(J2="","",IF(J2&lt;=2030,"yes",IF(J2="2020 - achieved","yes",IF(J2="2020 - not achieved","yes",IF(J2="2020 - achieved pre-July 2019","yes",IF(J2&gt;2030,"",IF(J2="No target date","","unknown error")))))))</f>
        <v/>
      </c>
      <c r="CI2" s="7" t="s">
        <v>4104</v>
      </c>
      <c r="CJ2" s="7">
        <v>0.26800000000000002</v>
      </c>
      <c r="CK2" s="7">
        <v>0.17899999999999999</v>
      </c>
      <c r="CL2" s="7">
        <v>7.5999999999999998E-2</v>
      </c>
      <c r="CM2" s="7">
        <v>5.0000000000000001E-3</v>
      </c>
      <c r="CN2" s="7" t="s">
        <v>13</v>
      </c>
      <c r="CO2" s="7" t="s">
        <v>3152</v>
      </c>
      <c r="CP2" s="7" t="s">
        <v>1945</v>
      </c>
      <c r="CW2" s="7" t="s">
        <v>361</v>
      </c>
      <c r="CX2" s="61"/>
      <c r="CY2" s="7" t="s">
        <v>361</v>
      </c>
      <c r="DD2" s="200" t="s">
        <v>1915</v>
      </c>
      <c r="DE2" s="201" t="s">
        <v>8323</v>
      </c>
      <c r="DF2" s="201" t="s">
        <v>8324</v>
      </c>
      <c r="DG2" s="201" t="s">
        <v>8314</v>
      </c>
      <c r="DH2" s="201" t="s">
        <v>8323</v>
      </c>
      <c r="DI2" s="201" t="s">
        <v>8324</v>
      </c>
      <c r="DJ2" s="201" t="s">
        <v>8314</v>
      </c>
      <c r="DK2" s="201" t="s">
        <v>8323</v>
      </c>
      <c r="DL2" s="201" t="s">
        <v>8324</v>
      </c>
      <c r="DM2" s="201" t="s">
        <v>8314</v>
      </c>
      <c r="DN2" s="201" t="s">
        <v>8323</v>
      </c>
      <c r="DO2" s="201" t="s">
        <v>8324</v>
      </c>
      <c r="DP2" s="201" t="s">
        <v>8314</v>
      </c>
      <c r="DQ2" s="201"/>
    </row>
    <row r="3" spans="1:121">
      <c r="A3" s="7" t="s">
        <v>730</v>
      </c>
      <c r="B3" s="7">
        <v>340</v>
      </c>
      <c r="C3" s="7" t="s">
        <v>287</v>
      </c>
      <c r="I3" s="24" t="str">
        <f t="shared" si="0"/>
        <v/>
      </c>
      <c r="L3" s="7" t="str">
        <f t="shared" si="1"/>
        <v>C</v>
      </c>
      <c r="M3" s="21" t="str">
        <f t="shared" si="2"/>
        <v/>
      </c>
      <c r="N3" s="7">
        <v>2018</v>
      </c>
      <c r="T3" s="7" t="str">
        <f t="shared" si="3"/>
        <v>Nothing</v>
      </c>
      <c r="U3" s="7" t="s">
        <v>1963</v>
      </c>
      <c r="AC3" s="26" t="s">
        <v>4103</v>
      </c>
      <c r="AD3" s="24">
        <v>37015</v>
      </c>
      <c r="AE3" s="7">
        <v>-8.9999999999999993E-3</v>
      </c>
      <c r="AF3" s="7" t="s">
        <v>4102</v>
      </c>
      <c r="AG3" s="7">
        <v>-0.33800000000000002</v>
      </c>
      <c r="AH3" s="7" t="s">
        <v>4101</v>
      </c>
      <c r="AI3" s="7">
        <v>144400</v>
      </c>
      <c r="AJ3" s="7">
        <v>-12</v>
      </c>
      <c r="AK3" s="7">
        <v>26</v>
      </c>
      <c r="AL3" s="7" t="s">
        <v>431</v>
      </c>
      <c r="AN3" s="7" t="s">
        <v>1951</v>
      </c>
      <c r="AT3" s="7" t="str">
        <f t="shared" ref="AT3:AT34" si="11">IF(OR(BC3="Carbon Neutral",BC3="No - but post-2030 commitment"),IF((OR(BH3="Committed",BH3="Targets Set")),IF(J3="", "CN &amp; SBT","CN, SBT &amp; RE100"),IF(CH3="","CN","CN &amp; RE100")),IF((OR(BH3="Committed",BH3="Targets Set")),IF(CH3="", "SBT","SBT &amp; RE100"),IF(CH3="","None","RE100")))</f>
        <v>SBT</v>
      </c>
      <c r="AU3" s="7" t="str">
        <f t="shared" si="4"/>
        <v>SBT</v>
      </c>
      <c r="AV3" s="7" t="str">
        <f t="shared" si="5"/>
        <v/>
      </c>
      <c r="AW3" s="7">
        <f t="shared" si="6"/>
        <v>2018</v>
      </c>
      <c r="AX3" s="7" t="str">
        <f t="shared" si="7"/>
        <v/>
      </c>
      <c r="BB3" s="7" t="str">
        <f t="shared" si="8"/>
        <v>Yes</v>
      </c>
      <c r="BC3" s="7" t="str">
        <f t="shared" si="9"/>
        <v>No</v>
      </c>
      <c r="BD3" s="7" t="s">
        <v>1963</v>
      </c>
      <c r="BF3" s="7" t="s">
        <v>4100</v>
      </c>
      <c r="BH3" s="7" t="s">
        <v>165</v>
      </c>
      <c r="BJ3" s="7" t="s">
        <v>731</v>
      </c>
      <c r="CH3" s="7" t="str">
        <f t="shared" si="10"/>
        <v/>
      </c>
      <c r="CW3" s="7" t="s">
        <v>361</v>
      </c>
      <c r="CX3" s="61"/>
      <c r="DD3" s="202" t="s">
        <v>4260</v>
      </c>
      <c r="DE3" s="199"/>
      <c r="DF3" s="199">
        <v>0</v>
      </c>
      <c r="DG3" s="199">
        <v>0</v>
      </c>
      <c r="DH3" s="199">
        <v>0</v>
      </c>
      <c r="DI3" s="199">
        <v>0</v>
      </c>
      <c r="DJ3" s="199">
        <f>COUNTIFS($D$3:$D$502,DD3,$F$3:$F$502,"&gt;2030")</f>
        <v>0</v>
      </c>
      <c r="DK3" s="199">
        <v>0</v>
      </c>
      <c r="DL3" s="199">
        <v>0</v>
      </c>
      <c r="DM3" s="199">
        <v>0</v>
      </c>
      <c r="DN3" s="199">
        <f>COUNTIFS($D$3:$D$502,DD3,$R$3:$R$502,"&lt;=2021")</f>
        <v>0</v>
      </c>
      <c r="DO3" s="199">
        <f>COUNTIFS($D$3:$D$502,DD3,$R$3:$R$502,"&gt;=2022",$R$3:$R$502,"&lt;=2030")</f>
        <v>0</v>
      </c>
      <c r="DP3" s="199">
        <f>COUNTIFS($D$3:$D$502,DD3,$R$3:$R$502,"&gt;2030")</f>
        <v>0</v>
      </c>
      <c r="DQ3" s="199">
        <f>SUM(DE3:DP3)</f>
        <v>0</v>
      </c>
    </row>
    <row r="4" spans="1:121">
      <c r="A4" s="7" t="s">
        <v>443</v>
      </c>
      <c r="B4" s="7">
        <v>393</v>
      </c>
      <c r="I4" s="24" t="str">
        <f t="shared" si="0"/>
        <v/>
      </c>
      <c r="L4" s="7" t="str">
        <f t="shared" si="1"/>
        <v/>
      </c>
      <c r="M4" s="21" t="str">
        <f t="shared" si="2"/>
        <v/>
      </c>
      <c r="N4" s="7" t="s">
        <v>1960</v>
      </c>
      <c r="T4" s="7" t="str">
        <f t="shared" si="3"/>
        <v>Nothing</v>
      </c>
      <c r="U4" s="7" t="s">
        <v>1963</v>
      </c>
      <c r="AC4" s="26" t="s">
        <v>4099</v>
      </c>
      <c r="AD4" s="24">
        <v>31904</v>
      </c>
      <c r="AE4" s="7">
        <v>4.2999999999999997E-2</v>
      </c>
      <c r="AF4" s="7" t="s">
        <v>4098</v>
      </c>
      <c r="AG4" s="7">
        <v>0.55700000000000005</v>
      </c>
      <c r="AH4" s="7" t="s">
        <v>4097</v>
      </c>
      <c r="AI4" s="7">
        <v>107000</v>
      </c>
      <c r="AJ4" s="7">
        <v>15</v>
      </c>
      <c r="AK4" s="7">
        <v>22</v>
      </c>
      <c r="AT4" s="7" t="str">
        <f t="shared" si="11"/>
        <v>None</v>
      </c>
      <c r="AU4" s="7" t="str">
        <f t="shared" si="4"/>
        <v>None</v>
      </c>
      <c r="AV4" s="7" t="str">
        <f t="shared" si="5"/>
        <v/>
      </c>
      <c r="AW4" s="7" t="str">
        <f t="shared" si="6"/>
        <v/>
      </c>
      <c r="AX4" s="7" t="str">
        <f t="shared" si="7"/>
        <v/>
      </c>
      <c r="BB4" s="7" t="str">
        <f t="shared" si="8"/>
        <v/>
      </c>
      <c r="BC4" s="7" t="str">
        <f t="shared" si="9"/>
        <v>No</v>
      </c>
      <c r="BD4" s="7" t="s">
        <v>1963</v>
      </c>
      <c r="BF4" s="7" t="s">
        <v>4096</v>
      </c>
      <c r="CH4" s="7" t="str">
        <f t="shared" si="10"/>
        <v/>
      </c>
      <c r="CW4" s="7" t="s">
        <v>361</v>
      </c>
      <c r="CX4" s="61"/>
      <c r="CY4" s="7" t="s">
        <v>361</v>
      </c>
      <c r="DD4" s="202" t="s">
        <v>4476</v>
      </c>
      <c r="DE4" s="199">
        <v>0</v>
      </c>
      <c r="DF4" s="199">
        <v>7</v>
      </c>
      <c r="DG4" s="199">
        <v>2</v>
      </c>
      <c r="DH4" s="199">
        <v>0</v>
      </c>
      <c r="DI4" s="199">
        <v>2</v>
      </c>
      <c r="DJ4" s="199">
        <f t="shared" ref="DJ4:DJ19" si="12">COUNTIFS($D$3:$D$502,DD4,$F$3:$F$502,"&gt;2030")</f>
        <v>0</v>
      </c>
      <c r="DK4" s="199">
        <v>2</v>
      </c>
      <c r="DL4" s="199">
        <v>4</v>
      </c>
      <c r="DM4" s="199">
        <v>14</v>
      </c>
      <c r="DN4" s="199">
        <f t="shared" ref="DN4:DN19" si="13">COUNTIFS($D$3:$D$502,DD4,$R$3:$R$502,"&lt;=2021")</f>
        <v>0</v>
      </c>
      <c r="DO4" s="199">
        <f t="shared" ref="DO4:DO19" si="14">COUNTIFS($D$3:$D$502,DD4,$R$3:$R$502,"&gt;=2022",$R$3:$R$502,"&lt;=2030")</f>
        <v>0</v>
      </c>
      <c r="DP4" s="199">
        <f t="shared" ref="DP4:DP19" si="15">COUNTIFS($D$3:$D$502,DD4,$R$3:$R$502,"&gt;2030")</f>
        <v>0</v>
      </c>
      <c r="DQ4" s="199">
        <f t="shared" ref="DQ4:DQ19" si="16">SUM(DE4:DP4)</f>
        <v>31</v>
      </c>
    </row>
    <row r="5" spans="1:121">
      <c r="A5" s="7" t="s">
        <v>566</v>
      </c>
      <c r="B5" s="7">
        <v>378</v>
      </c>
      <c r="I5" s="24" t="str">
        <f t="shared" si="0"/>
        <v/>
      </c>
      <c r="L5" s="7" t="str">
        <f t="shared" si="1"/>
        <v/>
      </c>
      <c r="M5" s="21" t="str">
        <f t="shared" si="2"/>
        <v/>
      </c>
      <c r="N5" s="7" t="s">
        <v>1960</v>
      </c>
      <c r="T5" s="7" t="str">
        <f t="shared" si="3"/>
        <v>Nothing</v>
      </c>
      <c r="U5" s="7" t="s">
        <v>1963</v>
      </c>
      <c r="AC5" s="26" t="s">
        <v>4095</v>
      </c>
      <c r="AD5" s="24">
        <v>33266</v>
      </c>
      <c r="AE5" s="7">
        <v>1.6E-2</v>
      </c>
      <c r="AF5" s="7" t="s">
        <v>4094</v>
      </c>
      <c r="AG5" s="7">
        <v>0.38600000000000001</v>
      </c>
      <c r="AH5" s="7" t="s">
        <v>4093</v>
      </c>
      <c r="AI5" s="7">
        <v>30000</v>
      </c>
      <c r="AJ5" s="7">
        <v>3</v>
      </c>
      <c r="AK5" s="7">
        <v>5</v>
      </c>
      <c r="AT5" s="7" t="str">
        <f t="shared" si="11"/>
        <v>None</v>
      </c>
      <c r="AU5" s="7" t="str">
        <f t="shared" si="4"/>
        <v>None</v>
      </c>
      <c r="AV5" s="7" t="str">
        <f t="shared" si="5"/>
        <v/>
      </c>
      <c r="AW5" s="7" t="str">
        <f t="shared" si="6"/>
        <v/>
      </c>
      <c r="AX5" s="7" t="str">
        <f t="shared" si="7"/>
        <v/>
      </c>
      <c r="BB5" s="7" t="str">
        <f t="shared" si="8"/>
        <v/>
      </c>
      <c r="BC5" s="7" t="str">
        <f t="shared" si="9"/>
        <v>No</v>
      </c>
      <c r="BD5" s="7" t="s">
        <v>1963</v>
      </c>
      <c r="BF5" s="7" t="s">
        <v>4092</v>
      </c>
      <c r="CH5" s="7" t="str">
        <f t="shared" si="10"/>
        <v/>
      </c>
      <c r="CX5" s="7" t="s">
        <v>361</v>
      </c>
      <c r="CY5" s="7" t="s">
        <v>361</v>
      </c>
      <c r="DD5" s="202" t="s">
        <v>66</v>
      </c>
      <c r="DE5" s="199">
        <v>0</v>
      </c>
      <c r="DF5" s="199">
        <v>0</v>
      </c>
      <c r="DG5" s="199">
        <v>0</v>
      </c>
      <c r="DH5" s="199">
        <v>0</v>
      </c>
      <c r="DI5" s="199">
        <v>0</v>
      </c>
      <c r="DJ5" s="199">
        <f t="shared" si="12"/>
        <v>0</v>
      </c>
      <c r="DK5" s="199">
        <v>0</v>
      </c>
      <c r="DL5" s="199">
        <v>0</v>
      </c>
      <c r="DM5" s="199">
        <v>3</v>
      </c>
      <c r="DN5" s="199">
        <f t="shared" si="13"/>
        <v>0</v>
      </c>
      <c r="DO5" s="199">
        <f t="shared" si="14"/>
        <v>0</v>
      </c>
      <c r="DP5" s="199">
        <f t="shared" si="15"/>
        <v>0</v>
      </c>
      <c r="DQ5" s="199">
        <f t="shared" si="16"/>
        <v>3</v>
      </c>
    </row>
    <row r="6" spans="1:121">
      <c r="A6" s="7" t="s">
        <v>830</v>
      </c>
      <c r="B6" s="7">
        <v>279</v>
      </c>
      <c r="C6" s="7" t="s">
        <v>400</v>
      </c>
      <c r="H6" s="28"/>
      <c r="I6" s="24" t="str">
        <f t="shared" si="0"/>
        <v>Yes</v>
      </c>
      <c r="J6" s="7">
        <v>2023</v>
      </c>
      <c r="K6" s="7">
        <v>2019</v>
      </c>
      <c r="L6" s="7" t="str">
        <f t="shared" si="1"/>
        <v>T</v>
      </c>
      <c r="M6" s="21">
        <f t="shared" si="2"/>
        <v>2025</v>
      </c>
      <c r="N6" s="7">
        <v>2018</v>
      </c>
      <c r="T6" s="7" t="str">
        <f t="shared" si="3"/>
        <v>Nothing</v>
      </c>
      <c r="U6" s="7" t="s">
        <v>1963</v>
      </c>
      <c r="AC6" s="28" t="s">
        <v>4091</v>
      </c>
      <c r="AD6" s="24">
        <v>43215</v>
      </c>
      <c r="AE6" s="7">
        <v>5.3999999999999999E-2</v>
      </c>
      <c r="AF6" s="7" t="s">
        <v>4090</v>
      </c>
      <c r="AG6" s="7">
        <v>0.17699999999999999</v>
      </c>
      <c r="AH6" s="7" t="s">
        <v>4089</v>
      </c>
      <c r="AI6" s="7">
        <v>492000</v>
      </c>
      <c r="AJ6" s="7">
        <v>19</v>
      </c>
      <c r="AK6" s="7">
        <v>19</v>
      </c>
      <c r="AL6" s="7" t="s">
        <v>833</v>
      </c>
      <c r="AN6" s="7" t="s">
        <v>1951</v>
      </c>
      <c r="AT6" s="7" t="str">
        <f t="shared" si="11"/>
        <v>SBT &amp; RE100</v>
      </c>
      <c r="AU6" s="7" t="str">
        <f t="shared" si="4"/>
        <v>SBT &amp; RE100</v>
      </c>
      <c r="AV6" s="7" t="str">
        <f t="shared" si="5"/>
        <v/>
      </c>
      <c r="AW6" s="7">
        <f t="shared" si="6"/>
        <v>2018</v>
      </c>
      <c r="AX6" s="7">
        <f t="shared" si="7"/>
        <v>2019</v>
      </c>
      <c r="BB6" s="7" t="str">
        <f t="shared" si="8"/>
        <v>Yes</v>
      </c>
      <c r="BC6" s="7" t="str">
        <f t="shared" si="9"/>
        <v>No</v>
      </c>
      <c r="BD6" s="7" t="s">
        <v>1963</v>
      </c>
      <c r="BF6" s="7" t="s">
        <v>4088</v>
      </c>
      <c r="BH6" s="7" t="s">
        <v>22</v>
      </c>
      <c r="BI6" s="7" t="s">
        <v>2156</v>
      </c>
      <c r="BJ6" s="7" t="s">
        <v>832</v>
      </c>
      <c r="BM6" s="7" t="s">
        <v>831</v>
      </c>
      <c r="BN6" s="7">
        <v>2025</v>
      </c>
      <c r="BO6" s="7">
        <v>2025</v>
      </c>
      <c r="BP6" s="7">
        <v>2025</v>
      </c>
      <c r="BQ6" s="22">
        <v>0.65</v>
      </c>
      <c r="CG6" s="7" t="s">
        <v>400</v>
      </c>
      <c r="CH6" s="7" t="str">
        <f t="shared" si="10"/>
        <v>yes</v>
      </c>
      <c r="CI6" s="7" t="s">
        <v>13</v>
      </c>
      <c r="CJ6" s="7">
        <v>0.23</v>
      </c>
      <c r="CK6" s="7" t="s">
        <v>13</v>
      </c>
      <c r="CL6" s="7" t="s">
        <v>13</v>
      </c>
      <c r="CM6" s="7" t="s">
        <v>13</v>
      </c>
      <c r="CN6" s="7" t="s">
        <v>13</v>
      </c>
      <c r="CO6" s="7" t="s">
        <v>4087</v>
      </c>
      <c r="CP6" s="7" t="s">
        <v>2279</v>
      </c>
      <c r="CW6" s="7" t="s">
        <v>361</v>
      </c>
      <c r="CY6" s="7" t="s">
        <v>361</v>
      </c>
      <c r="DD6" s="202" t="s">
        <v>4199</v>
      </c>
      <c r="DE6" s="199">
        <v>0</v>
      </c>
      <c r="DF6" s="199">
        <v>4</v>
      </c>
      <c r="DG6" s="199">
        <v>1</v>
      </c>
      <c r="DH6" s="199">
        <v>0</v>
      </c>
      <c r="DI6" s="199">
        <v>0</v>
      </c>
      <c r="DJ6" s="199">
        <f t="shared" si="12"/>
        <v>0</v>
      </c>
      <c r="DK6" s="199">
        <v>0</v>
      </c>
      <c r="DL6" s="199">
        <v>2</v>
      </c>
      <c r="DM6" s="199">
        <v>5</v>
      </c>
      <c r="DN6" s="199">
        <f t="shared" si="13"/>
        <v>0</v>
      </c>
      <c r="DO6" s="199">
        <f t="shared" si="14"/>
        <v>0</v>
      </c>
      <c r="DP6" s="199">
        <f t="shared" si="15"/>
        <v>0</v>
      </c>
      <c r="DQ6" s="199">
        <f t="shared" si="16"/>
        <v>12</v>
      </c>
    </row>
    <row r="7" spans="1:121">
      <c r="A7" s="36" t="s">
        <v>92</v>
      </c>
      <c r="B7" s="7">
        <v>461</v>
      </c>
      <c r="C7" s="7" t="s">
        <v>96</v>
      </c>
      <c r="D7" s="7" t="s">
        <v>1957</v>
      </c>
      <c r="E7" s="7" t="s">
        <v>1659</v>
      </c>
      <c r="F7" s="7">
        <v>2011</v>
      </c>
      <c r="G7" s="7">
        <v>2011</v>
      </c>
      <c r="H7" s="8" t="s">
        <v>4086</v>
      </c>
      <c r="I7" s="24" t="str">
        <f t="shared" si="0"/>
        <v/>
      </c>
      <c r="L7" s="7" t="str">
        <f t="shared" si="1"/>
        <v/>
      </c>
      <c r="M7" s="21" t="str">
        <f t="shared" si="2"/>
        <v/>
      </c>
      <c r="N7" s="7" t="s">
        <v>1960</v>
      </c>
      <c r="T7" s="7" t="str">
        <f t="shared" si="3"/>
        <v/>
      </c>
      <c r="U7" s="7" t="s">
        <v>361</v>
      </c>
      <c r="V7" s="7" t="s">
        <v>4085</v>
      </c>
      <c r="X7" s="7" t="s">
        <v>4084</v>
      </c>
      <c r="AD7" s="24">
        <v>27593</v>
      </c>
      <c r="AE7" s="7">
        <v>9.6000000000000002E-2</v>
      </c>
      <c r="AF7" s="7" t="s">
        <v>4083</v>
      </c>
      <c r="AG7" s="7">
        <v>0.45</v>
      </c>
      <c r="AH7" s="7" t="s">
        <v>4082</v>
      </c>
      <c r="AI7" s="7">
        <v>13801</v>
      </c>
      <c r="AJ7" s="7">
        <v>33</v>
      </c>
      <c r="AK7" s="7">
        <v>7</v>
      </c>
      <c r="AL7" s="7" t="s">
        <v>93</v>
      </c>
      <c r="AN7" s="7" t="s">
        <v>1951</v>
      </c>
      <c r="AT7" s="7" t="str">
        <f t="shared" si="11"/>
        <v>CN</v>
      </c>
      <c r="AU7" s="7" t="str">
        <f t="shared" si="4"/>
        <v>CN</v>
      </c>
      <c r="AV7" s="7">
        <f t="shared" si="5"/>
        <v>2011</v>
      </c>
      <c r="AW7" s="7" t="str">
        <f t="shared" si="6"/>
        <v/>
      </c>
      <c r="AX7" s="7" t="str">
        <f t="shared" si="7"/>
        <v/>
      </c>
      <c r="BB7" s="7" t="str">
        <f t="shared" si="8"/>
        <v/>
      </c>
      <c r="BC7" s="7" t="str">
        <f t="shared" si="9"/>
        <v>Carbon Neutral</v>
      </c>
      <c r="BD7" s="7" t="s">
        <v>1</v>
      </c>
      <c r="BG7" s="7" t="s">
        <v>4081</v>
      </c>
      <c r="CE7" s="7" t="s">
        <v>1947</v>
      </c>
      <c r="CF7" s="7" t="s">
        <v>2071</v>
      </c>
      <c r="CH7" s="7" t="str">
        <f t="shared" si="10"/>
        <v/>
      </c>
      <c r="DD7" s="202" t="s">
        <v>4197</v>
      </c>
      <c r="DE7" s="199">
        <v>0</v>
      </c>
      <c r="DF7" s="199">
        <v>1</v>
      </c>
      <c r="DG7" s="199">
        <v>0</v>
      </c>
      <c r="DH7" s="199">
        <v>0</v>
      </c>
      <c r="DI7" s="199">
        <v>0</v>
      </c>
      <c r="DJ7" s="199">
        <f t="shared" si="12"/>
        <v>0</v>
      </c>
      <c r="DK7" s="199">
        <v>0</v>
      </c>
      <c r="DL7" s="199">
        <v>0</v>
      </c>
      <c r="DM7" s="199">
        <v>2</v>
      </c>
      <c r="DN7" s="199">
        <f t="shared" si="13"/>
        <v>0</v>
      </c>
      <c r="DO7" s="199">
        <f t="shared" si="14"/>
        <v>0</v>
      </c>
      <c r="DP7" s="199">
        <f t="shared" si="15"/>
        <v>0</v>
      </c>
      <c r="DQ7" s="199">
        <f t="shared" si="16"/>
        <v>3</v>
      </c>
    </row>
    <row r="8" spans="1:121">
      <c r="A8" s="7" t="s">
        <v>927</v>
      </c>
      <c r="B8" s="7">
        <v>274</v>
      </c>
      <c r="I8" s="24" t="str">
        <f t="shared" si="0"/>
        <v/>
      </c>
      <c r="L8" s="7" t="str">
        <f t="shared" si="1"/>
        <v/>
      </c>
      <c r="M8" s="21" t="str">
        <f t="shared" si="2"/>
        <v/>
      </c>
      <c r="N8" s="7" t="s">
        <v>1960</v>
      </c>
      <c r="T8" s="7" t="str">
        <f t="shared" si="3"/>
        <v>Nothing</v>
      </c>
      <c r="U8" s="7" t="s">
        <v>2053</v>
      </c>
      <c r="AC8" s="26" t="s">
        <v>4080</v>
      </c>
      <c r="AD8" s="24">
        <v>43706</v>
      </c>
      <c r="AE8" s="7">
        <v>0.01</v>
      </c>
      <c r="AF8" s="7" t="s">
        <v>4079</v>
      </c>
      <c r="AG8" s="7">
        <v>-3.0000000000000001E-3</v>
      </c>
      <c r="AH8" s="7" t="s">
        <v>4078</v>
      </c>
      <c r="AI8" s="7">
        <v>190431</v>
      </c>
      <c r="AJ8" s="7">
        <v>-2</v>
      </c>
      <c r="AK8" s="7">
        <v>16</v>
      </c>
      <c r="AT8" s="7" t="str">
        <f t="shared" si="11"/>
        <v>None</v>
      </c>
      <c r="AU8" s="7" t="str">
        <f t="shared" si="4"/>
        <v>None</v>
      </c>
      <c r="AV8" s="7" t="str">
        <f t="shared" si="5"/>
        <v/>
      </c>
      <c r="AW8" s="7" t="str">
        <f t="shared" si="6"/>
        <v/>
      </c>
      <c r="AX8" s="7" t="str">
        <f t="shared" si="7"/>
        <v/>
      </c>
      <c r="BB8" s="7" t="str">
        <f t="shared" si="8"/>
        <v/>
      </c>
      <c r="BC8" s="7" t="str">
        <f t="shared" si="9"/>
        <v>No</v>
      </c>
      <c r="BD8" s="7" t="s">
        <v>1963</v>
      </c>
      <c r="BF8" s="7" t="s">
        <v>4077</v>
      </c>
      <c r="CH8" s="7" t="str">
        <f t="shared" si="10"/>
        <v/>
      </c>
      <c r="DD8" s="202" t="s">
        <v>4465</v>
      </c>
      <c r="DE8" s="199">
        <v>0</v>
      </c>
      <c r="DF8" s="199">
        <v>1</v>
      </c>
      <c r="DG8" s="199">
        <v>0</v>
      </c>
      <c r="DH8" s="199">
        <v>12</v>
      </c>
      <c r="DI8" s="199">
        <v>11</v>
      </c>
      <c r="DJ8" s="199">
        <f t="shared" si="12"/>
        <v>0</v>
      </c>
      <c r="DK8" s="199">
        <v>29</v>
      </c>
      <c r="DL8" s="199">
        <v>10</v>
      </c>
      <c r="DM8" s="199">
        <v>8</v>
      </c>
      <c r="DN8" s="199">
        <f t="shared" si="13"/>
        <v>0</v>
      </c>
      <c r="DO8" s="199">
        <f t="shared" si="14"/>
        <v>0</v>
      </c>
      <c r="DP8" s="199">
        <f t="shared" si="15"/>
        <v>0</v>
      </c>
      <c r="DQ8" s="199">
        <f t="shared" si="16"/>
        <v>71</v>
      </c>
    </row>
    <row r="9" spans="1:121">
      <c r="A9" s="7" t="s">
        <v>295</v>
      </c>
      <c r="B9" s="7">
        <v>484</v>
      </c>
      <c r="C9" s="7" t="s">
        <v>287</v>
      </c>
      <c r="D9" s="7" t="s">
        <v>1957</v>
      </c>
      <c r="E9" s="7" t="s">
        <v>4076</v>
      </c>
      <c r="F9" s="7">
        <v>2030</v>
      </c>
      <c r="G9" s="7">
        <v>2019</v>
      </c>
      <c r="H9" s="8" t="s">
        <v>296</v>
      </c>
      <c r="I9" s="24" t="str">
        <f t="shared" si="0"/>
        <v/>
      </c>
      <c r="L9" s="7" t="str">
        <f t="shared" si="1"/>
        <v/>
      </c>
      <c r="M9" s="21" t="str">
        <f t="shared" si="2"/>
        <v/>
      </c>
      <c r="N9" s="7" t="s">
        <v>1960</v>
      </c>
      <c r="T9" s="7" t="str">
        <f t="shared" si="3"/>
        <v/>
      </c>
      <c r="U9" s="7" t="s">
        <v>1969</v>
      </c>
      <c r="AD9" s="24">
        <v>26221</v>
      </c>
      <c r="AE9" s="7">
        <v>-6.9000000000000006E-2</v>
      </c>
      <c r="AF9" s="7" t="s">
        <v>4075</v>
      </c>
      <c r="AG9" s="7">
        <v>0.505</v>
      </c>
      <c r="AH9" s="7" t="s">
        <v>4074</v>
      </c>
      <c r="AI9" s="7">
        <v>35000</v>
      </c>
      <c r="AJ9" s="7">
        <v>-39</v>
      </c>
      <c r="AK9" s="7">
        <v>22</v>
      </c>
      <c r="AL9" s="7" t="s">
        <v>833</v>
      </c>
      <c r="AN9" s="7" t="s">
        <v>1951</v>
      </c>
      <c r="AT9" s="7" t="str">
        <f t="shared" si="11"/>
        <v>CN</v>
      </c>
      <c r="AU9" s="7" t="str">
        <f t="shared" si="4"/>
        <v>CN</v>
      </c>
      <c r="AV9" s="7">
        <f t="shared" si="5"/>
        <v>2019</v>
      </c>
      <c r="AW9" s="7" t="str">
        <f t="shared" si="6"/>
        <v/>
      </c>
      <c r="AX9" s="7" t="str">
        <f t="shared" si="7"/>
        <v/>
      </c>
      <c r="BB9" s="7" t="str">
        <f t="shared" si="8"/>
        <v/>
      </c>
      <c r="BC9" s="7" t="str">
        <f t="shared" si="9"/>
        <v>Carbon Neutral</v>
      </c>
      <c r="BD9" s="7" t="s">
        <v>1</v>
      </c>
      <c r="CD9" s="7" t="s">
        <v>361</v>
      </c>
      <c r="CF9" s="7" t="s">
        <v>2071</v>
      </c>
      <c r="CH9" s="7" t="str">
        <f t="shared" si="10"/>
        <v/>
      </c>
      <c r="DD9" s="202" t="s">
        <v>4455</v>
      </c>
      <c r="DE9" s="199">
        <v>0</v>
      </c>
      <c r="DF9" s="199">
        <v>11</v>
      </c>
      <c r="DG9" s="199">
        <v>0</v>
      </c>
      <c r="DH9" s="199">
        <v>0</v>
      </c>
      <c r="DI9" s="199">
        <v>3</v>
      </c>
      <c r="DJ9" s="199">
        <f t="shared" si="12"/>
        <v>0</v>
      </c>
      <c r="DK9" s="199">
        <v>0</v>
      </c>
      <c r="DL9" s="199">
        <v>2</v>
      </c>
      <c r="DM9" s="199">
        <v>2</v>
      </c>
      <c r="DN9" s="199">
        <f t="shared" si="13"/>
        <v>0</v>
      </c>
      <c r="DO9" s="199">
        <f t="shared" si="14"/>
        <v>0</v>
      </c>
      <c r="DP9" s="199">
        <f t="shared" si="15"/>
        <v>0</v>
      </c>
      <c r="DQ9" s="199">
        <f t="shared" si="16"/>
        <v>18</v>
      </c>
    </row>
    <row r="10" spans="1:121">
      <c r="A10" s="7" t="s">
        <v>143</v>
      </c>
      <c r="B10" s="7">
        <v>480</v>
      </c>
      <c r="C10" s="7" t="s">
        <v>146</v>
      </c>
      <c r="D10" s="7" t="s">
        <v>1957</v>
      </c>
      <c r="E10" s="7" t="s">
        <v>1659</v>
      </c>
      <c r="F10" s="7">
        <v>2050</v>
      </c>
      <c r="G10" s="36">
        <v>2020</v>
      </c>
      <c r="H10" s="8" t="s">
        <v>4073</v>
      </c>
      <c r="I10" s="24" t="str">
        <f t="shared" si="0"/>
        <v/>
      </c>
      <c r="L10" s="7" t="str">
        <f t="shared" si="1"/>
        <v>C</v>
      </c>
      <c r="M10" s="21" t="str">
        <f t="shared" si="2"/>
        <v/>
      </c>
      <c r="N10" s="7">
        <v>2020</v>
      </c>
      <c r="T10" s="7" t="str">
        <f t="shared" si="3"/>
        <v/>
      </c>
      <c r="U10" s="7" t="s">
        <v>1969</v>
      </c>
      <c r="V10" s="7" t="s">
        <v>4072</v>
      </c>
      <c r="AD10" s="24">
        <v>26459</v>
      </c>
      <c r="AE10" s="7">
        <v>2.1000000000000001E-2</v>
      </c>
      <c r="AF10" s="7" t="s">
        <v>4071</v>
      </c>
      <c r="AG10" s="7">
        <v>0.10100000000000001</v>
      </c>
      <c r="AH10" s="7" t="s">
        <v>4070</v>
      </c>
      <c r="AI10" s="7">
        <v>59533</v>
      </c>
      <c r="AJ10" s="7">
        <v>1</v>
      </c>
      <c r="AK10" s="7">
        <v>3</v>
      </c>
      <c r="AL10" s="7" t="s">
        <v>694</v>
      </c>
      <c r="AN10" s="7" t="s">
        <v>1951</v>
      </c>
      <c r="AT10" s="7" t="str">
        <f t="shared" si="11"/>
        <v>CN &amp; SBT</v>
      </c>
      <c r="AU10" s="7" t="str">
        <f t="shared" si="4"/>
        <v>SBT</v>
      </c>
      <c r="AV10" s="7" t="str">
        <f t="shared" si="5"/>
        <v/>
      </c>
      <c r="AW10" s="7">
        <f t="shared" si="6"/>
        <v>2020</v>
      </c>
      <c r="AX10" s="7" t="str">
        <f t="shared" si="7"/>
        <v/>
      </c>
      <c r="BB10" s="7" t="str">
        <f t="shared" si="8"/>
        <v>Yes</v>
      </c>
      <c r="BC10" s="7" t="str">
        <f t="shared" si="9"/>
        <v>No - but post-2030 commitment</v>
      </c>
      <c r="BD10" s="7" t="s">
        <v>1</v>
      </c>
      <c r="BG10" s="7" t="s">
        <v>4069</v>
      </c>
      <c r="BH10" s="7" t="s">
        <v>165</v>
      </c>
      <c r="BJ10" s="7" t="s">
        <v>1992</v>
      </c>
      <c r="CD10" s="7" t="s">
        <v>361</v>
      </c>
      <c r="CH10" s="7" t="str">
        <f t="shared" si="10"/>
        <v/>
      </c>
      <c r="DD10" s="202" t="s">
        <v>4201</v>
      </c>
      <c r="DE10" s="199">
        <v>0</v>
      </c>
      <c r="DF10" s="199">
        <v>9</v>
      </c>
      <c r="DG10" s="199">
        <v>0</v>
      </c>
      <c r="DH10" s="199">
        <v>0</v>
      </c>
      <c r="DI10" s="199">
        <v>6</v>
      </c>
      <c r="DJ10" s="199">
        <f t="shared" si="12"/>
        <v>0</v>
      </c>
      <c r="DK10" s="199">
        <v>1</v>
      </c>
      <c r="DL10" s="199">
        <v>8</v>
      </c>
      <c r="DM10" s="199">
        <v>3</v>
      </c>
      <c r="DN10" s="199">
        <f t="shared" si="13"/>
        <v>0</v>
      </c>
      <c r="DO10" s="199">
        <f t="shared" si="14"/>
        <v>0</v>
      </c>
      <c r="DP10" s="199">
        <f t="shared" si="15"/>
        <v>0</v>
      </c>
      <c r="DQ10" s="199">
        <f t="shared" si="16"/>
        <v>27</v>
      </c>
    </row>
    <row r="11" spans="1:121">
      <c r="A11" s="7" t="s">
        <v>4068</v>
      </c>
      <c r="B11" s="7">
        <v>124</v>
      </c>
      <c r="C11" s="7" t="s">
        <v>96</v>
      </c>
      <c r="D11" s="7" t="s">
        <v>1957</v>
      </c>
      <c r="E11" s="7" t="s">
        <v>1659</v>
      </c>
      <c r="F11" s="7">
        <v>2016</v>
      </c>
      <c r="G11" s="7">
        <v>2016</v>
      </c>
      <c r="H11" s="8" t="s">
        <v>4067</v>
      </c>
      <c r="I11" s="24" t="str">
        <f t="shared" si="0"/>
        <v/>
      </c>
      <c r="L11" s="7" t="str">
        <f t="shared" si="1"/>
        <v/>
      </c>
      <c r="M11" s="21" t="str">
        <f t="shared" si="2"/>
        <v/>
      </c>
      <c r="N11" s="7" t="s">
        <v>1960</v>
      </c>
      <c r="T11" s="7" t="str">
        <f t="shared" si="3"/>
        <v/>
      </c>
      <c r="U11" s="7" t="s">
        <v>361</v>
      </c>
      <c r="V11" s="7" t="s">
        <v>4066</v>
      </c>
      <c r="X11" s="7" t="s">
        <v>4065</v>
      </c>
      <c r="AB11" s="8"/>
      <c r="AD11" s="24">
        <v>75344</v>
      </c>
      <c r="AE11" s="7">
        <v>2.0459999999999998</v>
      </c>
      <c r="AF11" s="7" t="s">
        <v>4064</v>
      </c>
      <c r="AG11" s="7">
        <v>0.65500000000000003</v>
      </c>
      <c r="AH11" s="7" t="s">
        <v>4063</v>
      </c>
      <c r="AI11" s="7">
        <v>23757</v>
      </c>
      <c r="AJ11" s="7" t="s">
        <v>9</v>
      </c>
      <c r="AK11" s="7">
        <v>24</v>
      </c>
      <c r="AL11" s="7" t="s">
        <v>93</v>
      </c>
      <c r="AN11" s="7" t="s">
        <v>1951</v>
      </c>
      <c r="AT11" s="7" t="str">
        <f t="shared" si="11"/>
        <v>CN</v>
      </c>
      <c r="AU11" s="7" t="str">
        <f t="shared" si="4"/>
        <v>CN</v>
      </c>
      <c r="AV11" s="7">
        <f t="shared" si="5"/>
        <v>2016</v>
      </c>
      <c r="AW11" s="7" t="str">
        <f t="shared" si="6"/>
        <v/>
      </c>
      <c r="AX11" s="7" t="str">
        <f t="shared" si="7"/>
        <v/>
      </c>
      <c r="BB11" s="7" t="str">
        <f t="shared" si="8"/>
        <v/>
      </c>
      <c r="BC11" s="7" t="str">
        <f t="shared" si="9"/>
        <v>Carbon Neutral</v>
      </c>
      <c r="BD11" s="7" t="s">
        <v>1</v>
      </c>
      <c r="CD11" s="7" t="s">
        <v>361</v>
      </c>
      <c r="CF11" s="25"/>
      <c r="CH11" s="7" t="str">
        <f t="shared" si="10"/>
        <v/>
      </c>
      <c r="DD11" s="202" t="s">
        <v>4643</v>
      </c>
      <c r="DE11" s="199">
        <v>0</v>
      </c>
      <c r="DF11" s="199">
        <v>4</v>
      </c>
      <c r="DG11" s="199">
        <v>0</v>
      </c>
      <c r="DH11" s="199">
        <v>0</v>
      </c>
      <c r="DI11" s="199">
        <v>3</v>
      </c>
      <c r="DJ11" s="199">
        <f t="shared" si="12"/>
        <v>0</v>
      </c>
      <c r="DK11" s="199">
        <v>0</v>
      </c>
      <c r="DL11" s="199">
        <v>2</v>
      </c>
      <c r="DM11" s="199">
        <v>0</v>
      </c>
      <c r="DN11" s="199">
        <f t="shared" si="13"/>
        <v>0</v>
      </c>
      <c r="DO11" s="199">
        <f t="shared" si="14"/>
        <v>0</v>
      </c>
      <c r="DP11" s="199">
        <f t="shared" si="15"/>
        <v>0</v>
      </c>
      <c r="DQ11" s="199">
        <f t="shared" si="16"/>
        <v>9</v>
      </c>
    </row>
    <row r="12" spans="1:121">
      <c r="A12" s="7" t="s">
        <v>1453</v>
      </c>
      <c r="B12" s="7">
        <v>115</v>
      </c>
      <c r="C12" s="7" t="s">
        <v>207</v>
      </c>
      <c r="D12" s="7" t="s">
        <v>1957</v>
      </c>
      <c r="E12" s="7" t="s">
        <v>4062</v>
      </c>
      <c r="F12" s="7">
        <v>2050</v>
      </c>
      <c r="G12" s="7">
        <v>2018</v>
      </c>
      <c r="H12" s="8" t="s">
        <v>4061</v>
      </c>
      <c r="I12" s="24" t="str">
        <f t="shared" si="0"/>
        <v>Yes</v>
      </c>
      <c r="J12" s="7">
        <v>2030</v>
      </c>
      <c r="K12" s="7">
        <v>2018</v>
      </c>
      <c r="L12" s="7" t="str">
        <f t="shared" si="1"/>
        <v>T</v>
      </c>
      <c r="M12" s="21">
        <f t="shared" si="2"/>
        <v>2027</v>
      </c>
      <c r="N12" s="7">
        <v>2019</v>
      </c>
      <c r="T12" s="7" t="str">
        <f t="shared" si="3"/>
        <v/>
      </c>
      <c r="U12" s="7" t="s">
        <v>1969</v>
      </c>
      <c r="V12" s="7" t="s">
        <v>4060</v>
      </c>
      <c r="AD12" s="24">
        <v>78930</v>
      </c>
      <c r="AE12" s="7">
        <v>2.3E-2</v>
      </c>
      <c r="AF12" s="7" t="s">
        <v>4059</v>
      </c>
      <c r="AG12" s="7">
        <v>0.15</v>
      </c>
      <c r="AH12" s="7" t="s">
        <v>4058</v>
      </c>
      <c r="AI12" s="7">
        <v>290196</v>
      </c>
      <c r="AJ12" s="7">
        <v>3</v>
      </c>
      <c r="AK12" s="7">
        <v>26</v>
      </c>
      <c r="AL12" s="7" t="s">
        <v>942</v>
      </c>
      <c r="AN12" s="7" t="s">
        <v>1994</v>
      </c>
      <c r="AT12" s="7" t="str">
        <f t="shared" si="11"/>
        <v>CN, SBT &amp; RE100</v>
      </c>
      <c r="AU12" s="7" t="str">
        <f t="shared" si="4"/>
        <v>SBT &amp; RE100</v>
      </c>
      <c r="AV12" s="7" t="str">
        <f t="shared" si="5"/>
        <v/>
      </c>
      <c r="AW12" s="7">
        <f t="shared" si="6"/>
        <v>2019</v>
      </c>
      <c r="AX12" s="7">
        <f t="shared" si="7"/>
        <v>2018</v>
      </c>
      <c r="BB12" s="7" t="str">
        <f t="shared" si="8"/>
        <v>Yes</v>
      </c>
      <c r="BC12" s="7" t="str">
        <f t="shared" si="9"/>
        <v>No - but post-2030 commitment</v>
      </c>
      <c r="BD12" s="7" t="s">
        <v>1</v>
      </c>
      <c r="BG12" s="7" t="s">
        <v>2384</v>
      </c>
      <c r="BH12" s="7" t="s">
        <v>22</v>
      </c>
      <c r="BI12" s="7" t="s">
        <v>2040</v>
      </c>
      <c r="BJ12" s="7" t="s">
        <v>1455</v>
      </c>
      <c r="BM12" s="7" t="s">
        <v>1454</v>
      </c>
      <c r="BN12" s="7">
        <v>2030</v>
      </c>
      <c r="BO12" s="7">
        <v>2030</v>
      </c>
      <c r="BP12" s="7">
        <v>2021</v>
      </c>
      <c r="BQ12" s="22">
        <v>0.35</v>
      </c>
      <c r="CD12" s="7" t="s">
        <v>361</v>
      </c>
      <c r="CF12" s="25"/>
      <c r="CG12" s="7" t="s">
        <v>207</v>
      </c>
      <c r="CH12" s="7" t="str">
        <f t="shared" si="10"/>
        <v>yes</v>
      </c>
      <c r="CI12" s="7" t="s">
        <v>13</v>
      </c>
      <c r="CJ12" s="7">
        <v>0.01</v>
      </c>
      <c r="CK12" s="7">
        <v>0</v>
      </c>
      <c r="CL12" s="7" t="s">
        <v>2788</v>
      </c>
      <c r="CM12" s="7" t="s">
        <v>2788</v>
      </c>
      <c r="CN12" s="7" t="s">
        <v>2788</v>
      </c>
      <c r="CO12" s="7" t="s">
        <v>4057</v>
      </c>
      <c r="DD12" s="202" t="s">
        <v>4459</v>
      </c>
      <c r="DE12" s="199">
        <v>0</v>
      </c>
      <c r="DF12" s="199">
        <v>2</v>
      </c>
      <c r="DG12" s="199">
        <v>0</v>
      </c>
      <c r="DH12" s="199">
        <v>0</v>
      </c>
      <c r="DI12" s="199">
        <v>2</v>
      </c>
      <c r="DJ12" s="199">
        <f t="shared" si="12"/>
        <v>0</v>
      </c>
      <c r="DK12" s="199">
        <v>0</v>
      </c>
      <c r="DL12" s="199">
        <v>3</v>
      </c>
      <c r="DM12" s="199">
        <v>0</v>
      </c>
      <c r="DN12" s="199">
        <f t="shared" si="13"/>
        <v>0</v>
      </c>
      <c r="DO12" s="199">
        <f t="shared" si="14"/>
        <v>0</v>
      </c>
      <c r="DP12" s="199">
        <f t="shared" si="15"/>
        <v>0</v>
      </c>
      <c r="DQ12" s="199">
        <f t="shared" si="16"/>
        <v>7</v>
      </c>
    </row>
    <row r="13" spans="1:121">
      <c r="A13" s="7" t="s">
        <v>1763</v>
      </c>
      <c r="B13" s="7">
        <v>35</v>
      </c>
      <c r="C13" s="7" t="s">
        <v>73</v>
      </c>
      <c r="I13" s="24" t="str">
        <f t="shared" si="0"/>
        <v/>
      </c>
      <c r="L13" s="7" t="str">
        <f t="shared" si="1"/>
        <v/>
      </c>
      <c r="M13" s="21" t="str">
        <f t="shared" si="2"/>
        <v/>
      </c>
      <c r="N13" s="7" t="s">
        <v>1960</v>
      </c>
      <c r="T13" s="7" t="str">
        <f t="shared" si="3"/>
        <v>Nothing</v>
      </c>
      <c r="U13" s="7" t="s">
        <v>1</v>
      </c>
      <c r="AC13" s="26" t="s">
        <v>4056</v>
      </c>
      <c r="AD13" s="24">
        <v>147313</v>
      </c>
      <c r="AE13" s="7">
        <v>5.6000000000000001E-2</v>
      </c>
      <c r="AF13" s="7" t="s">
        <v>4055</v>
      </c>
      <c r="AG13" s="7">
        <v>1E-3</v>
      </c>
      <c r="AH13" s="7" t="s">
        <v>4054</v>
      </c>
      <c r="AI13" s="7">
        <v>467631</v>
      </c>
      <c r="AJ13" s="7">
        <v>1</v>
      </c>
      <c r="AK13" s="7">
        <v>21</v>
      </c>
      <c r="AN13" s="7" t="s">
        <v>1994</v>
      </c>
      <c r="AT13" s="7" t="str">
        <f t="shared" si="11"/>
        <v>None</v>
      </c>
      <c r="AU13" s="7" t="str">
        <f t="shared" si="4"/>
        <v>None</v>
      </c>
      <c r="AV13" s="7" t="str">
        <f t="shared" si="5"/>
        <v/>
      </c>
      <c r="AW13" s="7" t="str">
        <f t="shared" si="6"/>
        <v/>
      </c>
      <c r="AX13" s="7" t="str">
        <f t="shared" si="7"/>
        <v/>
      </c>
      <c r="BB13" s="7" t="str">
        <f t="shared" si="8"/>
        <v/>
      </c>
      <c r="BC13" s="7" t="str">
        <f t="shared" si="9"/>
        <v>No</v>
      </c>
      <c r="BD13" s="7" t="s">
        <v>1</v>
      </c>
      <c r="BF13" s="7" t="s">
        <v>4053</v>
      </c>
      <c r="BQ13" s="22"/>
      <c r="CH13" s="7" t="str">
        <f t="shared" si="10"/>
        <v/>
      </c>
      <c r="DD13" s="202" t="s">
        <v>4494</v>
      </c>
      <c r="DE13" s="199">
        <v>0</v>
      </c>
      <c r="DF13" s="199">
        <v>1</v>
      </c>
      <c r="DG13" s="199">
        <v>0</v>
      </c>
      <c r="DH13" s="199">
        <v>0</v>
      </c>
      <c r="DI13" s="199">
        <v>0</v>
      </c>
      <c r="DJ13" s="199">
        <f t="shared" si="12"/>
        <v>0</v>
      </c>
      <c r="DK13" s="199">
        <v>1</v>
      </c>
      <c r="DL13" s="199">
        <v>0</v>
      </c>
      <c r="DM13" s="199">
        <v>9</v>
      </c>
      <c r="DN13" s="199">
        <f t="shared" si="13"/>
        <v>0</v>
      </c>
      <c r="DO13" s="199">
        <f t="shared" si="14"/>
        <v>0</v>
      </c>
      <c r="DP13" s="199">
        <f t="shared" si="15"/>
        <v>0</v>
      </c>
      <c r="DQ13" s="199">
        <f t="shared" si="16"/>
        <v>11</v>
      </c>
    </row>
    <row r="14" spans="1:121">
      <c r="A14" s="7" t="s">
        <v>539</v>
      </c>
      <c r="B14" s="7">
        <v>250</v>
      </c>
      <c r="I14" s="24" t="str">
        <f t="shared" si="0"/>
        <v/>
      </c>
      <c r="L14" s="7" t="str">
        <f t="shared" si="1"/>
        <v/>
      </c>
      <c r="M14" s="21" t="str">
        <f t="shared" si="2"/>
        <v/>
      </c>
      <c r="N14" s="7" t="s">
        <v>1960</v>
      </c>
      <c r="T14" s="7" t="str">
        <f t="shared" si="3"/>
        <v>Nothing</v>
      </c>
      <c r="U14" s="7" t="s">
        <v>1</v>
      </c>
      <c r="AC14" s="8" t="s">
        <v>4052</v>
      </c>
      <c r="AD14" s="24">
        <v>47242</v>
      </c>
      <c r="AE14" s="7">
        <v>0.45900000000000002</v>
      </c>
      <c r="AF14" s="7" t="s">
        <v>4051</v>
      </c>
      <c r="AG14" s="7">
        <v>1.56</v>
      </c>
      <c r="AH14" s="7" t="s">
        <v>4050</v>
      </c>
      <c r="AI14" s="7">
        <v>23000</v>
      </c>
      <c r="AJ14" s="7">
        <v>138</v>
      </c>
      <c r="AK14" s="7">
        <v>6</v>
      </c>
      <c r="AT14" s="7" t="str">
        <f t="shared" si="11"/>
        <v>None</v>
      </c>
      <c r="AU14" s="7" t="str">
        <f t="shared" si="4"/>
        <v>None</v>
      </c>
      <c r="AV14" s="7" t="str">
        <f t="shared" si="5"/>
        <v/>
      </c>
      <c r="AW14" s="7" t="str">
        <f t="shared" si="6"/>
        <v/>
      </c>
      <c r="AX14" s="7" t="str">
        <f t="shared" si="7"/>
        <v/>
      </c>
      <c r="BB14" s="7" t="str">
        <f t="shared" si="8"/>
        <v/>
      </c>
      <c r="BC14" s="7" t="str">
        <f t="shared" si="9"/>
        <v>No</v>
      </c>
      <c r="BD14" s="7" t="s">
        <v>1</v>
      </c>
      <c r="BF14" s="7" t="s">
        <v>4049</v>
      </c>
      <c r="BQ14" s="22"/>
      <c r="CH14" s="7" t="str">
        <f t="shared" si="10"/>
        <v/>
      </c>
      <c r="DD14" s="202" t="s">
        <v>3498</v>
      </c>
      <c r="DE14" s="199">
        <v>0</v>
      </c>
      <c r="DF14" s="199">
        <v>0</v>
      </c>
      <c r="DG14" s="199">
        <v>0</v>
      </c>
      <c r="DH14" s="199">
        <v>0</v>
      </c>
      <c r="DI14" s="199">
        <v>0</v>
      </c>
      <c r="DJ14" s="199">
        <f t="shared" si="12"/>
        <v>0</v>
      </c>
      <c r="DK14" s="199">
        <v>0</v>
      </c>
      <c r="DL14" s="199">
        <v>2</v>
      </c>
      <c r="DM14" s="199">
        <v>4</v>
      </c>
      <c r="DN14" s="199">
        <f t="shared" si="13"/>
        <v>0</v>
      </c>
      <c r="DO14" s="199">
        <f t="shared" si="14"/>
        <v>0</v>
      </c>
      <c r="DP14" s="199">
        <f t="shared" si="15"/>
        <v>0</v>
      </c>
      <c r="DQ14" s="199">
        <f t="shared" si="16"/>
        <v>6</v>
      </c>
    </row>
    <row r="15" spans="1:121">
      <c r="A15" s="7" t="s">
        <v>482</v>
      </c>
      <c r="B15" s="7">
        <v>411</v>
      </c>
      <c r="I15" s="24" t="str">
        <f t="shared" si="0"/>
        <v/>
      </c>
      <c r="L15" s="7" t="str">
        <f t="shared" si="1"/>
        <v/>
      </c>
      <c r="M15" s="21" t="str">
        <f t="shared" si="2"/>
        <v/>
      </c>
      <c r="N15" s="7" t="s">
        <v>1960</v>
      </c>
      <c r="T15" s="7" t="str">
        <f t="shared" si="3"/>
        <v>Nothing</v>
      </c>
      <c r="U15" s="7" t="s">
        <v>1963</v>
      </c>
      <c r="AC15" s="26" t="s">
        <v>4048</v>
      </c>
      <c r="AD15" s="24">
        <v>30432</v>
      </c>
      <c r="AE15" s="7">
        <v>-2.8000000000000001E-2</v>
      </c>
      <c r="AF15" s="7" t="s">
        <v>4047</v>
      </c>
      <c r="AG15" s="7">
        <v>-0.32800000000000001</v>
      </c>
      <c r="AH15" s="7" t="s">
        <v>4046</v>
      </c>
      <c r="AI15" s="7">
        <v>83097</v>
      </c>
      <c r="AJ15" s="7">
        <v>-10</v>
      </c>
      <c r="AK15" s="7">
        <v>24</v>
      </c>
      <c r="AT15" s="7" t="str">
        <f t="shared" si="11"/>
        <v>None</v>
      </c>
      <c r="AU15" s="7" t="str">
        <f t="shared" si="4"/>
        <v>None</v>
      </c>
      <c r="AV15" s="7" t="str">
        <f t="shared" si="5"/>
        <v/>
      </c>
      <c r="AW15" s="7" t="str">
        <f t="shared" si="6"/>
        <v/>
      </c>
      <c r="AX15" s="7" t="str">
        <f t="shared" si="7"/>
        <v/>
      </c>
      <c r="BB15" s="7" t="str">
        <f t="shared" si="8"/>
        <v/>
      </c>
      <c r="BC15" s="7" t="str">
        <f t="shared" si="9"/>
        <v>No</v>
      </c>
      <c r="BD15" s="7" t="s">
        <v>1963</v>
      </c>
      <c r="BF15" s="7" t="s">
        <v>4045</v>
      </c>
      <c r="BQ15" s="22"/>
      <c r="CH15" s="7" t="str">
        <f t="shared" si="10"/>
        <v/>
      </c>
      <c r="DD15" s="202" t="s">
        <v>976</v>
      </c>
      <c r="DE15" s="199">
        <v>0</v>
      </c>
      <c r="DF15" s="199">
        <v>1</v>
      </c>
      <c r="DG15" s="199">
        <v>0</v>
      </c>
      <c r="DH15" s="199">
        <v>0</v>
      </c>
      <c r="DI15" s="199">
        <v>0</v>
      </c>
      <c r="DJ15" s="199">
        <f t="shared" si="12"/>
        <v>0</v>
      </c>
      <c r="DK15" s="199">
        <v>0</v>
      </c>
      <c r="DL15" s="199">
        <v>0</v>
      </c>
      <c r="DM15" s="199">
        <v>1</v>
      </c>
      <c r="DN15" s="199">
        <f t="shared" si="13"/>
        <v>0</v>
      </c>
      <c r="DO15" s="199">
        <f t="shared" si="14"/>
        <v>0</v>
      </c>
      <c r="DP15" s="199">
        <f t="shared" si="15"/>
        <v>0</v>
      </c>
      <c r="DQ15" s="199">
        <f t="shared" si="16"/>
        <v>2</v>
      </c>
    </row>
    <row r="16" spans="1:121">
      <c r="A16" s="7" t="s">
        <v>1431</v>
      </c>
      <c r="B16" s="7">
        <v>116</v>
      </c>
      <c r="H16" s="8" t="s">
        <v>4044</v>
      </c>
      <c r="I16" s="24" t="str">
        <f t="shared" si="0"/>
        <v/>
      </c>
      <c r="L16" s="7" t="str">
        <f t="shared" si="1"/>
        <v/>
      </c>
      <c r="M16" s="21" t="str">
        <f t="shared" si="2"/>
        <v/>
      </c>
      <c r="N16" s="7" t="s">
        <v>1960</v>
      </c>
      <c r="T16" s="7" t="str">
        <f t="shared" si="3"/>
        <v>Nothing</v>
      </c>
      <c r="U16" s="7" t="s">
        <v>1</v>
      </c>
      <c r="V16" s="23"/>
      <c r="AC16" s="8" t="s">
        <v>4044</v>
      </c>
      <c r="AD16" s="24">
        <v>78883</v>
      </c>
      <c r="AE16" s="7">
        <v>4.9000000000000002E-2</v>
      </c>
      <c r="AF16" s="7" t="s">
        <v>4043</v>
      </c>
      <c r="AG16" s="7">
        <v>-1.423</v>
      </c>
      <c r="AH16" s="7" t="s">
        <v>4042</v>
      </c>
      <c r="AI16" s="7">
        <v>134931</v>
      </c>
      <c r="AJ16" s="7">
        <v>7</v>
      </c>
      <c r="AK16" s="7">
        <v>26</v>
      </c>
      <c r="AT16" s="7" t="str">
        <f t="shared" si="11"/>
        <v>None</v>
      </c>
      <c r="AU16" s="7" t="str">
        <f t="shared" si="4"/>
        <v>None</v>
      </c>
      <c r="AV16" s="7" t="str">
        <f t="shared" si="5"/>
        <v/>
      </c>
      <c r="AW16" s="7" t="str">
        <f t="shared" si="6"/>
        <v/>
      </c>
      <c r="AX16" s="7" t="str">
        <f t="shared" si="7"/>
        <v/>
      </c>
      <c r="BB16" s="7" t="str">
        <f t="shared" si="8"/>
        <v/>
      </c>
      <c r="BC16" s="7" t="str">
        <f t="shared" si="9"/>
        <v>No</v>
      </c>
      <c r="BD16" s="7" t="s">
        <v>1</v>
      </c>
      <c r="BF16" s="23" t="s">
        <v>4041</v>
      </c>
      <c r="BQ16" s="22"/>
      <c r="CH16" s="7" t="str">
        <f t="shared" si="10"/>
        <v/>
      </c>
      <c r="DD16" s="202" t="s">
        <v>4467</v>
      </c>
      <c r="DE16" s="199">
        <v>0</v>
      </c>
      <c r="DF16" s="199">
        <v>11</v>
      </c>
      <c r="DG16" s="199">
        <v>0</v>
      </c>
      <c r="DH16" s="199">
        <v>1</v>
      </c>
      <c r="DI16" s="199">
        <v>2</v>
      </c>
      <c r="DJ16" s="199">
        <f t="shared" si="12"/>
        <v>0</v>
      </c>
      <c r="DK16" s="199">
        <v>0</v>
      </c>
      <c r="DL16" s="199">
        <v>1</v>
      </c>
      <c r="DM16" s="199">
        <v>3</v>
      </c>
      <c r="DN16" s="199">
        <f t="shared" si="13"/>
        <v>0</v>
      </c>
      <c r="DO16" s="199">
        <f t="shared" si="14"/>
        <v>0</v>
      </c>
      <c r="DP16" s="199">
        <f t="shared" si="15"/>
        <v>0</v>
      </c>
      <c r="DQ16" s="199">
        <f t="shared" si="16"/>
        <v>18</v>
      </c>
    </row>
    <row r="17" spans="1:121">
      <c r="A17" s="7" t="s">
        <v>698</v>
      </c>
      <c r="B17" s="7">
        <v>359</v>
      </c>
      <c r="C17" s="7" t="s">
        <v>207</v>
      </c>
      <c r="F17" s="7">
        <v>2050</v>
      </c>
      <c r="G17" s="7">
        <v>2019</v>
      </c>
      <c r="H17" s="28" t="s">
        <v>4035</v>
      </c>
      <c r="I17" s="24" t="str">
        <f t="shared" si="0"/>
        <v/>
      </c>
      <c r="L17" s="7" t="str">
        <f t="shared" si="1"/>
        <v/>
      </c>
      <c r="M17" s="21" t="str">
        <f t="shared" si="2"/>
        <v/>
      </c>
      <c r="N17" s="7" t="s">
        <v>1960</v>
      </c>
      <c r="O17" s="7" t="s">
        <v>1971</v>
      </c>
      <c r="P17" s="7" t="s">
        <v>4040</v>
      </c>
      <c r="Q17" s="7">
        <v>2050</v>
      </c>
      <c r="R17" s="7">
        <v>2019</v>
      </c>
      <c r="S17" s="28" t="s">
        <v>4035</v>
      </c>
      <c r="T17" s="7" t="str">
        <f t="shared" si="3"/>
        <v/>
      </c>
      <c r="U17" s="7" t="s">
        <v>4039</v>
      </c>
      <c r="V17" s="7" t="s">
        <v>4038</v>
      </c>
      <c r="X17" s="7" t="s">
        <v>4037</v>
      </c>
      <c r="Z17" s="7" t="s">
        <v>4036</v>
      </c>
      <c r="AA17" s="7" t="s">
        <v>2807</v>
      </c>
      <c r="AB17" s="28" t="s">
        <v>4035</v>
      </c>
      <c r="AD17" s="24">
        <v>34810</v>
      </c>
      <c r="AE17" s="7">
        <v>-4.4999999999999998E-2</v>
      </c>
      <c r="AF17" s="7" t="s">
        <v>4034</v>
      </c>
      <c r="AG17" s="7">
        <v>-0.77700000000000002</v>
      </c>
      <c r="AH17" s="7" t="s">
        <v>4033</v>
      </c>
      <c r="AI17" s="7">
        <v>119535</v>
      </c>
      <c r="AJ17" s="7">
        <v>-20</v>
      </c>
      <c r="AK17" s="7">
        <v>19</v>
      </c>
      <c r="AL17" s="7" t="s">
        <v>166</v>
      </c>
      <c r="AN17" s="7" t="s">
        <v>1994</v>
      </c>
      <c r="AT17" s="7" t="str">
        <f t="shared" si="11"/>
        <v>None</v>
      </c>
      <c r="AU17" s="7" t="str">
        <f t="shared" si="4"/>
        <v>None</v>
      </c>
      <c r="AV17" s="7" t="str">
        <f t="shared" si="5"/>
        <v/>
      </c>
      <c r="AW17" s="7" t="str">
        <f t="shared" si="6"/>
        <v/>
      </c>
      <c r="AX17" s="7" t="str">
        <f t="shared" si="7"/>
        <v/>
      </c>
      <c r="BB17" s="7" t="str">
        <f t="shared" si="8"/>
        <v/>
      </c>
      <c r="BC17" s="7" t="str">
        <f t="shared" si="9"/>
        <v>No</v>
      </c>
      <c r="BD17" s="7" t="s">
        <v>1969</v>
      </c>
      <c r="BG17" s="7" t="s">
        <v>2198</v>
      </c>
      <c r="BQ17" s="22"/>
      <c r="CD17" s="7" t="s">
        <v>361</v>
      </c>
      <c r="CF17" s="25" t="s">
        <v>3959</v>
      </c>
      <c r="CH17" s="7" t="str">
        <f t="shared" si="10"/>
        <v/>
      </c>
      <c r="DD17" s="202" t="s">
        <v>186</v>
      </c>
      <c r="DE17" s="199">
        <v>0</v>
      </c>
      <c r="DF17" s="199">
        <v>17</v>
      </c>
      <c r="DG17" s="199">
        <v>1</v>
      </c>
      <c r="DH17" s="199">
        <v>5</v>
      </c>
      <c r="DI17" s="199">
        <v>3</v>
      </c>
      <c r="DJ17" s="199">
        <f t="shared" si="12"/>
        <v>0</v>
      </c>
      <c r="DK17" s="199">
        <v>3</v>
      </c>
      <c r="DL17" s="199">
        <v>6</v>
      </c>
      <c r="DM17" s="199">
        <v>2</v>
      </c>
      <c r="DN17" s="199">
        <f t="shared" si="13"/>
        <v>0</v>
      </c>
      <c r="DO17" s="199">
        <f t="shared" si="14"/>
        <v>0</v>
      </c>
      <c r="DP17" s="199">
        <f t="shared" si="15"/>
        <v>0</v>
      </c>
      <c r="DQ17" s="199">
        <f t="shared" si="16"/>
        <v>37</v>
      </c>
    </row>
    <row r="18" spans="1:121">
      <c r="A18" s="7" t="s">
        <v>4032</v>
      </c>
      <c r="B18" s="7">
        <v>174</v>
      </c>
      <c r="I18" s="24" t="str">
        <f t="shared" si="0"/>
        <v/>
      </c>
      <c r="L18" s="7" t="str">
        <f t="shared" si="1"/>
        <v/>
      </c>
      <c r="M18" s="21" t="str">
        <f t="shared" si="2"/>
        <v/>
      </c>
      <c r="N18" s="7" t="s">
        <v>1960</v>
      </c>
      <c r="T18" s="7" t="str">
        <f t="shared" si="3"/>
        <v>Nothing</v>
      </c>
      <c r="U18" s="7" t="s">
        <v>1</v>
      </c>
      <c r="AD18" s="24">
        <v>62455</v>
      </c>
      <c r="AE18" s="7">
        <v>3.2000000000000001E-2</v>
      </c>
      <c r="AF18" s="7" t="s">
        <v>2231</v>
      </c>
      <c r="AG18" s="7">
        <v>2.5579999999999998</v>
      </c>
      <c r="AH18" s="7" t="s">
        <v>4031</v>
      </c>
      <c r="AI18" s="7">
        <v>270000</v>
      </c>
      <c r="AJ18" s="7">
        <v>-9</v>
      </c>
      <c r="AK18" s="7">
        <v>16</v>
      </c>
      <c r="AT18" s="7" t="str">
        <f t="shared" si="11"/>
        <v>None</v>
      </c>
      <c r="AU18" s="7" t="str">
        <f t="shared" si="4"/>
        <v>None</v>
      </c>
      <c r="AV18" s="7" t="str">
        <f t="shared" si="5"/>
        <v/>
      </c>
      <c r="AW18" s="7" t="str">
        <f t="shared" si="6"/>
        <v/>
      </c>
      <c r="AX18" s="7" t="str">
        <f t="shared" si="7"/>
        <v/>
      </c>
      <c r="BB18" s="7" t="str">
        <f t="shared" si="8"/>
        <v/>
      </c>
      <c r="BC18" s="7" t="str">
        <f t="shared" si="9"/>
        <v>No</v>
      </c>
      <c r="BD18" s="7" t="s">
        <v>1</v>
      </c>
      <c r="BQ18" s="22"/>
      <c r="CH18" s="7" t="str">
        <f t="shared" si="10"/>
        <v/>
      </c>
      <c r="DD18" s="202" t="s">
        <v>4190</v>
      </c>
      <c r="DE18" s="199">
        <v>0</v>
      </c>
      <c r="DF18" s="199">
        <v>10</v>
      </c>
      <c r="DG18" s="199">
        <v>0</v>
      </c>
      <c r="DH18" s="199">
        <v>2</v>
      </c>
      <c r="DI18" s="199">
        <v>2</v>
      </c>
      <c r="DJ18" s="199">
        <f t="shared" si="12"/>
        <v>0</v>
      </c>
      <c r="DK18" s="199">
        <v>0</v>
      </c>
      <c r="DL18" s="199">
        <v>4</v>
      </c>
      <c r="DM18" s="199">
        <v>5</v>
      </c>
      <c r="DN18" s="199">
        <f t="shared" si="13"/>
        <v>0</v>
      </c>
      <c r="DO18" s="199">
        <f t="shared" si="14"/>
        <v>0</v>
      </c>
      <c r="DP18" s="199">
        <f t="shared" si="15"/>
        <v>0</v>
      </c>
      <c r="DQ18" s="199">
        <f t="shared" si="16"/>
        <v>23</v>
      </c>
    </row>
    <row r="19" spans="1:121">
      <c r="A19" s="7" t="s">
        <v>1221</v>
      </c>
      <c r="B19" s="7">
        <v>132</v>
      </c>
      <c r="I19" s="24" t="str">
        <f t="shared" si="0"/>
        <v/>
      </c>
      <c r="L19" s="7" t="str">
        <f t="shared" si="1"/>
        <v/>
      </c>
      <c r="M19" s="21" t="str">
        <f t="shared" si="2"/>
        <v/>
      </c>
      <c r="N19" s="7" t="s">
        <v>1960</v>
      </c>
      <c r="T19" s="7" t="str">
        <f t="shared" si="3"/>
        <v>Nothing</v>
      </c>
      <c r="U19" s="7" t="s">
        <v>1</v>
      </c>
      <c r="AD19" s="24">
        <v>73166</v>
      </c>
      <c r="AE19" s="7">
        <v>0.30299999999999999</v>
      </c>
      <c r="AF19" s="7" t="s">
        <v>4030</v>
      </c>
      <c r="AG19" s="7">
        <v>0.63800000000000001</v>
      </c>
      <c r="AH19" s="7" t="s">
        <v>4029</v>
      </c>
      <c r="AI19" s="7">
        <v>117600</v>
      </c>
      <c r="AJ19" s="7">
        <v>50</v>
      </c>
      <c r="AK19" s="7">
        <v>4</v>
      </c>
      <c r="AT19" s="7" t="str">
        <f t="shared" si="11"/>
        <v>None</v>
      </c>
      <c r="AU19" s="7" t="str">
        <f t="shared" si="4"/>
        <v>None</v>
      </c>
      <c r="AV19" s="7" t="str">
        <f t="shared" si="5"/>
        <v/>
      </c>
      <c r="AW19" s="7" t="str">
        <f t="shared" si="6"/>
        <v/>
      </c>
      <c r="AX19" s="7" t="str">
        <f t="shared" si="7"/>
        <v/>
      </c>
      <c r="BB19" s="7" t="str">
        <f t="shared" si="8"/>
        <v/>
      </c>
      <c r="BC19" s="7" t="str">
        <f t="shared" si="9"/>
        <v>No</v>
      </c>
      <c r="BD19" s="7" t="s">
        <v>1</v>
      </c>
      <c r="BQ19" s="22"/>
      <c r="CH19" s="7" t="str">
        <f t="shared" si="10"/>
        <v/>
      </c>
      <c r="DD19" s="202" t="s">
        <v>4179</v>
      </c>
      <c r="DE19" s="199">
        <v>0</v>
      </c>
      <c r="DF19" s="199">
        <v>3</v>
      </c>
      <c r="DG19" s="199">
        <v>0</v>
      </c>
      <c r="DH19" s="199">
        <v>1</v>
      </c>
      <c r="DI19" s="199">
        <v>0</v>
      </c>
      <c r="DJ19" s="199">
        <f t="shared" si="12"/>
        <v>0</v>
      </c>
      <c r="DK19" s="199">
        <v>1</v>
      </c>
      <c r="DL19" s="199">
        <v>1</v>
      </c>
      <c r="DM19" s="199">
        <v>4</v>
      </c>
      <c r="DN19" s="199">
        <f t="shared" si="13"/>
        <v>0</v>
      </c>
      <c r="DO19" s="199">
        <f t="shared" si="14"/>
        <v>0</v>
      </c>
      <c r="DP19" s="199">
        <f t="shared" si="15"/>
        <v>0</v>
      </c>
      <c r="DQ19" s="199">
        <f t="shared" si="16"/>
        <v>10</v>
      </c>
    </row>
    <row r="20" spans="1:121">
      <c r="A20" s="7" t="s">
        <v>1130</v>
      </c>
      <c r="B20" s="7">
        <v>183</v>
      </c>
      <c r="I20" s="24" t="str">
        <f t="shared" si="0"/>
        <v/>
      </c>
      <c r="L20" s="7" t="str">
        <f t="shared" si="1"/>
        <v/>
      </c>
      <c r="M20" s="21" t="str">
        <f t="shared" si="2"/>
        <v/>
      </c>
      <c r="N20" s="7" t="s">
        <v>1960</v>
      </c>
      <c r="T20" s="7" t="str">
        <f t="shared" si="3"/>
        <v>Nothing</v>
      </c>
      <c r="U20" s="7" t="s">
        <v>1</v>
      </c>
      <c r="AC20" s="8" t="s">
        <v>4028</v>
      </c>
      <c r="AD20" s="24">
        <v>59118</v>
      </c>
      <c r="AE20" s="7">
        <v>0.15</v>
      </c>
      <c r="AF20" s="7" t="s">
        <v>4027</v>
      </c>
      <c r="AG20" s="7">
        <v>9.6000000000000002E-2</v>
      </c>
      <c r="AH20" s="7" t="s">
        <v>4026</v>
      </c>
      <c r="AI20" s="7">
        <v>133000</v>
      </c>
      <c r="AJ20" s="7">
        <v>27</v>
      </c>
      <c r="AK20" s="7">
        <v>7</v>
      </c>
      <c r="AT20" s="7" t="str">
        <f t="shared" si="11"/>
        <v>None</v>
      </c>
      <c r="AU20" s="7" t="str">
        <f t="shared" si="4"/>
        <v>None</v>
      </c>
      <c r="AV20" s="7" t="str">
        <f t="shared" si="5"/>
        <v/>
      </c>
      <c r="AW20" s="7" t="str">
        <f t="shared" si="6"/>
        <v/>
      </c>
      <c r="AX20" s="7" t="str">
        <f t="shared" si="7"/>
        <v/>
      </c>
      <c r="BB20" s="7" t="str">
        <f t="shared" si="8"/>
        <v/>
      </c>
      <c r="BC20" s="7" t="str">
        <f t="shared" si="9"/>
        <v>No</v>
      </c>
      <c r="BD20" s="7" t="s">
        <v>1</v>
      </c>
      <c r="BF20" s="23" t="s">
        <v>4025</v>
      </c>
      <c r="BQ20" s="22"/>
      <c r="CH20" s="7" t="str">
        <f t="shared" si="10"/>
        <v/>
      </c>
      <c r="DD20" s="203" t="s">
        <v>7213</v>
      </c>
      <c r="DE20" s="204">
        <v>0</v>
      </c>
      <c r="DF20" s="204">
        <f>SUM(DF3:DF19)</f>
        <v>82</v>
      </c>
      <c r="DG20" s="204">
        <f>SUM(DG3:DG19)</f>
        <v>4</v>
      </c>
      <c r="DH20" s="204">
        <v>21</v>
      </c>
      <c r="DI20" s="204">
        <v>34</v>
      </c>
      <c r="DJ20" s="205">
        <f>SUM(DJ3:DJ19)</f>
        <v>0</v>
      </c>
      <c r="DK20" s="204">
        <f>SUM(DK3:DK19)</f>
        <v>37</v>
      </c>
      <c r="DL20" s="204">
        <f t="shared" ref="DL20:DQ20" si="17">SUM(DL3:DL19)</f>
        <v>45</v>
      </c>
      <c r="DM20" s="204">
        <f t="shared" si="17"/>
        <v>65</v>
      </c>
      <c r="DN20" s="204">
        <f t="shared" si="17"/>
        <v>0</v>
      </c>
      <c r="DO20" s="204">
        <f t="shared" si="17"/>
        <v>0</v>
      </c>
      <c r="DP20" s="204">
        <f t="shared" si="17"/>
        <v>0</v>
      </c>
      <c r="DQ20" s="204">
        <f t="shared" si="17"/>
        <v>288</v>
      </c>
    </row>
    <row r="21" spans="1:121">
      <c r="A21" s="7" t="s">
        <v>1731</v>
      </c>
      <c r="B21" s="7">
        <v>46</v>
      </c>
      <c r="C21" s="7" t="s">
        <v>146</v>
      </c>
      <c r="D21" s="7" t="s">
        <v>1957</v>
      </c>
      <c r="E21" s="7" t="s">
        <v>1659</v>
      </c>
      <c r="F21" s="7">
        <v>2012</v>
      </c>
      <c r="G21" s="7">
        <v>2012</v>
      </c>
      <c r="H21" s="8" t="s">
        <v>1732</v>
      </c>
      <c r="I21" s="24" t="str">
        <f t="shared" si="0"/>
        <v>Yes</v>
      </c>
      <c r="J21" s="7">
        <v>2023</v>
      </c>
      <c r="K21" s="7">
        <v>2018</v>
      </c>
      <c r="L21" s="7" t="str">
        <f t="shared" si="1"/>
        <v>C</v>
      </c>
      <c r="M21" s="21" t="str">
        <f t="shared" si="2"/>
        <v/>
      </c>
      <c r="N21" s="7">
        <v>2018</v>
      </c>
      <c r="T21" s="7" t="str">
        <f t="shared" si="3"/>
        <v/>
      </c>
      <c r="U21" s="25" t="s">
        <v>361</v>
      </c>
      <c r="V21" s="7" t="s">
        <v>4024</v>
      </c>
      <c r="Z21" s="60"/>
      <c r="AB21" s="26" t="s">
        <v>4023</v>
      </c>
      <c r="AC21" s="27" t="s">
        <v>4023</v>
      </c>
      <c r="AD21" s="24">
        <v>130359</v>
      </c>
      <c r="AE21" s="7">
        <v>2.8000000000000001E-2</v>
      </c>
      <c r="AF21" s="7" t="s">
        <v>4022</v>
      </c>
      <c r="AG21" s="7">
        <v>6.0000000000000001E-3</v>
      </c>
      <c r="AH21" s="7" t="s">
        <v>4021</v>
      </c>
      <c r="AI21" s="7">
        <v>147268</v>
      </c>
      <c r="AJ21" s="7">
        <v>-1</v>
      </c>
      <c r="AK21" s="7">
        <v>26</v>
      </c>
      <c r="AL21" s="7" t="s">
        <v>93</v>
      </c>
      <c r="AN21" s="7" t="s">
        <v>1951</v>
      </c>
      <c r="AT21" s="7" t="str">
        <f t="shared" si="11"/>
        <v>CN, SBT &amp; RE100</v>
      </c>
      <c r="AU21" s="7" t="str">
        <f t="shared" si="4"/>
        <v>CN, SBT &amp; RE100</v>
      </c>
      <c r="AV21" s="7">
        <f t="shared" si="5"/>
        <v>2012</v>
      </c>
      <c r="AW21" s="7">
        <f t="shared" si="6"/>
        <v>2018</v>
      </c>
      <c r="AX21" s="7">
        <f t="shared" si="7"/>
        <v>2018</v>
      </c>
      <c r="BB21" s="7" t="str">
        <f t="shared" si="8"/>
        <v>Yes</v>
      </c>
      <c r="BC21" s="7" t="str">
        <f t="shared" si="9"/>
        <v>Carbon Neutral</v>
      </c>
      <c r="BD21" s="7" t="s">
        <v>1</v>
      </c>
      <c r="BF21" s="23" t="s">
        <v>4020</v>
      </c>
      <c r="BH21" s="7" t="s">
        <v>165</v>
      </c>
      <c r="BJ21" s="7" t="s">
        <v>164</v>
      </c>
      <c r="BQ21" s="22"/>
      <c r="CD21" s="7" t="s">
        <v>361</v>
      </c>
      <c r="CE21" s="7" t="s">
        <v>1947</v>
      </c>
      <c r="CG21" s="7" t="s">
        <v>146</v>
      </c>
      <c r="CH21" s="7" t="str">
        <f t="shared" si="10"/>
        <v>yes</v>
      </c>
      <c r="CI21" s="7" t="s">
        <v>13</v>
      </c>
      <c r="CJ21" s="7">
        <v>0.45</v>
      </c>
      <c r="CK21" s="7" t="s">
        <v>13</v>
      </c>
      <c r="CL21" s="7" t="s">
        <v>2788</v>
      </c>
      <c r="CM21" s="7" t="s">
        <v>2788</v>
      </c>
      <c r="CN21" s="7" t="s">
        <v>2788</v>
      </c>
      <c r="CO21" s="7" t="s">
        <v>2955</v>
      </c>
      <c r="DD21"/>
      <c r="DE21" s="216" t="s">
        <v>8311</v>
      </c>
      <c r="DF21" s="217"/>
      <c r="DG21" s="218"/>
      <c r="DH21" s="216" t="s">
        <v>3034</v>
      </c>
      <c r="DI21" s="217"/>
      <c r="DJ21" s="218"/>
      <c r="DK21" s="216" t="s">
        <v>32</v>
      </c>
      <c r="DL21" s="217"/>
      <c r="DM21" s="218"/>
      <c r="DN21" s="216" t="s">
        <v>2072</v>
      </c>
      <c r="DO21" s="217"/>
      <c r="DP21" s="218"/>
      <c r="DQ21" s="200" t="s">
        <v>7213</v>
      </c>
    </row>
    <row r="22" spans="1:121">
      <c r="A22" s="7" t="s">
        <v>798</v>
      </c>
      <c r="B22" s="7">
        <v>263</v>
      </c>
      <c r="I22" s="24" t="str">
        <f t="shared" si="0"/>
        <v/>
      </c>
      <c r="L22" s="7" t="str">
        <f t="shared" si="1"/>
        <v/>
      </c>
      <c r="M22" s="21" t="str">
        <f t="shared" si="2"/>
        <v/>
      </c>
      <c r="N22" s="7" t="s">
        <v>1960</v>
      </c>
      <c r="T22" s="7" t="str">
        <f t="shared" si="3"/>
        <v>Nothing</v>
      </c>
      <c r="U22" s="7" t="s">
        <v>1963</v>
      </c>
      <c r="AD22" s="24">
        <v>44675</v>
      </c>
      <c r="AE22" s="7">
        <v>0.122</v>
      </c>
      <c r="AF22" s="7" t="s">
        <v>4019</v>
      </c>
      <c r="AG22" s="7">
        <v>1.1519999999999999</v>
      </c>
      <c r="AH22" s="7" t="s">
        <v>4018</v>
      </c>
      <c r="AI22" s="7">
        <v>46035</v>
      </c>
      <c r="AJ22" s="7">
        <v>45</v>
      </c>
      <c r="AK22" s="7">
        <v>25</v>
      </c>
      <c r="AT22" s="7" t="str">
        <f t="shared" si="11"/>
        <v>None</v>
      </c>
      <c r="AU22" s="7" t="str">
        <f t="shared" si="4"/>
        <v>None</v>
      </c>
      <c r="AV22" s="7" t="str">
        <f t="shared" si="5"/>
        <v/>
      </c>
      <c r="AW22" s="7" t="str">
        <f t="shared" si="6"/>
        <v/>
      </c>
      <c r="AX22" s="7" t="str">
        <f t="shared" si="7"/>
        <v/>
      </c>
      <c r="BB22" s="7" t="str">
        <f t="shared" si="8"/>
        <v/>
      </c>
      <c r="BC22" s="7" t="str">
        <f t="shared" si="9"/>
        <v>No</v>
      </c>
      <c r="BD22" s="7" t="s">
        <v>1963</v>
      </c>
      <c r="BE22" s="1"/>
      <c r="BF22" s="7" t="s">
        <v>2863</v>
      </c>
      <c r="BQ22" s="22"/>
      <c r="CH22" s="7" t="str">
        <f t="shared" si="10"/>
        <v/>
      </c>
      <c r="DD22" s="200" t="s">
        <v>8315</v>
      </c>
      <c r="DE22" s="201" t="s">
        <v>8323</v>
      </c>
      <c r="DF22" s="201" t="s">
        <v>8324</v>
      </c>
      <c r="DG22" s="201" t="s">
        <v>8314</v>
      </c>
      <c r="DH22" s="201" t="s">
        <v>8323</v>
      </c>
      <c r="DI22" s="201" t="s">
        <v>8324</v>
      </c>
      <c r="DJ22" s="201" t="s">
        <v>8314</v>
      </c>
      <c r="DK22" s="201" t="s">
        <v>8323</v>
      </c>
      <c r="DL22" s="201" t="s">
        <v>8324</v>
      </c>
      <c r="DM22" s="201" t="s">
        <v>8314</v>
      </c>
      <c r="DN22" s="201" t="s">
        <v>8323</v>
      </c>
      <c r="DO22" s="201" t="s">
        <v>8324</v>
      </c>
      <c r="DP22" s="201" t="s">
        <v>8314</v>
      </c>
      <c r="DQ22" s="201"/>
    </row>
    <row r="23" spans="1:121">
      <c r="A23" s="7" t="s">
        <v>1759</v>
      </c>
      <c r="B23" s="7">
        <v>29</v>
      </c>
      <c r="C23" s="7" t="s">
        <v>127</v>
      </c>
      <c r="D23" s="7" t="s">
        <v>1957</v>
      </c>
      <c r="E23" s="7" t="s">
        <v>2845</v>
      </c>
      <c r="F23" s="7">
        <v>2007</v>
      </c>
      <c r="G23" s="7">
        <v>2007</v>
      </c>
      <c r="H23" s="26" t="s">
        <v>4014</v>
      </c>
      <c r="I23" s="24" t="str">
        <f t="shared" si="0"/>
        <v>Yes</v>
      </c>
      <c r="J23" s="7">
        <v>2017</v>
      </c>
      <c r="K23" s="7">
        <v>2015</v>
      </c>
      <c r="L23" s="7" t="str">
        <f t="shared" si="1"/>
        <v/>
      </c>
      <c r="M23" s="21" t="str">
        <f t="shared" si="2"/>
        <v/>
      </c>
      <c r="N23" s="7" t="s">
        <v>1960</v>
      </c>
      <c r="O23" s="7" t="s">
        <v>1971</v>
      </c>
      <c r="P23" s="7" t="s">
        <v>1970</v>
      </c>
      <c r="Q23" s="7">
        <v>2030</v>
      </c>
      <c r="R23" s="7">
        <v>2020</v>
      </c>
      <c r="S23" s="26" t="s">
        <v>4014</v>
      </c>
      <c r="T23" s="7" t="str">
        <f t="shared" si="3"/>
        <v/>
      </c>
      <c r="U23" s="7" t="s">
        <v>361</v>
      </c>
      <c r="V23" s="7" t="s">
        <v>4017</v>
      </c>
      <c r="X23" s="7" t="s">
        <v>4016</v>
      </c>
      <c r="Y23" t="s">
        <v>4015</v>
      </c>
      <c r="AA23" s="7" t="s">
        <v>2807</v>
      </c>
      <c r="AB23" s="26" t="s">
        <v>4014</v>
      </c>
      <c r="AC23" s="26" t="s">
        <v>4014</v>
      </c>
      <c r="AD23" s="24">
        <v>161857</v>
      </c>
      <c r="AE23" s="7">
        <v>0.183</v>
      </c>
      <c r="AF23" s="7" t="s">
        <v>4013</v>
      </c>
      <c r="AG23" s="7">
        <v>0.11700000000000001</v>
      </c>
      <c r="AH23" s="7" t="s">
        <v>4012</v>
      </c>
      <c r="AI23" s="7">
        <v>118899</v>
      </c>
      <c r="AJ23" s="7">
        <v>8</v>
      </c>
      <c r="AK23" s="7">
        <v>12</v>
      </c>
      <c r="AL23" s="7" t="s">
        <v>364</v>
      </c>
      <c r="AN23" s="7" t="s">
        <v>2029</v>
      </c>
      <c r="AT23" s="7" t="str">
        <f t="shared" si="11"/>
        <v>CN &amp; RE100</v>
      </c>
      <c r="AU23" s="7" t="str">
        <f t="shared" si="4"/>
        <v>CN &amp; RE100</v>
      </c>
      <c r="AV23" s="7">
        <f t="shared" si="5"/>
        <v>2007</v>
      </c>
      <c r="AW23" s="7" t="str">
        <f t="shared" si="6"/>
        <v/>
      </c>
      <c r="AX23" s="7">
        <f t="shared" si="7"/>
        <v>2015</v>
      </c>
      <c r="BB23" s="7" t="str">
        <f t="shared" si="8"/>
        <v/>
      </c>
      <c r="BC23" s="7" t="str">
        <f t="shared" si="9"/>
        <v>Carbon Neutral</v>
      </c>
      <c r="BD23" s="7" t="s">
        <v>2118</v>
      </c>
      <c r="BE23" s="23" t="s">
        <v>4011</v>
      </c>
      <c r="BF23" s="23" t="s">
        <v>4010</v>
      </c>
      <c r="BG23" s="7" t="s">
        <v>4009</v>
      </c>
      <c r="BQ23" s="22"/>
      <c r="CD23" s="7" t="s">
        <v>361</v>
      </c>
      <c r="CE23" s="7" t="s">
        <v>1947</v>
      </c>
      <c r="CG23" s="7" t="s">
        <v>2027</v>
      </c>
      <c r="CH23" s="7" t="str">
        <f t="shared" si="10"/>
        <v>yes</v>
      </c>
      <c r="CI23" s="7" t="s">
        <v>13</v>
      </c>
      <c r="CJ23" s="7">
        <v>1</v>
      </c>
      <c r="CK23" s="7">
        <v>1</v>
      </c>
      <c r="CL23" s="7">
        <v>0.61</v>
      </c>
      <c r="CM23" s="7">
        <v>0.48</v>
      </c>
      <c r="CN23" s="7">
        <v>0.37</v>
      </c>
      <c r="CO23" s="7" t="s">
        <v>4008</v>
      </c>
      <c r="CW23" s="7" t="s">
        <v>361</v>
      </c>
      <c r="CX23" s="7" t="s">
        <v>361</v>
      </c>
      <c r="DD23" s="202" t="s">
        <v>1994</v>
      </c>
      <c r="DE23" s="199">
        <v>0</v>
      </c>
      <c r="DF23" s="199">
        <v>15</v>
      </c>
      <c r="DG23" s="199">
        <v>1</v>
      </c>
      <c r="DH23" s="199">
        <v>0</v>
      </c>
      <c r="DI23" s="199">
        <v>1</v>
      </c>
      <c r="DJ23" s="199">
        <v>11</v>
      </c>
      <c r="DK23" s="199">
        <v>3</v>
      </c>
      <c r="DL23" s="199">
        <v>6</v>
      </c>
      <c r="DM23" s="199">
        <f>COUNTIFS($V$3:$V$502,DD23,$M$3:$M$502,"&gt;2030")</f>
        <v>0</v>
      </c>
      <c r="DN23" s="199">
        <f>COUNTIFS($V$3:$V$502,DD23,$R$3:$R$502,"&lt;=2021")</f>
        <v>0</v>
      </c>
      <c r="DO23" s="199">
        <f>COUNTIFS($V$3:$V$502,DD23,$R$3:$R$502,"&gt;=2022",$R$3:$R$502,"&lt;=2030")</f>
        <v>0</v>
      </c>
      <c r="DP23" s="199">
        <f>COUNTIFS($V$3:$V$502,DD23,$R$3:$R$502,"&gt;2030")</f>
        <v>0</v>
      </c>
      <c r="DQ23" s="206">
        <f>SUM(DE23:DP23)</f>
        <v>37</v>
      </c>
    </row>
    <row r="24" spans="1:121">
      <c r="A24" s="7" t="s">
        <v>987</v>
      </c>
      <c r="B24" s="7">
        <v>217</v>
      </c>
      <c r="C24" s="7" t="s">
        <v>73</v>
      </c>
      <c r="I24" s="24" t="str">
        <f t="shared" si="0"/>
        <v/>
      </c>
      <c r="L24" s="7" t="str">
        <f t="shared" si="1"/>
        <v/>
      </c>
      <c r="M24" s="21" t="str">
        <f t="shared" si="2"/>
        <v/>
      </c>
      <c r="N24" s="7" t="s">
        <v>1960</v>
      </c>
      <c r="T24" s="7" t="str">
        <f t="shared" si="3"/>
        <v>Nothing</v>
      </c>
      <c r="U24" s="7" t="s">
        <v>1986</v>
      </c>
      <c r="AD24" s="24">
        <v>51649</v>
      </c>
      <c r="AE24" s="7">
        <v>0.13800000000000001</v>
      </c>
      <c r="AF24" s="7" t="s">
        <v>4007</v>
      </c>
      <c r="AG24" s="7">
        <v>1.4239999999999999</v>
      </c>
      <c r="AH24" s="7" t="s">
        <v>4006</v>
      </c>
      <c r="AI24" s="7">
        <v>156286</v>
      </c>
      <c r="AJ24" s="7">
        <v>34</v>
      </c>
      <c r="AK24" s="7">
        <v>13</v>
      </c>
      <c r="AN24" s="7" t="s">
        <v>1994</v>
      </c>
      <c r="AT24" s="7" t="str">
        <f t="shared" si="11"/>
        <v>None</v>
      </c>
      <c r="AU24" s="7" t="str">
        <f t="shared" si="4"/>
        <v>None</v>
      </c>
      <c r="AV24" s="7" t="str">
        <f t="shared" si="5"/>
        <v/>
      </c>
      <c r="AW24" s="7" t="str">
        <f t="shared" si="6"/>
        <v/>
      </c>
      <c r="AX24" s="7" t="str">
        <f t="shared" si="7"/>
        <v/>
      </c>
      <c r="BB24" s="7" t="str">
        <f t="shared" si="8"/>
        <v/>
      </c>
      <c r="BC24" s="7" t="str">
        <f t="shared" si="9"/>
        <v>No</v>
      </c>
      <c r="BD24" s="7" t="s">
        <v>1</v>
      </c>
      <c r="BQ24" s="22"/>
      <c r="CH24" s="7" t="str">
        <f t="shared" si="10"/>
        <v/>
      </c>
      <c r="DD24" s="202" t="s">
        <v>1951</v>
      </c>
      <c r="DE24" s="199">
        <v>0</v>
      </c>
      <c r="DF24" s="199">
        <v>42</v>
      </c>
      <c r="DG24" s="199">
        <v>1</v>
      </c>
      <c r="DH24" s="199">
        <v>10</v>
      </c>
      <c r="DI24" s="199">
        <v>24</v>
      </c>
      <c r="DJ24" s="199">
        <v>1</v>
      </c>
      <c r="DK24" s="199">
        <v>18</v>
      </c>
      <c r="DL24" s="199">
        <v>24</v>
      </c>
      <c r="DM24" s="199">
        <f t="shared" ref="DM24:DM26" si="18">COUNTIFS($V$3:$V$502,DD24,$M$3:$M$502,"&gt;2030")</f>
        <v>0</v>
      </c>
      <c r="DN24" s="199">
        <f t="shared" ref="DN24:DN26" si="19">COUNTIFS($V$3:$V$502,DD24,$R$3:$R$502,"&lt;=2021")</f>
        <v>0</v>
      </c>
      <c r="DO24" s="199">
        <f t="shared" ref="DO24:DO26" si="20">COUNTIFS($V$3:$V$502,DD24,$R$3:$R$502,"&gt;=2022",$R$3:$R$502,"&lt;=2030")</f>
        <v>0</v>
      </c>
      <c r="DP24" s="199">
        <f t="shared" ref="DP24:DP26" si="21">COUNTIFS($V$3:$V$502,DD24,$R$3:$R$502,"&gt;2030")</f>
        <v>0</v>
      </c>
      <c r="DQ24" s="206">
        <f t="shared" ref="DQ24:DQ26" si="22">SUM(DE24:DP24)</f>
        <v>120</v>
      </c>
    </row>
    <row r="25" spans="1:121">
      <c r="A25" s="7" t="s">
        <v>1837</v>
      </c>
      <c r="B25" s="7">
        <v>9</v>
      </c>
      <c r="C25" s="7" t="s">
        <v>127</v>
      </c>
      <c r="F25" s="7">
        <v>2040</v>
      </c>
      <c r="G25" s="7">
        <v>2019</v>
      </c>
      <c r="H25" s="26" t="s">
        <v>4005</v>
      </c>
      <c r="I25" s="24" t="str">
        <f t="shared" si="0"/>
        <v/>
      </c>
      <c r="L25" s="7" t="str">
        <f t="shared" si="1"/>
        <v>C</v>
      </c>
      <c r="M25" s="21" t="str">
        <f t="shared" si="2"/>
        <v/>
      </c>
      <c r="N25" s="7">
        <v>2020</v>
      </c>
      <c r="O25" s="7" t="s">
        <v>1957</v>
      </c>
      <c r="P25" s="7" t="s">
        <v>2534</v>
      </c>
      <c r="Q25" s="7">
        <v>2040</v>
      </c>
      <c r="R25" s="7">
        <v>2019</v>
      </c>
      <c r="S25" s="27" t="s">
        <v>4005</v>
      </c>
      <c r="T25" s="7" t="str">
        <f t="shared" si="3"/>
        <v/>
      </c>
      <c r="U25" s="7" t="s">
        <v>2080</v>
      </c>
      <c r="V25" s="7" t="s">
        <v>4004</v>
      </c>
      <c r="X25" s="23" t="s">
        <v>4003</v>
      </c>
      <c r="Y25" s="7" t="s">
        <v>4002</v>
      </c>
      <c r="Z25" s="7" t="s">
        <v>4001</v>
      </c>
      <c r="AA25" s="7" t="s">
        <v>2124</v>
      </c>
      <c r="AB25" s="26" t="s">
        <v>4000</v>
      </c>
      <c r="AC25" s="26" t="s">
        <v>3999</v>
      </c>
      <c r="AD25" s="24">
        <v>280522</v>
      </c>
      <c r="AE25" s="7">
        <v>0.20499999999999999</v>
      </c>
      <c r="AF25" s="7" t="s">
        <v>3998</v>
      </c>
      <c r="AG25" s="7">
        <v>0.15</v>
      </c>
      <c r="AH25" s="7" t="s">
        <v>3997</v>
      </c>
      <c r="AI25" s="7">
        <v>798000</v>
      </c>
      <c r="AJ25" s="7">
        <v>4</v>
      </c>
      <c r="AK25" s="7">
        <v>12</v>
      </c>
      <c r="AL25" s="7" t="s">
        <v>454</v>
      </c>
      <c r="AN25" s="7" t="s">
        <v>2029</v>
      </c>
      <c r="AT25" s="7" t="str">
        <f t="shared" si="11"/>
        <v>SBT</v>
      </c>
      <c r="AU25" s="7" t="str">
        <f t="shared" si="4"/>
        <v>SBT</v>
      </c>
      <c r="AV25" s="7" t="str">
        <f t="shared" si="5"/>
        <v/>
      </c>
      <c r="AW25" s="7">
        <f t="shared" si="6"/>
        <v>2020</v>
      </c>
      <c r="AX25" s="7" t="str">
        <f t="shared" si="7"/>
        <v/>
      </c>
      <c r="BB25" s="7" t="str">
        <f t="shared" si="8"/>
        <v>Yes</v>
      </c>
      <c r="BC25" s="7" t="str">
        <f t="shared" si="9"/>
        <v>No</v>
      </c>
      <c r="BD25" s="7" t="s">
        <v>2118</v>
      </c>
      <c r="BF25" s="7" t="s">
        <v>3996</v>
      </c>
      <c r="BG25" s="7" t="s">
        <v>2525</v>
      </c>
      <c r="BH25" s="7" t="s">
        <v>165</v>
      </c>
      <c r="BJ25" s="7" t="s">
        <v>2215</v>
      </c>
      <c r="BQ25" s="22"/>
      <c r="CD25" s="7" t="s">
        <v>361</v>
      </c>
      <c r="CF25" s="25" t="s">
        <v>2050</v>
      </c>
      <c r="CH25" s="7" t="str">
        <f t="shared" si="10"/>
        <v/>
      </c>
      <c r="CT25" s="7" t="s">
        <v>3995</v>
      </c>
      <c r="CU25" s="7" t="s">
        <v>2151</v>
      </c>
      <c r="CV25" s="7">
        <v>18</v>
      </c>
      <c r="CX25" s="7" t="s">
        <v>361</v>
      </c>
      <c r="CY25" s="7" t="s">
        <v>361</v>
      </c>
      <c r="DD25" s="202" t="s">
        <v>2029</v>
      </c>
      <c r="DE25" s="199">
        <v>0</v>
      </c>
      <c r="DF25" s="199">
        <v>24</v>
      </c>
      <c r="DG25" s="199">
        <v>2</v>
      </c>
      <c r="DH25" s="199">
        <v>11</v>
      </c>
      <c r="DI25" s="199">
        <v>8</v>
      </c>
      <c r="DJ25" s="199">
        <v>6</v>
      </c>
      <c r="DK25" s="199">
        <v>14</v>
      </c>
      <c r="DL25" s="199">
        <v>15</v>
      </c>
      <c r="DM25" s="199">
        <f t="shared" si="18"/>
        <v>0</v>
      </c>
      <c r="DN25" s="199">
        <f t="shared" si="19"/>
        <v>0</v>
      </c>
      <c r="DO25" s="199">
        <f t="shared" si="20"/>
        <v>0</v>
      </c>
      <c r="DP25" s="199">
        <f t="shared" si="21"/>
        <v>0</v>
      </c>
      <c r="DQ25" s="206">
        <f t="shared" si="22"/>
        <v>80</v>
      </c>
    </row>
    <row r="26" spans="1:121">
      <c r="A26" s="7" t="s">
        <v>1451</v>
      </c>
      <c r="B26" s="7">
        <v>91</v>
      </c>
      <c r="I26" s="24" t="str">
        <f t="shared" si="0"/>
        <v/>
      </c>
      <c r="L26" s="7" t="str">
        <f t="shared" si="1"/>
        <v/>
      </c>
      <c r="M26" s="21" t="str">
        <f t="shared" si="2"/>
        <v/>
      </c>
      <c r="N26" s="7" t="s">
        <v>1960</v>
      </c>
      <c r="T26" s="7" t="str">
        <f t="shared" si="3"/>
        <v>Nothing</v>
      </c>
      <c r="U26" s="7" t="s">
        <v>1</v>
      </c>
      <c r="AD26" s="24">
        <v>88862</v>
      </c>
      <c r="AE26" s="7">
        <v>0.16400000000000001</v>
      </c>
      <c r="AF26" s="7" t="s">
        <v>3994</v>
      </c>
      <c r="AG26" s="7">
        <v>0.219</v>
      </c>
      <c r="AH26" s="7" t="s">
        <v>3993</v>
      </c>
      <c r="AI26" s="7">
        <v>18103</v>
      </c>
      <c r="AJ26" s="7">
        <v>28</v>
      </c>
      <c r="AK26" s="7">
        <v>8</v>
      </c>
      <c r="AT26" s="7" t="str">
        <f t="shared" si="11"/>
        <v>None</v>
      </c>
      <c r="AU26" s="7" t="str">
        <f t="shared" si="4"/>
        <v>None</v>
      </c>
      <c r="AV26" s="7" t="str">
        <f t="shared" si="5"/>
        <v/>
      </c>
      <c r="AW26" s="7" t="str">
        <f t="shared" si="6"/>
        <v/>
      </c>
      <c r="AX26" s="7" t="str">
        <f t="shared" si="7"/>
        <v/>
      </c>
      <c r="BB26" s="7" t="str">
        <f t="shared" si="8"/>
        <v/>
      </c>
      <c r="BC26" s="7" t="str">
        <f t="shared" si="9"/>
        <v>No</v>
      </c>
      <c r="BD26" s="7" t="s">
        <v>1</v>
      </c>
      <c r="BQ26" s="22"/>
      <c r="CH26" s="7" t="str">
        <f t="shared" si="10"/>
        <v/>
      </c>
      <c r="DD26" s="202" t="s">
        <v>8322</v>
      </c>
      <c r="DE26" s="199">
        <v>0</v>
      </c>
      <c r="DF26" s="199">
        <v>1</v>
      </c>
      <c r="DG26" s="199">
        <v>0</v>
      </c>
      <c r="DH26" s="199">
        <v>0</v>
      </c>
      <c r="DI26" s="199">
        <v>1</v>
      </c>
      <c r="DJ26" s="199">
        <v>0</v>
      </c>
      <c r="DK26" s="199">
        <v>0</v>
      </c>
      <c r="DL26" s="199">
        <v>0</v>
      </c>
      <c r="DM26" s="199">
        <f t="shared" si="18"/>
        <v>0</v>
      </c>
      <c r="DN26" s="199">
        <f t="shared" si="19"/>
        <v>0</v>
      </c>
      <c r="DO26" s="199">
        <f t="shared" si="20"/>
        <v>0</v>
      </c>
      <c r="DP26" s="199">
        <f t="shared" si="21"/>
        <v>0</v>
      </c>
      <c r="DQ26" s="206">
        <f t="shared" si="22"/>
        <v>2</v>
      </c>
    </row>
    <row r="27" spans="1:121">
      <c r="A27" s="7" t="s">
        <v>1180</v>
      </c>
      <c r="B27" s="7">
        <v>209</v>
      </c>
      <c r="C27" s="7" t="s">
        <v>121</v>
      </c>
      <c r="D27" s="7" t="s">
        <v>2082</v>
      </c>
      <c r="E27" s="7" t="s">
        <v>2637</v>
      </c>
      <c r="F27" s="7">
        <v>2050</v>
      </c>
      <c r="G27" s="7">
        <v>2019</v>
      </c>
      <c r="H27" s="8" t="s">
        <v>3989</v>
      </c>
      <c r="I27" s="24" t="str">
        <f t="shared" si="0"/>
        <v/>
      </c>
      <c r="L27" s="7" t="str">
        <f t="shared" si="1"/>
        <v>C</v>
      </c>
      <c r="M27" s="21" t="str">
        <f t="shared" si="2"/>
        <v/>
      </c>
      <c r="N27" s="7">
        <v>2019</v>
      </c>
      <c r="O27" s="7" t="s">
        <v>1971</v>
      </c>
      <c r="P27" s="7" t="s">
        <v>3992</v>
      </c>
      <c r="Q27" s="7">
        <v>2050</v>
      </c>
      <c r="R27" s="7">
        <v>2019</v>
      </c>
      <c r="S27" s="27" t="s">
        <v>3989</v>
      </c>
      <c r="T27" s="7" t="str">
        <f t="shared" si="3"/>
        <v/>
      </c>
      <c r="U27" s="7" t="s">
        <v>1969</v>
      </c>
      <c r="V27" t="s">
        <v>3991</v>
      </c>
      <c r="X27" s="23"/>
      <c r="Z27" s="7" t="s">
        <v>3990</v>
      </c>
      <c r="AB27" s="27" t="s">
        <v>3989</v>
      </c>
      <c r="AD27" s="24">
        <v>52323</v>
      </c>
      <c r="AE27" s="7">
        <v>-3.1E-2</v>
      </c>
      <c r="AF27" s="7" t="s">
        <v>3988</v>
      </c>
      <c r="AG27" s="7">
        <v>0.28699999999999998</v>
      </c>
      <c r="AH27" s="7" t="s">
        <v>3987</v>
      </c>
      <c r="AI27" s="7">
        <v>191523</v>
      </c>
      <c r="AJ27" s="7">
        <v>-13</v>
      </c>
      <c r="AK27" s="7">
        <v>14</v>
      </c>
      <c r="AL27" s="7" t="s">
        <v>461</v>
      </c>
      <c r="AN27" s="7" t="s">
        <v>2119</v>
      </c>
      <c r="AT27" s="7" t="str">
        <f t="shared" si="11"/>
        <v>CN &amp; SBT</v>
      </c>
      <c r="AU27" s="7" t="str">
        <f t="shared" si="4"/>
        <v>SBT</v>
      </c>
      <c r="AV27" s="7" t="str">
        <f t="shared" si="5"/>
        <v/>
      </c>
      <c r="AW27" s="7">
        <f t="shared" si="6"/>
        <v>2019</v>
      </c>
      <c r="AX27" s="7" t="str">
        <f t="shared" si="7"/>
        <v/>
      </c>
      <c r="BB27" s="7" t="str">
        <f t="shared" si="8"/>
        <v>Yes</v>
      </c>
      <c r="BC27" s="7" t="str">
        <f t="shared" si="9"/>
        <v>No - but post-2030 commitment</v>
      </c>
      <c r="BD27" s="7" t="s">
        <v>1969</v>
      </c>
      <c r="BG27" s="7" t="s">
        <v>2471</v>
      </c>
      <c r="BH27" s="7" t="s">
        <v>165</v>
      </c>
      <c r="BJ27" s="7" t="s">
        <v>2244</v>
      </c>
      <c r="BQ27" s="22"/>
      <c r="CD27" s="7" t="s">
        <v>361</v>
      </c>
      <c r="CF27" s="7" t="s">
        <v>2071</v>
      </c>
      <c r="CH27" s="7" t="str">
        <f t="shared" si="10"/>
        <v/>
      </c>
      <c r="DD27" s="203" t="s">
        <v>7213</v>
      </c>
      <c r="DE27" s="204">
        <f>SUM(DE23:DE26)</f>
        <v>0</v>
      </c>
      <c r="DF27" s="204">
        <f>SUM(DF23:DF26)</f>
        <v>82</v>
      </c>
      <c r="DG27" s="204">
        <f>SUM(DG23:DG26)</f>
        <v>4</v>
      </c>
      <c r="DH27" s="204">
        <f>SUM(DH23:DH26)</f>
        <v>21</v>
      </c>
      <c r="DI27" s="204">
        <f>SUM(DI23:DI26)</f>
        <v>34</v>
      </c>
      <c r="DJ27" s="206">
        <f>SUM(DJ23:DJ26)</f>
        <v>18</v>
      </c>
      <c r="DK27" s="206">
        <f>SUM(DK23:DK26)</f>
        <v>35</v>
      </c>
      <c r="DL27" s="206">
        <f>SUM(DL23:DL26)</f>
        <v>45</v>
      </c>
      <c r="DM27" s="205">
        <f>SUM(DM23:DM26)</f>
        <v>0</v>
      </c>
      <c r="DN27" s="206">
        <f>SUM(DN23:DN26)</f>
        <v>0</v>
      </c>
      <c r="DO27" s="206">
        <f>SUM(DO23:DO26)</f>
        <v>0</v>
      </c>
      <c r="DP27" s="206">
        <f>SUM(DP23:DP26)</f>
        <v>0</v>
      </c>
      <c r="DQ27" s="206">
        <f>SUM(DQ23:DQ26)</f>
        <v>239</v>
      </c>
    </row>
    <row r="28" spans="1:121">
      <c r="A28" s="7" t="s">
        <v>964</v>
      </c>
      <c r="B28" s="7">
        <v>257</v>
      </c>
      <c r="H28" s="30"/>
      <c r="I28" s="24" t="str">
        <f t="shared" si="0"/>
        <v/>
      </c>
      <c r="L28" s="7" t="str">
        <f t="shared" si="1"/>
        <v/>
      </c>
      <c r="M28" s="21" t="str">
        <f t="shared" si="2"/>
        <v/>
      </c>
      <c r="N28" s="7" t="s">
        <v>1960</v>
      </c>
      <c r="T28" s="7" t="str">
        <f t="shared" si="3"/>
        <v>Nothing</v>
      </c>
      <c r="U28" s="7" t="s">
        <v>1963</v>
      </c>
      <c r="AC28" s="28" t="s">
        <v>3986</v>
      </c>
      <c r="AD28" s="24">
        <v>45768</v>
      </c>
      <c r="AE28" s="7">
        <v>2.8000000000000001E-2</v>
      </c>
      <c r="AF28" s="7" t="s">
        <v>3985</v>
      </c>
      <c r="AG28" s="7">
        <v>0.19400000000000001</v>
      </c>
      <c r="AH28" s="7" t="s">
        <v>3984</v>
      </c>
      <c r="AI28" s="7">
        <v>133700</v>
      </c>
      <c r="AJ28" s="7" t="s">
        <v>9</v>
      </c>
      <c r="AK28" s="7">
        <v>26</v>
      </c>
      <c r="AT28" s="7" t="str">
        <f t="shared" si="11"/>
        <v>None</v>
      </c>
      <c r="AU28" s="7" t="str">
        <f t="shared" si="4"/>
        <v>None</v>
      </c>
      <c r="AV28" s="7" t="str">
        <f t="shared" si="5"/>
        <v/>
      </c>
      <c r="AW28" s="7" t="str">
        <f t="shared" si="6"/>
        <v/>
      </c>
      <c r="AX28" s="7" t="str">
        <f t="shared" si="7"/>
        <v/>
      </c>
      <c r="BB28" s="7" t="str">
        <f t="shared" si="8"/>
        <v/>
      </c>
      <c r="BC28" s="7" t="str">
        <f t="shared" si="9"/>
        <v>No</v>
      </c>
      <c r="BD28" s="7" t="s">
        <v>1</v>
      </c>
      <c r="BE28" s="1"/>
      <c r="BF28" s="7" t="s">
        <v>3983</v>
      </c>
      <c r="BQ28" s="22"/>
      <c r="CH28" s="7" t="str">
        <f t="shared" si="10"/>
        <v/>
      </c>
      <c r="CY28" s="7" t="s">
        <v>361</v>
      </c>
    </row>
    <row r="29" spans="1:121">
      <c r="A29" s="7" t="s">
        <v>932</v>
      </c>
      <c r="B29" s="7">
        <v>251</v>
      </c>
      <c r="C29" s="7" t="s">
        <v>127</v>
      </c>
      <c r="D29" s="7" t="s">
        <v>1957</v>
      </c>
      <c r="E29" s="1" t="s">
        <v>3980</v>
      </c>
      <c r="F29" s="1">
        <v>2018</v>
      </c>
      <c r="G29" s="1">
        <v>2018</v>
      </c>
      <c r="H29" s="59" t="s">
        <v>3982</v>
      </c>
      <c r="I29" s="24" t="str">
        <f t="shared" si="0"/>
        <v/>
      </c>
      <c r="L29" s="7" t="str">
        <f t="shared" si="1"/>
        <v/>
      </c>
      <c r="M29" s="21" t="str">
        <f t="shared" si="2"/>
        <v/>
      </c>
      <c r="N29" s="7" t="s">
        <v>1960</v>
      </c>
      <c r="Q29" s="1"/>
      <c r="R29" s="1"/>
      <c r="T29" s="7" t="str">
        <f t="shared" si="3"/>
        <v/>
      </c>
      <c r="U29" s="7" t="s">
        <v>3981</v>
      </c>
      <c r="V29" s="1" t="s">
        <v>3980</v>
      </c>
      <c r="W29" s="1" t="s">
        <v>3979</v>
      </c>
      <c r="X29" s="1" t="s">
        <v>3978</v>
      </c>
      <c r="Y29" s="58"/>
      <c r="Z29" s="1" t="s">
        <v>3977</v>
      </c>
      <c r="AA29" s="7" t="s">
        <v>2211</v>
      </c>
      <c r="AB29" s="57" t="s">
        <v>3976</v>
      </c>
      <c r="AC29" s="56"/>
      <c r="AD29" s="24">
        <v>47020</v>
      </c>
      <c r="AE29" s="7">
        <v>8.5999999999999993E-2</v>
      </c>
      <c r="AF29" s="7" t="s">
        <v>3975</v>
      </c>
      <c r="AG29" s="7">
        <v>-2.3E-2</v>
      </c>
      <c r="AH29" s="7" t="s">
        <v>3974</v>
      </c>
      <c r="AI29" s="7">
        <v>64500</v>
      </c>
      <c r="AJ29" s="7">
        <v>19</v>
      </c>
      <c r="AK29" s="7">
        <v>26</v>
      </c>
      <c r="AL29" s="7" t="s">
        <v>93</v>
      </c>
      <c r="AN29" s="7" t="s">
        <v>2029</v>
      </c>
      <c r="AT29" s="7" t="str">
        <f t="shared" si="11"/>
        <v>CN</v>
      </c>
      <c r="AU29" s="7" t="str">
        <f t="shared" si="4"/>
        <v>CN</v>
      </c>
      <c r="AV29" s="7">
        <f t="shared" si="5"/>
        <v>2018</v>
      </c>
      <c r="AW29" s="7" t="str">
        <f t="shared" si="6"/>
        <v/>
      </c>
      <c r="AX29" s="7" t="str">
        <f t="shared" si="7"/>
        <v/>
      </c>
      <c r="BB29" s="7" t="str">
        <f t="shared" si="8"/>
        <v/>
      </c>
      <c r="BC29" s="7" t="str">
        <f t="shared" si="9"/>
        <v>Carbon Neutral</v>
      </c>
      <c r="BD29" s="7" t="s">
        <v>3973</v>
      </c>
      <c r="BE29" s="1"/>
      <c r="BF29" s="55"/>
      <c r="BG29" s="1" t="s">
        <v>3972</v>
      </c>
      <c r="BQ29" s="22"/>
      <c r="CD29" s="7" t="s">
        <v>361</v>
      </c>
      <c r="CF29" s="25"/>
      <c r="CH29" s="7" t="str">
        <f t="shared" si="10"/>
        <v/>
      </c>
      <c r="CX29" s="7" t="s">
        <v>361</v>
      </c>
      <c r="CY29" s="7" t="s">
        <v>361</v>
      </c>
    </row>
    <row r="30" spans="1:121">
      <c r="A30" s="7" t="s">
        <v>1041</v>
      </c>
      <c r="B30" s="7">
        <v>231</v>
      </c>
      <c r="I30" s="24" t="str">
        <f t="shared" si="0"/>
        <v/>
      </c>
      <c r="L30" s="7" t="str">
        <f t="shared" si="1"/>
        <v/>
      </c>
      <c r="M30" s="21" t="str">
        <f t="shared" si="2"/>
        <v/>
      </c>
      <c r="N30" s="7" t="s">
        <v>1960</v>
      </c>
      <c r="T30" s="7" t="str">
        <f t="shared" si="3"/>
        <v>Nothing</v>
      </c>
      <c r="U30" s="7" t="s">
        <v>1</v>
      </c>
      <c r="AD30" s="24">
        <v>49746</v>
      </c>
      <c r="AE30" s="7">
        <v>0.05</v>
      </c>
      <c r="AF30" s="7" t="s">
        <v>3971</v>
      </c>
      <c r="AG30" s="7" t="s">
        <v>9</v>
      </c>
      <c r="AH30" s="7" t="s">
        <v>3970</v>
      </c>
      <c r="AI30" s="7">
        <v>46000</v>
      </c>
      <c r="AJ30" s="7">
        <v>4</v>
      </c>
      <c r="AK30" s="7">
        <v>25</v>
      </c>
      <c r="AT30" s="7" t="str">
        <f t="shared" si="11"/>
        <v>None</v>
      </c>
      <c r="AU30" s="7" t="str">
        <f t="shared" si="4"/>
        <v>None</v>
      </c>
      <c r="AV30" s="7" t="str">
        <f t="shared" si="5"/>
        <v/>
      </c>
      <c r="AW30" s="7" t="str">
        <f t="shared" si="6"/>
        <v/>
      </c>
      <c r="AX30" s="7" t="str">
        <f t="shared" si="7"/>
        <v/>
      </c>
      <c r="BB30" s="7" t="str">
        <f t="shared" si="8"/>
        <v/>
      </c>
      <c r="BC30" s="7" t="str">
        <f t="shared" si="9"/>
        <v>No</v>
      </c>
      <c r="BD30" s="7" t="s">
        <v>1</v>
      </c>
      <c r="BQ30" s="22"/>
      <c r="CH30" s="7" t="str">
        <f t="shared" si="10"/>
        <v/>
      </c>
    </row>
    <row r="31" spans="1:121">
      <c r="A31" s="7" t="s">
        <v>1795</v>
      </c>
      <c r="B31" s="7">
        <v>23</v>
      </c>
      <c r="I31" s="24" t="str">
        <f t="shared" si="0"/>
        <v/>
      </c>
      <c r="L31" s="7" t="str">
        <f t="shared" si="1"/>
        <v/>
      </c>
      <c r="M31" s="21" t="str">
        <f t="shared" si="2"/>
        <v/>
      </c>
      <c r="N31" s="7" t="s">
        <v>1960</v>
      </c>
      <c r="T31" s="7" t="str">
        <f t="shared" si="3"/>
        <v>Nothing</v>
      </c>
      <c r="U31" s="7" t="s">
        <v>1</v>
      </c>
      <c r="AC31" s="26" t="s">
        <v>3969</v>
      </c>
      <c r="AD31" s="24">
        <v>179589</v>
      </c>
      <c r="AE31" s="7">
        <v>6.9000000000000006E-2</v>
      </c>
      <c r="AF31" s="7" t="s">
        <v>3968</v>
      </c>
      <c r="AG31" s="7">
        <v>-0.48399999999999999</v>
      </c>
      <c r="AH31" s="7" t="s">
        <v>3967</v>
      </c>
      <c r="AI31" s="7">
        <v>21500</v>
      </c>
      <c r="AJ31" s="7">
        <v>4</v>
      </c>
      <c r="AK31" s="7">
        <v>21</v>
      </c>
      <c r="AT31" s="7" t="str">
        <f t="shared" si="11"/>
        <v>None</v>
      </c>
      <c r="AU31" s="7" t="str">
        <f t="shared" si="4"/>
        <v>None</v>
      </c>
      <c r="AV31" s="7" t="str">
        <f t="shared" si="5"/>
        <v/>
      </c>
      <c r="AW31" s="7" t="str">
        <f t="shared" si="6"/>
        <v/>
      </c>
      <c r="AX31" s="7" t="str">
        <f t="shared" si="7"/>
        <v/>
      </c>
      <c r="BB31" s="7" t="str">
        <f t="shared" si="8"/>
        <v/>
      </c>
      <c r="BC31" s="7" t="str">
        <f t="shared" si="9"/>
        <v>No</v>
      </c>
      <c r="BD31" s="7" t="s">
        <v>1</v>
      </c>
      <c r="BF31" s="7" t="s">
        <v>3966</v>
      </c>
      <c r="BQ31" s="22"/>
      <c r="CH31" s="7" t="str">
        <f t="shared" si="10"/>
        <v/>
      </c>
    </row>
    <row r="32" spans="1:121">
      <c r="A32" s="7" t="s">
        <v>272</v>
      </c>
      <c r="B32" s="7">
        <v>419</v>
      </c>
      <c r="C32" s="7" t="s">
        <v>3965</v>
      </c>
      <c r="D32" s="7" t="s">
        <v>1957</v>
      </c>
      <c r="E32" s="7" t="s">
        <v>2271</v>
      </c>
      <c r="F32" s="7">
        <v>2040</v>
      </c>
      <c r="G32" s="7">
        <v>2019</v>
      </c>
      <c r="H32" s="26" t="s">
        <v>3964</v>
      </c>
      <c r="I32" s="24" t="str">
        <f t="shared" si="0"/>
        <v/>
      </c>
      <c r="L32" s="7" t="str">
        <f t="shared" si="1"/>
        <v/>
      </c>
      <c r="M32" s="21" t="str">
        <f t="shared" si="2"/>
        <v/>
      </c>
      <c r="N32" s="7" t="s">
        <v>1960</v>
      </c>
      <c r="T32" s="7" t="str">
        <f t="shared" si="3"/>
        <v/>
      </c>
      <c r="U32" s="7" t="s">
        <v>1969</v>
      </c>
      <c r="V32" s="7" t="s">
        <v>1659</v>
      </c>
      <c r="X32" s="7" t="s">
        <v>3963</v>
      </c>
      <c r="AD32" s="24">
        <v>29870</v>
      </c>
      <c r="AE32" s="7">
        <v>8.2000000000000003E-2</v>
      </c>
      <c r="AF32" s="7" t="s">
        <v>3962</v>
      </c>
      <c r="AG32" s="7">
        <v>-1E-3</v>
      </c>
      <c r="AH32" s="7" t="s">
        <v>3961</v>
      </c>
      <c r="AI32" s="7">
        <v>63000</v>
      </c>
      <c r="AJ32" s="7">
        <v>31</v>
      </c>
      <c r="AK32" s="7">
        <v>19</v>
      </c>
      <c r="AL32" s="7" t="s">
        <v>2120</v>
      </c>
      <c r="AN32" s="7" t="s">
        <v>3960</v>
      </c>
      <c r="AT32" s="7" t="str">
        <f t="shared" si="11"/>
        <v>CN</v>
      </c>
      <c r="AU32" s="7" t="str">
        <f t="shared" si="4"/>
        <v>None</v>
      </c>
      <c r="AV32" s="7" t="str">
        <f t="shared" si="5"/>
        <v/>
      </c>
      <c r="AW32" s="7" t="str">
        <f t="shared" si="6"/>
        <v/>
      </c>
      <c r="AX32" s="7" t="str">
        <f t="shared" si="7"/>
        <v/>
      </c>
      <c r="BB32" s="7" t="str">
        <f t="shared" si="8"/>
        <v/>
      </c>
      <c r="BC32" s="7" t="str">
        <f t="shared" si="9"/>
        <v>No - but post-2030 commitment</v>
      </c>
      <c r="BD32" s="7" t="s">
        <v>1963</v>
      </c>
      <c r="BQ32" s="22"/>
      <c r="CD32" s="7" t="s">
        <v>361</v>
      </c>
      <c r="CF32" s="25" t="s">
        <v>3959</v>
      </c>
      <c r="CH32" s="7" t="str">
        <f t="shared" si="10"/>
        <v/>
      </c>
    </row>
    <row r="33" spans="1:103">
      <c r="A33" s="7" t="s">
        <v>1188</v>
      </c>
      <c r="B33" s="7">
        <v>205</v>
      </c>
      <c r="C33" t="s">
        <v>1192</v>
      </c>
      <c r="D33"/>
      <c r="E33"/>
      <c r="I33" s="24" t="str">
        <f t="shared" si="0"/>
        <v>Yes</v>
      </c>
      <c r="J33" s="7">
        <v>2025</v>
      </c>
      <c r="K33" s="7">
        <v>2017</v>
      </c>
      <c r="L33" s="7" t="str">
        <f t="shared" si="1"/>
        <v>T</v>
      </c>
      <c r="M33" s="21">
        <f t="shared" si="2"/>
        <v>2025</v>
      </c>
      <c r="N33" s="7">
        <v>2018</v>
      </c>
      <c r="T33" s="7" t="str">
        <f t="shared" si="3"/>
        <v>Nothing</v>
      </c>
      <c r="U33" s="7" t="s">
        <v>1</v>
      </c>
      <c r="AD33" s="24">
        <v>53723</v>
      </c>
      <c r="AE33" s="7">
        <v>-1.6E-2</v>
      </c>
      <c r="AF33" s="7" t="s">
        <v>3958</v>
      </c>
      <c r="AG33" s="7">
        <v>1.1000000000000001</v>
      </c>
      <c r="AH33" s="7" t="s">
        <v>3957</v>
      </c>
      <c r="AI33" s="7">
        <v>171915</v>
      </c>
      <c r="AJ33" s="7">
        <v>-13</v>
      </c>
      <c r="AK33" s="7">
        <v>15</v>
      </c>
      <c r="AL33" t="s">
        <v>23</v>
      </c>
      <c r="AN33" t="s">
        <v>1951</v>
      </c>
      <c r="AT33" s="7" t="str">
        <f t="shared" si="11"/>
        <v>SBT &amp; RE100</v>
      </c>
      <c r="AU33" s="7" t="str">
        <f t="shared" si="4"/>
        <v>SBT &amp; RE100</v>
      </c>
      <c r="AV33" s="7" t="str">
        <f t="shared" si="5"/>
        <v/>
      </c>
      <c r="AW33" s="7">
        <f t="shared" si="6"/>
        <v>2018</v>
      </c>
      <c r="AX33" s="7">
        <f t="shared" si="7"/>
        <v>2017</v>
      </c>
      <c r="BB33" s="7" t="str">
        <f t="shared" si="8"/>
        <v>Yes</v>
      </c>
      <c r="BC33" s="7" t="str">
        <f t="shared" si="9"/>
        <v>No</v>
      </c>
      <c r="BD33" s="7" t="s">
        <v>1</v>
      </c>
      <c r="BH33" t="s">
        <v>22</v>
      </c>
      <c r="BI33" t="s">
        <v>2156</v>
      </c>
      <c r="BJ33" t="s">
        <v>881</v>
      </c>
      <c r="BM33" t="s">
        <v>3956</v>
      </c>
      <c r="BN33" s="7">
        <v>2025</v>
      </c>
      <c r="BO33" s="7">
        <v>2025</v>
      </c>
      <c r="BP33" s="7">
        <v>2025</v>
      </c>
      <c r="BQ33" s="22">
        <v>0.35</v>
      </c>
      <c r="CG33" s="7" t="s">
        <v>1192</v>
      </c>
      <c r="CH33" s="7" t="str">
        <f t="shared" si="10"/>
        <v>yes</v>
      </c>
      <c r="CI33" s="7" t="s">
        <v>13</v>
      </c>
      <c r="CJ33" s="7">
        <v>0.21</v>
      </c>
      <c r="CK33" s="7">
        <v>0.05</v>
      </c>
      <c r="CL33" s="7">
        <v>0.05</v>
      </c>
      <c r="CM33" s="7" t="s">
        <v>13</v>
      </c>
      <c r="CN33" s="7" t="s">
        <v>13</v>
      </c>
      <c r="CO33" s="7" t="s">
        <v>3152</v>
      </c>
      <c r="CW33" s="7" t="s">
        <v>361</v>
      </c>
      <c r="CX33" s="7" t="s">
        <v>361</v>
      </c>
    </row>
    <row r="34" spans="1:103">
      <c r="A34" s="7" t="s">
        <v>306</v>
      </c>
      <c r="B34" s="7">
        <v>367</v>
      </c>
      <c r="I34" s="24" t="str">
        <f t="shared" si="0"/>
        <v/>
      </c>
      <c r="L34" s="7" t="str">
        <f t="shared" si="1"/>
        <v/>
      </c>
      <c r="M34" s="21" t="str">
        <f t="shared" si="2"/>
        <v/>
      </c>
      <c r="N34" s="7" t="s">
        <v>1960</v>
      </c>
      <c r="T34" s="7" t="str">
        <f t="shared" si="3"/>
        <v>Nothing</v>
      </c>
      <c r="U34" s="7" t="s">
        <v>1963</v>
      </c>
      <c r="AD34" s="24">
        <v>33916</v>
      </c>
      <c r="AE34" s="7">
        <v>0.19</v>
      </c>
      <c r="AF34" s="7" t="s">
        <v>3955</v>
      </c>
      <c r="AG34" s="7">
        <v>8.7999999999999995E-2</v>
      </c>
      <c r="AH34" s="7" t="s">
        <v>3954</v>
      </c>
      <c r="AI34" s="7">
        <v>55952</v>
      </c>
      <c r="AJ34" s="7">
        <v>74</v>
      </c>
      <c r="AK34" s="7">
        <v>2</v>
      </c>
      <c r="AT34" s="7" t="str">
        <f t="shared" si="11"/>
        <v>None</v>
      </c>
      <c r="AU34" s="7" t="str">
        <f t="shared" si="4"/>
        <v>None</v>
      </c>
      <c r="AV34" s="7" t="str">
        <f t="shared" si="5"/>
        <v/>
      </c>
      <c r="AW34" s="7" t="str">
        <f t="shared" si="6"/>
        <v/>
      </c>
      <c r="AX34" s="7" t="str">
        <f t="shared" si="7"/>
        <v/>
      </c>
      <c r="BB34" s="7" t="str">
        <f t="shared" ref="BB34:BB65" si="23">IF(BH34="","","Yes")</f>
        <v/>
      </c>
      <c r="BC34" s="7" t="str">
        <f t="shared" si="9"/>
        <v>No</v>
      </c>
      <c r="BD34" s="7" t="s">
        <v>1963</v>
      </c>
      <c r="BQ34" s="22"/>
      <c r="CH34" s="7" t="str">
        <f t="shared" si="10"/>
        <v/>
      </c>
    </row>
    <row r="35" spans="1:103">
      <c r="A35" s="7" t="s">
        <v>549</v>
      </c>
      <c r="B35" s="7">
        <v>401</v>
      </c>
      <c r="I35" s="24" t="str">
        <f t="shared" si="0"/>
        <v/>
      </c>
      <c r="L35" s="7" t="str">
        <f t="shared" si="1"/>
        <v/>
      </c>
      <c r="M35" s="21" t="str">
        <f t="shared" si="2"/>
        <v/>
      </c>
      <c r="N35" s="7" t="s">
        <v>1960</v>
      </c>
      <c r="T35" s="7" t="str">
        <f t="shared" si="3"/>
        <v>Nothing</v>
      </c>
      <c r="U35" s="7" t="s">
        <v>1</v>
      </c>
      <c r="AD35" s="24">
        <v>31469</v>
      </c>
      <c r="AE35" s="7">
        <v>-3.5000000000000003E-2</v>
      </c>
      <c r="AF35" s="7" t="s">
        <v>3953</v>
      </c>
      <c r="AG35" s="7" t="s">
        <v>9</v>
      </c>
      <c r="AH35" s="7" t="s">
        <v>3952</v>
      </c>
      <c r="AI35" s="7">
        <v>126909</v>
      </c>
      <c r="AJ35" s="7">
        <v>-16</v>
      </c>
      <c r="AK35" s="7">
        <v>7</v>
      </c>
      <c r="AT35" s="7" t="str">
        <f t="shared" ref="AT35:AT63" si="24">IF(OR(BC35="Carbon Neutral",BC35="No - but post-2030 commitment"),IF((OR(BH35="Committed",BH35="Targets Set")),IF(J35="", "CN &amp; SBT","CN, SBT &amp; RE100"),IF(CH35="","CN","CN &amp; RE100")),IF((OR(BH35="Committed",BH35="Targets Set")),IF(CH35="", "SBT","SBT &amp; RE100"),IF(CH35="","None","RE100")))</f>
        <v>None</v>
      </c>
      <c r="AU35" s="7" t="str">
        <f t="shared" si="4"/>
        <v>None</v>
      </c>
      <c r="AV35" s="7" t="str">
        <f t="shared" si="5"/>
        <v/>
      </c>
      <c r="AW35" s="7" t="str">
        <f t="shared" si="6"/>
        <v/>
      </c>
      <c r="AX35" s="7" t="str">
        <f t="shared" si="7"/>
        <v/>
      </c>
      <c r="BB35" s="7" t="str">
        <f t="shared" si="23"/>
        <v/>
      </c>
      <c r="BC35" s="7" t="str">
        <f t="shared" si="9"/>
        <v>No</v>
      </c>
      <c r="BD35" s="7" t="s">
        <v>1963</v>
      </c>
      <c r="BQ35" s="22"/>
      <c r="CH35" s="7" t="str">
        <f t="shared" si="10"/>
        <v/>
      </c>
    </row>
    <row r="36" spans="1:103">
      <c r="A36" s="7" t="s">
        <v>1624</v>
      </c>
      <c r="B36" s="7">
        <v>68</v>
      </c>
      <c r="C36" s="7" t="s">
        <v>127</v>
      </c>
      <c r="I36" s="24" t="str">
        <f t="shared" si="0"/>
        <v>Yes</v>
      </c>
      <c r="J36" s="7">
        <v>2025</v>
      </c>
      <c r="K36" s="7">
        <v>2019</v>
      </c>
      <c r="L36" s="7" t="str">
        <f t="shared" si="1"/>
        <v>C</v>
      </c>
      <c r="M36" s="21" t="str">
        <f t="shared" si="2"/>
        <v/>
      </c>
      <c r="N36" s="7">
        <v>2018</v>
      </c>
      <c r="T36" s="7" t="str">
        <f t="shared" si="3"/>
        <v>Nothing</v>
      </c>
      <c r="U36" s="7" t="s">
        <v>1</v>
      </c>
      <c r="AC36" s="8" t="s">
        <v>3951</v>
      </c>
      <c r="AD36" s="24">
        <v>104213</v>
      </c>
      <c r="AE36" s="7">
        <v>0.13100000000000001</v>
      </c>
      <c r="AF36" s="7" t="s">
        <v>3950</v>
      </c>
      <c r="AG36" s="7">
        <v>0.28199999999999997</v>
      </c>
      <c r="AH36" s="7" t="s">
        <v>3949</v>
      </c>
      <c r="AI36" s="7">
        <v>70600</v>
      </c>
      <c r="AJ36" s="7">
        <v>11</v>
      </c>
      <c r="AK36" s="7">
        <v>19</v>
      </c>
      <c r="AL36" s="7" t="s">
        <v>1625</v>
      </c>
      <c r="AN36" s="7" t="s">
        <v>2029</v>
      </c>
      <c r="AT36" s="7" t="str">
        <f t="shared" si="24"/>
        <v>SBT &amp; RE100</v>
      </c>
      <c r="AU36" s="7" t="str">
        <f t="shared" si="4"/>
        <v>SBT &amp; RE100</v>
      </c>
      <c r="AV36" s="7" t="str">
        <f t="shared" si="5"/>
        <v/>
      </c>
      <c r="AW36" s="7">
        <f t="shared" si="6"/>
        <v>2018</v>
      </c>
      <c r="AX36" s="7">
        <f t="shared" si="7"/>
        <v>2019</v>
      </c>
      <c r="BB36" s="7" t="str">
        <f t="shared" si="23"/>
        <v>Yes</v>
      </c>
      <c r="BC36" s="7" t="str">
        <f t="shared" si="9"/>
        <v>No</v>
      </c>
      <c r="BD36" s="7" t="s">
        <v>1</v>
      </c>
      <c r="BF36" s="7" t="s">
        <v>3948</v>
      </c>
      <c r="BH36" s="7" t="s">
        <v>165</v>
      </c>
      <c r="BJ36" s="7" t="s">
        <v>881</v>
      </c>
      <c r="BQ36" s="22"/>
      <c r="CG36" s="7" t="s">
        <v>2027</v>
      </c>
      <c r="CH36" s="7" t="str">
        <f t="shared" si="10"/>
        <v>yes</v>
      </c>
      <c r="CI36" s="7" t="s">
        <v>13</v>
      </c>
      <c r="CJ36" s="7">
        <v>0</v>
      </c>
      <c r="CK36" s="7" t="s">
        <v>13</v>
      </c>
      <c r="CL36" s="7" t="s">
        <v>13</v>
      </c>
      <c r="CM36" s="7" t="s">
        <v>13</v>
      </c>
      <c r="CN36" s="7" t="s">
        <v>13</v>
      </c>
      <c r="CO36" s="7" t="s">
        <v>2955</v>
      </c>
      <c r="CP36" s="7" t="s">
        <v>1945</v>
      </c>
      <c r="CY36" s="7" t="s">
        <v>361</v>
      </c>
    </row>
    <row r="37" spans="1:103">
      <c r="A37" s="7" t="s">
        <v>1846</v>
      </c>
      <c r="B37" s="7">
        <v>12</v>
      </c>
      <c r="C37" s="7" t="s">
        <v>127</v>
      </c>
      <c r="D37" s="7" t="s">
        <v>2062</v>
      </c>
      <c r="E37" s="7" t="s">
        <v>3947</v>
      </c>
      <c r="F37" s="7" t="s">
        <v>2034</v>
      </c>
      <c r="G37" s="7">
        <v>2020</v>
      </c>
      <c r="H37" s="26" t="s">
        <v>3942</v>
      </c>
      <c r="I37" s="24" t="str">
        <f t="shared" si="0"/>
        <v>Yes</v>
      </c>
      <c r="J37" s="7" t="s">
        <v>2034</v>
      </c>
      <c r="K37" s="7">
        <v>2016</v>
      </c>
      <c r="L37" s="7" t="str">
        <f t="shared" si="1"/>
        <v/>
      </c>
      <c r="M37" s="21" t="str">
        <f t="shared" si="2"/>
        <v/>
      </c>
      <c r="N37" s="7" t="s">
        <v>1960</v>
      </c>
      <c r="O37" s="7" t="s">
        <v>1971</v>
      </c>
      <c r="P37" s="7" t="s">
        <v>3946</v>
      </c>
      <c r="Q37" s="7">
        <v>2030</v>
      </c>
      <c r="R37" s="7">
        <v>2020</v>
      </c>
      <c r="S37" s="26" t="s">
        <v>3942</v>
      </c>
      <c r="T37" s="7" t="str">
        <f t="shared" si="3"/>
        <v/>
      </c>
      <c r="U37" s="7" t="s">
        <v>2843</v>
      </c>
      <c r="V37" s="7" t="s">
        <v>3945</v>
      </c>
      <c r="Y37" s="7" t="s">
        <v>3944</v>
      </c>
      <c r="Z37" s="23"/>
      <c r="AB37" s="26" t="s">
        <v>3943</v>
      </c>
      <c r="AC37" s="26" t="s">
        <v>3942</v>
      </c>
      <c r="AD37" s="24">
        <v>260174</v>
      </c>
      <c r="AE37" s="7">
        <v>-0.02</v>
      </c>
      <c r="AF37" s="7" t="s">
        <v>3941</v>
      </c>
      <c r="AG37" s="7">
        <v>-7.1999999999999995E-2</v>
      </c>
      <c r="AH37" s="7" t="s">
        <v>3940</v>
      </c>
      <c r="AI37" s="7">
        <v>137000</v>
      </c>
      <c r="AJ37" s="7">
        <v>-1</v>
      </c>
      <c r="AK37" s="7">
        <v>18</v>
      </c>
      <c r="AL37" t="s">
        <v>204</v>
      </c>
      <c r="AN37" s="7" t="s">
        <v>2029</v>
      </c>
      <c r="AT37" s="7" t="str">
        <f t="shared" si="24"/>
        <v>CN</v>
      </c>
      <c r="AU37" s="7" t="str">
        <f t="shared" si="4"/>
        <v>CN</v>
      </c>
      <c r="AV37" s="7">
        <f t="shared" si="5"/>
        <v>2020</v>
      </c>
      <c r="AW37" s="7" t="str">
        <f t="shared" si="6"/>
        <v/>
      </c>
      <c r="AX37" s="7" t="str">
        <f t="shared" si="7"/>
        <v/>
      </c>
      <c r="BB37" s="7" t="str">
        <f t="shared" si="23"/>
        <v/>
      </c>
      <c r="BC37" s="7" t="str">
        <f t="shared" si="9"/>
        <v>Carbon Neutral</v>
      </c>
      <c r="BD37" s="7" t="s">
        <v>1969</v>
      </c>
      <c r="BF37" s="7" t="s">
        <v>3939</v>
      </c>
      <c r="BG37" s="7" t="s">
        <v>2471</v>
      </c>
      <c r="BQ37" s="22"/>
      <c r="CD37" s="7" t="s">
        <v>361</v>
      </c>
      <c r="CF37" s="25"/>
      <c r="CG37" s="7" t="s">
        <v>2027</v>
      </c>
      <c r="CH37" s="7" t="str">
        <f t="shared" si="10"/>
        <v/>
      </c>
      <c r="CI37" s="7" t="s">
        <v>13</v>
      </c>
      <c r="CJ37" s="7">
        <v>0.99</v>
      </c>
      <c r="CK37" s="7">
        <v>0.97</v>
      </c>
      <c r="CL37" s="7">
        <v>0.95</v>
      </c>
      <c r="CM37" s="7">
        <v>0.93</v>
      </c>
      <c r="CN37" s="7" t="s">
        <v>13</v>
      </c>
      <c r="CO37" s="7" t="s">
        <v>2039</v>
      </c>
      <c r="CT37" s="7" t="s">
        <v>1846</v>
      </c>
      <c r="CU37" s="7" t="s">
        <v>2151</v>
      </c>
      <c r="CV37" s="7">
        <v>31</v>
      </c>
      <c r="CW37" s="7" t="s">
        <v>361</v>
      </c>
      <c r="CY37" s="7" t="s">
        <v>361</v>
      </c>
    </row>
    <row r="38" spans="1:103">
      <c r="A38" s="7" t="s">
        <v>1445</v>
      </c>
      <c r="B38" s="7">
        <v>146</v>
      </c>
      <c r="C38" s="7" t="s">
        <v>1443</v>
      </c>
      <c r="I38" s="24" t="str">
        <f t="shared" si="0"/>
        <v/>
      </c>
      <c r="L38" s="7" t="str">
        <f t="shared" si="1"/>
        <v/>
      </c>
      <c r="M38" s="21" t="str">
        <f t="shared" si="2"/>
        <v/>
      </c>
      <c r="N38" s="7" t="s">
        <v>1960</v>
      </c>
      <c r="T38" s="7" t="str">
        <f t="shared" si="3"/>
        <v>Nothing</v>
      </c>
      <c r="U38" s="7" t="s">
        <v>1</v>
      </c>
      <c r="AC38" s="8" t="s">
        <v>3938</v>
      </c>
      <c r="AD38" s="24">
        <v>70615</v>
      </c>
      <c r="AE38" s="7">
        <v>-7.0999999999999994E-2</v>
      </c>
      <c r="AF38" s="7" t="s">
        <v>3937</v>
      </c>
      <c r="AG38" s="7">
        <v>-1.4770000000000001</v>
      </c>
      <c r="AH38" s="7" t="s">
        <v>3936</v>
      </c>
      <c r="AI38" s="7">
        <v>191248</v>
      </c>
      <c r="AJ38" s="7">
        <v>-26</v>
      </c>
      <c r="AK38" s="7">
        <v>16</v>
      </c>
      <c r="AL38" s="7" t="s">
        <v>2120</v>
      </c>
      <c r="AT38" s="7" t="str">
        <f t="shared" si="24"/>
        <v>None</v>
      </c>
      <c r="AU38" s="7" t="str">
        <f t="shared" si="4"/>
        <v>None</v>
      </c>
      <c r="AV38" s="7" t="str">
        <f t="shared" si="5"/>
        <v/>
      </c>
      <c r="AW38" s="7" t="str">
        <f t="shared" si="6"/>
        <v/>
      </c>
      <c r="AX38" s="7" t="str">
        <f t="shared" si="7"/>
        <v/>
      </c>
      <c r="BB38" s="7" t="str">
        <f t="shared" si="23"/>
        <v/>
      </c>
      <c r="BC38" s="7" t="str">
        <f t="shared" si="9"/>
        <v>No</v>
      </c>
      <c r="BD38" s="7" t="s">
        <v>1</v>
      </c>
      <c r="BF38" s="7" t="s">
        <v>3935</v>
      </c>
      <c r="BQ38" s="22"/>
      <c r="CH38" s="7" t="str">
        <f t="shared" si="10"/>
        <v/>
      </c>
      <c r="CT38" s="7" t="s">
        <v>1445</v>
      </c>
      <c r="CU38" s="7" t="s">
        <v>2109</v>
      </c>
      <c r="CV38" s="7">
        <v>-25</v>
      </c>
      <c r="CW38" s="7" t="s">
        <v>361</v>
      </c>
    </row>
    <row r="39" spans="1:103">
      <c r="A39" s="7" t="s">
        <v>1307</v>
      </c>
      <c r="B39" s="7">
        <v>168</v>
      </c>
      <c r="I39" s="24" t="str">
        <f t="shared" si="0"/>
        <v/>
      </c>
      <c r="L39" s="7" t="str">
        <f t="shared" si="1"/>
        <v/>
      </c>
      <c r="M39" s="21" t="str">
        <f t="shared" si="2"/>
        <v/>
      </c>
      <c r="N39" s="7" t="s">
        <v>1960</v>
      </c>
      <c r="T39" s="7" t="str">
        <f t="shared" si="3"/>
        <v>Nothing</v>
      </c>
      <c r="U39" s="7" t="s">
        <v>1</v>
      </c>
      <c r="AC39" s="8" t="s">
        <v>3934</v>
      </c>
      <c r="AD39" s="24">
        <v>64656</v>
      </c>
      <c r="AE39" s="7">
        <v>5.0000000000000001E-3</v>
      </c>
      <c r="AF39" s="7" t="s">
        <v>3933</v>
      </c>
      <c r="AG39" s="7">
        <v>-0.23799999999999999</v>
      </c>
      <c r="AH39" s="7" t="s">
        <v>3932</v>
      </c>
      <c r="AI39" s="7">
        <v>38100</v>
      </c>
      <c r="AJ39" s="7">
        <v>-13</v>
      </c>
      <c r="AK39" s="7">
        <v>26</v>
      </c>
      <c r="AT39" s="7" t="str">
        <f t="shared" si="24"/>
        <v>None</v>
      </c>
      <c r="AU39" s="7" t="str">
        <f t="shared" si="4"/>
        <v>None</v>
      </c>
      <c r="AV39" s="7" t="str">
        <f t="shared" si="5"/>
        <v/>
      </c>
      <c r="AW39" s="7" t="str">
        <f t="shared" si="6"/>
        <v/>
      </c>
      <c r="AX39" s="7" t="str">
        <f t="shared" si="7"/>
        <v/>
      </c>
      <c r="BB39" s="7" t="str">
        <f t="shared" si="23"/>
        <v/>
      </c>
      <c r="BC39" s="7" t="str">
        <f t="shared" si="9"/>
        <v>No</v>
      </c>
      <c r="BD39" s="7" t="s">
        <v>1</v>
      </c>
      <c r="BF39" s="7" t="s">
        <v>3931</v>
      </c>
      <c r="BQ39" s="22"/>
      <c r="CH39" s="7" t="str">
        <f t="shared" si="10"/>
        <v/>
      </c>
      <c r="CW39" s="7" t="s">
        <v>361</v>
      </c>
      <c r="CY39" s="7" t="s">
        <v>361</v>
      </c>
    </row>
    <row r="40" spans="1:103">
      <c r="A40" s="7" t="s">
        <v>393</v>
      </c>
      <c r="B40" s="7">
        <v>441</v>
      </c>
      <c r="I40" s="24" t="str">
        <f t="shared" si="0"/>
        <v/>
      </c>
      <c r="L40" s="7" t="str">
        <f t="shared" si="1"/>
        <v/>
      </c>
      <c r="M40" s="21" t="str">
        <f t="shared" si="2"/>
        <v/>
      </c>
      <c r="N40" s="7" t="s">
        <v>1960</v>
      </c>
      <c r="T40" s="7" t="str">
        <f t="shared" si="3"/>
        <v>Nothing</v>
      </c>
      <c r="U40" s="7" t="s">
        <v>1</v>
      </c>
      <c r="AD40" s="24">
        <v>28917</v>
      </c>
      <c r="AE40" s="7">
        <v>-2.5999999999999999E-2</v>
      </c>
      <c r="AF40" s="7" t="s">
        <v>3930</v>
      </c>
      <c r="AG40" s="7">
        <v>-1.2849999999999999</v>
      </c>
      <c r="AH40" s="7" t="s">
        <v>3929</v>
      </c>
      <c r="AI40" s="7">
        <v>19300</v>
      </c>
      <c r="AJ40" s="7">
        <v>-20</v>
      </c>
      <c r="AK40" s="7">
        <v>7</v>
      </c>
      <c r="AT40" s="7" t="str">
        <f t="shared" si="24"/>
        <v>None</v>
      </c>
      <c r="AU40" s="7" t="str">
        <f t="shared" si="4"/>
        <v>None</v>
      </c>
      <c r="AV40" s="7" t="str">
        <f t="shared" si="5"/>
        <v/>
      </c>
      <c r="AW40" s="7" t="str">
        <f t="shared" si="6"/>
        <v/>
      </c>
      <c r="AX40" s="7" t="str">
        <f t="shared" si="7"/>
        <v/>
      </c>
      <c r="BB40" s="7" t="str">
        <f t="shared" si="23"/>
        <v/>
      </c>
      <c r="BC40" s="7" t="str">
        <f t="shared" si="9"/>
        <v>No</v>
      </c>
      <c r="BD40" s="7" t="s">
        <v>1</v>
      </c>
      <c r="BF40" s="7" t="s">
        <v>3928</v>
      </c>
      <c r="BQ40" s="22"/>
      <c r="CD40" s="7" t="s">
        <v>361</v>
      </c>
      <c r="CH40" s="7" t="str">
        <f t="shared" si="10"/>
        <v/>
      </c>
    </row>
    <row r="41" spans="1:103">
      <c r="A41" s="7" t="s">
        <v>1562</v>
      </c>
      <c r="B41" s="7">
        <v>66</v>
      </c>
      <c r="I41" s="24" t="str">
        <f t="shared" si="0"/>
        <v/>
      </c>
      <c r="L41" s="7" t="str">
        <f t="shared" si="1"/>
        <v/>
      </c>
      <c r="M41" s="21" t="str">
        <f t="shared" si="2"/>
        <v/>
      </c>
      <c r="N41" s="7" t="s">
        <v>1960</v>
      </c>
      <c r="T41" s="7" t="str">
        <f t="shared" si="3"/>
        <v>Nothing</v>
      </c>
      <c r="U41" s="7" t="s">
        <v>1</v>
      </c>
      <c r="AC41" s="8" t="s">
        <v>3927</v>
      </c>
      <c r="AD41" s="24">
        <v>105921</v>
      </c>
      <c r="AE41" s="7">
        <v>0.20100000000000001</v>
      </c>
      <c r="AF41" s="7" t="s">
        <v>3926</v>
      </c>
      <c r="AG41" s="7">
        <v>9.7000000000000003E-2</v>
      </c>
      <c r="AH41" s="7" t="s">
        <v>3925</v>
      </c>
      <c r="AI41" s="7">
        <v>71936</v>
      </c>
      <c r="AJ41" s="7">
        <v>26</v>
      </c>
      <c r="AK41" s="7">
        <v>26</v>
      </c>
      <c r="AT41" s="7" t="str">
        <f t="shared" si="24"/>
        <v>None</v>
      </c>
      <c r="AU41" s="7" t="str">
        <f t="shared" si="4"/>
        <v>None</v>
      </c>
      <c r="AV41" s="7" t="str">
        <f t="shared" si="5"/>
        <v/>
      </c>
      <c r="AW41" s="7" t="str">
        <f t="shared" si="6"/>
        <v/>
      </c>
      <c r="AX41" s="7" t="str">
        <f t="shared" si="7"/>
        <v/>
      </c>
      <c r="BB41" s="7" t="str">
        <f t="shared" si="23"/>
        <v/>
      </c>
      <c r="BC41" s="7" t="str">
        <f t="shared" si="9"/>
        <v>No</v>
      </c>
      <c r="BD41" s="7" t="s">
        <v>1</v>
      </c>
      <c r="BF41" s="7" t="s">
        <v>3924</v>
      </c>
      <c r="BQ41" s="22"/>
      <c r="CH41" s="7" t="str">
        <f t="shared" si="10"/>
        <v/>
      </c>
    </row>
    <row r="42" spans="1:103">
      <c r="A42" s="7" t="s">
        <v>1800</v>
      </c>
      <c r="B42" s="7">
        <v>22</v>
      </c>
      <c r="C42" s="7" t="s">
        <v>127</v>
      </c>
      <c r="I42" s="24" t="str">
        <f t="shared" si="0"/>
        <v/>
      </c>
      <c r="L42" s="7" t="str">
        <f t="shared" si="1"/>
        <v>T</v>
      </c>
      <c r="M42" s="21">
        <f t="shared" si="2"/>
        <v>2028</v>
      </c>
      <c r="N42" s="7">
        <v>2020</v>
      </c>
      <c r="T42" s="7" t="str">
        <f t="shared" si="3"/>
        <v>Nothing</v>
      </c>
      <c r="U42" s="7" t="s">
        <v>1</v>
      </c>
      <c r="AC42" s="26" t="s">
        <v>3923</v>
      </c>
      <c r="AD42" s="24">
        <v>181193</v>
      </c>
      <c r="AE42" s="7">
        <v>6.0999999999999999E-2</v>
      </c>
      <c r="AF42" s="7" t="s">
        <v>3922</v>
      </c>
      <c r="AG42" s="7">
        <v>-0.28199999999999997</v>
      </c>
      <c r="AH42" s="7" t="s">
        <v>3921</v>
      </c>
      <c r="AI42" s="7">
        <v>247800</v>
      </c>
      <c r="AJ42" s="7">
        <v>3</v>
      </c>
      <c r="AK42" s="7">
        <v>26</v>
      </c>
      <c r="AL42" s="7" t="s">
        <v>461</v>
      </c>
      <c r="AN42" s="7" t="s">
        <v>2029</v>
      </c>
      <c r="AT42" s="7" t="str">
        <f t="shared" si="24"/>
        <v>SBT</v>
      </c>
      <c r="AU42" s="7" t="str">
        <f t="shared" si="4"/>
        <v>SBT</v>
      </c>
      <c r="AV42" s="7" t="str">
        <f t="shared" si="5"/>
        <v/>
      </c>
      <c r="AW42" s="7">
        <f t="shared" si="6"/>
        <v>2020</v>
      </c>
      <c r="AX42" s="7" t="str">
        <f t="shared" si="7"/>
        <v/>
      </c>
      <c r="BB42" s="7" t="str">
        <f t="shared" si="23"/>
        <v>Yes</v>
      </c>
      <c r="BC42" s="7" t="str">
        <f t="shared" si="9"/>
        <v>No</v>
      </c>
      <c r="BD42" s="7" t="s">
        <v>1</v>
      </c>
      <c r="BF42" s="23" t="s">
        <v>3920</v>
      </c>
      <c r="BH42" s="7" t="s">
        <v>22</v>
      </c>
      <c r="BI42" s="7" t="s">
        <v>2040</v>
      </c>
      <c r="BJ42" s="7" t="s">
        <v>2960</v>
      </c>
      <c r="BM42" s="7" t="s">
        <v>3919</v>
      </c>
      <c r="BN42" s="7">
        <v>2030</v>
      </c>
      <c r="BO42" s="7">
        <v>2030</v>
      </c>
      <c r="BP42" s="7">
        <v>2024</v>
      </c>
      <c r="BQ42" s="22">
        <v>0.26</v>
      </c>
      <c r="CH42" s="7" t="str">
        <f t="shared" si="10"/>
        <v/>
      </c>
      <c r="CX42" s="7" t="s">
        <v>361</v>
      </c>
      <c r="CY42" s="7" t="s">
        <v>361</v>
      </c>
    </row>
    <row r="43" spans="1:103">
      <c r="A43" s="7" t="s">
        <v>1283</v>
      </c>
      <c r="B43" s="7">
        <v>196</v>
      </c>
      <c r="C43" s="7" t="s">
        <v>63</v>
      </c>
      <c r="H43" s="8" t="s">
        <v>3918</v>
      </c>
      <c r="I43" s="24" t="str">
        <f t="shared" si="0"/>
        <v/>
      </c>
      <c r="L43" s="7" t="str">
        <f t="shared" si="1"/>
        <v>C</v>
      </c>
      <c r="M43" s="21" t="str">
        <f t="shared" si="2"/>
        <v/>
      </c>
      <c r="N43" s="7">
        <v>2020</v>
      </c>
      <c r="T43" s="7" t="str">
        <f t="shared" si="3"/>
        <v>Nothing</v>
      </c>
      <c r="U43" s="7" t="s">
        <v>1</v>
      </c>
      <c r="X43" s="7" t="s">
        <v>3917</v>
      </c>
      <c r="AD43" s="24">
        <v>54672</v>
      </c>
      <c r="AE43" s="7">
        <v>-0.1</v>
      </c>
      <c r="AF43" s="7" t="s">
        <v>3916</v>
      </c>
      <c r="AG43" s="7" t="s">
        <v>9</v>
      </c>
      <c r="AH43" s="7" t="s">
        <v>3915</v>
      </c>
      <c r="AI43" s="7">
        <v>308137</v>
      </c>
      <c r="AJ43" s="7">
        <v>-32</v>
      </c>
      <c r="AK43" s="7">
        <v>24</v>
      </c>
      <c r="AL43" s="7" t="s">
        <v>454</v>
      </c>
      <c r="AN43" s="7" t="s">
        <v>1951</v>
      </c>
      <c r="AT43" s="7" t="str">
        <f t="shared" si="24"/>
        <v>SBT</v>
      </c>
      <c r="AU43" s="7" t="str">
        <f t="shared" si="4"/>
        <v>SBT</v>
      </c>
      <c r="AV43" s="7" t="str">
        <f t="shared" si="5"/>
        <v/>
      </c>
      <c r="AW43" s="7">
        <f t="shared" si="6"/>
        <v>2020</v>
      </c>
      <c r="AX43" s="7" t="str">
        <f t="shared" si="7"/>
        <v/>
      </c>
      <c r="BB43" s="7" t="str">
        <f t="shared" si="23"/>
        <v>Yes</v>
      </c>
      <c r="BC43" s="7" t="str">
        <f t="shared" si="9"/>
        <v>No</v>
      </c>
      <c r="BD43" s="7" t="s">
        <v>1</v>
      </c>
      <c r="BH43" s="7" t="s">
        <v>165</v>
      </c>
      <c r="BJ43" s="7" t="s">
        <v>2375</v>
      </c>
      <c r="BQ43" s="22"/>
      <c r="CH43" s="7" t="str">
        <f t="shared" si="10"/>
        <v/>
      </c>
    </row>
    <row r="44" spans="1:103">
      <c r="A44" s="7" t="s">
        <v>1325</v>
      </c>
      <c r="B44" s="7">
        <v>163</v>
      </c>
      <c r="C44" s="7" t="s">
        <v>73</v>
      </c>
      <c r="I44" s="24" t="str">
        <f t="shared" si="0"/>
        <v/>
      </c>
      <c r="L44" s="7" t="str">
        <f t="shared" si="1"/>
        <v/>
      </c>
      <c r="M44" s="21" t="str">
        <f t="shared" si="2"/>
        <v/>
      </c>
      <c r="N44" s="7" t="s">
        <v>1960</v>
      </c>
      <c r="T44" s="7" t="str">
        <f t="shared" si="3"/>
        <v>Nothing</v>
      </c>
      <c r="U44" s="7" t="s">
        <v>1</v>
      </c>
      <c r="AD44" s="24">
        <v>65909</v>
      </c>
      <c r="AE44" s="7">
        <v>6.0000000000000001E-3</v>
      </c>
      <c r="AF44" s="7" t="s">
        <v>3914</v>
      </c>
      <c r="AG44" s="7">
        <v>-0.16800000000000001</v>
      </c>
      <c r="AH44" s="7" t="s">
        <v>3913</v>
      </c>
      <c r="AI44" s="7">
        <v>417798</v>
      </c>
      <c r="AJ44" s="7">
        <v>-12</v>
      </c>
      <c r="AK44" s="7">
        <v>12</v>
      </c>
      <c r="AN44" s="7" t="s">
        <v>1994</v>
      </c>
      <c r="AT44" s="7" t="str">
        <f t="shared" si="24"/>
        <v>None</v>
      </c>
      <c r="AU44" s="7" t="str">
        <f t="shared" si="4"/>
        <v>None</v>
      </c>
      <c r="AV44" s="7" t="str">
        <f t="shared" si="5"/>
        <v/>
      </c>
      <c r="AW44" s="7" t="str">
        <f t="shared" si="6"/>
        <v/>
      </c>
      <c r="AX44" s="7" t="str">
        <f t="shared" si="7"/>
        <v/>
      </c>
      <c r="BB44" s="7" t="str">
        <f t="shared" si="23"/>
        <v/>
      </c>
      <c r="BC44" s="7" t="str">
        <f t="shared" si="9"/>
        <v>No</v>
      </c>
      <c r="BD44" s="7" t="s">
        <v>1</v>
      </c>
      <c r="BQ44" s="22"/>
      <c r="CH44" s="7" t="str">
        <f t="shared" si="10"/>
        <v/>
      </c>
    </row>
    <row r="45" spans="1:103">
      <c r="A45" s="7" t="s">
        <v>3912</v>
      </c>
      <c r="B45" s="7">
        <v>88</v>
      </c>
      <c r="C45" s="7" t="s">
        <v>2070</v>
      </c>
      <c r="D45" s="7" t="s">
        <v>1957</v>
      </c>
      <c r="E45" s="7" t="s">
        <v>3911</v>
      </c>
      <c r="F45" s="7">
        <v>2006</v>
      </c>
      <c r="G45" s="7">
        <v>2006</v>
      </c>
      <c r="H45" s="8" t="s">
        <v>3910</v>
      </c>
      <c r="I45" s="24" t="str">
        <f t="shared" si="0"/>
        <v>Yes</v>
      </c>
      <c r="J45" s="7">
        <v>2025</v>
      </c>
      <c r="K45" s="7">
        <v>2015</v>
      </c>
      <c r="L45" s="7" t="str">
        <f t="shared" si="1"/>
        <v/>
      </c>
      <c r="M45" s="21" t="str">
        <f t="shared" si="2"/>
        <v/>
      </c>
      <c r="N45" s="7" t="s">
        <v>1960</v>
      </c>
      <c r="T45" s="7" t="str">
        <f t="shared" si="3"/>
        <v/>
      </c>
      <c r="U45" s="7" t="s">
        <v>361</v>
      </c>
      <c r="V45" s="7" t="s">
        <v>3909</v>
      </c>
      <c r="AC45" s="8" t="s">
        <v>3908</v>
      </c>
      <c r="AD45" s="24">
        <v>89647</v>
      </c>
      <c r="AE45" s="7">
        <v>2.7759999999999998</v>
      </c>
      <c r="AF45" s="7" t="s">
        <v>3907</v>
      </c>
      <c r="AG45" s="7">
        <v>0.55500000000000005</v>
      </c>
      <c r="AH45" s="7" t="s">
        <v>3906</v>
      </c>
      <c r="AI45" s="7">
        <v>31181</v>
      </c>
      <c r="AJ45" s="7" t="s">
        <v>9</v>
      </c>
      <c r="AK45" s="7">
        <v>25</v>
      </c>
      <c r="AL45" s="7" t="s">
        <v>93</v>
      </c>
      <c r="AN45" s="7" t="s">
        <v>1951</v>
      </c>
      <c r="AT45" s="7" t="str">
        <f t="shared" si="24"/>
        <v>CN &amp; RE100</v>
      </c>
      <c r="AU45" s="7" t="str">
        <f t="shared" si="4"/>
        <v>CN &amp; RE100</v>
      </c>
      <c r="AV45" s="7">
        <f t="shared" si="5"/>
        <v>2006</v>
      </c>
      <c r="AW45" s="7" t="str">
        <f t="shared" si="6"/>
        <v/>
      </c>
      <c r="AX45" s="7">
        <f t="shared" si="7"/>
        <v>2015</v>
      </c>
      <c r="BB45" s="7" t="str">
        <f t="shared" si="23"/>
        <v/>
      </c>
      <c r="BC45" s="7" t="str">
        <f t="shared" si="9"/>
        <v>Carbon Neutral</v>
      </c>
      <c r="BD45" s="7" t="s">
        <v>1</v>
      </c>
      <c r="BF45" s="7" t="s">
        <v>3905</v>
      </c>
      <c r="BQ45" s="22"/>
      <c r="CD45" s="7" t="s">
        <v>361</v>
      </c>
      <c r="CF45" s="25"/>
      <c r="CG45" s="7" t="s">
        <v>2070</v>
      </c>
      <c r="CH45" s="7" t="str">
        <f t="shared" si="10"/>
        <v>yes</v>
      </c>
      <c r="CI45" s="7" t="s">
        <v>428</v>
      </c>
      <c r="CJ45" s="7">
        <v>0.61</v>
      </c>
      <c r="CK45" s="7">
        <v>0.61</v>
      </c>
      <c r="CL45" s="7">
        <v>0.61</v>
      </c>
      <c r="CM45" s="7">
        <v>0.62</v>
      </c>
      <c r="CN45" s="7">
        <v>0.56000000000000005</v>
      </c>
      <c r="CO45" s="7" t="s">
        <v>2069</v>
      </c>
    </row>
    <row r="46" spans="1:103">
      <c r="A46" s="7" t="s">
        <v>1725</v>
      </c>
      <c r="B46" s="7">
        <v>34</v>
      </c>
      <c r="C46" s="7" t="s">
        <v>63</v>
      </c>
      <c r="H46" s="26" t="s">
        <v>3904</v>
      </c>
      <c r="I46" s="24" t="str">
        <f t="shared" si="0"/>
        <v>Yes</v>
      </c>
      <c r="J46" s="7">
        <v>2025</v>
      </c>
      <c r="K46" s="7">
        <v>2017</v>
      </c>
      <c r="L46" s="7" t="str">
        <f t="shared" si="1"/>
        <v>C</v>
      </c>
      <c r="M46" s="21" t="str">
        <f t="shared" si="2"/>
        <v/>
      </c>
      <c r="N46" s="7">
        <v>2015</v>
      </c>
      <c r="T46" s="7" t="str">
        <f t="shared" si="3"/>
        <v>Nothing</v>
      </c>
      <c r="U46" s="7" t="s">
        <v>1</v>
      </c>
      <c r="AC46" s="26" t="s">
        <v>3903</v>
      </c>
      <c r="AD46" s="24">
        <v>148984</v>
      </c>
      <c r="AE46" s="7">
        <v>0.186</v>
      </c>
      <c r="AF46" s="7" t="s">
        <v>3902</v>
      </c>
      <c r="AG46" s="7">
        <v>0.70899999999999996</v>
      </c>
      <c r="AH46" s="7" t="s">
        <v>3901</v>
      </c>
      <c r="AI46" s="7">
        <v>99843</v>
      </c>
      <c r="AJ46" s="7">
        <v>12</v>
      </c>
      <c r="AK46" s="7">
        <v>26</v>
      </c>
      <c r="AL46" s="7" t="s">
        <v>93</v>
      </c>
      <c r="AN46" s="7" t="s">
        <v>1951</v>
      </c>
      <c r="AT46" s="7" t="str">
        <f t="shared" si="24"/>
        <v>SBT &amp; RE100</v>
      </c>
      <c r="AU46" s="7" t="str">
        <f t="shared" si="4"/>
        <v>SBT &amp; RE100</v>
      </c>
      <c r="AV46" s="7" t="str">
        <f t="shared" si="5"/>
        <v/>
      </c>
      <c r="AW46" s="7">
        <f t="shared" si="6"/>
        <v>2015</v>
      </c>
      <c r="AX46" s="7">
        <f t="shared" si="7"/>
        <v>2017</v>
      </c>
      <c r="BB46" s="7" t="str">
        <f t="shared" si="23"/>
        <v>Yes</v>
      </c>
      <c r="BC46" s="7" t="str">
        <f t="shared" si="9"/>
        <v>No</v>
      </c>
      <c r="BD46" s="7" t="s">
        <v>1</v>
      </c>
      <c r="BF46" s="23" t="s">
        <v>3900</v>
      </c>
      <c r="BH46" s="7" t="s">
        <v>165</v>
      </c>
      <c r="BJ46" s="7" t="s">
        <v>791</v>
      </c>
      <c r="BQ46" s="22"/>
      <c r="CG46" s="7" t="s">
        <v>63</v>
      </c>
      <c r="CH46" s="7" t="str">
        <f t="shared" si="10"/>
        <v>yes</v>
      </c>
      <c r="CI46" s="7" t="s">
        <v>13</v>
      </c>
      <c r="CJ46" s="7">
        <v>0.49</v>
      </c>
      <c r="CK46" s="7">
        <v>0.5</v>
      </c>
      <c r="CL46" s="7">
        <v>0.53</v>
      </c>
      <c r="CM46" s="7" t="s">
        <v>13</v>
      </c>
      <c r="CN46" s="7" t="s">
        <v>13</v>
      </c>
      <c r="CO46" s="7" t="s">
        <v>2069</v>
      </c>
    </row>
    <row r="47" spans="1:103">
      <c r="A47" s="7" t="s">
        <v>1044</v>
      </c>
      <c r="B47" s="7">
        <v>254</v>
      </c>
      <c r="C47" s="7" t="s">
        <v>267</v>
      </c>
      <c r="D47" s="7" t="s">
        <v>1957</v>
      </c>
      <c r="E47" s="1" t="s">
        <v>3898</v>
      </c>
      <c r="F47" s="1">
        <v>2020</v>
      </c>
      <c r="G47" s="1">
        <v>2020</v>
      </c>
      <c r="H47" s="28" t="s">
        <v>3899</v>
      </c>
      <c r="I47" s="24" t="str">
        <f t="shared" si="0"/>
        <v>Yes</v>
      </c>
      <c r="J47" s="7">
        <v>2030</v>
      </c>
      <c r="K47" s="7">
        <v>2018</v>
      </c>
      <c r="L47" s="7" t="str">
        <f t="shared" si="1"/>
        <v>C</v>
      </c>
      <c r="M47" s="21" t="str">
        <f t="shared" si="2"/>
        <v/>
      </c>
      <c r="N47" s="7">
        <v>2018</v>
      </c>
      <c r="Q47" s="1"/>
      <c r="R47" s="1"/>
      <c r="T47" s="7" t="str">
        <f t="shared" si="3"/>
        <v/>
      </c>
      <c r="U47" s="7" t="s">
        <v>1969</v>
      </c>
      <c r="V47" s="1" t="s">
        <v>3898</v>
      </c>
      <c r="W47" s="1"/>
      <c r="X47" s="1" t="s">
        <v>3897</v>
      </c>
      <c r="Y47" s="1"/>
      <c r="Z47" s="1"/>
      <c r="AB47" s="1"/>
      <c r="AC47" s="51" t="s">
        <v>3896</v>
      </c>
      <c r="AD47" s="24">
        <v>46892</v>
      </c>
      <c r="AE47" s="7">
        <v>-1.4999999999999999E-2</v>
      </c>
      <c r="AF47" s="7" t="s">
        <v>3895</v>
      </c>
      <c r="AG47" s="7">
        <v>-0.374</v>
      </c>
      <c r="AH47" s="7" t="s">
        <v>3894</v>
      </c>
      <c r="AI47" s="7">
        <v>126973</v>
      </c>
      <c r="AJ47" s="7">
        <v>-20</v>
      </c>
      <c r="AK47" s="7">
        <v>26</v>
      </c>
      <c r="AL47" s="7" t="s">
        <v>93</v>
      </c>
      <c r="AN47" s="7" t="s">
        <v>1951</v>
      </c>
      <c r="AT47" s="7" t="str">
        <f t="shared" si="24"/>
        <v>CN, SBT &amp; RE100</v>
      </c>
      <c r="AU47" s="7" t="str">
        <f t="shared" si="4"/>
        <v>CN, SBT &amp; RE100</v>
      </c>
      <c r="AV47" s="7">
        <f t="shared" si="5"/>
        <v>2020</v>
      </c>
      <c r="AW47" s="7">
        <f t="shared" si="6"/>
        <v>2018</v>
      </c>
      <c r="AX47" s="7">
        <f t="shared" si="7"/>
        <v>2018</v>
      </c>
      <c r="BB47" s="7" t="str">
        <f t="shared" si="23"/>
        <v>Yes</v>
      </c>
      <c r="BC47" s="7" t="str">
        <f t="shared" si="9"/>
        <v>Carbon Neutral</v>
      </c>
      <c r="BD47" s="1" t="s">
        <v>1</v>
      </c>
      <c r="BE47" s="1"/>
      <c r="BF47" s="1" t="s">
        <v>3893</v>
      </c>
      <c r="BG47" s="1"/>
      <c r="BH47" s="7" t="s">
        <v>165</v>
      </c>
      <c r="BJ47" s="7" t="s">
        <v>585</v>
      </c>
      <c r="BQ47" s="22"/>
      <c r="CD47" s="7" t="s">
        <v>361</v>
      </c>
      <c r="CF47" s="25"/>
      <c r="CG47" s="7" t="s">
        <v>267</v>
      </c>
      <c r="CH47" s="7" t="str">
        <f t="shared" si="10"/>
        <v>yes</v>
      </c>
      <c r="CI47" s="7" t="s">
        <v>3892</v>
      </c>
      <c r="CJ47" s="7">
        <v>0.35</v>
      </c>
      <c r="CK47" s="7">
        <v>0.27</v>
      </c>
      <c r="CL47" s="7" t="s">
        <v>13</v>
      </c>
      <c r="CM47" s="7" t="s">
        <v>13</v>
      </c>
      <c r="CN47" s="7" t="s">
        <v>13</v>
      </c>
      <c r="CO47" s="7" t="s">
        <v>3152</v>
      </c>
    </row>
    <row r="48" spans="1:103">
      <c r="A48" s="7" t="s">
        <v>1099</v>
      </c>
      <c r="B48" s="7">
        <v>268</v>
      </c>
      <c r="C48" s="7" t="s">
        <v>68</v>
      </c>
      <c r="D48" s="7" t="s">
        <v>1957</v>
      </c>
      <c r="E48" s="7" t="s">
        <v>1659</v>
      </c>
      <c r="F48" s="7">
        <v>2019</v>
      </c>
      <c r="G48" s="7">
        <v>2020</v>
      </c>
      <c r="H48" s="26" t="s">
        <v>3891</v>
      </c>
      <c r="I48" s="24" t="str">
        <f t="shared" si="0"/>
        <v/>
      </c>
      <c r="L48" s="7" t="str">
        <f t="shared" si="1"/>
        <v/>
      </c>
      <c r="M48" s="21" t="str">
        <f t="shared" si="2"/>
        <v/>
      </c>
      <c r="N48" s="7" t="s">
        <v>1960</v>
      </c>
      <c r="T48" s="7" t="str">
        <f t="shared" si="3"/>
        <v/>
      </c>
      <c r="U48" s="7" t="s">
        <v>361</v>
      </c>
      <c r="V48" s="7" t="s">
        <v>1659</v>
      </c>
      <c r="X48" s="7" t="s">
        <v>3890</v>
      </c>
      <c r="AC48" s="26" t="s">
        <v>3889</v>
      </c>
      <c r="AD48" s="24">
        <v>44491</v>
      </c>
      <c r="AE48" s="7">
        <v>2.9000000000000001E-2</v>
      </c>
      <c r="AF48" s="7" t="s">
        <v>3888</v>
      </c>
      <c r="AG48" s="7">
        <v>0.17499999999999999</v>
      </c>
      <c r="AH48" s="7" t="s">
        <v>3887</v>
      </c>
      <c r="AI48" s="7">
        <v>86136</v>
      </c>
      <c r="AJ48" s="7">
        <v>-47</v>
      </c>
      <c r="AK48" s="7">
        <v>24</v>
      </c>
      <c r="AL48" s="7" t="s">
        <v>93</v>
      </c>
      <c r="AN48" s="7" t="s">
        <v>2119</v>
      </c>
      <c r="AT48" s="7" t="str">
        <f t="shared" si="24"/>
        <v>CN</v>
      </c>
      <c r="AU48" s="7" t="str">
        <f t="shared" si="4"/>
        <v>CN</v>
      </c>
      <c r="AV48" s="7">
        <f t="shared" si="5"/>
        <v>2020</v>
      </c>
      <c r="AW48" s="7" t="str">
        <f t="shared" si="6"/>
        <v/>
      </c>
      <c r="AX48" s="7" t="str">
        <f t="shared" si="7"/>
        <v/>
      </c>
      <c r="BB48" s="7" t="str">
        <f t="shared" si="23"/>
        <v/>
      </c>
      <c r="BC48" s="7" t="str">
        <f t="shared" si="9"/>
        <v>Carbon Neutral</v>
      </c>
      <c r="BD48" s="7" t="s">
        <v>1963</v>
      </c>
      <c r="BE48" s="1"/>
      <c r="BF48" s="7" t="s">
        <v>3886</v>
      </c>
      <c r="BG48" s="7" t="s">
        <v>3885</v>
      </c>
      <c r="BQ48" s="22"/>
      <c r="CD48" s="7" t="s">
        <v>361</v>
      </c>
      <c r="CF48" s="25"/>
      <c r="CH48" s="7" t="str">
        <f t="shared" si="10"/>
        <v/>
      </c>
    </row>
    <row r="49" spans="1:103">
      <c r="A49" s="7" t="s">
        <v>936</v>
      </c>
      <c r="B49" s="7">
        <v>288</v>
      </c>
      <c r="C49" s="7" t="s">
        <v>68</v>
      </c>
      <c r="D49" s="7" t="s">
        <v>1957</v>
      </c>
      <c r="E49" s="7" t="s">
        <v>2271</v>
      </c>
      <c r="F49" s="7">
        <v>2019</v>
      </c>
      <c r="G49" s="7">
        <v>2019</v>
      </c>
      <c r="H49" s="28" t="s">
        <v>3884</v>
      </c>
      <c r="I49" s="24" t="str">
        <f t="shared" si="0"/>
        <v/>
      </c>
      <c r="L49" s="7" t="str">
        <f t="shared" si="1"/>
        <v/>
      </c>
      <c r="M49" s="21" t="str">
        <f t="shared" si="2"/>
        <v/>
      </c>
      <c r="N49" s="7" t="s">
        <v>1960</v>
      </c>
      <c r="T49" s="7" t="str">
        <f t="shared" si="3"/>
        <v/>
      </c>
      <c r="U49" s="7" t="s">
        <v>361</v>
      </c>
      <c r="V49" s="7" t="s">
        <v>2126</v>
      </c>
      <c r="X49" s="7" t="s">
        <v>3883</v>
      </c>
      <c r="AC49" s="30" t="s">
        <v>3882</v>
      </c>
      <c r="AD49" s="24">
        <v>42180</v>
      </c>
      <c r="AE49" s="7">
        <v>-2.7E-2</v>
      </c>
      <c r="AF49" s="7" t="s">
        <v>3881</v>
      </c>
      <c r="AG49" s="7">
        <v>9.9000000000000005E-2</v>
      </c>
      <c r="AH49" s="7" t="s">
        <v>3880</v>
      </c>
      <c r="AI49" s="7">
        <v>93190</v>
      </c>
      <c r="AJ49" s="7">
        <v>-19</v>
      </c>
      <c r="AK49" s="7">
        <v>26</v>
      </c>
      <c r="AL49" s="7" t="s">
        <v>93</v>
      </c>
      <c r="AN49" s="7" t="s">
        <v>2119</v>
      </c>
      <c r="AT49" s="7" t="str">
        <f t="shared" si="24"/>
        <v>CN</v>
      </c>
      <c r="AU49" s="7" t="str">
        <f t="shared" si="4"/>
        <v>CN</v>
      </c>
      <c r="AV49" s="7">
        <f t="shared" si="5"/>
        <v>2019</v>
      </c>
      <c r="AW49" s="7" t="str">
        <f t="shared" si="6"/>
        <v/>
      </c>
      <c r="AX49" s="7" t="str">
        <f t="shared" si="7"/>
        <v/>
      </c>
      <c r="BB49" s="7" t="str">
        <f t="shared" si="23"/>
        <v/>
      </c>
      <c r="BC49" s="7" t="str">
        <f t="shared" si="9"/>
        <v>Carbon Neutral</v>
      </c>
      <c r="BD49" s="7" t="s">
        <v>1963</v>
      </c>
      <c r="BF49" s="7" t="s">
        <v>3879</v>
      </c>
      <c r="BQ49" s="22"/>
      <c r="CD49" s="7" t="s">
        <v>361</v>
      </c>
      <c r="CH49" s="7" t="str">
        <f t="shared" si="10"/>
        <v/>
      </c>
    </row>
    <row r="50" spans="1:103">
      <c r="A50" s="7" t="s">
        <v>1597</v>
      </c>
      <c r="B50" s="7">
        <v>93</v>
      </c>
      <c r="C50" s="7" t="s">
        <v>267</v>
      </c>
      <c r="D50" s="7" t="s">
        <v>1957</v>
      </c>
      <c r="E50" s="7" t="s">
        <v>1659</v>
      </c>
      <c r="F50" s="7">
        <v>2020</v>
      </c>
      <c r="G50" s="7">
        <v>2019</v>
      </c>
      <c r="H50" s="8" t="s">
        <v>3877</v>
      </c>
      <c r="I50" s="24" t="str">
        <f t="shared" si="0"/>
        <v/>
      </c>
      <c r="L50" s="7" t="str">
        <f t="shared" si="1"/>
        <v/>
      </c>
      <c r="M50" s="21" t="str">
        <f t="shared" si="2"/>
        <v/>
      </c>
      <c r="N50" s="7" t="s">
        <v>1960</v>
      </c>
      <c r="T50" s="7" t="str">
        <f t="shared" si="3"/>
        <v/>
      </c>
      <c r="U50" s="7" t="s">
        <v>1969</v>
      </c>
      <c r="V50" s="7" t="s">
        <v>3878</v>
      </c>
      <c r="AC50" s="8" t="s">
        <v>3877</v>
      </c>
      <c r="AD50" s="24">
        <v>88257</v>
      </c>
      <c r="AE50" s="7">
        <v>-2.5000000000000001E-2</v>
      </c>
      <c r="AF50" s="7" t="s">
        <v>3876</v>
      </c>
      <c r="AG50" s="7">
        <v>-0.20899999999999999</v>
      </c>
      <c r="AH50" s="7" t="s">
        <v>3875</v>
      </c>
      <c r="AI50" s="7">
        <v>189769</v>
      </c>
      <c r="AJ50" s="7">
        <v>-8</v>
      </c>
      <c r="AK50" s="7">
        <v>26</v>
      </c>
      <c r="AL50" s="7" t="s">
        <v>93</v>
      </c>
      <c r="AN50" s="7" t="s">
        <v>1951</v>
      </c>
      <c r="AT50" s="7" t="str">
        <f t="shared" si="24"/>
        <v>CN</v>
      </c>
      <c r="AU50" s="7" t="str">
        <f t="shared" si="4"/>
        <v>CN</v>
      </c>
      <c r="AV50" s="7">
        <f t="shared" si="5"/>
        <v>2019</v>
      </c>
      <c r="AW50" s="7" t="str">
        <f t="shared" si="6"/>
        <v/>
      </c>
      <c r="AX50" s="7" t="str">
        <f t="shared" si="7"/>
        <v/>
      </c>
      <c r="BB50" s="7" t="str">
        <f t="shared" si="23"/>
        <v/>
      </c>
      <c r="BC50" s="7" t="str">
        <f t="shared" si="9"/>
        <v>Carbon Neutral</v>
      </c>
      <c r="BD50" s="7" t="s">
        <v>1</v>
      </c>
      <c r="BF50" s="7" t="s">
        <v>3874</v>
      </c>
      <c r="BQ50" s="22"/>
      <c r="CD50" s="7" t="s">
        <v>361</v>
      </c>
      <c r="CF50" s="25" t="s">
        <v>2050</v>
      </c>
      <c r="CH50" s="7" t="str">
        <f t="shared" si="10"/>
        <v/>
      </c>
    </row>
    <row r="51" spans="1:103">
      <c r="A51" s="7" t="s">
        <v>3873</v>
      </c>
      <c r="B51" s="7">
        <v>58</v>
      </c>
      <c r="C51" s="7" t="s">
        <v>127</v>
      </c>
      <c r="D51" s="7" t="s">
        <v>1957</v>
      </c>
      <c r="E51" s="7" t="s">
        <v>109</v>
      </c>
      <c r="F51" s="7" t="s">
        <v>2034</v>
      </c>
      <c r="G51" s="7">
        <v>2020</v>
      </c>
      <c r="H51" s="26" t="s">
        <v>3872</v>
      </c>
      <c r="I51" s="24" t="str">
        <f t="shared" si="0"/>
        <v>Yes</v>
      </c>
      <c r="J51" s="7" t="s">
        <v>2034</v>
      </c>
      <c r="K51" s="7">
        <v>2016</v>
      </c>
      <c r="L51" s="7" t="str">
        <f t="shared" si="1"/>
        <v/>
      </c>
      <c r="M51" s="21" t="str">
        <f t="shared" si="2"/>
        <v/>
      </c>
      <c r="N51" s="7" t="s">
        <v>1960</v>
      </c>
      <c r="T51" s="7" t="str">
        <f t="shared" si="3"/>
        <v/>
      </c>
      <c r="U51" s="7" t="s">
        <v>361</v>
      </c>
      <c r="V51" s="7" t="s">
        <v>3871</v>
      </c>
      <c r="W51" s="7" t="s">
        <v>3870</v>
      </c>
      <c r="AB51" s="26" t="s">
        <v>3869</v>
      </c>
      <c r="AD51" s="24">
        <v>113589</v>
      </c>
      <c r="AE51" s="7">
        <v>2.7E-2</v>
      </c>
      <c r="AF51" s="7" t="s">
        <v>3868</v>
      </c>
      <c r="AG51" s="7">
        <v>-2.5000000000000001E-2</v>
      </c>
      <c r="AH51" s="7" t="s">
        <v>3867</v>
      </c>
      <c r="AI51" s="7">
        <v>208131</v>
      </c>
      <c r="AJ51" s="7" t="s">
        <v>9</v>
      </c>
      <c r="AK51" s="7">
        <v>26</v>
      </c>
      <c r="AL51" s="7" t="s">
        <v>93</v>
      </c>
      <c r="AN51" s="7" t="s">
        <v>2029</v>
      </c>
      <c r="AT51" s="7" t="str">
        <f t="shared" si="24"/>
        <v>CN</v>
      </c>
      <c r="AU51" s="7" t="str">
        <f t="shared" si="4"/>
        <v>CN</v>
      </c>
      <c r="AV51" s="7">
        <f t="shared" si="5"/>
        <v>2020</v>
      </c>
      <c r="AW51" s="7" t="str">
        <f t="shared" si="6"/>
        <v/>
      </c>
      <c r="AX51" s="7" t="str">
        <f t="shared" si="7"/>
        <v/>
      </c>
      <c r="BB51" s="7" t="str">
        <f t="shared" si="23"/>
        <v/>
      </c>
      <c r="BC51" s="7" t="str">
        <f t="shared" si="9"/>
        <v>Carbon Neutral</v>
      </c>
      <c r="BD51" s="7" t="s">
        <v>1</v>
      </c>
      <c r="BG51" s="7" t="s">
        <v>32</v>
      </c>
      <c r="BQ51" s="22"/>
      <c r="CE51" s="7">
        <v>2020</v>
      </c>
      <c r="CG51" s="7" t="s">
        <v>2027</v>
      </c>
      <c r="CH51" s="7" t="str">
        <f t="shared" si="10"/>
        <v/>
      </c>
      <c r="CI51" s="7" t="s">
        <v>13</v>
      </c>
      <c r="CJ51" s="7">
        <v>0.91</v>
      </c>
      <c r="CK51" s="7">
        <v>0.83</v>
      </c>
      <c r="CL51" s="7">
        <v>0.64</v>
      </c>
      <c r="CM51" s="7">
        <v>2E-3</v>
      </c>
      <c r="CN51" s="7">
        <v>2E-3</v>
      </c>
      <c r="CO51" s="7" t="s">
        <v>3866</v>
      </c>
      <c r="CX51" s="7" t="s">
        <v>361</v>
      </c>
      <c r="CY51" s="7" t="s">
        <v>361</v>
      </c>
    </row>
    <row r="52" spans="1:103">
      <c r="A52" s="7" t="s">
        <v>1736</v>
      </c>
      <c r="B52" s="7">
        <v>43</v>
      </c>
      <c r="C52" s="7" t="s">
        <v>73</v>
      </c>
      <c r="I52" s="24" t="str">
        <f t="shared" si="0"/>
        <v/>
      </c>
      <c r="L52" s="7" t="str">
        <f t="shared" si="1"/>
        <v/>
      </c>
      <c r="M52" s="21" t="str">
        <f t="shared" si="2"/>
        <v/>
      </c>
      <c r="N52" s="7" t="s">
        <v>1960</v>
      </c>
      <c r="T52" s="7" t="str">
        <f t="shared" si="3"/>
        <v>Nothing</v>
      </c>
      <c r="U52" s="7" t="s">
        <v>1</v>
      </c>
      <c r="AC52" s="26" t="s">
        <v>3865</v>
      </c>
      <c r="AD52" s="24">
        <v>135091</v>
      </c>
      <c r="AE52" s="7">
        <v>5.8000000000000003E-2</v>
      </c>
      <c r="AF52" s="7" t="s">
        <v>3864</v>
      </c>
      <c r="AG52" s="7">
        <v>-4.0000000000000001E-3</v>
      </c>
      <c r="AH52" s="7" t="s">
        <v>3863</v>
      </c>
      <c r="AI52" s="7">
        <v>309384</v>
      </c>
      <c r="AJ52" s="7">
        <v>1</v>
      </c>
      <c r="AK52" s="7">
        <v>26</v>
      </c>
      <c r="AN52" s="7" t="s">
        <v>1994</v>
      </c>
      <c r="AT52" s="7" t="str">
        <f t="shared" si="24"/>
        <v>None</v>
      </c>
      <c r="AU52" s="7" t="str">
        <f t="shared" si="4"/>
        <v>None</v>
      </c>
      <c r="AV52" s="7" t="str">
        <f t="shared" si="5"/>
        <v/>
      </c>
      <c r="AW52" s="7" t="str">
        <f t="shared" si="6"/>
        <v/>
      </c>
      <c r="AX52" s="7" t="str">
        <f t="shared" si="7"/>
        <v/>
      </c>
      <c r="BB52" s="7" t="str">
        <f t="shared" si="23"/>
        <v/>
      </c>
      <c r="BC52" s="7" t="str">
        <f t="shared" si="9"/>
        <v>No</v>
      </c>
      <c r="BD52" s="7" t="s">
        <v>1</v>
      </c>
      <c r="BF52" s="7" t="s">
        <v>3862</v>
      </c>
      <c r="BQ52" s="22"/>
      <c r="CH52" s="7" t="str">
        <f t="shared" si="10"/>
        <v/>
      </c>
    </row>
    <row r="53" spans="1:103">
      <c r="A53" s="7" t="s">
        <v>1327</v>
      </c>
      <c r="B53" s="7">
        <v>162</v>
      </c>
      <c r="I53" s="24" t="str">
        <f t="shared" si="0"/>
        <v/>
      </c>
      <c r="L53" s="7" t="str">
        <f t="shared" si="1"/>
        <v/>
      </c>
      <c r="M53" s="21" t="str">
        <f t="shared" si="2"/>
        <v/>
      </c>
      <c r="N53" s="7" t="s">
        <v>1960</v>
      </c>
      <c r="T53" s="7" t="str">
        <f t="shared" si="3"/>
        <v>Nothing</v>
      </c>
      <c r="U53" s="7" t="s">
        <v>1</v>
      </c>
      <c r="AD53" s="24">
        <v>66564</v>
      </c>
      <c r="AE53" s="7">
        <v>1.4E-2</v>
      </c>
      <c r="AF53" s="7" t="s">
        <v>3861</v>
      </c>
      <c r="AG53" s="7">
        <v>5.0000000000000001E-3</v>
      </c>
      <c r="AH53" s="7" t="s">
        <v>3860</v>
      </c>
      <c r="AI53" s="7">
        <v>87828</v>
      </c>
      <c r="AJ53" s="7">
        <v>-12</v>
      </c>
      <c r="AK53" s="7">
        <v>12</v>
      </c>
      <c r="AT53" s="7" t="str">
        <f t="shared" si="24"/>
        <v>None</v>
      </c>
      <c r="AU53" s="7" t="str">
        <f t="shared" si="4"/>
        <v>None</v>
      </c>
      <c r="AV53" s="7" t="str">
        <f t="shared" si="5"/>
        <v/>
      </c>
      <c r="AW53" s="7" t="str">
        <f t="shared" si="6"/>
        <v/>
      </c>
      <c r="AX53" s="7" t="str">
        <f t="shared" si="7"/>
        <v/>
      </c>
      <c r="BB53" s="7" t="str">
        <f t="shared" si="23"/>
        <v/>
      </c>
      <c r="BC53" s="7" t="str">
        <f t="shared" si="9"/>
        <v>No</v>
      </c>
      <c r="BD53" s="7" t="s">
        <v>1</v>
      </c>
      <c r="BQ53" s="22"/>
      <c r="CH53" s="7" t="str">
        <f t="shared" si="10"/>
        <v/>
      </c>
    </row>
    <row r="54" spans="1:103">
      <c r="A54" s="7" t="s">
        <v>77</v>
      </c>
      <c r="B54" s="7">
        <v>430</v>
      </c>
      <c r="C54" s="7" t="s">
        <v>78</v>
      </c>
      <c r="D54" s="7" t="s">
        <v>1957</v>
      </c>
      <c r="E54" t="s">
        <v>3858</v>
      </c>
      <c r="F54" s="7">
        <v>2010</v>
      </c>
      <c r="G54" s="7">
        <v>2010</v>
      </c>
      <c r="H54" s="26" t="s">
        <v>3859</v>
      </c>
      <c r="I54" s="24" t="str">
        <f t="shared" si="0"/>
        <v/>
      </c>
      <c r="L54" s="7" t="str">
        <f t="shared" si="1"/>
        <v/>
      </c>
      <c r="M54" s="21" t="str">
        <f t="shared" si="2"/>
        <v/>
      </c>
      <c r="N54" s="7" t="s">
        <v>1960</v>
      </c>
      <c r="T54" s="7" t="str">
        <f t="shared" si="3"/>
        <v/>
      </c>
      <c r="U54" s="7" t="s">
        <v>361</v>
      </c>
      <c r="V54" t="s">
        <v>3858</v>
      </c>
      <c r="X54" t="s">
        <v>3857</v>
      </c>
      <c r="AD54" s="24">
        <v>29160</v>
      </c>
      <c r="AE54" s="7">
        <v>0.16600000000000001</v>
      </c>
      <c r="AF54" s="7" t="s">
        <v>3856</v>
      </c>
      <c r="AG54" s="7">
        <v>2.3E-2</v>
      </c>
      <c r="AH54" s="7" t="s">
        <v>3855</v>
      </c>
      <c r="AI54" s="7">
        <v>45513</v>
      </c>
      <c r="AJ54" s="7">
        <v>67</v>
      </c>
      <c r="AK54" s="7">
        <v>11</v>
      </c>
      <c r="AL54" s="7" t="s">
        <v>93</v>
      </c>
      <c r="AN54" s="7" t="s">
        <v>2029</v>
      </c>
      <c r="AT54" s="7" t="str">
        <f t="shared" si="24"/>
        <v>CN</v>
      </c>
      <c r="AU54" s="7" t="str">
        <f t="shared" si="4"/>
        <v>CN</v>
      </c>
      <c r="AV54" s="7">
        <f t="shared" si="5"/>
        <v>2010</v>
      </c>
      <c r="AW54" s="7" t="str">
        <f t="shared" si="6"/>
        <v/>
      </c>
      <c r="AX54" s="7" t="str">
        <f t="shared" si="7"/>
        <v/>
      </c>
      <c r="BB54" s="7" t="str">
        <f t="shared" si="23"/>
        <v/>
      </c>
      <c r="BC54" s="7" t="str">
        <f t="shared" si="9"/>
        <v>Carbon Neutral</v>
      </c>
      <c r="BD54" s="7" t="s">
        <v>1963</v>
      </c>
      <c r="BQ54" s="22"/>
      <c r="CD54" s="7" t="s">
        <v>361</v>
      </c>
      <c r="CF54" s="25"/>
      <c r="CH54" s="7" t="str">
        <f t="shared" si="10"/>
        <v/>
      </c>
    </row>
    <row r="55" spans="1:103">
      <c r="A55" s="7" t="s">
        <v>496</v>
      </c>
      <c r="B55" s="7">
        <v>358</v>
      </c>
      <c r="I55" s="24" t="str">
        <f t="shared" si="0"/>
        <v/>
      </c>
      <c r="L55" s="7" t="str">
        <f t="shared" si="1"/>
        <v/>
      </c>
      <c r="M55" s="21" t="str">
        <f t="shared" si="2"/>
        <v/>
      </c>
      <c r="N55" s="7" t="s">
        <v>1960</v>
      </c>
      <c r="T55" s="7" t="str">
        <f t="shared" si="3"/>
        <v>Nothing</v>
      </c>
      <c r="U55" s="7" t="s">
        <v>1</v>
      </c>
      <c r="AC55" s="26" t="s">
        <v>3854</v>
      </c>
      <c r="AD55" s="24">
        <v>35101</v>
      </c>
      <c r="AE55" s="7">
        <v>0.111</v>
      </c>
      <c r="AF55" s="7" t="s">
        <v>3853</v>
      </c>
      <c r="AG55" s="7">
        <v>-4.9000000000000002E-2</v>
      </c>
      <c r="AH55" s="7" t="s">
        <v>3852</v>
      </c>
      <c r="AI55" s="7">
        <v>101813</v>
      </c>
      <c r="AJ55" s="7">
        <v>40</v>
      </c>
      <c r="AK55" s="7">
        <v>23</v>
      </c>
      <c r="AT55" s="7" t="str">
        <f t="shared" si="24"/>
        <v>None</v>
      </c>
      <c r="AU55" s="7" t="str">
        <f t="shared" si="4"/>
        <v>None</v>
      </c>
      <c r="AV55" s="7" t="str">
        <f t="shared" si="5"/>
        <v/>
      </c>
      <c r="AW55" s="7" t="str">
        <f t="shared" si="6"/>
        <v/>
      </c>
      <c r="AX55" s="7" t="str">
        <f t="shared" si="7"/>
        <v/>
      </c>
      <c r="BB55" s="7" t="str">
        <f t="shared" si="23"/>
        <v/>
      </c>
      <c r="BC55" s="7" t="str">
        <f t="shared" si="9"/>
        <v>No</v>
      </c>
      <c r="BD55" s="7" t="s">
        <v>1963</v>
      </c>
      <c r="BF55" s="7" t="s">
        <v>3851</v>
      </c>
      <c r="BQ55" s="22"/>
      <c r="CH55" s="7" t="str">
        <f t="shared" si="10"/>
        <v/>
      </c>
    </row>
    <row r="56" spans="1:103">
      <c r="A56" s="7" t="s">
        <v>757</v>
      </c>
      <c r="B56" s="7">
        <v>327</v>
      </c>
      <c r="C56" s="7" t="s">
        <v>2070</v>
      </c>
      <c r="F56" s="7">
        <v>2030</v>
      </c>
      <c r="G56" s="7">
        <v>2020</v>
      </c>
      <c r="H56" s="26" t="s">
        <v>3850</v>
      </c>
      <c r="I56" s="24" t="str">
        <f t="shared" si="0"/>
        <v>Yes</v>
      </c>
      <c r="J56" s="7">
        <v>2030</v>
      </c>
      <c r="K56" s="7">
        <v>2019</v>
      </c>
      <c r="L56" s="7" t="str">
        <f t="shared" si="1"/>
        <v/>
      </c>
      <c r="M56" s="21" t="str">
        <f t="shared" si="2"/>
        <v/>
      </c>
      <c r="N56" s="7" t="s">
        <v>1960</v>
      </c>
      <c r="O56" s="7" t="s">
        <v>1971</v>
      </c>
      <c r="P56" s="7" t="s">
        <v>1970</v>
      </c>
      <c r="Q56" s="29">
        <v>2050</v>
      </c>
      <c r="R56" s="7">
        <v>2020</v>
      </c>
      <c r="S56" s="26" t="s">
        <v>3845</v>
      </c>
      <c r="T56" s="7" t="str">
        <f t="shared" si="3"/>
        <v/>
      </c>
      <c r="U56" s="7" t="s">
        <v>2080</v>
      </c>
      <c r="V56" s="7" t="s">
        <v>3849</v>
      </c>
      <c r="X56" s="7" t="s">
        <v>3848</v>
      </c>
      <c r="Y56" s="7" t="s">
        <v>3847</v>
      </c>
      <c r="Z56" s="7" t="s">
        <v>3846</v>
      </c>
      <c r="AA56" s="7" t="s">
        <v>2807</v>
      </c>
      <c r="AB56" s="26" t="s">
        <v>3845</v>
      </c>
      <c r="AC56" s="27" t="s">
        <v>3845</v>
      </c>
      <c r="AD56" s="24">
        <v>38337</v>
      </c>
      <c r="AE56" s="7">
        <v>2E-3</v>
      </c>
      <c r="AF56" s="7" t="s">
        <v>3844</v>
      </c>
      <c r="AG56" s="7">
        <v>0.46</v>
      </c>
      <c r="AH56" s="7" t="s">
        <v>3843</v>
      </c>
      <c r="AI56" s="7">
        <v>80800</v>
      </c>
      <c r="AJ56" s="7">
        <v>-7</v>
      </c>
      <c r="AK56" s="7">
        <v>26</v>
      </c>
      <c r="AL56" s="7" t="s">
        <v>93</v>
      </c>
      <c r="AN56" s="7" t="s">
        <v>1951</v>
      </c>
      <c r="AT56" s="7" t="str">
        <f t="shared" si="24"/>
        <v>RE100</v>
      </c>
      <c r="AU56" s="7" t="str">
        <f t="shared" si="4"/>
        <v>RE100</v>
      </c>
      <c r="AV56" s="7" t="str">
        <f t="shared" si="5"/>
        <v/>
      </c>
      <c r="AW56" s="7" t="str">
        <f t="shared" si="6"/>
        <v/>
      </c>
      <c r="AX56" s="7">
        <f t="shared" si="7"/>
        <v>2019</v>
      </c>
      <c r="BB56" s="7" t="str">
        <f t="shared" si="23"/>
        <v/>
      </c>
      <c r="BC56" s="7" t="str">
        <f t="shared" si="9"/>
        <v>No</v>
      </c>
      <c r="BD56" s="7" t="s">
        <v>2118</v>
      </c>
      <c r="BF56" s="7" t="s">
        <v>3842</v>
      </c>
      <c r="BG56" s="7" t="s">
        <v>2525</v>
      </c>
      <c r="BQ56" s="22"/>
      <c r="CD56" s="7" t="s">
        <v>361</v>
      </c>
      <c r="CF56" s="25"/>
      <c r="CG56" s="7" t="s">
        <v>2070</v>
      </c>
      <c r="CH56" s="7" t="str">
        <f t="shared" si="10"/>
        <v>yes</v>
      </c>
      <c r="CI56" s="7" t="s">
        <v>3153</v>
      </c>
      <c r="CJ56" s="7">
        <v>0.64</v>
      </c>
      <c r="CK56" s="7" t="s">
        <v>13</v>
      </c>
      <c r="CL56" s="7" t="s">
        <v>13</v>
      </c>
      <c r="CM56" s="7" t="s">
        <v>13</v>
      </c>
      <c r="CN56" s="7" t="s">
        <v>13</v>
      </c>
      <c r="CO56" s="7" t="s">
        <v>2955</v>
      </c>
      <c r="CP56" s="7" t="s">
        <v>1945</v>
      </c>
    </row>
    <row r="57" spans="1:103">
      <c r="A57" s="7" t="s">
        <v>1446</v>
      </c>
      <c r="B57" s="7">
        <v>143</v>
      </c>
      <c r="C57" s="7" t="s">
        <v>146</v>
      </c>
      <c r="H57" s="8"/>
      <c r="I57" s="24" t="str">
        <f t="shared" si="0"/>
        <v/>
      </c>
      <c r="L57" s="7" t="str">
        <f t="shared" si="1"/>
        <v/>
      </c>
      <c r="M57" s="21" t="str">
        <f t="shared" si="2"/>
        <v/>
      </c>
      <c r="N57" s="7" t="s">
        <v>1960</v>
      </c>
      <c r="T57" s="7" t="str">
        <f t="shared" si="3"/>
        <v>Nothing</v>
      </c>
      <c r="U57" s="7" t="s">
        <v>1</v>
      </c>
      <c r="X57" s="23"/>
      <c r="AD57" s="24">
        <v>70723</v>
      </c>
      <c r="AE57" s="7">
        <v>-0.10199999999999999</v>
      </c>
      <c r="AF57" s="7" t="s">
        <v>3841</v>
      </c>
      <c r="AG57" s="7">
        <v>0.69699999999999995</v>
      </c>
      <c r="AH57" s="7" t="s">
        <v>3840</v>
      </c>
      <c r="AI57" s="7">
        <v>117628</v>
      </c>
      <c r="AJ57" s="7">
        <v>-28</v>
      </c>
      <c r="AK57" s="7">
        <v>26</v>
      </c>
      <c r="AL57" s="7" t="s">
        <v>66</v>
      </c>
      <c r="AT57" s="7" t="str">
        <f t="shared" si="24"/>
        <v>None</v>
      </c>
      <c r="AU57" s="7" t="str">
        <f t="shared" si="4"/>
        <v>None</v>
      </c>
      <c r="AV57" s="7" t="str">
        <f t="shared" si="5"/>
        <v/>
      </c>
      <c r="AW57" s="7" t="str">
        <f t="shared" si="6"/>
        <v/>
      </c>
      <c r="AX57" s="7" t="str">
        <f t="shared" si="7"/>
        <v/>
      </c>
      <c r="BB57" s="7" t="str">
        <f t="shared" si="23"/>
        <v/>
      </c>
      <c r="BC57" s="7" t="str">
        <f t="shared" si="9"/>
        <v>No</v>
      </c>
      <c r="BD57" s="7" t="s">
        <v>1</v>
      </c>
      <c r="BQ57" s="22"/>
      <c r="CH57" s="7" t="str">
        <f t="shared" si="10"/>
        <v/>
      </c>
      <c r="CT57" s="7" t="s">
        <v>1446</v>
      </c>
      <c r="CU57" s="7" t="s">
        <v>2109</v>
      </c>
      <c r="CV57" s="7">
        <v>-38</v>
      </c>
      <c r="CW57" s="7" t="s">
        <v>361</v>
      </c>
    </row>
    <row r="58" spans="1:103">
      <c r="A58" s="7" t="s">
        <v>1019</v>
      </c>
      <c r="B58" s="7">
        <v>214</v>
      </c>
      <c r="C58" s="7" t="s">
        <v>146</v>
      </c>
      <c r="D58" s="7" t="s">
        <v>1957</v>
      </c>
      <c r="E58" s="7" t="s">
        <v>2098</v>
      </c>
      <c r="F58" s="7">
        <v>2030</v>
      </c>
      <c r="G58" s="7">
        <v>2019</v>
      </c>
      <c r="H58" s="8" t="s">
        <v>3839</v>
      </c>
      <c r="I58" s="24" t="str">
        <f t="shared" si="0"/>
        <v/>
      </c>
      <c r="L58" s="7" t="str">
        <f t="shared" si="1"/>
        <v>C</v>
      </c>
      <c r="M58" s="21" t="str">
        <f t="shared" si="2"/>
        <v/>
      </c>
      <c r="N58" s="7">
        <v>2019</v>
      </c>
      <c r="T58" s="7" t="str">
        <f t="shared" si="3"/>
        <v/>
      </c>
      <c r="U58" s="7" t="s">
        <v>1969</v>
      </c>
      <c r="V58" s="7" t="s">
        <v>3838</v>
      </c>
      <c r="X58" s="23" t="s">
        <v>3837</v>
      </c>
      <c r="AD58" s="24">
        <v>51807</v>
      </c>
      <c r="AE58" s="7">
        <v>0.109</v>
      </c>
      <c r="AF58" s="7" t="s">
        <v>3836</v>
      </c>
      <c r="AG58" s="7">
        <v>1.2889999999999999</v>
      </c>
      <c r="AH58" s="7" t="s">
        <v>3835</v>
      </c>
      <c r="AI58" s="7">
        <v>103824</v>
      </c>
      <c r="AJ58" s="7">
        <v>26</v>
      </c>
      <c r="AK58" s="7">
        <v>26</v>
      </c>
      <c r="AL58" s="7" t="s">
        <v>842</v>
      </c>
      <c r="AN58" s="7" t="s">
        <v>1951</v>
      </c>
      <c r="AT58" s="7" t="str">
        <f t="shared" si="24"/>
        <v>CN &amp; SBT</v>
      </c>
      <c r="AU58" s="7" t="str">
        <f t="shared" si="4"/>
        <v>CN &amp; SBT</v>
      </c>
      <c r="AV58" s="7">
        <f t="shared" si="5"/>
        <v>2019</v>
      </c>
      <c r="AW58" s="7">
        <f t="shared" si="6"/>
        <v>2019</v>
      </c>
      <c r="AX58" s="7" t="str">
        <f t="shared" si="7"/>
        <v/>
      </c>
      <c r="BB58" s="7" t="str">
        <f t="shared" si="23"/>
        <v>Yes</v>
      </c>
      <c r="BC58" s="7" t="str">
        <f t="shared" si="9"/>
        <v>Carbon Neutral</v>
      </c>
      <c r="BD58" s="7" t="s">
        <v>1</v>
      </c>
      <c r="BG58" s="7" t="s">
        <v>32</v>
      </c>
      <c r="BH58" s="7" t="s">
        <v>165</v>
      </c>
      <c r="BJ58" s="7" t="s">
        <v>3198</v>
      </c>
      <c r="BQ58" s="22"/>
      <c r="CD58" s="7" t="s">
        <v>361</v>
      </c>
      <c r="CF58" s="7" t="s">
        <v>2071</v>
      </c>
      <c r="CH58" s="7" t="str">
        <f t="shared" si="10"/>
        <v/>
      </c>
      <c r="CW58" s="7" t="s">
        <v>361</v>
      </c>
      <c r="CX58" s="7" t="s">
        <v>361</v>
      </c>
      <c r="CY58" s="7" t="s">
        <v>361</v>
      </c>
    </row>
    <row r="59" spans="1:103">
      <c r="A59" s="7" t="s">
        <v>1410</v>
      </c>
      <c r="B59" s="7">
        <v>134</v>
      </c>
      <c r="I59" s="24" t="str">
        <f t="shared" si="0"/>
        <v/>
      </c>
      <c r="L59" s="7" t="str">
        <f t="shared" si="1"/>
        <v/>
      </c>
      <c r="M59" s="21" t="str">
        <f t="shared" si="2"/>
        <v/>
      </c>
      <c r="N59" s="7" t="s">
        <v>1960</v>
      </c>
      <c r="T59" s="7" t="str">
        <f t="shared" si="3"/>
        <v>Nothing</v>
      </c>
      <c r="U59" s="7" t="s">
        <v>1</v>
      </c>
      <c r="AD59" s="24">
        <v>72554</v>
      </c>
      <c r="AE59" s="7">
        <v>-2E-3</v>
      </c>
      <c r="AF59" s="7" t="s">
        <v>3834</v>
      </c>
      <c r="AG59" s="7">
        <v>-0.32</v>
      </c>
      <c r="AH59" s="7" t="s">
        <v>3833</v>
      </c>
      <c r="AI59" s="7">
        <v>114315</v>
      </c>
      <c r="AJ59" s="7">
        <v>-5</v>
      </c>
      <c r="AK59" s="7">
        <v>8</v>
      </c>
      <c r="AT59" s="7" t="str">
        <f t="shared" si="24"/>
        <v>None</v>
      </c>
      <c r="AU59" s="7" t="str">
        <f t="shared" si="4"/>
        <v>None</v>
      </c>
      <c r="AV59" s="7" t="str">
        <f t="shared" si="5"/>
        <v/>
      </c>
      <c r="AW59" s="7" t="str">
        <f t="shared" si="6"/>
        <v/>
      </c>
      <c r="AX59" s="7" t="str">
        <f t="shared" si="7"/>
        <v/>
      </c>
      <c r="BB59" s="7" t="str">
        <f t="shared" si="23"/>
        <v/>
      </c>
      <c r="BC59" s="7" t="str">
        <f t="shared" si="9"/>
        <v>No</v>
      </c>
      <c r="BD59" s="7" t="s">
        <v>1</v>
      </c>
      <c r="BQ59" s="22"/>
      <c r="CH59" s="7" t="str">
        <f t="shared" si="10"/>
        <v/>
      </c>
    </row>
    <row r="60" spans="1:103">
      <c r="A60" s="7" t="s">
        <v>1843</v>
      </c>
      <c r="B60" s="7">
        <v>14</v>
      </c>
      <c r="C60" s="7" t="s">
        <v>127</v>
      </c>
      <c r="I60" s="24" t="str">
        <f t="shared" si="0"/>
        <v/>
      </c>
      <c r="L60" s="7" t="str">
        <f t="shared" si="1"/>
        <v/>
      </c>
      <c r="M60" s="21" t="str">
        <f t="shared" si="2"/>
        <v/>
      </c>
      <c r="N60" s="7" t="s">
        <v>1960</v>
      </c>
      <c r="T60" s="7" t="str">
        <f t="shared" si="3"/>
        <v>Nothing</v>
      </c>
      <c r="U60" s="7" t="s">
        <v>1</v>
      </c>
      <c r="AC60" s="26" t="s">
        <v>3832</v>
      </c>
      <c r="AD60" s="24">
        <v>254616</v>
      </c>
      <c r="AE60" s="7">
        <v>2.7E-2</v>
      </c>
      <c r="AF60" s="7" t="s">
        <v>3831</v>
      </c>
      <c r="AG60" s="7">
        <v>19.248000000000001</v>
      </c>
      <c r="AH60" s="7" t="s">
        <v>3830</v>
      </c>
      <c r="AI60" s="7">
        <v>391500</v>
      </c>
      <c r="AJ60" s="7">
        <v>-2</v>
      </c>
      <c r="AK60" s="7">
        <v>24</v>
      </c>
      <c r="AL60" s="7" t="s">
        <v>93</v>
      </c>
      <c r="AT60" s="7" t="str">
        <f t="shared" si="24"/>
        <v>None</v>
      </c>
      <c r="AU60" s="7" t="str">
        <f t="shared" si="4"/>
        <v>None</v>
      </c>
      <c r="AV60" s="7" t="str">
        <f t="shared" si="5"/>
        <v/>
      </c>
      <c r="AW60" s="7" t="str">
        <f t="shared" si="6"/>
        <v/>
      </c>
      <c r="AX60" s="7" t="str">
        <f t="shared" si="7"/>
        <v/>
      </c>
      <c r="BB60" s="7" t="str">
        <f t="shared" si="23"/>
        <v/>
      </c>
      <c r="BC60" s="7" t="str">
        <f t="shared" si="9"/>
        <v>No</v>
      </c>
      <c r="BD60" s="7" t="s">
        <v>1</v>
      </c>
      <c r="BF60" s="23" t="s">
        <v>3829</v>
      </c>
      <c r="BQ60" s="22"/>
      <c r="CH60" s="7" t="str">
        <f t="shared" si="10"/>
        <v/>
      </c>
      <c r="CT60" s="7" t="s">
        <v>1843</v>
      </c>
      <c r="CU60" s="7" t="s">
        <v>2109</v>
      </c>
      <c r="CV60" s="7">
        <v>-31</v>
      </c>
      <c r="CX60" s="7" t="s">
        <v>361</v>
      </c>
    </row>
    <row r="61" spans="1:103">
      <c r="A61" s="7" t="s">
        <v>913</v>
      </c>
      <c r="B61" s="7">
        <v>275</v>
      </c>
      <c r="C61" s="7" t="s">
        <v>127</v>
      </c>
      <c r="D61" s="7" t="s">
        <v>1957</v>
      </c>
      <c r="E61" s="7" t="s">
        <v>1659</v>
      </c>
      <c r="F61" s="7">
        <v>2050</v>
      </c>
      <c r="G61" s="7">
        <v>2018</v>
      </c>
      <c r="H61" s="26" t="s">
        <v>3827</v>
      </c>
      <c r="I61" s="24" t="str">
        <f t="shared" si="0"/>
        <v/>
      </c>
      <c r="L61" s="7" t="str">
        <f t="shared" si="1"/>
        <v>T</v>
      </c>
      <c r="M61" s="21">
        <f t="shared" si="2"/>
        <v>2030</v>
      </c>
      <c r="N61" s="7">
        <v>2019</v>
      </c>
      <c r="T61" s="7" t="str">
        <f t="shared" si="3"/>
        <v/>
      </c>
      <c r="U61" s="7" t="s">
        <v>1969</v>
      </c>
      <c r="V61" s="7" t="s">
        <v>1659</v>
      </c>
      <c r="X61" s="7" t="s">
        <v>3828</v>
      </c>
      <c r="AC61" s="26" t="s">
        <v>3827</v>
      </c>
      <c r="AD61" s="24">
        <v>43638</v>
      </c>
      <c r="AE61" s="7">
        <v>1.7999999999999999E-2</v>
      </c>
      <c r="AF61" s="7" t="s">
        <v>3826</v>
      </c>
      <c r="AG61" s="7">
        <v>5.2999999999999999E-2</v>
      </c>
      <c r="AH61" s="7" t="s">
        <v>3825</v>
      </c>
      <c r="AI61" s="7">
        <v>125000</v>
      </c>
      <c r="AJ61" s="7">
        <v>1</v>
      </c>
      <c r="AK61" s="7">
        <v>22</v>
      </c>
      <c r="AL61" s="7" t="s">
        <v>454</v>
      </c>
      <c r="AN61" s="7" t="s">
        <v>2029</v>
      </c>
      <c r="AT61" s="7" t="str">
        <f t="shared" si="24"/>
        <v>CN &amp; SBT</v>
      </c>
      <c r="AU61" s="7" t="str">
        <f t="shared" si="4"/>
        <v>SBT</v>
      </c>
      <c r="AV61" s="7" t="str">
        <f t="shared" si="5"/>
        <v/>
      </c>
      <c r="AW61" s="7">
        <f t="shared" si="6"/>
        <v>2019</v>
      </c>
      <c r="AX61" s="7" t="str">
        <f t="shared" si="7"/>
        <v/>
      </c>
      <c r="BB61" s="7" t="str">
        <f t="shared" si="23"/>
        <v>Yes</v>
      </c>
      <c r="BC61" s="7" t="str">
        <f t="shared" si="9"/>
        <v>No - but post-2030 commitment</v>
      </c>
      <c r="BD61" s="7" t="s">
        <v>1963</v>
      </c>
      <c r="BF61" s="7" t="s">
        <v>3824</v>
      </c>
      <c r="BH61" s="7" t="s">
        <v>22</v>
      </c>
      <c r="BI61" s="7" t="s">
        <v>2245</v>
      </c>
      <c r="BJ61" s="7" t="s">
        <v>1948</v>
      </c>
      <c r="BM61" s="7" t="s">
        <v>3823</v>
      </c>
      <c r="BN61" s="7">
        <v>2030</v>
      </c>
      <c r="BO61" s="7">
        <v>2030</v>
      </c>
      <c r="BP61" s="7">
        <v>2030</v>
      </c>
      <c r="BQ61" s="22">
        <v>0.5</v>
      </c>
      <c r="CD61" s="7" t="s">
        <v>361</v>
      </c>
      <c r="CF61" s="25"/>
      <c r="CH61" s="7" t="str">
        <f t="shared" si="10"/>
        <v/>
      </c>
      <c r="CX61" s="7" t="s">
        <v>361</v>
      </c>
      <c r="CY61" s="7" t="s">
        <v>361</v>
      </c>
    </row>
    <row r="62" spans="1:103">
      <c r="A62" s="7" t="s">
        <v>917</v>
      </c>
      <c r="B62" s="7">
        <v>309</v>
      </c>
      <c r="I62" s="24" t="str">
        <f t="shared" si="0"/>
        <v/>
      </c>
      <c r="L62" s="7" t="str">
        <f t="shared" si="1"/>
        <v/>
      </c>
      <c r="M62" s="21" t="str">
        <f t="shared" si="2"/>
        <v/>
      </c>
      <c r="N62" s="7" t="s">
        <v>1960</v>
      </c>
      <c r="T62" s="7" t="str">
        <f t="shared" si="3"/>
        <v>Nothing</v>
      </c>
      <c r="U62" s="7" t="s">
        <v>1963</v>
      </c>
      <c r="AD62" s="24">
        <v>40410</v>
      </c>
      <c r="AE62" s="7">
        <v>-5.8999999999999997E-2</v>
      </c>
      <c r="AF62" s="7" t="s">
        <v>3822</v>
      </c>
      <c r="AG62" s="7">
        <v>-0.61399999999999999</v>
      </c>
      <c r="AH62" s="7" t="s">
        <v>3821</v>
      </c>
      <c r="AI62" s="7">
        <v>12171</v>
      </c>
      <c r="AJ62" s="7">
        <v>-34</v>
      </c>
      <c r="AK62" s="7">
        <v>17</v>
      </c>
      <c r="AT62" s="7" t="str">
        <f t="shared" si="24"/>
        <v>None</v>
      </c>
      <c r="AU62" s="7" t="str">
        <f t="shared" si="4"/>
        <v>None</v>
      </c>
      <c r="AV62" s="7" t="str">
        <f t="shared" si="5"/>
        <v/>
      </c>
      <c r="AW62" s="7" t="str">
        <f t="shared" si="6"/>
        <v/>
      </c>
      <c r="AX62" s="7" t="str">
        <f t="shared" si="7"/>
        <v/>
      </c>
      <c r="BB62" s="7" t="str">
        <f t="shared" si="23"/>
        <v/>
      </c>
      <c r="BC62" s="7" t="str">
        <f t="shared" si="9"/>
        <v>No</v>
      </c>
      <c r="BD62" s="7" t="s">
        <v>1963</v>
      </c>
      <c r="BQ62" s="22"/>
      <c r="CH62" s="7" t="str">
        <f t="shared" si="10"/>
        <v/>
      </c>
    </row>
    <row r="63" spans="1:103">
      <c r="A63" s="7" t="s">
        <v>1005</v>
      </c>
      <c r="B63" s="7">
        <v>261</v>
      </c>
      <c r="C63" s="7" t="s">
        <v>3820</v>
      </c>
      <c r="F63" s="7" t="s">
        <v>3818</v>
      </c>
      <c r="G63" s="7">
        <v>2019</v>
      </c>
      <c r="H63" s="26" t="s">
        <v>3814</v>
      </c>
      <c r="I63" s="24" t="str">
        <f t="shared" si="0"/>
        <v/>
      </c>
      <c r="L63" s="7" t="str">
        <f t="shared" si="1"/>
        <v/>
      </c>
      <c r="M63" s="21" t="str">
        <f t="shared" si="2"/>
        <v/>
      </c>
      <c r="N63" s="7" t="s">
        <v>1960</v>
      </c>
      <c r="O63" s="7" t="s">
        <v>1957</v>
      </c>
      <c r="P63" s="7" t="s">
        <v>3819</v>
      </c>
      <c r="Q63" s="7" t="s">
        <v>3818</v>
      </c>
      <c r="R63" s="7">
        <v>2019</v>
      </c>
      <c r="S63" s="26" t="s">
        <v>3814</v>
      </c>
      <c r="T63" s="7" t="str">
        <f t="shared" si="3"/>
        <v/>
      </c>
      <c r="U63" s="7" t="s">
        <v>2080</v>
      </c>
      <c r="V63" s="7" t="s">
        <v>3816</v>
      </c>
      <c r="X63" s="7" t="s">
        <v>3817</v>
      </c>
      <c r="Y63" s="7" t="s">
        <v>3816</v>
      </c>
      <c r="Z63" s="7" t="s">
        <v>3815</v>
      </c>
      <c r="AA63" s="7" t="s">
        <v>2211</v>
      </c>
      <c r="AB63" s="26" t="s">
        <v>3814</v>
      </c>
      <c r="AD63" s="24">
        <v>45139</v>
      </c>
      <c r="AE63" s="7">
        <v>-1.4999999999999999E-2</v>
      </c>
      <c r="AF63" s="7" t="s">
        <v>3813</v>
      </c>
      <c r="AG63" s="7">
        <v>1.242</v>
      </c>
      <c r="AH63" s="7" t="s">
        <v>3812</v>
      </c>
      <c r="AI63" s="7">
        <v>28926</v>
      </c>
      <c r="AJ63" s="7">
        <v>-15</v>
      </c>
      <c r="AK63" s="7">
        <v>26</v>
      </c>
      <c r="AL63" s="7" t="s">
        <v>2120</v>
      </c>
      <c r="AN63" s="7" t="s">
        <v>3811</v>
      </c>
      <c r="AT63" s="7" t="str">
        <f t="shared" si="24"/>
        <v>None</v>
      </c>
      <c r="AU63" s="7" t="str">
        <f t="shared" si="4"/>
        <v>None</v>
      </c>
      <c r="AV63" s="7" t="str">
        <f t="shared" si="5"/>
        <v/>
      </c>
      <c r="AW63" s="7" t="str">
        <f t="shared" si="6"/>
        <v/>
      </c>
      <c r="AX63" s="7" t="str">
        <f t="shared" si="7"/>
        <v/>
      </c>
      <c r="BB63" s="7" t="str">
        <f t="shared" si="23"/>
        <v/>
      </c>
      <c r="BC63" s="7" t="str">
        <f t="shared" si="9"/>
        <v>No</v>
      </c>
      <c r="BD63" s="7" t="s">
        <v>2118</v>
      </c>
      <c r="BE63" s="1"/>
      <c r="BG63" s="7" t="s">
        <v>2072</v>
      </c>
      <c r="BQ63" s="22"/>
      <c r="CD63" s="7" t="s">
        <v>361</v>
      </c>
      <c r="CF63" s="25" t="s">
        <v>2050</v>
      </c>
      <c r="CH63" s="7" t="str">
        <f t="shared" si="10"/>
        <v/>
      </c>
      <c r="CT63" s="7" t="s">
        <v>3810</v>
      </c>
      <c r="CU63" s="7" t="s">
        <v>2109</v>
      </c>
      <c r="CV63" s="7">
        <v>-24</v>
      </c>
      <c r="CX63" s="7" t="s">
        <v>361</v>
      </c>
    </row>
    <row r="64" spans="1:103">
      <c r="A64" s="7" t="s">
        <v>1711</v>
      </c>
      <c r="B64" s="7">
        <v>56</v>
      </c>
      <c r="C64" s="7" t="s">
        <v>146</v>
      </c>
      <c r="I64" s="24" t="str">
        <f t="shared" si="0"/>
        <v>Yes</v>
      </c>
      <c r="J64" s="7">
        <v>2050</v>
      </c>
      <c r="K64" s="7">
        <v>2015</v>
      </c>
      <c r="L64" s="7" t="str">
        <f t="shared" si="1"/>
        <v/>
      </c>
      <c r="M64" s="21" t="str">
        <f t="shared" si="2"/>
        <v/>
      </c>
      <c r="N64" s="7" t="s">
        <v>1960</v>
      </c>
      <c r="T64" s="7" t="str">
        <f t="shared" si="3"/>
        <v>Nothing</v>
      </c>
      <c r="U64" s="7" t="s">
        <v>1</v>
      </c>
      <c r="AC64" s="26" t="s">
        <v>3809</v>
      </c>
      <c r="AD64" s="24">
        <v>116638</v>
      </c>
      <c r="AE64" s="7">
        <v>1.4E-2</v>
      </c>
      <c r="AF64" s="7" t="s">
        <v>3808</v>
      </c>
      <c r="AG64" s="7">
        <v>-0.34499999999999997</v>
      </c>
      <c r="AH64" s="7" t="s">
        <v>3807</v>
      </c>
      <c r="AI64" s="7">
        <v>133778</v>
      </c>
      <c r="AJ64" s="7">
        <v>-3</v>
      </c>
      <c r="AK64" s="7">
        <v>26</v>
      </c>
      <c r="AL64" s="7" t="s">
        <v>166</v>
      </c>
      <c r="AN64" s="7" t="s">
        <v>1951</v>
      </c>
      <c r="AT64" s="7" t="s">
        <v>3034</v>
      </c>
      <c r="AU64" s="7" t="str">
        <f t="shared" si="4"/>
        <v>None</v>
      </c>
      <c r="AV64" s="7" t="str">
        <f t="shared" si="5"/>
        <v/>
      </c>
      <c r="AW64" s="7" t="str">
        <f t="shared" si="6"/>
        <v/>
      </c>
      <c r="AX64" s="7" t="str">
        <f t="shared" si="7"/>
        <v/>
      </c>
      <c r="BB64" s="7" t="str">
        <f t="shared" si="23"/>
        <v/>
      </c>
      <c r="BC64" s="7" t="str">
        <f t="shared" si="9"/>
        <v>No</v>
      </c>
      <c r="BD64" s="7" t="s">
        <v>1</v>
      </c>
      <c r="BF64" s="23" t="s">
        <v>3806</v>
      </c>
      <c r="BQ64" s="22"/>
      <c r="CG64" s="7" t="s">
        <v>146</v>
      </c>
      <c r="CH64" s="7" t="str">
        <f t="shared" si="10"/>
        <v/>
      </c>
      <c r="CI64" s="7" t="s">
        <v>1708</v>
      </c>
      <c r="CJ64" s="7">
        <v>0.75</v>
      </c>
      <c r="CK64" s="7">
        <v>0.62</v>
      </c>
      <c r="CL64" s="7">
        <v>0.67</v>
      </c>
      <c r="CM64" s="7">
        <v>0.42</v>
      </c>
      <c r="CN64" s="7">
        <v>0.4</v>
      </c>
      <c r="CO64" s="7" t="s">
        <v>3805</v>
      </c>
      <c r="CT64" s="7" t="s">
        <v>1711</v>
      </c>
      <c r="CU64" s="7" t="s">
        <v>2109</v>
      </c>
      <c r="CV64" s="7">
        <v>-24</v>
      </c>
      <c r="CW64" s="7" t="s">
        <v>361</v>
      </c>
    </row>
    <row r="65" spans="1:103">
      <c r="A65" s="7" t="s">
        <v>1510</v>
      </c>
      <c r="B65" s="7">
        <v>99</v>
      </c>
      <c r="C65" s="7" t="s">
        <v>63</v>
      </c>
      <c r="D65" s="7" t="s">
        <v>1957</v>
      </c>
      <c r="E65" s="7" t="s">
        <v>3804</v>
      </c>
      <c r="F65" s="7">
        <v>2017</v>
      </c>
      <c r="G65" s="7">
        <v>2017</v>
      </c>
      <c r="H65" s="8" t="s">
        <v>3803</v>
      </c>
      <c r="I65" s="24" t="str">
        <f t="shared" si="0"/>
        <v/>
      </c>
      <c r="L65" s="7" t="str">
        <f t="shared" si="1"/>
        <v>C</v>
      </c>
      <c r="M65" s="21" t="str">
        <f t="shared" si="2"/>
        <v/>
      </c>
      <c r="N65" s="7">
        <v>2016</v>
      </c>
      <c r="T65" s="7" t="str">
        <f t="shared" si="3"/>
        <v/>
      </c>
      <c r="U65" s="7" t="s">
        <v>361</v>
      </c>
      <c r="V65" s="7" t="s">
        <v>3802</v>
      </c>
      <c r="AC65" s="8" t="s">
        <v>3801</v>
      </c>
      <c r="AD65" s="24">
        <v>85058</v>
      </c>
      <c r="AE65" s="7">
        <v>1.2999999999999999E-2</v>
      </c>
      <c r="AF65" s="7" t="s">
        <v>3800</v>
      </c>
      <c r="AG65" s="7">
        <v>0.03</v>
      </c>
      <c r="AH65" s="7" t="s">
        <v>3799</v>
      </c>
      <c r="AI65" s="7">
        <v>194001</v>
      </c>
      <c r="AJ65" s="7">
        <v>5</v>
      </c>
      <c r="AK65" s="7">
        <v>26</v>
      </c>
      <c r="AL65" s="7" t="s">
        <v>93</v>
      </c>
      <c r="AN65" s="7" t="s">
        <v>1951</v>
      </c>
      <c r="AT65" s="7" t="str">
        <f t="shared" ref="AT65:AT96" si="25">IF(OR(BC65="Carbon Neutral",BC65="No - but post-2030 commitment"),IF((OR(BH65="Committed",BH65="Targets Set")),IF(J65="", "CN &amp; SBT","CN, SBT &amp; RE100"),IF(CH65="","CN","CN &amp; RE100")),IF((OR(BH65="Committed",BH65="Targets Set")),IF(CH65="", "SBT","SBT &amp; RE100"),IF(CH65="","None","RE100")))</f>
        <v>CN &amp; SBT</v>
      </c>
      <c r="AU65" s="7" t="str">
        <f t="shared" si="4"/>
        <v>CN &amp; SBT</v>
      </c>
      <c r="AV65" s="7">
        <f t="shared" si="5"/>
        <v>2017</v>
      </c>
      <c r="AW65" s="7">
        <f t="shared" si="6"/>
        <v>2016</v>
      </c>
      <c r="AX65" s="7" t="str">
        <f t="shared" si="7"/>
        <v/>
      </c>
      <c r="BB65" s="7" t="str">
        <f t="shared" si="23"/>
        <v>Yes</v>
      </c>
      <c r="BC65" s="7" t="str">
        <f t="shared" si="9"/>
        <v>Carbon Neutral</v>
      </c>
      <c r="BD65" s="7" t="s">
        <v>1</v>
      </c>
      <c r="BF65" s="7" t="s">
        <v>3798</v>
      </c>
      <c r="BH65" s="7" t="s">
        <v>165</v>
      </c>
      <c r="BJ65" s="7" t="s">
        <v>941</v>
      </c>
      <c r="BQ65" s="22"/>
      <c r="CE65" s="7" t="s">
        <v>1947</v>
      </c>
      <c r="CH65" s="7" t="str">
        <f t="shared" si="10"/>
        <v/>
      </c>
      <c r="CW65" s="7" t="s">
        <v>361</v>
      </c>
      <c r="CX65" s="7" t="s">
        <v>361</v>
      </c>
    </row>
    <row r="66" spans="1:103">
      <c r="A66" s="7" t="s">
        <v>1664</v>
      </c>
      <c r="B66" s="7">
        <v>121</v>
      </c>
      <c r="I66" s="24" t="str">
        <f t="shared" ref="I66:I129" si="26">IF(J66="","","Yes")</f>
        <v/>
      </c>
      <c r="L66" s="7" t="str">
        <f t="shared" ref="L66:L129" si="27">IF(BH66="","",IF(BH66="Targets Set","T","C"))</f>
        <v/>
      </c>
      <c r="M66" s="21" t="str">
        <f t="shared" ref="M66:M129" si="28">IF(BM66="","",AVERAGE(BN66:BP66))</f>
        <v/>
      </c>
      <c r="N66" s="7" t="s">
        <v>1960</v>
      </c>
      <c r="T66" s="7" t="str">
        <f t="shared" ref="T66:T129" si="29">IF(AND(O66="",D66=""),"Nothing","")</f>
        <v>Nothing</v>
      </c>
      <c r="U66" s="7" t="s">
        <v>1</v>
      </c>
      <c r="AC66" s="8" t="s">
        <v>3797</v>
      </c>
      <c r="AD66" s="24">
        <v>76559</v>
      </c>
      <c r="AE66" s="7">
        <v>-0.24299999999999999</v>
      </c>
      <c r="AF66" s="7" t="s">
        <v>3796</v>
      </c>
      <c r="AG66" s="7">
        <v>-1.0609999999999999</v>
      </c>
      <c r="AH66" s="7" t="s">
        <v>3795</v>
      </c>
      <c r="AI66" s="7">
        <v>161100</v>
      </c>
      <c r="AJ66" s="7">
        <v>-53</v>
      </c>
      <c r="AK66" s="7">
        <v>26</v>
      </c>
      <c r="AT66" s="7" t="str">
        <f t="shared" si="25"/>
        <v>None</v>
      </c>
      <c r="AU66" s="7" t="str">
        <f t="shared" ref="AU66:AU129" si="30">IF((BC66="Carbon Neutral"),IF((OR(BH66="Committed",BH66="Targets Set")),IF(CH66="yes", "CN, SBT &amp; RE100", "CN &amp; SBT"),IF(CH66="yes", "CN &amp; RE100", "CN")),IF((OR(BH66="Committed",BH66="Targets Set")),IF(CH66="yes", "SBT &amp; RE100", "SBT"),IF(CH66="yes", "RE100", "None")))</f>
        <v>None</v>
      </c>
      <c r="AV66" s="7" t="str">
        <f t="shared" ref="AV66:AV129" si="31">IF(BC66="Carbon Neutral",G66,"")</f>
        <v/>
      </c>
      <c r="AW66" s="7" t="str">
        <f t="shared" ref="AW66:AW129" si="32">IF(N66="","",N66)</f>
        <v/>
      </c>
      <c r="AX66" s="7" t="str">
        <f t="shared" ref="AX66:AX129" si="33">IF(J66="","",IF(J66="2020 - achieved",K66,IF(J66="2020 - not achieved",K66,IF(J66="2020 - achieved pre-July 2019",K66,IF(J66&gt;2030,"",K66)))))</f>
        <v/>
      </c>
      <c r="BB66" s="7" t="str">
        <f t="shared" ref="BB66:BB97" si="34">IF(BH66="","","Yes")</f>
        <v/>
      </c>
      <c r="BC66" s="7" t="str">
        <f t="shared" ref="BC66:BC129" si="35">IF(U66="No","No",IF(AND(OR(U66="No - but future commitment",U66="No - but future commitment and further future commitment across more scopes"),F66&lt;=2030),"Carbon Neutral",IF(OR(U66="No - but future commitment",U66="No - but future commitment and further future commitment across more scopes"),"No - but post-2030 commitment",IF(OR(U66="Yes",U66="Yes and future commitment across more scopes",U66="Yes by virtue of zero net"),"Carbon Neutral","No"))))</f>
        <v>No</v>
      </c>
      <c r="BD66" s="7" t="s">
        <v>1</v>
      </c>
      <c r="BF66" s="23" t="s">
        <v>3794</v>
      </c>
      <c r="BQ66" s="22"/>
      <c r="CH66" s="7" t="str">
        <f t="shared" ref="CH66:CH129" si="36">IF(J66="","",IF(J66&lt;=2030,"yes",IF(J66="2020 - achieved","yes",IF(J66="2020 - not achieved","yes",IF(J66="2020 - achieved pre-July 2019","yes",IF(J66&gt;2030,"",IF(J66="No target date","","unknown error")))))))</f>
        <v/>
      </c>
      <c r="CY66" s="7" t="s">
        <v>361</v>
      </c>
    </row>
    <row r="67" spans="1:103">
      <c r="A67" s="7" t="s">
        <v>1635</v>
      </c>
      <c r="B67" s="7">
        <v>95</v>
      </c>
      <c r="C67" s="7" t="s">
        <v>146</v>
      </c>
      <c r="D67" s="7" t="s">
        <v>1957</v>
      </c>
      <c r="E67" s="7" t="s">
        <v>3793</v>
      </c>
      <c r="F67" s="7">
        <v>2020</v>
      </c>
      <c r="G67" s="7">
        <v>2019</v>
      </c>
      <c r="H67" s="8" t="s">
        <v>3791</v>
      </c>
      <c r="I67" s="24" t="str">
        <f t="shared" si="26"/>
        <v/>
      </c>
      <c r="L67" s="7" t="str">
        <f t="shared" si="27"/>
        <v/>
      </c>
      <c r="M67" s="21" t="str">
        <f t="shared" si="28"/>
        <v/>
      </c>
      <c r="N67" s="7" t="s">
        <v>1960</v>
      </c>
      <c r="T67" s="7" t="str">
        <f t="shared" si="29"/>
        <v/>
      </c>
      <c r="U67" s="7" t="s">
        <v>1969</v>
      </c>
      <c r="V67" s="7" t="s">
        <v>3792</v>
      </c>
      <c r="AC67" s="8" t="s">
        <v>3791</v>
      </c>
      <c r="AD67" s="24">
        <v>86990</v>
      </c>
      <c r="AE67" s="7">
        <v>-6.0999999999999999E-2</v>
      </c>
      <c r="AF67" s="7" t="s">
        <v>3790</v>
      </c>
      <c r="AG67" s="7">
        <v>-0.505</v>
      </c>
      <c r="AH67" s="7" t="s">
        <v>3789</v>
      </c>
      <c r="AI67" s="7">
        <v>398150</v>
      </c>
      <c r="AJ67" s="7">
        <v>-18</v>
      </c>
      <c r="AK67" s="7">
        <v>26</v>
      </c>
      <c r="AL67" s="7" t="s">
        <v>166</v>
      </c>
      <c r="AN67" s="7" t="s">
        <v>1951</v>
      </c>
      <c r="AT67" s="7" t="str">
        <f t="shared" si="25"/>
        <v>CN</v>
      </c>
      <c r="AU67" s="7" t="str">
        <f t="shared" si="30"/>
        <v>CN</v>
      </c>
      <c r="AV67" s="7">
        <f t="shared" si="31"/>
        <v>2019</v>
      </c>
      <c r="AW67" s="7" t="str">
        <f t="shared" si="32"/>
        <v/>
      </c>
      <c r="AX67" s="7" t="str">
        <f t="shared" si="33"/>
        <v/>
      </c>
      <c r="BB67" s="7" t="str">
        <f t="shared" si="34"/>
        <v/>
      </c>
      <c r="BC67" s="7" t="str">
        <f t="shared" si="35"/>
        <v>Carbon Neutral</v>
      </c>
      <c r="BD67" s="7" t="s">
        <v>1</v>
      </c>
      <c r="BF67" s="23" t="s">
        <v>3788</v>
      </c>
      <c r="BQ67" s="22"/>
      <c r="CE67" s="7">
        <v>2020</v>
      </c>
      <c r="CH67" s="7" t="str">
        <f t="shared" si="36"/>
        <v/>
      </c>
    </row>
    <row r="68" spans="1:103">
      <c r="A68" s="7" t="s">
        <v>883</v>
      </c>
      <c r="B68" s="7">
        <v>286</v>
      </c>
      <c r="I68" s="24" t="str">
        <f t="shared" si="26"/>
        <v/>
      </c>
      <c r="L68" s="7" t="str">
        <f t="shared" si="27"/>
        <v/>
      </c>
      <c r="M68" s="21" t="str">
        <f t="shared" si="28"/>
        <v/>
      </c>
      <c r="N68" s="7" t="s">
        <v>1960</v>
      </c>
      <c r="T68" s="7" t="str">
        <f t="shared" si="29"/>
        <v>Nothing</v>
      </c>
      <c r="U68" s="7" t="s">
        <v>1963</v>
      </c>
      <c r="AC68" s="26" t="s">
        <v>3787</v>
      </c>
      <c r="AD68" s="24">
        <v>42543</v>
      </c>
      <c r="AE68" s="7">
        <v>8.9999999999999993E-3</v>
      </c>
      <c r="AF68" s="7" t="s">
        <v>3786</v>
      </c>
      <c r="AG68" s="7">
        <v>-0.14299999999999999</v>
      </c>
      <c r="AH68" s="7" t="s">
        <v>3785</v>
      </c>
      <c r="AI68" s="7">
        <v>130500</v>
      </c>
      <c r="AJ68" s="7">
        <v>1</v>
      </c>
      <c r="AK68" s="7">
        <v>26</v>
      </c>
      <c r="AT68" s="7" t="str">
        <f t="shared" si="25"/>
        <v>None</v>
      </c>
      <c r="AU68" s="7" t="str">
        <f t="shared" si="30"/>
        <v>None</v>
      </c>
      <c r="AV68" s="7" t="str">
        <f t="shared" si="31"/>
        <v/>
      </c>
      <c r="AW68" s="7" t="str">
        <f t="shared" si="32"/>
        <v/>
      </c>
      <c r="AX68" s="7" t="str">
        <f t="shared" si="33"/>
        <v/>
      </c>
      <c r="BB68" s="7" t="str">
        <f t="shared" si="34"/>
        <v/>
      </c>
      <c r="BC68" s="7" t="str">
        <f t="shared" si="35"/>
        <v>No</v>
      </c>
      <c r="BD68" s="7" t="s">
        <v>1963</v>
      </c>
      <c r="BF68" s="7" t="s">
        <v>3784</v>
      </c>
      <c r="BQ68" s="22"/>
      <c r="CH68" s="7" t="str">
        <f t="shared" si="36"/>
        <v/>
      </c>
    </row>
    <row r="69" spans="1:103">
      <c r="A69" s="7" t="s">
        <v>1873</v>
      </c>
      <c r="B69" s="7">
        <v>8</v>
      </c>
      <c r="C69" s="7" t="s">
        <v>2070</v>
      </c>
      <c r="F69" s="7">
        <v>2050</v>
      </c>
      <c r="G69" s="7">
        <v>2020</v>
      </c>
      <c r="H69" s="7" t="s">
        <v>2535</v>
      </c>
      <c r="I69" s="24" t="str">
        <f t="shared" si="26"/>
        <v/>
      </c>
      <c r="L69" s="7" t="str">
        <f t="shared" si="27"/>
        <v/>
      </c>
      <c r="M69" s="21" t="str">
        <f t="shared" si="28"/>
        <v/>
      </c>
      <c r="N69" s="7" t="s">
        <v>1960</v>
      </c>
      <c r="O69" s="7" t="s">
        <v>1971</v>
      </c>
      <c r="P69" s="7" t="s">
        <v>1435</v>
      </c>
      <c r="Q69" s="7">
        <v>2050</v>
      </c>
      <c r="R69" s="7">
        <v>2020</v>
      </c>
      <c r="S69" s="27" t="s">
        <v>3783</v>
      </c>
      <c r="T69" s="7" t="str">
        <f t="shared" si="29"/>
        <v/>
      </c>
      <c r="U69" s="7" t="s">
        <v>2080</v>
      </c>
      <c r="V69" s="7" t="s">
        <v>3782</v>
      </c>
      <c r="Y69" s="7" t="s">
        <v>3781</v>
      </c>
      <c r="Z69" s="7" t="s">
        <v>3780</v>
      </c>
      <c r="AA69" s="7" t="s">
        <v>2211</v>
      </c>
      <c r="AB69" s="26" t="s">
        <v>3779</v>
      </c>
      <c r="AC69" s="26" t="s">
        <v>3778</v>
      </c>
      <c r="AD69" s="24">
        <v>282616</v>
      </c>
      <c r="AE69" s="7">
        <v>-7.0000000000000007E-2</v>
      </c>
      <c r="AF69" s="7" t="s">
        <v>3777</v>
      </c>
      <c r="AG69" s="7">
        <v>-0.57099999999999995</v>
      </c>
      <c r="AH69" s="7" t="s">
        <v>3776</v>
      </c>
      <c r="AI69" s="7">
        <v>72500</v>
      </c>
      <c r="AJ69" s="7">
        <v>-1</v>
      </c>
      <c r="AK69" s="7">
        <v>26</v>
      </c>
      <c r="AL69" t="s">
        <v>2111</v>
      </c>
      <c r="AN69" s="7" t="s">
        <v>1951</v>
      </c>
      <c r="AT69" s="7" t="str">
        <f t="shared" si="25"/>
        <v>None</v>
      </c>
      <c r="AU69" s="7" t="str">
        <f t="shared" si="30"/>
        <v>None</v>
      </c>
      <c r="AV69" s="7" t="str">
        <f t="shared" si="31"/>
        <v/>
      </c>
      <c r="AW69" s="7" t="str">
        <f t="shared" si="32"/>
        <v/>
      </c>
      <c r="AX69" s="7" t="str">
        <f t="shared" si="33"/>
        <v/>
      </c>
      <c r="BB69" s="7" t="str">
        <f t="shared" si="34"/>
        <v/>
      </c>
      <c r="BC69" s="7" t="str">
        <f t="shared" si="35"/>
        <v>No</v>
      </c>
      <c r="BD69" s="7" t="s">
        <v>2118</v>
      </c>
      <c r="BF69" s="23" t="s">
        <v>3775</v>
      </c>
      <c r="BG69" s="7" t="s">
        <v>2072</v>
      </c>
      <c r="BQ69" s="22"/>
      <c r="CD69" s="7" t="s">
        <v>361</v>
      </c>
      <c r="CF69" s="25"/>
      <c r="CH69" s="7" t="str">
        <f t="shared" si="36"/>
        <v/>
      </c>
      <c r="CT69" s="7" t="s">
        <v>1873</v>
      </c>
      <c r="CU69" s="7" t="s">
        <v>2109</v>
      </c>
      <c r="CV69" s="7">
        <v>-47</v>
      </c>
      <c r="CW69" s="7" t="s">
        <v>361</v>
      </c>
      <c r="CX69" s="7" t="s">
        <v>361</v>
      </c>
      <c r="CY69" s="7" t="s">
        <v>361</v>
      </c>
    </row>
    <row r="70" spans="1:103">
      <c r="A70" s="7" t="s">
        <v>591</v>
      </c>
      <c r="B70" s="7">
        <v>387</v>
      </c>
      <c r="I70" s="24" t="str">
        <f t="shared" si="26"/>
        <v/>
      </c>
      <c r="L70" s="7" t="str">
        <f t="shared" si="27"/>
        <v/>
      </c>
      <c r="M70" s="21" t="str">
        <f t="shared" si="28"/>
        <v/>
      </c>
      <c r="N70" s="7" t="s">
        <v>1960</v>
      </c>
      <c r="T70" s="7" t="str">
        <f t="shared" si="29"/>
        <v>Nothing</v>
      </c>
      <c r="U70" s="7" t="s">
        <v>1963</v>
      </c>
      <c r="AC70" s="26" t="s">
        <v>3774</v>
      </c>
      <c r="AD70" s="24">
        <v>32340</v>
      </c>
      <c r="AE70" s="7">
        <v>-2.1999999999999999E-2</v>
      </c>
      <c r="AF70" s="7" t="s">
        <v>3773</v>
      </c>
      <c r="AG70" s="7">
        <v>1.6E-2</v>
      </c>
      <c r="AH70" s="7" t="s">
        <v>3772</v>
      </c>
      <c r="AI70" s="7">
        <v>143589</v>
      </c>
      <c r="AJ70" s="7">
        <v>-13</v>
      </c>
      <c r="AK70" s="7">
        <v>26</v>
      </c>
      <c r="AT70" s="7" t="str">
        <f t="shared" si="25"/>
        <v>None</v>
      </c>
      <c r="AU70" s="7" t="str">
        <f t="shared" si="30"/>
        <v>None</v>
      </c>
      <c r="AV70" s="7" t="str">
        <f t="shared" si="31"/>
        <v/>
      </c>
      <c r="AW70" s="7" t="str">
        <f t="shared" si="32"/>
        <v/>
      </c>
      <c r="AX70" s="7" t="str">
        <f t="shared" si="33"/>
        <v/>
      </c>
      <c r="BB70" s="7" t="str">
        <f t="shared" si="34"/>
        <v/>
      </c>
      <c r="BC70" s="7" t="str">
        <f t="shared" si="35"/>
        <v>No</v>
      </c>
      <c r="BD70" s="7" t="s">
        <v>1963</v>
      </c>
      <c r="BF70" s="7" t="s">
        <v>3771</v>
      </c>
      <c r="BQ70" s="22"/>
      <c r="CH70" s="7" t="str">
        <f t="shared" si="36"/>
        <v/>
      </c>
      <c r="CW70" s="7" t="s">
        <v>361</v>
      </c>
    </row>
    <row r="71" spans="1:103">
      <c r="A71" s="7" t="s">
        <v>3770</v>
      </c>
      <c r="B71" s="7">
        <v>487</v>
      </c>
      <c r="I71" s="24" t="str">
        <f t="shared" si="26"/>
        <v/>
      </c>
      <c r="L71" s="7" t="str">
        <f t="shared" si="27"/>
        <v/>
      </c>
      <c r="M71" s="21" t="str">
        <f t="shared" si="28"/>
        <v/>
      </c>
      <c r="N71" s="7" t="s">
        <v>1960</v>
      </c>
      <c r="T71" s="7" t="str">
        <f t="shared" si="29"/>
        <v>Nothing</v>
      </c>
      <c r="U71" s="7" t="s">
        <v>1</v>
      </c>
      <c r="AD71" s="24">
        <v>26145</v>
      </c>
      <c r="AE71" s="7">
        <v>0.159</v>
      </c>
      <c r="AF71" s="7" t="s">
        <v>3769</v>
      </c>
      <c r="AG71" s="7">
        <v>-0.30099999999999999</v>
      </c>
      <c r="AH71" s="7" t="s">
        <v>3768</v>
      </c>
      <c r="AI71" s="7">
        <v>30000</v>
      </c>
      <c r="AJ71" s="7" t="s">
        <v>9</v>
      </c>
      <c r="AK71" s="7">
        <v>17</v>
      </c>
      <c r="AT71" s="7" t="str">
        <f t="shared" si="25"/>
        <v>None</v>
      </c>
      <c r="AU71" s="7" t="str">
        <f t="shared" si="30"/>
        <v>None</v>
      </c>
      <c r="AV71" s="7" t="str">
        <f t="shared" si="31"/>
        <v/>
      </c>
      <c r="AW71" s="7" t="str">
        <f t="shared" si="32"/>
        <v/>
      </c>
      <c r="AX71" s="7" t="str">
        <f t="shared" si="33"/>
        <v/>
      </c>
      <c r="BB71" s="7" t="str">
        <f t="shared" si="34"/>
        <v/>
      </c>
      <c r="BC71" s="7" t="str">
        <f t="shared" si="35"/>
        <v>No</v>
      </c>
      <c r="BD71" s="7" t="s">
        <v>1</v>
      </c>
      <c r="BQ71" s="22"/>
      <c r="CH71" s="7" t="str">
        <f t="shared" si="36"/>
        <v/>
      </c>
      <c r="CY71" s="7" t="s">
        <v>361</v>
      </c>
    </row>
    <row r="72" spans="1:103">
      <c r="A72" s="7" t="s">
        <v>551</v>
      </c>
      <c r="B72" s="7">
        <v>379</v>
      </c>
      <c r="C72" s="7" t="s">
        <v>2070</v>
      </c>
      <c r="D72" s="7" t="s">
        <v>1957</v>
      </c>
      <c r="E72" s="7" t="s">
        <v>3767</v>
      </c>
      <c r="F72" s="7">
        <v>2030</v>
      </c>
      <c r="G72" s="7">
        <v>2020</v>
      </c>
      <c r="H72" s="26" t="s">
        <v>555</v>
      </c>
      <c r="I72" s="24" t="str">
        <f t="shared" si="26"/>
        <v/>
      </c>
      <c r="L72" s="7" t="str">
        <f t="shared" si="27"/>
        <v>T</v>
      </c>
      <c r="M72" s="21">
        <f t="shared" si="28"/>
        <v>2027.6666666666667</v>
      </c>
      <c r="N72" s="7">
        <v>2019</v>
      </c>
      <c r="T72" s="7" t="str">
        <f t="shared" si="29"/>
        <v/>
      </c>
      <c r="U72" s="7" t="s">
        <v>1969</v>
      </c>
      <c r="V72" s="7" t="s">
        <v>3767</v>
      </c>
      <c r="X72" s="34" t="s">
        <v>3766</v>
      </c>
      <c r="AD72" s="24">
        <v>33021</v>
      </c>
      <c r="AE72" s="7">
        <v>1.0999999999999999E-2</v>
      </c>
      <c r="AF72" s="7" t="s">
        <v>3765</v>
      </c>
      <c r="AG72" s="7">
        <v>-9.5000000000000001E-2</v>
      </c>
      <c r="AH72" s="7" t="s">
        <v>3764</v>
      </c>
      <c r="AI72" s="7">
        <v>59989</v>
      </c>
      <c r="AJ72" s="7">
        <v>5</v>
      </c>
      <c r="AK72" s="7">
        <v>23</v>
      </c>
      <c r="AL72" s="7" t="s">
        <v>388</v>
      </c>
      <c r="AN72" s="7" t="s">
        <v>1951</v>
      </c>
      <c r="AT72" s="7" t="str">
        <f t="shared" si="25"/>
        <v>CN &amp; SBT</v>
      </c>
      <c r="AU72" s="7" t="str">
        <f t="shared" si="30"/>
        <v>CN &amp; SBT</v>
      </c>
      <c r="AV72" s="7">
        <f t="shared" si="31"/>
        <v>2020</v>
      </c>
      <c r="AW72" s="7">
        <f t="shared" si="32"/>
        <v>2019</v>
      </c>
      <c r="AX72" s="7" t="str">
        <f t="shared" si="33"/>
        <v/>
      </c>
      <c r="BB72" s="7" t="str">
        <f t="shared" si="34"/>
        <v>Yes</v>
      </c>
      <c r="BC72" s="7" t="str">
        <f t="shared" si="35"/>
        <v>Carbon Neutral</v>
      </c>
      <c r="BD72" s="7" t="s">
        <v>1963</v>
      </c>
      <c r="BH72" s="7" t="s">
        <v>22</v>
      </c>
      <c r="BI72" s="7" t="s">
        <v>2040</v>
      </c>
      <c r="BJ72" s="7" t="s">
        <v>554</v>
      </c>
      <c r="BM72" s="7" t="s">
        <v>552</v>
      </c>
      <c r="BN72" s="7">
        <v>2030</v>
      </c>
      <c r="BO72" s="7">
        <v>2030</v>
      </c>
      <c r="BP72" s="7">
        <v>2023</v>
      </c>
      <c r="BQ72" s="22">
        <v>0.3</v>
      </c>
      <c r="CD72" s="7" t="s">
        <v>361</v>
      </c>
      <c r="CF72" s="25"/>
      <c r="CH72" s="7" t="str">
        <f t="shared" si="36"/>
        <v/>
      </c>
    </row>
    <row r="73" spans="1:103">
      <c r="A73" s="7" t="s">
        <v>1225</v>
      </c>
      <c r="B73" s="7">
        <v>155</v>
      </c>
      <c r="I73" s="24" t="str">
        <f t="shared" si="26"/>
        <v/>
      </c>
      <c r="L73" s="7" t="str">
        <f t="shared" si="27"/>
        <v/>
      </c>
      <c r="M73" s="21" t="str">
        <f t="shared" si="28"/>
        <v/>
      </c>
      <c r="N73" s="7" t="s">
        <v>1960</v>
      </c>
      <c r="T73" s="7" t="str">
        <f t="shared" si="29"/>
        <v>Nothing</v>
      </c>
      <c r="U73" s="7" t="s">
        <v>1</v>
      </c>
      <c r="AC73" s="8" t="s">
        <v>3763</v>
      </c>
      <c r="AD73" s="24">
        <v>67826</v>
      </c>
      <c r="AE73" s="7">
        <v>0.19500000000000001</v>
      </c>
      <c r="AF73" s="7" t="s">
        <v>3762</v>
      </c>
      <c r="AG73" s="7">
        <v>-0.217</v>
      </c>
      <c r="AH73" s="7" t="s">
        <v>3761</v>
      </c>
      <c r="AI73" s="7">
        <v>151000</v>
      </c>
      <c r="AJ73" s="7">
        <v>25</v>
      </c>
      <c r="AK73" s="7">
        <v>4</v>
      </c>
      <c r="AT73" s="7" t="str">
        <f t="shared" si="25"/>
        <v>None</v>
      </c>
      <c r="AU73" s="7" t="str">
        <f t="shared" si="30"/>
        <v>None</v>
      </c>
      <c r="AV73" s="7" t="str">
        <f t="shared" si="31"/>
        <v/>
      </c>
      <c r="AW73" s="7" t="str">
        <f t="shared" si="32"/>
        <v/>
      </c>
      <c r="AX73" s="7" t="str">
        <f t="shared" si="33"/>
        <v/>
      </c>
      <c r="BB73" s="7" t="str">
        <f t="shared" si="34"/>
        <v/>
      </c>
      <c r="BC73" s="7" t="str">
        <f t="shared" si="35"/>
        <v>No</v>
      </c>
      <c r="BD73" s="7" t="s">
        <v>1</v>
      </c>
      <c r="BF73" s="7" t="s">
        <v>3760</v>
      </c>
      <c r="BQ73" s="22"/>
      <c r="CH73" s="7" t="str">
        <f t="shared" si="36"/>
        <v/>
      </c>
      <c r="CX73" s="7" t="s">
        <v>361</v>
      </c>
    </row>
    <row r="74" spans="1:103">
      <c r="A74" s="7" t="s">
        <v>458</v>
      </c>
      <c r="B74" s="7">
        <v>432</v>
      </c>
      <c r="C74" s="7" t="s">
        <v>2070</v>
      </c>
      <c r="F74" s="7">
        <v>2045</v>
      </c>
      <c r="G74" s="7">
        <v>2020</v>
      </c>
      <c r="H74" s="26" t="s">
        <v>3757</v>
      </c>
      <c r="I74" s="24" t="str">
        <f t="shared" si="26"/>
        <v>Yes</v>
      </c>
      <c r="J74" s="7">
        <v>2020</v>
      </c>
      <c r="K74" s="7">
        <v>2014</v>
      </c>
      <c r="L74" s="7" t="str">
        <f t="shared" si="27"/>
        <v>T</v>
      </c>
      <c r="M74" s="21">
        <f t="shared" si="28"/>
        <v>2030</v>
      </c>
      <c r="N74" s="7">
        <v>2017</v>
      </c>
      <c r="O74" s="7" t="s">
        <v>1971</v>
      </c>
      <c r="P74" s="7" t="s">
        <v>3758</v>
      </c>
      <c r="Q74" s="7">
        <v>2045</v>
      </c>
      <c r="R74" s="7">
        <v>2020</v>
      </c>
      <c r="S74" s="27" t="s">
        <v>3759</v>
      </c>
      <c r="T74" s="7" t="str">
        <f t="shared" si="29"/>
        <v/>
      </c>
      <c r="U74" s="7" t="s">
        <v>2080</v>
      </c>
      <c r="V74" s="7" t="s">
        <v>3758</v>
      </c>
      <c r="Y74" s="7" t="s">
        <v>3758</v>
      </c>
      <c r="AC74" s="26" t="s">
        <v>3757</v>
      </c>
      <c r="AD74" s="24">
        <v>29097</v>
      </c>
      <c r="AE74" s="7">
        <v>-5.3999999999999999E-2</v>
      </c>
      <c r="AF74" s="7" t="s">
        <v>3756</v>
      </c>
      <c r="AG74" s="7">
        <v>-0.222</v>
      </c>
      <c r="AH74" s="7" t="s">
        <v>3755</v>
      </c>
      <c r="AI74" s="7">
        <v>105300</v>
      </c>
      <c r="AJ74" s="7">
        <v>-27</v>
      </c>
      <c r="AK74" s="7">
        <v>26</v>
      </c>
      <c r="AL74" s="7" t="s">
        <v>461</v>
      </c>
      <c r="AN74" s="7" t="s">
        <v>1951</v>
      </c>
      <c r="AT74" s="7" t="str">
        <f t="shared" si="25"/>
        <v>SBT &amp; RE100</v>
      </c>
      <c r="AU74" s="7" t="str">
        <f t="shared" si="30"/>
        <v>SBT &amp; RE100</v>
      </c>
      <c r="AV74" s="7" t="str">
        <f t="shared" si="31"/>
        <v/>
      </c>
      <c r="AW74" s="7">
        <f t="shared" si="32"/>
        <v>2017</v>
      </c>
      <c r="AX74" s="7">
        <f t="shared" si="33"/>
        <v>2014</v>
      </c>
      <c r="BB74" s="7" t="str">
        <f t="shared" si="34"/>
        <v>Yes</v>
      </c>
      <c r="BC74" s="7" t="str">
        <f t="shared" si="35"/>
        <v>No</v>
      </c>
      <c r="BD74" s="7" t="s">
        <v>1969</v>
      </c>
      <c r="BF74" s="7" t="s">
        <v>3754</v>
      </c>
      <c r="BG74" s="7" t="s">
        <v>2525</v>
      </c>
      <c r="BH74" s="7" t="s">
        <v>22</v>
      </c>
      <c r="BI74" s="7" t="s">
        <v>2156</v>
      </c>
      <c r="BJ74" s="7" t="s">
        <v>21</v>
      </c>
      <c r="BM74" s="7" t="s">
        <v>459</v>
      </c>
      <c r="BN74" s="7">
        <v>2030</v>
      </c>
      <c r="BO74" s="7">
        <v>2030</v>
      </c>
      <c r="BP74" s="7">
        <v>2030</v>
      </c>
      <c r="BQ74" s="22"/>
      <c r="CD74" s="7" t="s">
        <v>361</v>
      </c>
      <c r="CE74" s="7" t="s">
        <v>2093</v>
      </c>
      <c r="CG74" s="7" t="s">
        <v>2070</v>
      </c>
      <c r="CH74" s="7" t="str">
        <f t="shared" si="36"/>
        <v>yes</v>
      </c>
      <c r="CI74" s="7" t="s">
        <v>13</v>
      </c>
      <c r="CJ74" s="7">
        <v>0.87</v>
      </c>
      <c r="CK74" s="7">
        <v>0.8</v>
      </c>
      <c r="CL74" s="7">
        <v>0.82</v>
      </c>
      <c r="CM74" s="7">
        <v>0.95</v>
      </c>
      <c r="CN74" s="7">
        <v>0.94</v>
      </c>
      <c r="CO74" s="7" t="s">
        <v>3753</v>
      </c>
      <c r="CQ74" s="7" t="s">
        <v>3752</v>
      </c>
      <c r="CR74" s="27" t="s">
        <v>3751</v>
      </c>
      <c r="CW74" s="7" t="s">
        <v>361</v>
      </c>
      <c r="CX74" s="7" t="s">
        <v>361</v>
      </c>
    </row>
    <row r="75" spans="1:103">
      <c r="A75" s="7" t="s">
        <v>995</v>
      </c>
      <c r="B75" s="7">
        <v>297</v>
      </c>
      <c r="I75" s="24" t="str">
        <f t="shared" si="26"/>
        <v/>
      </c>
      <c r="L75" s="7" t="str">
        <f t="shared" si="27"/>
        <v/>
      </c>
      <c r="M75" s="21" t="str">
        <f t="shared" si="28"/>
        <v/>
      </c>
      <c r="N75" s="7" t="s">
        <v>1960</v>
      </c>
      <c r="T75" s="7" t="str">
        <f t="shared" si="29"/>
        <v>Nothing</v>
      </c>
      <c r="U75" s="7" t="s">
        <v>1963</v>
      </c>
      <c r="AC75" s="26" t="s">
        <v>3750</v>
      </c>
      <c r="AD75" s="24">
        <v>41140</v>
      </c>
      <c r="AE75" s="7">
        <v>-0.10100000000000001</v>
      </c>
      <c r="AF75" s="7" t="s">
        <v>3749</v>
      </c>
      <c r="AG75" s="7">
        <v>-5.7939999999999996</v>
      </c>
      <c r="AH75" s="7" t="s">
        <v>3748</v>
      </c>
      <c r="AI75" s="7">
        <v>24000</v>
      </c>
      <c r="AJ75" s="7">
        <v>-50</v>
      </c>
      <c r="AK75" s="7">
        <v>18</v>
      </c>
      <c r="AT75" s="7" t="str">
        <f t="shared" si="25"/>
        <v>None</v>
      </c>
      <c r="AU75" s="7" t="str">
        <f t="shared" si="30"/>
        <v>None</v>
      </c>
      <c r="AV75" s="7" t="str">
        <f t="shared" si="31"/>
        <v/>
      </c>
      <c r="AW75" s="7" t="str">
        <f t="shared" si="32"/>
        <v/>
      </c>
      <c r="AX75" s="7" t="str">
        <f t="shared" si="33"/>
        <v/>
      </c>
      <c r="BB75" s="7" t="str">
        <f t="shared" si="34"/>
        <v/>
      </c>
      <c r="BC75" s="7" t="str">
        <f t="shared" si="35"/>
        <v>No</v>
      </c>
      <c r="BD75" s="7" t="s">
        <v>1963</v>
      </c>
      <c r="BF75" s="7" t="s">
        <v>3747</v>
      </c>
      <c r="BQ75" s="22"/>
      <c r="CH75" s="7" t="str">
        <f t="shared" si="36"/>
        <v/>
      </c>
      <c r="CW75" s="7" t="s">
        <v>361</v>
      </c>
    </row>
    <row r="76" spans="1:103">
      <c r="A76" s="7" t="s">
        <v>812</v>
      </c>
      <c r="B76" s="7">
        <v>326</v>
      </c>
      <c r="C76" s="7" t="s">
        <v>68</v>
      </c>
      <c r="D76" s="7" t="s">
        <v>1971</v>
      </c>
      <c r="E76" s="7" t="s">
        <v>3745</v>
      </c>
      <c r="F76" s="7">
        <v>2018</v>
      </c>
      <c r="G76" s="7">
        <v>2018</v>
      </c>
      <c r="H76" s="26" t="s">
        <v>3746</v>
      </c>
      <c r="I76" s="24" t="str">
        <f t="shared" si="26"/>
        <v/>
      </c>
      <c r="L76" s="7" t="str">
        <f t="shared" si="27"/>
        <v/>
      </c>
      <c r="M76" s="21" t="str">
        <f t="shared" si="28"/>
        <v/>
      </c>
      <c r="N76" s="7" t="s">
        <v>1960</v>
      </c>
      <c r="T76" s="7" t="str">
        <f t="shared" si="29"/>
        <v/>
      </c>
      <c r="U76" s="7" t="s">
        <v>361</v>
      </c>
      <c r="V76" s="7" t="s">
        <v>3745</v>
      </c>
      <c r="W76" s="54"/>
      <c r="X76" s="7" t="s">
        <v>3744</v>
      </c>
      <c r="AB76" s="26"/>
      <c r="AD76" s="24">
        <v>38407</v>
      </c>
      <c r="AE76" s="7">
        <v>-4.5999999999999999E-2</v>
      </c>
      <c r="AF76" s="7" t="s">
        <v>3743</v>
      </c>
      <c r="AG76" s="7">
        <v>0.88400000000000001</v>
      </c>
      <c r="AH76" s="7" t="s">
        <v>3742</v>
      </c>
      <c r="AI76" s="7">
        <v>84066</v>
      </c>
      <c r="AJ76" s="7">
        <v>-21</v>
      </c>
      <c r="AK76" s="7">
        <v>2</v>
      </c>
      <c r="AL76" s="7" t="s">
        <v>93</v>
      </c>
      <c r="AN76" s="7" t="s">
        <v>2119</v>
      </c>
      <c r="AT76" s="7" t="str">
        <f t="shared" si="25"/>
        <v>CN</v>
      </c>
      <c r="AU76" s="7" t="str">
        <f t="shared" si="30"/>
        <v>CN</v>
      </c>
      <c r="AV76" s="7">
        <f t="shared" si="31"/>
        <v>2018</v>
      </c>
      <c r="AW76" s="7" t="str">
        <f t="shared" si="32"/>
        <v/>
      </c>
      <c r="AX76" s="7" t="str">
        <f t="shared" si="33"/>
        <v/>
      </c>
      <c r="BB76" s="7" t="str">
        <f t="shared" si="34"/>
        <v/>
      </c>
      <c r="BC76" s="7" t="str">
        <f t="shared" si="35"/>
        <v>Carbon Neutral</v>
      </c>
      <c r="BD76" s="7" t="s">
        <v>1963</v>
      </c>
      <c r="BQ76" s="22"/>
      <c r="CD76" s="7" t="s">
        <v>361</v>
      </c>
      <c r="CF76" s="25"/>
      <c r="CH76" s="7" t="str">
        <f t="shared" si="36"/>
        <v/>
      </c>
    </row>
    <row r="77" spans="1:103">
      <c r="A77" s="7" t="s">
        <v>682</v>
      </c>
      <c r="B77" s="7">
        <v>380</v>
      </c>
      <c r="I77" s="24" t="str">
        <f t="shared" si="26"/>
        <v/>
      </c>
      <c r="L77" s="7" t="str">
        <f t="shared" si="27"/>
        <v/>
      </c>
      <c r="M77" s="21" t="str">
        <f t="shared" si="28"/>
        <v/>
      </c>
      <c r="N77" s="7" t="s">
        <v>1960</v>
      </c>
      <c r="T77" s="7" t="str">
        <f t="shared" si="29"/>
        <v>Nothing</v>
      </c>
      <c r="U77" s="7" t="s">
        <v>1963</v>
      </c>
      <c r="AC77" s="26" t="s">
        <v>3741</v>
      </c>
      <c r="AD77" s="24">
        <v>32961</v>
      </c>
      <c r="AE77" s="7">
        <v>-7.9000000000000001E-2</v>
      </c>
      <c r="AF77" s="7" t="s">
        <v>3740</v>
      </c>
      <c r="AG77" s="7">
        <v>-0.499</v>
      </c>
      <c r="AH77" s="7" t="s">
        <v>3739</v>
      </c>
      <c r="AI77" s="7">
        <v>187041</v>
      </c>
      <c r="AJ77" s="7">
        <v>-35</v>
      </c>
      <c r="AK77" s="7">
        <v>26</v>
      </c>
      <c r="AT77" s="7" t="str">
        <f t="shared" si="25"/>
        <v>None</v>
      </c>
      <c r="AU77" s="7" t="str">
        <f t="shared" si="30"/>
        <v>None</v>
      </c>
      <c r="AV77" s="7" t="str">
        <f t="shared" si="31"/>
        <v/>
      </c>
      <c r="AW77" s="7" t="str">
        <f t="shared" si="32"/>
        <v/>
      </c>
      <c r="AX77" s="7" t="str">
        <f t="shared" si="33"/>
        <v/>
      </c>
      <c r="BB77" s="7" t="str">
        <f t="shared" si="34"/>
        <v/>
      </c>
      <c r="BC77" s="7" t="str">
        <f t="shared" si="35"/>
        <v>No</v>
      </c>
      <c r="BD77" s="7" t="s">
        <v>1963</v>
      </c>
      <c r="BF77" s="7" t="s">
        <v>3738</v>
      </c>
      <c r="BQ77" s="22"/>
      <c r="CH77" s="7" t="str">
        <f t="shared" si="36"/>
        <v/>
      </c>
      <c r="CW77" s="7" t="s">
        <v>361</v>
      </c>
    </row>
    <row r="78" spans="1:103">
      <c r="A78" s="7" t="s">
        <v>542</v>
      </c>
      <c r="B78" s="7">
        <v>372</v>
      </c>
      <c r="C78" s="7" t="s">
        <v>127</v>
      </c>
      <c r="D78" s="7" t="s">
        <v>1957</v>
      </c>
      <c r="E78" s="7" t="s">
        <v>3737</v>
      </c>
      <c r="F78" s="7">
        <v>2018</v>
      </c>
      <c r="G78" s="7">
        <v>2018</v>
      </c>
      <c r="H78" s="26" t="s">
        <v>3734</v>
      </c>
      <c r="I78" s="24" t="str">
        <f t="shared" si="26"/>
        <v>Yes</v>
      </c>
      <c r="J78" s="7">
        <v>2019</v>
      </c>
      <c r="K78" s="7">
        <v>2018</v>
      </c>
      <c r="L78" s="7" t="str">
        <f t="shared" si="27"/>
        <v/>
      </c>
      <c r="M78" s="21" t="str">
        <f t="shared" si="28"/>
        <v/>
      </c>
      <c r="N78" s="7" t="s">
        <v>1960</v>
      </c>
      <c r="T78" s="7" t="str">
        <f t="shared" si="29"/>
        <v/>
      </c>
      <c r="U78" s="7" t="s">
        <v>361</v>
      </c>
      <c r="V78" s="7" t="s">
        <v>3737</v>
      </c>
      <c r="X78" s="7" t="s">
        <v>3736</v>
      </c>
      <c r="Z78" s="7" t="s">
        <v>3735</v>
      </c>
      <c r="AC78" s="26" t="s">
        <v>3734</v>
      </c>
      <c r="AD78" s="24">
        <v>33766</v>
      </c>
      <c r="AE78" s="7">
        <v>4.2999999999999997E-2</v>
      </c>
      <c r="AF78" s="7" t="s">
        <v>3733</v>
      </c>
      <c r="AG78" s="7">
        <v>-7.8E-2</v>
      </c>
      <c r="AH78" s="7" t="s">
        <v>3732</v>
      </c>
      <c r="AI78" s="7">
        <v>51900</v>
      </c>
      <c r="AJ78" s="7">
        <v>15</v>
      </c>
      <c r="AK78" s="7">
        <v>10</v>
      </c>
      <c r="AL78" s="7" t="s">
        <v>93</v>
      </c>
      <c r="AN78" s="7" t="s">
        <v>2029</v>
      </c>
      <c r="AT78" s="7" t="str">
        <f t="shared" si="25"/>
        <v>CN &amp; RE100</v>
      </c>
      <c r="AU78" s="7" t="str">
        <f t="shared" si="30"/>
        <v>CN &amp; RE100</v>
      </c>
      <c r="AV78" s="7">
        <f t="shared" si="31"/>
        <v>2018</v>
      </c>
      <c r="AW78" s="7" t="str">
        <f t="shared" si="32"/>
        <v/>
      </c>
      <c r="AX78" s="7">
        <f t="shared" si="33"/>
        <v>2018</v>
      </c>
      <c r="BB78" s="7" t="str">
        <f t="shared" si="34"/>
        <v/>
      </c>
      <c r="BC78" s="7" t="str">
        <f t="shared" si="35"/>
        <v>Carbon Neutral</v>
      </c>
      <c r="BD78" s="7" t="s">
        <v>1</v>
      </c>
      <c r="BF78" s="7" t="s">
        <v>3731</v>
      </c>
      <c r="BG78" s="7" t="s">
        <v>2220</v>
      </c>
      <c r="BQ78" s="22"/>
      <c r="CD78" s="7" t="s">
        <v>361</v>
      </c>
      <c r="CE78" s="7" t="s">
        <v>1947</v>
      </c>
      <c r="CG78" s="7" t="s">
        <v>2027</v>
      </c>
      <c r="CH78" s="7" t="str">
        <f t="shared" si="36"/>
        <v>yes</v>
      </c>
      <c r="CI78" s="7" t="s">
        <v>13</v>
      </c>
      <c r="CJ78" s="7">
        <v>1</v>
      </c>
      <c r="CK78" s="7">
        <v>1</v>
      </c>
      <c r="CL78" s="7" t="s">
        <v>13</v>
      </c>
      <c r="CM78" s="7" t="s">
        <v>13</v>
      </c>
      <c r="CN78" s="7" t="s">
        <v>13</v>
      </c>
      <c r="CO78" s="7" t="s">
        <v>3233</v>
      </c>
      <c r="CX78" s="7" t="s">
        <v>361</v>
      </c>
    </row>
    <row r="79" spans="1:103">
      <c r="A79" s="7" t="s">
        <v>1756</v>
      </c>
      <c r="B79" s="7">
        <v>37</v>
      </c>
      <c r="I79" s="24" t="str">
        <f t="shared" si="26"/>
        <v/>
      </c>
      <c r="L79" s="7" t="str">
        <f t="shared" si="27"/>
        <v/>
      </c>
      <c r="M79" s="21" t="str">
        <f t="shared" si="28"/>
        <v/>
      </c>
      <c r="N79" s="7" t="s">
        <v>1960</v>
      </c>
      <c r="T79" s="7" t="str">
        <f t="shared" si="29"/>
        <v>Nothing</v>
      </c>
      <c r="U79" s="7" t="s">
        <v>1</v>
      </c>
      <c r="AC79" s="26" t="s">
        <v>3730</v>
      </c>
      <c r="AD79" s="24">
        <v>145534</v>
      </c>
      <c r="AE79" s="7">
        <v>6.4000000000000001E-2</v>
      </c>
      <c r="AF79" s="7" t="s">
        <v>3729</v>
      </c>
      <c r="AG79" s="7">
        <v>4.3239999999999998</v>
      </c>
      <c r="AH79" s="7" t="s">
        <v>3728</v>
      </c>
      <c r="AI79" s="7">
        <v>49500</v>
      </c>
      <c r="AJ79" s="7">
        <v>1</v>
      </c>
      <c r="AK79" s="7">
        <v>23</v>
      </c>
      <c r="AT79" s="7" t="str">
        <f t="shared" si="25"/>
        <v>None</v>
      </c>
      <c r="AU79" s="7" t="str">
        <f t="shared" si="30"/>
        <v>None</v>
      </c>
      <c r="AV79" s="7" t="str">
        <f t="shared" si="31"/>
        <v/>
      </c>
      <c r="AW79" s="7" t="str">
        <f t="shared" si="32"/>
        <v/>
      </c>
      <c r="AX79" s="7" t="str">
        <f t="shared" si="33"/>
        <v/>
      </c>
      <c r="BB79" s="7" t="str">
        <f t="shared" si="34"/>
        <v/>
      </c>
      <c r="BC79" s="7" t="str">
        <f t="shared" si="35"/>
        <v>No</v>
      </c>
      <c r="BD79" s="7" t="s">
        <v>1</v>
      </c>
      <c r="BF79" s="7" t="s">
        <v>3727</v>
      </c>
      <c r="BQ79" s="22"/>
      <c r="CH79" s="7" t="str">
        <f t="shared" si="36"/>
        <v/>
      </c>
    </row>
    <row r="80" spans="1:103">
      <c r="A80" s="7" t="s">
        <v>1615</v>
      </c>
      <c r="B80" s="7">
        <v>98</v>
      </c>
      <c r="C80" s="7" t="s">
        <v>63</v>
      </c>
      <c r="I80" s="24" t="str">
        <f t="shared" si="26"/>
        <v/>
      </c>
      <c r="L80" s="7" t="str">
        <f t="shared" si="27"/>
        <v>T</v>
      </c>
      <c r="M80" s="21">
        <f t="shared" si="28"/>
        <v>2030</v>
      </c>
      <c r="N80" s="7">
        <v>2020</v>
      </c>
      <c r="T80" s="7" t="str">
        <f t="shared" si="29"/>
        <v>Nothing</v>
      </c>
      <c r="U80" s="7" t="s">
        <v>1</v>
      </c>
      <c r="AC80" s="8" t="s">
        <v>3726</v>
      </c>
      <c r="AD80" s="24">
        <v>85905</v>
      </c>
      <c r="AE80" s="7">
        <v>-6.6000000000000003E-2</v>
      </c>
      <c r="AF80" s="7" t="s">
        <v>3725</v>
      </c>
      <c r="AG80" s="7" t="s">
        <v>9</v>
      </c>
      <c r="AH80" s="7" t="s">
        <v>3724</v>
      </c>
      <c r="AI80" s="7">
        <v>321383</v>
      </c>
      <c r="AJ80" s="7">
        <v>-17</v>
      </c>
      <c r="AK80" s="7">
        <v>26</v>
      </c>
      <c r="AL80" s="7" t="s">
        <v>942</v>
      </c>
      <c r="AN80" s="7" t="s">
        <v>1951</v>
      </c>
      <c r="AT80" s="7" t="str">
        <f t="shared" si="25"/>
        <v>SBT</v>
      </c>
      <c r="AU80" s="7" t="str">
        <f t="shared" si="30"/>
        <v>SBT</v>
      </c>
      <c r="AV80" s="7" t="str">
        <f t="shared" si="31"/>
        <v/>
      </c>
      <c r="AW80" s="7">
        <f t="shared" si="32"/>
        <v>2020</v>
      </c>
      <c r="AX80" s="7" t="str">
        <f t="shared" si="33"/>
        <v/>
      </c>
      <c r="BB80" s="7" t="str">
        <f t="shared" si="34"/>
        <v>Yes</v>
      </c>
      <c r="BC80" s="7" t="str">
        <f t="shared" si="35"/>
        <v>No</v>
      </c>
      <c r="BD80" s="7" t="s">
        <v>1</v>
      </c>
      <c r="BF80" t="s">
        <v>3723</v>
      </c>
      <c r="BH80" s="7" t="s">
        <v>22</v>
      </c>
      <c r="BI80" s="7" t="s">
        <v>2245</v>
      </c>
      <c r="BJ80" s="7" t="s">
        <v>2215</v>
      </c>
      <c r="BM80" s="7" t="s">
        <v>3722</v>
      </c>
      <c r="BN80" s="7">
        <v>2030</v>
      </c>
      <c r="BO80" s="7">
        <v>2030</v>
      </c>
      <c r="BP80" s="7">
        <v>2030</v>
      </c>
      <c r="BQ80" s="22">
        <v>0.3</v>
      </c>
      <c r="CH80" s="7" t="str">
        <f t="shared" si="36"/>
        <v/>
      </c>
    </row>
    <row r="81" spans="1:103">
      <c r="A81" s="7" t="s">
        <v>1197</v>
      </c>
      <c r="B81" s="7">
        <v>204</v>
      </c>
      <c r="I81" s="24" t="str">
        <f t="shared" si="26"/>
        <v/>
      </c>
      <c r="L81" s="7" t="str">
        <f t="shared" si="27"/>
        <v/>
      </c>
      <c r="M81" s="21" t="str">
        <f t="shared" si="28"/>
        <v/>
      </c>
      <c r="N81" s="7" t="s">
        <v>1960</v>
      </c>
      <c r="T81" s="7" t="str">
        <f t="shared" si="29"/>
        <v>Nothing</v>
      </c>
      <c r="U81" s="7" t="s">
        <v>1</v>
      </c>
      <c r="AD81" s="24">
        <v>53800</v>
      </c>
      <c r="AE81" s="7">
        <v>-1.7000000000000001E-2</v>
      </c>
      <c r="AF81" s="7" t="s">
        <v>3721</v>
      </c>
      <c r="AG81" s="7">
        <v>-8.9999999999999993E-3</v>
      </c>
      <c r="AH81" s="7" t="s">
        <v>3720</v>
      </c>
      <c r="AI81" s="7">
        <v>102300</v>
      </c>
      <c r="AJ81" s="7">
        <v>-14</v>
      </c>
      <c r="AK81" s="7">
        <v>26</v>
      </c>
      <c r="AT81" s="7" t="str">
        <f t="shared" si="25"/>
        <v>None</v>
      </c>
      <c r="AU81" s="7" t="str">
        <f t="shared" si="30"/>
        <v>None</v>
      </c>
      <c r="AV81" s="7" t="str">
        <f t="shared" si="31"/>
        <v/>
      </c>
      <c r="AW81" s="7" t="str">
        <f t="shared" si="32"/>
        <v/>
      </c>
      <c r="AX81" s="7" t="str">
        <f t="shared" si="33"/>
        <v/>
      </c>
      <c r="BB81" s="7" t="str">
        <f t="shared" si="34"/>
        <v/>
      </c>
      <c r="BC81" s="7" t="str">
        <f t="shared" si="35"/>
        <v>No</v>
      </c>
      <c r="BD81" s="7" t="s">
        <v>1</v>
      </c>
      <c r="BQ81" s="22"/>
      <c r="CH81" s="7" t="str">
        <f t="shared" si="36"/>
        <v/>
      </c>
      <c r="CY81" s="7" t="s">
        <v>361</v>
      </c>
    </row>
    <row r="82" spans="1:103">
      <c r="A82" s="7" t="s">
        <v>3719</v>
      </c>
      <c r="B82" s="7">
        <v>374</v>
      </c>
      <c r="I82" s="24" t="str">
        <f t="shared" si="26"/>
        <v/>
      </c>
      <c r="L82" s="7" t="str">
        <f t="shared" si="27"/>
        <v/>
      </c>
      <c r="M82" s="21" t="str">
        <f t="shared" si="28"/>
        <v/>
      </c>
      <c r="N82" s="7" t="s">
        <v>1960</v>
      </c>
      <c r="T82" s="7" t="str">
        <f t="shared" si="29"/>
        <v>Nothing</v>
      </c>
      <c r="U82" s="7" t="s">
        <v>1963</v>
      </c>
      <c r="AD82" s="24">
        <v>33511</v>
      </c>
      <c r="AE82" s="7">
        <v>0.10299999999999999</v>
      </c>
      <c r="AF82" s="7" t="s">
        <v>3718</v>
      </c>
      <c r="AG82" s="7">
        <v>0.189</v>
      </c>
      <c r="AH82" s="7" t="s">
        <v>3717</v>
      </c>
      <c r="AI82" s="7">
        <v>56764</v>
      </c>
      <c r="AJ82" s="7">
        <v>81</v>
      </c>
      <c r="AK82" s="7">
        <v>19</v>
      </c>
      <c r="AT82" s="7" t="str">
        <f t="shared" si="25"/>
        <v>None</v>
      </c>
      <c r="AU82" s="7" t="str">
        <f t="shared" si="30"/>
        <v>None</v>
      </c>
      <c r="AV82" s="7" t="str">
        <f t="shared" si="31"/>
        <v/>
      </c>
      <c r="AW82" s="7" t="str">
        <f t="shared" si="32"/>
        <v/>
      </c>
      <c r="AX82" s="7" t="str">
        <f t="shared" si="33"/>
        <v/>
      </c>
      <c r="BB82" s="7" t="str">
        <f t="shared" si="34"/>
        <v/>
      </c>
      <c r="BC82" s="7" t="str">
        <f t="shared" si="35"/>
        <v>No</v>
      </c>
      <c r="BD82" s="7" t="s">
        <v>1963</v>
      </c>
      <c r="BQ82" s="22"/>
      <c r="CH82" s="7" t="str">
        <f t="shared" si="36"/>
        <v/>
      </c>
    </row>
    <row r="83" spans="1:103">
      <c r="A83" s="7" t="s">
        <v>824</v>
      </c>
      <c r="B83" s="7">
        <v>296</v>
      </c>
      <c r="I83" s="24" t="str">
        <f t="shared" si="26"/>
        <v/>
      </c>
      <c r="L83" s="7" t="str">
        <f t="shared" si="27"/>
        <v/>
      </c>
      <c r="M83" s="21" t="str">
        <f t="shared" si="28"/>
        <v/>
      </c>
      <c r="N83" s="7" t="s">
        <v>1960</v>
      </c>
      <c r="T83" s="7" t="str">
        <f t="shared" si="29"/>
        <v>Nothing</v>
      </c>
      <c r="U83" s="7" t="s">
        <v>1963</v>
      </c>
      <c r="AD83" s="24">
        <v>41277</v>
      </c>
      <c r="AE83" s="7">
        <v>1.6E-2</v>
      </c>
      <c r="AF83" s="7" t="s">
        <v>3716</v>
      </c>
      <c r="AG83" s="7">
        <v>-0.85599999999999998</v>
      </c>
      <c r="AH83" s="7" t="s">
        <v>3715</v>
      </c>
      <c r="AI83" s="7">
        <v>30984</v>
      </c>
      <c r="AJ83" s="7">
        <v>5</v>
      </c>
      <c r="AK83" s="7">
        <v>3</v>
      </c>
      <c r="AT83" s="7" t="str">
        <f t="shared" si="25"/>
        <v>None</v>
      </c>
      <c r="AU83" s="7" t="str">
        <f t="shared" si="30"/>
        <v>None</v>
      </c>
      <c r="AV83" s="7" t="str">
        <f t="shared" si="31"/>
        <v/>
      </c>
      <c r="AW83" s="7" t="str">
        <f t="shared" si="32"/>
        <v/>
      </c>
      <c r="AX83" s="7" t="str">
        <f t="shared" si="33"/>
        <v/>
      </c>
      <c r="BB83" s="7" t="str">
        <f t="shared" si="34"/>
        <v/>
      </c>
      <c r="BC83" s="7" t="str">
        <f t="shared" si="35"/>
        <v>No</v>
      </c>
      <c r="BD83" s="7" t="s">
        <v>1963</v>
      </c>
      <c r="BF83" s="7" t="s">
        <v>3714</v>
      </c>
      <c r="BQ83" s="22"/>
      <c r="CH83" s="7" t="str">
        <f t="shared" si="36"/>
        <v/>
      </c>
    </row>
    <row r="84" spans="1:103">
      <c r="A84" s="7" t="s">
        <v>1269</v>
      </c>
      <c r="B84" s="7">
        <v>127</v>
      </c>
      <c r="I84" s="24" t="str">
        <f t="shared" si="26"/>
        <v/>
      </c>
      <c r="L84" s="7" t="str">
        <f t="shared" si="27"/>
        <v/>
      </c>
      <c r="M84" s="21" t="str">
        <f t="shared" si="28"/>
        <v/>
      </c>
      <c r="N84" s="7" t="s">
        <v>1960</v>
      </c>
      <c r="T84" s="7" t="str">
        <f t="shared" si="29"/>
        <v>Nothing</v>
      </c>
      <c r="U84" s="7" t="s">
        <v>1</v>
      </c>
      <c r="AD84" s="24">
        <v>74639</v>
      </c>
      <c r="AE84" s="7">
        <v>0.24199999999999999</v>
      </c>
      <c r="AF84" s="7" t="s">
        <v>3713</v>
      </c>
      <c r="AG84" s="7">
        <v>0.46800000000000003</v>
      </c>
      <c r="AH84" s="7" t="s">
        <v>3712</v>
      </c>
      <c r="AI84" s="7">
        <v>56600</v>
      </c>
      <c r="AJ84" s="7">
        <v>41</v>
      </c>
      <c r="AK84" s="7">
        <v>5</v>
      </c>
      <c r="AT84" s="7" t="str">
        <f t="shared" si="25"/>
        <v>None</v>
      </c>
      <c r="AU84" s="7" t="str">
        <f t="shared" si="30"/>
        <v>None</v>
      </c>
      <c r="AV84" s="7" t="str">
        <f t="shared" si="31"/>
        <v/>
      </c>
      <c r="AW84" s="7" t="str">
        <f t="shared" si="32"/>
        <v/>
      </c>
      <c r="AX84" s="7" t="str">
        <f t="shared" si="33"/>
        <v/>
      </c>
      <c r="BB84" s="7" t="str">
        <f t="shared" si="34"/>
        <v/>
      </c>
      <c r="BC84" s="7" t="str">
        <f t="shared" si="35"/>
        <v>No</v>
      </c>
      <c r="BD84" s="7" t="s">
        <v>1</v>
      </c>
      <c r="BQ84" s="22"/>
      <c r="CH84" s="7" t="str">
        <f t="shared" si="36"/>
        <v/>
      </c>
    </row>
    <row r="85" spans="1:103">
      <c r="A85" s="7" t="s">
        <v>782</v>
      </c>
      <c r="B85" s="7">
        <v>440</v>
      </c>
      <c r="C85" s="7" t="s">
        <v>2561</v>
      </c>
      <c r="F85" s="7">
        <v>2050</v>
      </c>
      <c r="G85" s="7">
        <v>2020</v>
      </c>
      <c r="H85" s="26" t="s">
        <v>3710</v>
      </c>
      <c r="I85" s="24" t="str">
        <f t="shared" si="26"/>
        <v/>
      </c>
      <c r="L85" s="7" t="str">
        <f t="shared" si="27"/>
        <v/>
      </c>
      <c r="M85" s="21" t="str">
        <f t="shared" si="28"/>
        <v/>
      </c>
      <c r="N85" s="7" t="s">
        <v>1960</v>
      </c>
      <c r="O85" s="7" t="s">
        <v>2082</v>
      </c>
      <c r="P85" s="7" t="s">
        <v>2081</v>
      </c>
      <c r="Q85" s="7">
        <v>2050</v>
      </c>
      <c r="R85" s="7">
        <v>2020</v>
      </c>
      <c r="S85" s="26" t="s">
        <v>3710</v>
      </c>
      <c r="T85" s="7" t="str">
        <f t="shared" si="29"/>
        <v/>
      </c>
      <c r="U85" s="7" t="s">
        <v>2080</v>
      </c>
      <c r="Z85" s="7" t="s">
        <v>3711</v>
      </c>
      <c r="AA85" s="7" t="s">
        <v>2807</v>
      </c>
      <c r="AB85" s="26" t="s">
        <v>3710</v>
      </c>
      <c r="AD85" s="24">
        <v>28934</v>
      </c>
      <c r="AE85" s="7">
        <v>-0.26900000000000002</v>
      </c>
      <c r="AF85" s="7" t="s">
        <v>3709</v>
      </c>
      <c r="AG85" s="7">
        <v>-6.3479999999999999</v>
      </c>
      <c r="AH85" s="7" t="s">
        <v>3708</v>
      </c>
      <c r="AI85" s="7">
        <v>29147</v>
      </c>
      <c r="AJ85" s="7">
        <v>-129</v>
      </c>
      <c r="AK85" s="7">
        <v>23</v>
      </c>
      <c r="AL85" s="7" t="s">
        <v>869</v>
      </c>
      <c r="AN85" s="7" t="s">
        <v>1951</v>
      </c>
      <c r="AT85" s="7" t="str">
        <f t="shared" si="25"/>
        <v>None</v>
      </c>
      <c r="AU85" s="7" t="str">
        <f t="shared" si="30"/>
        <v>None</v>
      </c>
      <c r="AV85" s="7" t="str">
        <f t="shared" si="31"/>
        <v/>
      </c>
      <c r="AW85" s="7" t="str">
        <f t="shared" si="32"/>
        <v/>
      </c>
      <c r="AX85" s="7" t="str">
        <f t="shared" si="33"/>
        <v/>
      </c>
      <c r="BB85" s="7" t="str">
        <f t="shared" si="34"/>
        <v/>
      </c>
      <c r="BC85" s="7" t="str">
        <f t="shared" si="35"/>
        <v>No</v>
      </c>
      <c r="BD85" s="7" t="s">
        <v>2118</v>
      </c>
      <c r="BG85" s="7" t="s">
        <v>2909</v>
      </c>
      <c r="BQ85" s="22"/>
      <c r="CD85" s="7" t="s">
        <v>361</v>
      </c>
      <c r="CE85" s="7">
        <v>2050</v>
      </c>
      <c r="CH85" s="7" t="str">
        <f t="shared" si="36"/>
        <v/>
      </c>
    </row>
    <row r="86" spans="1:103">
      <c r="A86" s="7" t="s">
        <v>302</v>
      </c>
      <c r="B86" s="7">
        <v>420</v>
      </c>
      <c r="I86" s="24" t="str">
        <f t="shared" si="26"/>
        <v/>
      </c>
      <c r="L86" s="7" t="str">
        <f t="shared" si="27"/>
        <v/>
      </c>
      <c r="M86" s="21" t="str">
        <f t="shared" si="28"/>
        <v/>
      </c>
      <c r="N86" s="7" t="s">
        <v>1960</v>
      </c>
      <c r="T86" s="7" t="str">
        <f t="shared" si="29"/>
        <v>Nothing</v>
      </c>
      <c r="U86" s="7" t="s">
        <v>1963</v>
      </c>
      <c r="AD86" s="24">
        <v>29869</v>
      </c>
      <c r="AE86" s="7">
        <v>0.05</v>
      </c>
      <c r="AF86" s="7" t="s">
        <v>3707</v>
      </c>
      <c r="AG86" s="7">
        <v>-2.7E-2</v>
      </c>
      <c r="AH86" s="7" t="s">
        <v>3706</v>
      </c>
      <c r="AI86" s="7">
        <v>90621</v>
      </c>
      <c r="AJ86" s="7">
        <v>23</v>
      </c>
      <c r="AK86" s="7">
        <v>13</v>
      </c>
      <c r="AT86" s="7" t="str">
        <f t="shared" si="25"/>
        <v>None</v>
      </c>
      <c r="AU86" s="7" t="str">
        <f t="shared" si="30"/>
        <v>None</v>
      </c>
      <c r="AV86" s="7" t="str">
        <f t="shared" si="31"/>
        <v/>
      </c>
      <c r="AW86" s="7" t="str">
        <f t="shared" si="32"/>
        <v/>
      </c>
      <c r="AX86" s="7" t="str">
        <f t="shared" si="33"/>
        <v/>
      </c>
      <c r="BB86" s="7" t="str">
        <f t="shared" si="34"/>
        <v/>
      </c>
      <c r="BC86" s="7" t="str">
        <f t="shared" si="35"/>
        <v>No</v>
      </c>
      <c r="BD86" s="7" t="s">
        <v>1963</v>
      </c>
      <c r="BQ86" s="22"/>
      <c r="CH86" s="7" t="str">
        <f t="shared" si="36"/>
        <v/>
      </c>
    </row>
    <row r="87" spans="1:103">
      <c r="A87" s="7" t="s">
        <v>950</v>
      </c>
      <c r="B87" s="7">
        <v>258</v>
      </c>
      <c r="I87" s="24" t="str">
        <f t="shared" si="26"/>
        <v/>
      </c>
      <c r="L87" s="7" t="str">
        <f t="shared" si="27"/>
        <v/>
      </c>
      <c r="M87" s="21" t="str">
        <f t="shared" si="28"/>
        <v/>
      </c>
      <c r="N87" s="7" t="s">
        <v>1960</v>
      </c>
      <c r="R87" s="53"/>
      <c r="T87" s="7" t="str">
        <f t="shared" si="29"/>
        <v>Nothing</v>
      </c>
      <c r="U87" s="7" t="s">
        <v>1</v>
      </c>
      <c r="Z87" s="7" t="s">
        <v>3705</v>
      </c>
      <c r="AB87" s="52" t="s">
        <v>3704</v>
      </c>
      <c r="AD87" s="24">
        <v>45764</v>
      </c>
      <c r="AE87" s="7">
        <v>4.9000000000000002E-2</v>
      </c>
      <c r="AF87" s="7" t="s">
        <v>3703</v>
      </c>
      <c r="AG87" s="7">
        <v>0.35599999999999998</v>
      </c>
      <c r="AH87" s="7" t="s">
        <v>3702</v>
      </c>
      <c r="AI87" s="7">
        <v>95100</v>
      </c>
      <c r="AJ87" s="7">
        <v>6</v>
      </c>
      <c r="AK87" s="7">
        <v>4</v>
      </c>
      <c r="AT87" s="7" t="str">
        <f t="shared" si="25"/>
        <v>None</v>
      </c>
      <c r="AU87" s="7" t="str">
        <f t="shared" si="30"/>
        <v>None</v>
      </c>
      <c r="AV87" s="7" t="str">
        <f t="shared" si="31"/>
        <v/>
      </c>
      <c r="AW87" s="7" t="str">
        <f t="shared" si="32"/>
        <v/>
      </c>
      <c r="AX87" s="7" t="str">
        <f t="shared" si="33"/>
        <v/>
      </c>
      <c r="BB87" s="7" t="str">
        <f t="shared" si="34"/>
        <v/>
      </c>
      <c r="BC87" s="7" t="str">
        <f t="shared" si="35"/>
        <v>No</v>
      </c>
      <c r="BD87" s="7" t="s">
        <v>1963</v>
      </c>
      <c r="BE87" s="1"/>
      <c r="BQ87" s="22"/>
      <c r="CH87" s="7" t="str">
        <f t="shared" si="36"/>
        <v/>
      </c>
    </row>
    <row r="88" spans="1:103">
      <c r="A88" s="7" t="s">
        <v>1352</v>
      </c>
      <c r="B88" s="7">
        <v>164</v>
      </c>
      <c r="C88" s="7" t="s">
        <v>73</v>
      </c>
      <c r="I88" s="24" t="str">
        <f t="shared" si="26"/>
        <v/>
      </c>
      <c r="L88" s="7" t="str">
        <f t="shared" si="27"/>
        <v/>
      </c>
      <c r="M88" s="21" t="str">
        <f t="shared" si="28"/>
        <v/>
      </c>
      <c r="N88" s="7" t="s">
        <v>1960</v>
      </c>
      <c r="T88" s="7" t="str">
        <f t="shared" si="29"/>
        <v>Nothing</v>
      </c>
      <c r="U88" s="7" t="s">
        <v>1</v>
      </c>
      <c r="AD88" s="24">
        <v>65767</v>
      </c>
      <c r="AE88" s="7">
        <v>-2.4E-2</v>
      </c>
      <c r="AF88" s="7" t="s">
        <v>3701</v>
      </c>
      <c r="AG88" s="7" t="s">
        <v>9</v>
      </c>
      <c r="AH88" s="7" t="s">
        <v>3700</v>
      </c>
      <c r="AI88" s="7">
        <v>145526</v>
      </c>
      <c r="AJ88" s="7">
        <v>-20</v>
      </c>
      <c r="AK88" s="7">
        <v>10</v>
      </c>
      <c r="AN88" s="7" t="s">
        <v>1994</v>
      </c>
      <c r="AT88" s="7" t="str">
        <f t="shared" si="25"/>
        <v>None</v>
      </c>
      <c r="AU88" s="7" t="str">
        <f t="shared" si="30"/>
        <v>None</v>
      </c>
      <c r="AV88" s="7" t="str">
        <f t="shared" si="31"/>
        <v/>
      </c>
      <c r="AW88" s="7" t="str">
        <f t="shared" si="32"/>
        <v/>
      </c>
      <c r="AX88" s="7" t="str">
        <f t="shared" si="33"/>
        <v/>
      </c>
      <c r="BB88" s="7" t="str">
        <f t="shared" si="34"/>
        <v/>
      </c>
      <c r="BC88" s="7" t="str">
        <f t="shared" si="35"/>
        <v>No</v>
      </c>
      <c r="BD88" s="7" t="s">
        <v>1</v>
      </c>
      <c r="BQ88" s="22"/>
      <c r="CH88" s="7" t="str">
        <f t="shared" si="36"/>
        <v/>
      </c>
    </row>
    <row r="89" spans="1:103">
      <c r="A89" s="7" t="s">
        <v>1793</v>
      </c>
      <c r="B89" s="7">
        <v>36</v>
      </c>
      <c r="C89" s="7" t="s">
        <v>127</v>
      </c>
      <c r="I89" s="24" t="str">
        <f t="shared" si="26"/>
        <v/>
      </c>
      <c r="L89" s="7" t="str">
        <f t="shared" si="27"/>
        <v/>
      </c>
      <c r="M89" s="21" t="str">
        <f t="shared" si="28"/>
        <v/>
      </c>
      <c r="N89" s="7" t="s">
        <v>1960</v>
      </c>
      <c r="T89" s="7" t="str">
        <f t="shared" si="29"/>
        <v>Nothing</v>
      </c>
      <c r="U89" s="7" t="s">
        <v>1</v>
      </c>
      <c r="AC89" s="26" t="s">
        <v>3699</v>
      </c>
      <c r="AD89" s="24">
        <v>146516</v>
      </c>
      <c r="AE89" s="7">
        <v>-0.11899999999999999</v>
      </c>
      <c r="AF89" s="7" t="s">
        <v>3698</v>
      </c>
      <c r="AG89" s="7">
        <v>-0.80300000000000005</v>
      </c>
      <c r="AH89" s="7" t="s">
        <v>3697</v>
      </c>
      <c r="AI89" s="7">
        <v>48200</v>
      </c>
      <c r="AJ89" s="7">
        <v>-8</v>
      </c>
      <c r="AK89" s="7">
        <v>26</v>
      </c>
      <c r="AL89" t="s">
        <v>2111</v>
      </c>
      <c r="AT89" s="7" t="str">
        <f t="shared" si="25"/>
        <v>None</v>
      </c>
      <c r="AU89" s="7" t="str">
        <f t="shared" si="30"/>
        <v>None</v>
      </c>
      <c r="AV89" s="7" t="str">
        <f t="shared" si="31"/>
        <v/>
      </c>
      <c r="AW89" s="7" t="str">
        <f t="shared" si="32"/>
        <v/>
      </c>
      <c r="AX89" s="7" t="str">
        <f t="shared" si="33"/>
        <v/>
      </c>
      <c r="BB89" s="7" t="str">
        <f t="shared" si="34"/>
        <v/>
      </c>
      <c r="BC89" s="7" t="str">
        <f t="shared" si="35"/>
        <v>No</v>
      </c>
      <c r="BD89" s="7" t="s">
        <v>1</v>
      </c>
      <c r="BF89" s="23" t="s">
        <v>3696</v>
      </c>
      <c r="BQ89" s="22"/>
      <c r="CH89" s="7" t="str">
        <f t="shared" si="36"/>
        <v/>
      </c>
      <c r="CT89" s="7" t="s">
        <v>1793</v>
      </c>
      <c r="CU89" s="7" t="s">
        <v>2109</v>
      </c>
      <c r="CV89" s="7">
        <v>-58</v>
      </c>
      <c r="CW89" s="7" t="s">
        <v>361</v>
      </c>
      <c r="CX89" s="7" t="s">
        <v>361</v>
      </c>
      <c r="CY89" s="7" t="s">
        <v>361</v>
      </c>
    </row>
    <row r="90" spans="1:103">
      <c r="A90" s="7" t="s">
        <v>751</v>
      </c>
      <c r="B90" s="7">
        <v>332</v>
      </c>
      <c r="C90" s="7" t="s">
        <v>73</v>
      </c>
      <c r="I90" s="24" t="str">
        <f t="shared" si="26"/>
        <v/>
      </c>
      <c r="L90" s="7" t="str">
        <f t="shared" si="27"/>
        <v/>
      </c>
      <c r="M90" s="21" t="str">
        <f t="shared" si="28"/>
        <v/>
      </c>
      <c r="N90" s="7" t="s">
        <v>1960</v>
      </c>
      <c r="T90" s="7" t="str">
        <f t="shared" si="29"/>
        <v>Nothing</v>
      </c>
      <c r="U90" s="7" t="s">
        <v>1963</v>
      </c>
      <c r="AD90" s="24">
        <v>37604</v>
      </c>
      <c r="AE90" s="7">
        <v>-7.0000000000000001E-3</v>
      </c>
      <c r="AF90" s="7" t="s">
        <v>3695</v>
      </c>
      <c r="AG90" s="7">
        <v>6.0999999999999999E-2</v>
      </c>
      <c r="AH90" s="7" t="s">
        <v>3694</v>
      </c>
      <c r="AI90" s="7">
        <v>147712</v>
      </c>
      <c r="AJ90" s="7">
        <v>-10</v>
      </c>
      <c r="AK90" s="7">
        <v>5</v>
      </c>
      <c r="AN90" s="7" t="s">
        <v>1994</v>
      </c>
      <c r="AT90" s="7" t="str">
        <f t="shared" si="25"/>
        <v>None</v>
      </c>
      <c r="AU90" s="7" t="str">
        <f t="shared" si="30"/>
        <v>None</v>
      </c>
      <c r="AV90" s="7" t="str">
        <f t="shared" si="31"/>
        <v/>
      </c>
      <c r="AW90" s="7" t="str">
        <f t="shared" si="32"/>
        <v/>
      </c>
      <c r="AX90" s="7" t="str">
        <f t="shared" si="33"/>
        <v/>
      </c>
      <c r="BB90" s="7" t="str">
        <f t="shared" si="34"/>
        <v/>
      </c>
      <c r="BC90" s="7" t="str">
        <f t="shared" si="35"/>
        <v>No</v>
      </c>
      <c r="BD90" s="7" t="s">
        <v>1963</v>
      </c>
      <c r="BQ90" s="22"/>
      <c r="CH90" s="7" t="str">
        <f t="shared" si="36"/>
        <v/>
      </c>
      <c r="CT90" s="7" t="s">
        <v>1850</v>
      </c>
    </row>
    <row r="91" spans="1:103">
      <c r="A91" s="7" t="s">
        <v>749</v>
      </c>
      <c r="B91" s="7">
        <v>352</v>
      </c>
      <c r="C91" s="7" t="s">
        <v>73</v>
      </c>
      <c r="I91" s="24" t="str">
        <f t="shared" si="26"/>
        <v/>
      </c>
      <c r="L91" s="7" t="str">
        <f t="shared" si="27"/>
        <v/>
      </c>
      <c r="M91" s="21" t="str">
        <f t="shared" si="28"/>
        <v/>
      </c>
      <c r="N91" s="7" t="s">
        <v>1960</v>
      </c>
      <c r="T91" s="7" t="str">
        <f t="shared" si="29"/>
        <v>Nothing</v>
      </c>
      <c r="U91" s="7" t="s">
        <v>1963</v>
      </c>
      <c r="AD91" s="24">
        <v>36209</v>
      </c>
      <c r="AE91" s="7">
        <v>-0.04</v>
      </c>
      <c r="AF91" s="7" t="s">
        <v>3693</v>
      </c>
      <c r="AG91" s="7">
        <v>6.7000000000000004E-2</v>
      </c>
      <c r="AH91" s="7" t="s">
        <v>3692</v>
      </c>
      <c r="AI91" s="7">
        <v>177905</v>
      </c>
      <c r="AJ91" s="7">
        <v>-29</v>
      </c>
      <c r="AK91" s="7">
        <v>6</v>
      </c>
      <c r="AN91" s="7" t="s">
        <v>1994</v>
      </c>
      <c r="AT91" s="7" t="str">
        <f t="shared" si="25"/>
        <v>None</v>
      </c>
      <c r="AU91" s="7" t="str">
        <f t="shared" si="30"/>
        <v>None</v>
      </c>
      <c r="AV91" s="7" t="str">
        <f t="shared" si="31"/>
        <v/>
      </c>
      <c r="AW91" s="7" t="str">
        <f t="shared" si="32"/>
        <v/>
      </c>
      <c r="AX91" s="7" t="str">
        <f t="shared" si="33"/>
        <v/>
      </c>
      <c r="BB91" s="7" t="str">
        <f t="shared" si="34"/>
        <v/>
      </c>
      <c r="BC91" s="7" t="str">
        <f t="shared" si="35"/>
        <v>No</v>
      </c>
      <c r="BD91" s="7" t="s">
        <v>1963</v>
      </c>
      <c r="BQ91" s="22"/>
      <c r="CH91" s="7" t="str">
        <f t="shared" si="36"/>
        <v/>
      </c>
    </row>
    <row r="92" spans="1:103">
      <c r="A92" s="7" t="s">
        <v>1329</v>
      </c>
      <c r="B92" s="7">
        <v>111</v>
      </c>
      <c r="C92" s="7" t="s">
        <v>73</v>
      </c>
      <c r="I92" s="24" t="str">
        <f t="shared" si="26"/>
        <v/>
      </c>
      <c r="L92" s="7" t="str">
        <f t="shared" si="27"/>
        <v/>
      </c>
      <c r="M92" s="21" t="str">
        <f t="shared" si="28"/>
        <v/>
      </c>
      <c r="N92" s="7" t="s">
        <v>1960</v>
      </c>
      <c r="T92" s="7" t="str">
        <f t="shared" si="29"/>
        <v>Nothing</v>
      </c>
      <c r="U92" s="7" t="s">
        <v>1</v>
      </c>
      <c r="AD92" s="24">
        <v>79932</v>
      </c>
      <c r="AE92" s="7">
        <v>0.20499999999999999</v>
      </c>
      <c r="AF92" s="7" t="s">
        <v>3691</v>
      </c>
      <c r="AG92" s="7">
        <v>0.33800000000000002</v>
      </c>
      <c r="AH92" s="7" t="s">
        <v>3690</v>
      </c>
      <c r="AI92" s="7">
        <v>196378</v>
      </c>
      <c r="AJ92" s="7">
        <v>38</v>
      </c>
      <c r="AK92" s="7">
        <v>17</v>
      </c>
      <c r="AN92" s="7" t="s">
        <v>1994</v>
      </c>
      <c r="AT92" s="7" t="str">
        <f t="shared" si="25"/>
        <v>None</v>
      </c>
      <c r="AU92" s="7" t="str">
        <f t="shared" si="30"/>
        <v>None</v>
      </c>
      <c r="AV92" s="7" t="str">
        <f t="shared" si="31"/>
        <v/>
      </c>
      <c r="AW92" s="7" t="str">
        <f t="shared" si="32"/>
        <v/>
      </c>
      <c r="AX92" s="7" t="str">
        <f t="shared" si="33"/>
        <v/>
      </c>
      <c r="BB92" s="7" t="str">
        <f t="shared" si="34"/>
        <v/>
      </c>
      <c r="BC92" s="7" t="str">
        <f t="shared" si="35"/>
        <v>No</v>
      </c>
      <c r="BD92" s="7" t="s">
        <v>1</v>
      </c>
      <c r="BQ92" s="22"/>
      <c r="CH92" s="7" t="str">
        <f t="shared" si="36"/>
        <v/>
      </c>
    </row>
    <row r="93" spans="1:103">
      <c r="A93" s="7" t="s">
        <v>1560</v>
      </c>
      <c r="B93" s="7">
        <v>78</v>
      </c>
      <c r="C93" s="7" t="s">
        <v>73</v>
      </c>
      <c r="I93" s="24" t="str">
        <f t="shared" si="26"/>
        <v/>
      </c>
      <c r="L93" s="7" t="str">
        <f t="shared" si="27"/>
        <v/>
      </c>
      <c r="M93" s="21" t="str">
        <f t="shared" si="28"/>
        <v/>
      </c>
      <c r="N93" s="7" t="s">
        <v>1960</v>
      </c>
      <c r="T93" s="7" t="str">
        <f t="shared" si="29"/>
        <v>Nothing</v>
      </c>
      <c r="U93" s="7" t="s">
        <v>1</v>
      </c>
      <c r="AD93" s="24">
        <v>95096</v>
      </c>
      <c r="AE93" s="7">
        <v>7.9000000000000001E-2</v>
      </c>
      <c r="AF93" s="7" t="s">
        <v>3689</v>
      </c>
      <c r="AG93" s="7">
        <v>-0.159</v>
      </c>
      <c r="AH93" s="7" t="s">
        <v>3688</v>
      </c>
      <c r="AI93" s="7">
        <v>197309</v>
      </c>
      <c r="AJ93" s="7">
        <v>15</v>
      </c>
      <c r="AK93" s="7">
        <v>13</v>
      </c>
      <c r="AN93" s="7" t="s">
        <v>1994</v>
      </c>
      <c r="AT93" s="7" t="str">
        <f t="shared" si="25"/>
        <v>None</v>
      </c>
      <c r="AU93" s="7" t="str">
        <f t="shared" si="30"/>
        <v>None</v>
      </c>
      <c r="AV93" s="7" t="str">
        <f t="shared" si="31"/>
        <v/>
      </c>
      <c r="AW93" s="7" t="str">
        <f t="shared" si="32"/>
        <v/>
      </c>
      <c r="AX93" s="7" t="str">
        <f t="shared" si="33"/>
        <v/>
      </c>
      <c r="BB93" s="7" t="str">
        <f t="shared" si="34"/>
        <v/>
      </c>
      <c r="BC93" s="7" t="str">
        <f t="shared" si="35"/>
        <v>No</v>
      </c>
      <c r="BD93" s="7" t="s">
        <v>1</v>
      </c>
      <c r="BQ93" s="22"/>
      <c r="CH93" s="7" t="str">
        <f t="shared" si="36"/>
        <v/>
      </c>
    </row>
    <row r="94" spans="1:103">
      <c r="A94" s="7" t="s">
        <v>1785</v>
      </c>
      <c r="B94" s="7">
        <v>30</v>
      </c>
      <c r="C94" s="7" t="s">
        <v>73</v>
      </c>
      <c r="I94" s="24" t="str">
        <f t="shared" si="26"/>
        <v/>
      </c>
      <c r="L94" s="7" t="str">
        <f t="shared" si="27"/>
        <v/>
      </c>
      <c r="M94" s="21" t="str">
        <f t="shared" si="28"/>
        <v/>
      </c>
      <c r="N94" s="7" t="s">
        <v>1960</v>
      </c>
      <c r="T94" s="7" t="str">
        <f t="shared" si="29"/>
        <v>Nothing</v>
      </c>
      <c r="U94" s="7" t="s">
        <v>1</v>
      </c>
      <c r="AC94" s="26" t="s">
        <v>3687</v>
      </c>
      <c r="AD94" s="24">
        <v>158884</v>
      </c>
      <c r="AE94" s="7">
        <v>5.0999999999999997E-2</v>
      </c>
      <c r="AF94" s="7" t="s">
        <v>3686</v>
      </c>
      <c r="AG94" s="7">
        <v>3.0000000000000001E-3</v>
      </c>
      <c r="AH94" s="7" t="s">
        <v>3685</v>
      </c>
      <c r="AI94" s="7">
        <v>370169</v>
      </c>
      <c r="AJ94" s="7">
        <v>1</v>
      </c>
      <c r="AK94" s="7">
        <v>21</v>
      </c>
      <c r="AN94" s="7" t="s">
        <v>1994</v>
      </c>
      <c r="AT94" s="7" t="str">
        <f t="shared" si="25"/>
        <v>None</v>
      </c>
      <c r="AU94" s="7" t="str">
        <f t="shared" si="30"/>
        <v>None</v>
      </c>
      <c r="AV94" s="7" t="str">
        <f t="shared" si="31"/>
        <v/>
      </c>
      <c r="AW94" s="7" t="str">
        <f t="shared" si="32"/>
        <v/>
      </c>
      <c r="AX94" s="7" t="str">
        <f t="shared" si="33"/>
        <v/>
      </c>
      <c r="BB94" s="7" t="str">
        <f t="shared" si="34"/>
        <v/>
      </c>
      <c r="BC94" s="7" t="str">
        <f t="shared" si="35"/>
        <v>No</v>
      </c>
      <c r="BD94" s="7" t="s">
        <v>1</v>
      </c>
      <c r="BF94" s="7" t="s">
        <v>3313</v>
      </c>
      <c r="BQ94" s="22"/>
      <c r="CH94" s="7" t="str">
        <f t="shared" si="36"/>
        <v/>
      </c>
    </row>
    <row r="95" spans="1:103">
      <c r="A95" s="7" t="s">
        <v>906</v>
      </c>
      <c r="B95" s="7">
        <v>264</v>
      </c>
      <c r="C95" s="7" t="s">
        <v>73</v>
      </c>
      <c r="I95" s="24" t="str">
        <f t="shared" si="26"/>
        <v/>
      </c>
      <c r="L95" s="7" t="str">
        <f t="shared" si="27"/>
        <v/>
      </c>
      <c r="M95" s="21" t="str">
        <f t="shared" si="28"/>
        <v/>
      </c>
      <c r="N95" s="7" t="s">
        <v>1960</v>
      </c>
      <c r="T95" s="7" t="str">
        <f t="shared" si="29"/>
        <v>Nothing</v>
      </c>
      <c r="U95" s="7" t="s">
        <v>1963</v>
      </c>
      <c r="AD95" s="24">
        <v>44655</v>
      </c>
      <c r="AE95" s="7">
        <v>4.8000000000000001E-2</v>
      </c>
      <c r="AF95" s="7" t="s">
        <v>3684</v>
      </c>
      <c r="AG95" s="7">
        <v>-0.30099999999999999</v>
      </c>
      <c r="AH95" s="7" t="s">
        <v>3683</v>
      </c>
      <c r="AI95" s="7">
        <v>118243</v>
      </c>
      <c r="AJ95" s="7">
        <v>15</v>
      </c>
      <c r="AK95" s="7">
        <v>13</v>
      </c>
      <c r="AN95" s="7" t="s">
        <v>1994</v>
      </c>
      <c r="AT95" s="7" t="str">
        <f t="shared" si="25"/>
        <v>None</v>
      </c>
      <c r="AU95" s="7" t="str">
        <f t="shared" si="30"/>
        <v>None</v>
      </c>
      <c r="AV95" s="7" t="str">
        <f t="shared" si="31"/>
        <v/>
      </c>
      <c r="AW95" s="7" t="str">
        <f t="shared" si="32"/>
        <v/>
      </c>
      <c r="AX95" s="7" t="str">
        <f t="shared" si="33"/>
        <v/>
      </c>
      <c r="BB95" s="7" t="str">
        <f t="shared" si="34"/>
        <v/>
      </c>
      <c r="BC95" s="7" t="str">
        <f t="shared" si="35"/>
        <v>No</v>
      </c>
      <c r="BD95" s="7" t="s">
        <v>1963</v>
      </c>
      <c r="BE95" s="1"/>
      <c r="BF95" s="7" t="s">
        <v>2457</v>
      </c>
      <c r="BQ95" s="22"/>
      <c r="CH95" s="7" t="str">
        <f t="shared" si="36"/>
        <v/>
      </c>
    </row>
    <row r="96" spans="1:103">
      <c r="A96" s="7" t="s">
        <v>312</v>
      </c>
      <c r="B96" s="7">
        <v>465</v>
      </c>
      <c r="C96" s="7" t="s">
        <v>73</v>
      </c>
      <c r="I96" s="24" t="str">
        <f t="shared" si="26"/>
        <v/>
      </c>
      <c r="L96" s="7" t="str">
        <f t="shared" si="27"/>
        <v/>
      </c>
      <c r="M96" s="21" t="str">
        <f t="shared" si="28"/>
        <v/>
      </c>
      <c r="N96" s="7" t="s">
        <v>1960</v>
      </c>
      <c r="T96" s="7" t="str">
        <f t="shared" si="29"/>
        <v>Nothing</v>
      </c>
      <c r="U96" s="7" t="s">
        <v>1</v>
      </c>
      <c r="AD96" s="24">
        <v>27464</v>
      </c>
      <c r="AE96" s="7">
        <v>-4.2000000000000003E-2</v>
      </c>
      <c r="AF96" s="7" t="s">
        <v>3682</v>
      </c>
      <c r="AG96" s="7">
        <v>0.31900000000000001</v>
      </c>
      <c r="AH96" s="7" t="s">
        <v>3681</v>
      </c>
      <c r="AI96" s="7">
        <v>95748</v>
      </c>
      <c r="AJ96" s="7">
        <v>-27</v>
      </c>
      <c r="AK96" s="7">
        <v>11</v>
      </c>
      <c r="AN96" s="7" t="s">
        <v>1994</v>
      </c>
      <c r="AT96" s="7" t="str">
        <f t="shared" si="25"/>
        <v>None</v>
      </c>
      <c r="AU96" s="7" t="str">
        <f t="shared" si="30"/>
        <v>None</v>
      </c>
      <c r="AV96" s="7" t="str">
        <f t="shared" si="31"/>
        <v/>
      </c>
      <c r="AW96" s="7" t="str">
        <f t="shared" si="32"/>
        <v/>
      </c>
      <c r="AX96" s="7" t="str">
        <f t="shared" si="33"/>
        <v/>
      </c>
      <c r="BB96" s="7" t="str">
        <f t="shared" si="34"/>
        <v/>
      </c>
      <c r="BC96" s="7" t="str">
        <f t="shared" si="35"/>
        <v>No</v>
      </c>
      <c r="BD96" s="7" t="s">
        <v>1</v>
      </c>
      <c r="BQ96" s="22"/>
      <c r="CH96" s="7" t="str">
        <f t="shared" si="36"/>
        <v/>
      </c>
    </row>
    <row r="97" spans="1:86">
      <c r="A97" s="7" t="s">
        <v>589</v>
      </c>
      <c r="B97" s="7">
        <v>386</v>
      </c>
      <c r="C97" s="7" t="s">
        <v>73</v>
      </c>
      <c r="I97" s="24" t="str">
        <f t="shared" si="26"/>
        <v/>
      </c>
      <c r="L97" s="7" t="str">
        <f t="shared" si="27"/>
        <v/>
      </c>
      <c r="M97" s="21" t="str">
        <f t="shared" si="28"/>
        <v/>
      </c>
      <c r="N97" s="7" t="s">
        <v>1960</v>
      </c>
      <c r="T97" s="7" t="str">
        <f t="shared" si="29"/>
        <v>Nothing</v>
      </c>
      <c r="U97" s="7" t="s">
        <v>1963</v>
      </c>
      <c r="AD97" s="24">
        <v>32447</v>
      </c>
      <c r="AE97" s="7">
        <v>-1.7999999999999999E-2</v>
      </c>
      <c r="AF97" s="7" t="s">
        <v>3680</v>
      </c>
      <c r="AG97" s="7">
        <v>-0.60699999999999998</v>
      </c>
      <c r="AH97" s="7" t="s">
        <v>3679</v>
      </c>
      <c r="AI97" s="7">
        <v>138603</v>
      </c>
      <c r="AJ97" s="7">
        <v>-11</v>
      </c>
      <c r="AK97" s="7">
        <v>10</v>
      </c>
      <c r="AN97" s="7" t="s">
        <v>1994</v>
      </c>
      <c r="AT97" s="7" t="str">
        <f t="shared" ref="AT97:AT128" si="37">IF(OR(BC97="Carbon Neutral",BC97="No - but post-2030 commitment"),IF((OR(BH97="Committed",BH97="Targets Set")),IF(J97="", "CN &amp; SBT","CN, SBT &amp; RE100"),IF(CH97="","CN","CN &amp; RE100")),IF((OR(BH97="Committed",BH97="Targets Set")),IF(CH97="", "SBT","SBT &amp; RE100"),IF(CH97="","None","RE100")))</f>
        <v>None</v>
      </c>
      <c r="AU97" s="7" t="str">
        <f t="shared" si="30"/>
        <v>None</v>
      </c>
      <c r="AV97" s="7" t="str">
        <f t="shared" si="31"/>
        <v/>
      </c>
      <c r="AW97" s="7" t="str">
        <f t="shared" si="32"/>
        <v/>
      </c>
      <c r="AX97" s="7" t="str">
        <f t="shared" si="33"/>
        <v/>
      </c>
      <c r="BB97" s="7" t="str">
        <f t="shared" si="34"/>
        <v/>
      </c>
      <c r="BC97" s="7" t="str">
        <f t="shared" si="35"/>
        <v>No</v>
      </c>
      <c r="BD97" s="7" t="s">
        <v>1963</v>
      </c>
      <c r="BQ97" s="22"/>
      <c r="CH97" s="7" t="str">
        <f t="shared" si="36"/>
        <v/>
      </c>
    </row>
    <row r="98" spans="1:86">
      <c r="A98" s="7" t="s">
        <v>611</v>
      </c>
      <c r="B98" s="7">
        <v>381</v>
      </c>
      <c r="C98" s="7" t="s">
        <v>73</v>
      </c>
      <c r="I98" s="24" t="str">
        <f t="shared" si="26"/>
        <v/>
      </c>
      <c r="L98" s="7" t="str">
        <f t="shared" si="27"/>
        <v/>
      </c>
      <c r="M98" s="21" t="str">
        <f t="shared" si="28"/>
        <v/>
      </c>
      <c r="N98" s="7" t="s">
        <v>1960</v>
      </c>
      <c r="T98" s="7" t="str">
        <f t="shared" si="29"/>
        <v>Nothing</v>
      </c>
      <c r="U98" s="7" t="s">
        <v>1963</v>
      </c>
      <c r="AD98" s="24">
        <v>32948</v>
      </c>
      <c r="AE98" s="7">
        <v>-1.0999999999999999E-2</v>
      </c>
      <c r="AF98" s="7" t="s">
        <v>3678</v>
      </c>
      <c r="AG98" s="7">
        <v>-7.0000000000000001E-3</v>
      </c>
      <c r="AH98" s="7" t="s">
        <v>3677</v>
      </c>
      <c r="AI98" s="7">
        <v>177443</v>
      </c>
      <c r="AJ98" s="7">
        <v>-11</v>
      </c>
      <c r="AK98" s="7">
        <v>5</v>
      </c>
      <c r="AN98" s="7" t="s">
        <v>1994</v>
      </c>
      <c r="AT98" s="7" t="str">
        <f t="shared" si="37"/>
        <v>None</v>
      </c>
      <c r="AU98" s="7" t="str">
        <f t="shared" si="30"/>
        <v>None</v>
      </c>
      <c r="AV98" s="7" t="str">
        <f t="shared" si="31"/>
        <v/>
      </c>
      <c r="AW98" s="7" t="str">
        <f t="shared" si="32"/>
        <v/>
      </c>
      <c r="AX98" s="7" t="str">
        <f t="shared" si="33"/>
        <v/>
      </c>
      <c r="BB98" s="7" t="str">
        <f t="shared" ref="BB98:BB129" si="38">IF(BH98="","","Yes")</f>
        <v/>
      </c>
      <c r="BC98" s="7" t="str">
        <f t="shared" si="35"/>
        <v>No</v>
      </c>
      <c r="BD98" s="7" t="s">
        <v>1963</v>
      </c>
      <c r="BQ98" s="22"/>
      <c r="CH98" s="7" t="str">
        <f t="shared" si="36"/>
        <v/>
      </c>
    </row>
    <row r="99" spans="1:86">
      <c r="A99" s="7" t="s">
        <v>624</v>
      </c>
      <c r="B99" s="7">
        <v>353</v>
      </c>
      <c r="C99" s="7" t="s">
        <v>73</v>
      </c>
      <c r="I99" s="24" t="str">
        <f t="shared" si="26"/>
        <v/>
      </c>
      <c r="L99" s="7" t="str">
        <f t="shared" si="27"/>
        <v/>
      </c>
      <c r="M99" s="21" t="str">
        <f t="shared" si="28"/>
        <v/>
      </c>
      <c r="N99" s="7" t="s">
        <v>1960</v>
      </c>
      <c r="T99" s="7" t="str">
        <f t="shared" si="29"/>
        <v>Nothing</v>
      </c>
      <c r="U99" s="7" t="s">
        <v>1</v>
      </c>
      <c r="AD99" s="24">
        <v>36111</v>
      </c>
      <c r="AE99" s="7">
        <v>5.7000000000000002E-2</v>
      </c>
      <c r="AF99" s="7" t="s">
        <v>3676</v>
      </c>
      <c r="AG99" s="7">
        <v>-8.5999999999999993E-2</v>
      </c>
      <c r="AH99" s="7" t="s">
        <v>3675</v>
      </c>
      <c r="AI99" s="7">
        <v>122560</v>
      </c>
      <c r="AJ99" s="7">
        <v>11</v>
      </c>
      <c r="AK99" s="7">
        <v>7</v>
      </c>
      <c r="AN99" s="7" t="s">
        <v>1994</v>
      </c>
      <c r="AT99" s="7" t="str">
        <f t="shared" si="37"/>
        <v>None</v>
      </c>
      <c r="AU99" s="7" t="str">
        <f t="shared" si="30"/>
        <v>None</v>
      </c>
      <c r="AV99" s="7" t="str">
        <f t="shared" si="31"/>
        <v/>
      </c>
      <c r="AW99" s="7" t="str">
        <f t="shared" si="32"/>
        <v/>
      </c>
      <c r="AX99" s="7" t="str">
        <f t="shared" si="33"/>
        <v/>
      </c>
      <c r="BB99" s="7" t="str">
        <f t="shared" si="38"/>
        <v/>
      </c>
      <c r="BC99" s="7" t="str">
        <f t="shared" si="35"/>
        <v>No</v>
      </c>
      <c r="BD99" s="7" t="s">
        <v>1963</v>
      </c>
      <c r="BQ99" s="22"/>
      <c r="CH99" s="7" t="str">
        <f t="shared" si="36"/>
        <v/>
      </c>
    </row>
    <row r="100" spans="1:86">
      <c r="A100" s="7" t="s">
        <v>1503</v>
      </c>
      <c r="B100" s="7">
        <v>108</v>
      </c>
      <c r="C100" s="7" t="s">
        <v>73</v>
      </c>
      <c r="I100" s="24" t="str">
        <f t="shared" si="26"/>
        <v/>
      </c>
      <c r="L100" s="7" t="str">
        <f t="shared" si="27"/>
        <v/>
      </c>
      <c r="M100" s="21" t="str">
        <f t="shared" si="28"/>
        <v/>
      </c>
      <c r="N100" s="7" t="s">
        <v>1960</v>
      </c>
      <c r="T100" s="7" t="str">
        <f t="shared" si="29"/>
        <v>Nothing</v>
      </c>
      <c r="U100" s="7" t="s">
        <v>1</v>
      </c>
      <c r="AD100" s="24">
        <v>80498</v>
      </c>
      <c r="AE100" s="7">
        <v>-1.7999999999999999E-2</v>
      </c>
      <c r="AF100" s="7" t="s">
        <v>3674</v>
      </c>
      <c r="AG100" s="7">
        <v>0.20699999999999999</v>
      </c>
      <c r="AH100" s="7" t="s">
        <v>3673</v>
      </c>
      <c r="AI100" s="7">
        <v>331373</v>
      </c>
      <c r="AJ100" s="7">
        <v>-1</v>
      </c>
      <c r="AK100" s="7">
        <v>11</v>
      </c>
      <c r="AN100" s="7" t="s">
        <v>1994</v>
      </c>
      <c r="AT100" s="7" t="str">
        <f t="shared" si="37"/>
        <v>None</v>
      </c>
      <c r="AU100" s="7" t="str">
        <f t="shared" si="30"/>
        <v>None</v>
      </c>
      <c r="AV100" s="7" t="str">
        <f t="shared" si="31"/>
        <v/>
      </c>
      <c r="AW100" s="7" t="str">
        <f t="shared" si="32"/>
        <v/>
      </c>
      <c r="AX100" s="7" t="str">
        <f t="shared" si="33"/>
        <v/>
      </c>
      <c r="BB100" s="7" t="str">
        <f t="shared" si="38"/>
        <v/>
      </c>
      <c r="BC100" s="7" t="str">
        <f t="shared" si="35"/>
        <v>No</v>
      </c>
      <c r="BD100" s="7" t="s">
        <v>1</v>
      </c>
      <c r="BQ100" s="22"/>
      <c r="CH100" s="7" t="str">
        <f t="shared" si="36"/>
        <v/>
      </c>
    </row>
    <row r="101" spans="1:86">
      <c r="A101" s="7" t="s">
        <v>878</v>
      </c>
      <c r="B101" s="7">
        <v>253</v>
      </c>
      <c r="C101" s="7" t="s">
        <v>73</v>
      </c>
      <c r="F101" s="1"/>
      <c r="G101" s="1"/>
      <c r="H101" s="51"/>
      <c r="I101" s="24" t="str">
        <f t="shared" si="26"/>
        <v/>
      </c>
      <c r="L101" s="7" t="str">
        <f t="shared" si="27"/>
        <v/>
      </c>
      <c r="M101" s="21" t="str">
        <f t="shared" si="28"/>
        <v/>
      </c>
      <c r="N101" s="7" t="s">
        <v>1960</v>
      </c>
      <c r="Q101" s="1"/>
      <c r="R101" s="1"/>
      <c r="T101" s="7" t="str">
        <f t="shared" si="29"/>
        <v>Nothing</v>
      </c>
      <c r="U101" s="1" t="s">
        <v>1963</v>
      </c>
      <c r="V101" s="1"/>
      <c r="W101" s="1"/>
      <c r="X101" s="1"/>
      <c r="Y101" s="1"/>
      <c r="Z101" s="1" t="s">
        <v>3672</v>
      </c>
      <c r="AB101" s="28" t="s">
        <v>3671</v>
      </c>
      <c r="AC101" s="1"/>
      <c r="AD101" s="24">
        <v>46957</v>
      </c>
      <c r="AE101" s="7">
        <v>0.121</v>
      </c>
      <c r="AF101" s="7" t="s">
        <v>3670</v>
      </c>
      <c r="AG101" s="7">
        <v>5.1999999999999998E-2</v>
      </c>
      <c r="AH101" s="7" t="s">
        <v>3669</v>
      </c>
      <c r="AI101" s="7">
        <v>79800</v>
      </c>
      <c r="AJ101" s="7">
        <v>36</v>
      </c>
      <c r="AK101" s="7">
        <v>6</v>
      </c>
      <c r="AN101" s="7" t="s">
        <v>1994</v>
      </c>
      <c r="AT101" s="7" t="str">
        <f t="shared" si="37"/>
        <v>None</v>
      </c>
      <c r="AU101" s="7" t="str">
        <f t="shared" si="30"/>
        <v>None</v>
      </c>
      <c r="AV101" s="7" t="str">
        <f t="shared" si="31"/>
        <v/>
      </c>
      <c r="AW101" s="7" t="str">
        <f t="shared" si="32"/>
        <v/>
      </c>
      <c r="AX101" s="7" t="str">
        <f t="shared" si="33"/>
        <v/>
      </c>
      <c r="BB101" s="7" t="str">
        <f t="shared" si="38"/>
        <v/>
      </c>
      <c r="BC101" s="7" t="str">
        <f t="shared" si="35"/>
        <v>No</v>
      </c>
      <c r="BD101" s="1" t="s">
        <v>1963</v>
      </c>
      <c r="BE101" s="1"/>
      <c r="BF101" s="1"/>
      <c r="BG101" s="1" t="s">
        <v>2220</v>
      </c>
      <c r="BQ101" s="22"/>
      <c r="CH101" s="7" t="str">
        <f t="shared" si="36"/>
        <v/>
      </c>
    </row>
    <row r="102" spans="1:86">
      <c r="A102" s="7" t="s">
        <v>1372</v>
      </c>
      <c r="B102" s="7">
        <v>152</v>
      </c>
      <c r="C102" s="7" t="s">
        <v>73</v>
      </c>
      <c r="I102" s="24" t="str">
        <f t="shared" si="26"/>
        <v/>
      </c>
      <c r="L102" s="7" t="str">
        <f t="shared" si="27"/>
        <v/>
      </c>
      <c r="M102" s="21" t="str">
        <f t="shared" si="28"/>
        <v/>
      </c>
      <c r="N102" s="7" t="s">
        <v>1960</v>
      </c>
      <c r="T102" s="7" t="str">
        <f t="shared" si="29"/>
        <v>Nothing</v>
      </c>
      <c r="U102" s="7" t="s">
        <v>1</v>
      </c>
      <c r="AD102" s="24">
        <v>69127</v>
      </c>
      <c r="AE102" s="7">
        <v>-1.9E-2</v>
      </c>
      <c r="AF102" s="7" t="s">
        <v>3668</v>
      </c>
      <c r="AG102" s="7">
        <v>-0.55700000000000005</v>
      </c>
      <c r="AH102" s="7" t="s">
        <v>3667</v>
      </c>
      <c r="AI102" s="7">
        <v>133123</v>
      </c>
      <c r="AJ102" s="7">
        <v>-14</v>
      </c>
      <c r="AK102" s="7">
        <v>5</v>
      </c>
      <c r="AN102" s="7" t="s">
        <v>1994</v>
      </c>
      <c r="AT102" s="7" t="str">
        <f t="shared" si="37"/>
        <v>None</v>
      </c>
      <c r="AU102" s="7" t="str">
        <f t="shared" si="30"/>
        <v>None</v>
      </c>
      <c r="AV102" s="7" t="str">
        <f t="shared" si="31"/>
        <v/>
      </c>
      <c r="AW102" s="7" t="str">
        <f t="shared" si="32"/>
        <v/>
      </c>
      <c r="AX102" s="7" t="str">
        <f t="shared" si="33"/>
        <v/>
      </c>
      <c r="BB102" s="7" t="str">
        <f t="shared" si="38"/>
        <v/>
      </c>
      <c r="BC102" s="7" t="str">
        <f t="shared" si="35"/>
        <v>No</v>
      </c>
      <c r="BD102" s="7" t="s">
        <v>1</v>
      </c>
      <c r="BQ102" s="22"/>
      <c r="CH102" s="7" t="str">
        <f t="shared" si="36"/>
        <v/>
      </c>
    </row>
    <row r="103" spans="1:86">
      <c r="A103" s="7" t="s">
        <v>1593</v>
      </c>
      <c r="B103" s="7">
        <v>89</v>
      </c>
      <c r="C103" s="7" t="s">
        <v>73</v>
      </c>
      <c r="I103" s="24" t="str">
        <f t="shared" si="26"/>
        <v/>
      </c>
      <c r="L103" s="7" t="str">
        <f t="shared" si="27"/>
        <v/>
      </c>
      <c r="M103" s="21" t="str">
        <f t="shared" si="28"/>
        <v/>
      </c>
      <c r="N103" s="7" t="s">
        <v>1960</v>
      </c>
      <c r="T103" s="7" t="str">
        <f t="shared" si="29"/>
        <v>Nothing</v>
      </c>
      <c r="U103" s="7" t="s">
        <v>1</v>
      </c>
      <c r="AD103" s="24">
        <v>89417</v>
      </c>
      <c r="AE103" s="7">
        <v>-4.0000000000000001E-3</v>
      </c>
      <c r="AF103" s="7" t="s">
        <v>3666</v>
      </c>
      <c r="AG103" s="7">
        <v>7.0000000000000007E-2</v>
      </c>
      <c r="AH103" s="7" t="s">
        <v>3665</v>
      </c>
      <c r="AI103" s="7">
        <v>129580</v>
      </c>
      <c r="AJ103" s="7">
        <v>-2</v>
      </c>
      <c r="AK103" s="7">
        <v>16</v>
      </c>
      <c r="AN103" s="7" t="s">
        <v>1994</v>
      </c>
      <c r="AT103" s="7" t="str">
        <f t="shared" si="37"/>
        <v>None</v>
      </c>
      <c r="AU103" s="7" t="str">
        <f t="shared" si="30"/>
        <v>None</v>
      </c>
      <c r="AV103" s="7" t="str">
        <f t="shared" si="31"/>
        <v/>
      </c>
      <c r="AW103" s="7" t="str">
        <f t="shared" si="32"/>
        <v/>
      </c>
      <c r="AX103" s="7" t="str">
        <f t="shared" si="33"/>
        <v/>
      </c>
      <c r="BB103" s="7" t="str">
        <f t="shared" si="38"/>
        <v/>
      </c>
      <c r="BC103" s="7" t="str">
        <f t="shared" si="35"/>
        <v>No</v>
      </c>
      <c r="BD103" s="7" t="s">
        <v>1</v>
      </c>
      <c r="BQ103" s="22"/>
      <c r="CH103" s="7" t="str">
        <f t="shared" si="36"/>
        <v/>
      </c>
    </row>
    <row r="104" spans="1:86">
      <c r="A104" s="7" t="s">
        <v>133</v>
      </c>
      <c r="B104" s="7">
        <v>477</v>
      </c>
      <c r="C104" s="7" t="s">
        <v>73</v>
      </c>
      <c r="I104" s="24" t="str">
        <f t="shared" si="26"/>
        <v/>
      </c>
      <c r="L104" s="7" t="str">
        <f t="shared" si="27"/>
        <v/>
      </c>
      <c r="M104" s="21" t="str">
        <f t="shared" si="28"/>
        <v/>
      </c>
      <c r="N104" s="7" t="s">
        <v>1960</v>
      </c>
      <c r="T104" s="7" t="str">
        <f t="shared" si="29"/>
        <v>Nothing</v>
      </c>
      <c r="U104" s="7" t="s">
        <v>1</v>
      </c>
      <c r="AD104" s="24">
        <v>26559</v>
      </c>
      <c r="AE104" s="7">
        <v>0.03</v>
      </c>
      <c r="AF104" s="7" t="s">
        <v>3664</v>
      </c>
      <c r="AG104" s="7">
        <v>0.106</v>
      </c>
      <c r="AH104" s="7" t="s">
        <v>3663</v>
      </c>
      <c r="AI104" s="7">
        <v>43197</v>
      </c>
      <c r="AJ104" s="7">
        <v>8</v>
      </c>
      <c r="AK104" s="7">
        <v>6</v>
      </c>
      <c r="AN104" s="7" t="s">
        <v>1994</v>
      </c>
      <c r="AT104" s="7" t="str">
        <f t="shared" si="37"/>
        <v>None</v>
      </c>
      <c r="AU104" s="7" t="str">
        <f t="shared" si="30"/>
        <v>None</v>
      </c>
      <c r="AV104" s="7" t="str">
        <f t="shared" si="31"/>
        <v/>
      </c>
      <c r="AW104" s="7" t="str">
        <f t="shared" si="32"/>
        <v/>
      </c>
      <c r="AX104" s="7" t="str">
        <f t="shared" si="33"/>
        <v/>
      </c>
      <c r="BB104" s="7" t="str">
        <f t="shared" si="38"/>
        <v/>
      </c>
      <c r="BC104" s="7" t="str">
        <f t="shared" si="35"/>
        <v>No</v>
      </c>
      <c r="BD104" s="7" t="s">
        <v>1</v>
      </c>
      <c r="BQ104" s="22"/>
      <c r="CH104" s="7" t="str">
        <f t="shared" si="36"/>
        <v/>
      </c>
    </row>
    <row r="105" spans="1:86">
      <c r="A105" s="7" t="s">
        <v>547</v>
      </c>
      <c r="B105" s="7">
        <v>370</v>
      </c>
      <c r="C105" s="7" t="s">
        <v>73</v>
      </c>
      <c r="I105" s="24" t="str">
        <f t="shared" si="26"/>
        <v/>
      </c>
      <c r="L105" s="7" t="str">
        <f t="shared" si="27"/>
        <v/>
      </c>
      <c r="M105" s="21" t="str">
        <f t="shared" si="28"/>
        <v/>
      </c>
      <c r="N105" s="7" t="s">
        <v>1960</v>
      </c>
      <c r="T105" s="7" t="str">
        <f t="shared" si="29"/>
        <v>Nothing</v>
      </c>
      <c r="U105" s="7" t="s">
        <v>1963</v>
      </c>
      <c r="AD105" s="24">
        <v>33808</v>
      </c>
      <c r="AE105" s="7">
        <v>4.2999999999999997E-2</v>
      </c>
      <c r="AF105" s="7" t="s">
        <v>3662</v>
      </c>
      <c r="AG105" s="7">
        <v>-0.33100000000000002</v>
      </c>
      <c r="AH105" s="7" t="s">
        <v>3661</v>
      </c>
      <c r="AI105" s="7">
        <v>94790</v>
      </c>
      <c r="AJ105" s="7">
        <v>16</v>
      </c>
      <c r="AK105" s="7">
        <v>9</v>
      </c>
      <c r="AN105" s="7" t="s">
        <v>1994</v>
      </c>
      <c r="AT105" s="7" t="str">
        <f t="shared" si="37"/>
        <v>None</v>
      </c>
      <c r="AU105" s="7" t="str">
        <f t="shared" si="30"/>
        <v>None</v>
      </c>
      <c r="AV105" s="7" t="str">
        <f t="shared" si="31"/>
        <v/>
      </c>
      <c r="AW105" s="7" t="str">
        <f t="shared" si="32"/>
        <v/>
      </c>
      <c r="AX105" s="7" t="str">
        <f t="shared" si="33"/>
        <v/>
      </c>
      <c r="BB105" s="7" t="str">
        <f t="shared" si="38"/>
        <v/>
      </c>
      <c r="BC105" s="7" t="str">
        <f t="shared" si="35"/>
        <v>No</v>
      </c>
      <c r="BD105" s="7" t="s">
        <v>1963</v>
      </c>
      <c r="BQ105" s="22"/>
      <c r="CH105" s="7" t="str">
        <f t="shared" si="36"/>
        <v/>
      </c>
    </row>
    <row r="106" spans="1:86">
      <c r="A106" s="7" t="s">
        <v>885</v>
      </c>
      <c r="B106" s="7">
        <v>266</v>
      </c>
      <c r="C106" s="7" t="s">
        <v>73</v>
      </c>
      <c r="I106" s="24" t="str">
        <f t="shared" si="26"/>
        <v/>
      </c>
      <c r="L106" s="7" t="str">
        <f t="shared" si="27"/>
        <v/>
      </c>
      <c r="M106" s="21" t="str">
        <f t="shared" si="28"/>
        <v/>
      </c>
      <c r="N106" s="7" t="s">
        <v>1960</v>
      </c>
      <c r="T106" s="7" t="str">
        <f t="shared" si="29"/>
        <v>Nothing</v>
      </c>
      <c r="U106" s="7" t="s">
        <v>1963</v>
      </c>
      <c r="AC106" s="26" t="s">
        <v>3660</v>
      </c>
      <c r="AD106" s="24">
        <v>44502</v>
      </c>
      <c r="AE106" s="7">
        <v>5.2999999999999999E-2</v>
      </c>
      <c r="AF106" s="7" t="s">
        <v>3659</v>
      </c>
      <c r="AG106" s="7">
        <v>20.004000000000001</v>
      </c>
      <c r="AH106" s="7" t="s">
        <v>3658</v>
      </c>
      <c r="AI106" s="7">
        <v>130764</v>
      </c>
      <c r="AJ106" s="7">
        <v>20</v>
      </c>
      <c r="AK106" s="7">
        <v>12</v>
      </c>
      <c r="AN106" s="7" t="s">
        <v>1994</v>
      </c>
      <c r="AT106" s="7" t="str">
        <f t="shared" si="37"/>
        <v>None</v>
      </c>
      <c r="AU106" s="7" t="str">
        <f t="shared" si="30"/>
        <v>None</v>
      </c>
      <c r="AV106" s="7" t="str">
        <f t="shared" si="31"/>
        <v/>
      </c>
      <c r="AW106" s="7" t="str">
        <f t="shared" si="32"/>
        <v/>
      </c>
      <c r="AX106" s="7" t="str">
        <f t="shared" si="33"/>
        <v/>
      </c>
      <c r="BB106" s="7" t="str">
        <f t="shared" si="38"/>
        <v/>
      </c>
      <c r="BC106" s="7" t="str">
        <f t="shared" si="35"/>
        <v>No</v>
      </c>
      <c r="BD106" s="7" t="s">
        <v>1963</v>
      </c>
      <c r="BE106" s="1"/>
      <c r="BF106" t="s">
        <v>3657</v>
      </c>
      <c r="BQ106" s="22"/>
      <c r="CH106" s="7" t="str">
        <f t="shared" si="36"/>
        <v/>
      </c>
    </row>
    <row r="107" spans="1:86">
      <c r="A107" s="7" t="s">
        <v>1714</v>
      </c>
      <c r="B107" s="7">
        <v>45</v>
      </c>
      <c r="C107" s="7" t="s">
        <v>73</v>
      </c>
      <c r="I107" s="24" t="str">
        <f t="shared" si="26"/>
        <v/>
      </c>
      <c r="L107" s="7" t="str">
        <f t="shared" si="27"/>
        <v/>
      </c>
      <c r="M107" s="21" t="str">
        <f t="shared" si="28"/>
        <v/>
      </c>
      <c r="N107" s="7" t="s">
        <v>1960</v>
      </c>
      <c r="T107" s="7" t="str">
        <f t="shared" si="29"/>
        <v>Nothing</v>
      </c>
      <c r="U107" s="7" t="s">
        <v>2305</v>
      </c>
      <c r="AD107" s="24">
        <v>131244</v>
      </c>
      <c r="AE107" s="7">
        <v>0.13</v>
      </c>
      <c r="AF107" s="7" t="s">
        <v>3656</v>
      </c>
      <c r="AG107" s="7" t="s">
        <v>9</v>
      </c>
      <c r="AH107" s="7" t="s">
        <v>3655</v>
      </c>
      <c r="AI107" s="7">
        <v>180401</v>
      </c>
      <c r="AJ107" s="7">
        <v>6</v>
      </c>
      <c r="AK107" s="7">
        <v>18</v>
      </c>
      <c r="AN107" s="7" t="s">
        <v>1994</v>
      </c>
      <c r="AT107" s="7" t="str">
        <f t="shared" si="37"/>
        <v>None</v>
      </c>
      <c r="AU107" s="7" t="str">
        <f t="shared" si="30"/>
        <v>None</v>
      </c>
      <c r="AV107" s="7" t="str">
        <f t="shared" si="31"/>
        <v/>
      </c>
      <c r="AW107" s="7" t="str">
        <f t="shared" si="32"/>
        <v/>
      </c>
      <c r="AX107" s="7" t="str">
        <f t="shared" si="33"/>
        <v/>
      </c>
      <c r="BB107" s="7" t="str">
        <f t="shared" si="38"/>
        <v/>
      </c>
      <c r="BC107" s="7" t="str">
        <f t="shared" si="35"/>
        <v>No</v>
      </c>
      <c r="BD107" s="7" t="s">
        <v>1</v>
      </c>
      <c r="BQ107" s="22"/>
      <c r="CH107" s="7" t="str">
        <f t="shared" si="36"/>
        <v/>
      </c>
    </row>
    <row r="108" spans="1:86">
      <c r="A108" s="7" t="s">
        <v>1201</v>
      </c>
      <c r="B108" s="7">
        <v>189</v>
      </c>
      <c r="C108" s="7" t="s">
        <v>73</v>
      </c>
      <c r="I108" s="24" t="str">
        <f t="shared" si="26"/>
        <v/>
      </c>
      <c r="L108" s="7" t="str">
        <f t="shared" si="27"/>
        <v/>
      </c>
      <c r="M108" s="21" t="str">
        <f t="shared" si="28"/>
        <v/>
      </c>
      <c r="N108" s="7" t="s">
        <v>1960</v>
      </c>
      <c r="T108" s="7" t="str">
        <f t="shared" si="29"/>
        <v>Nothing</v>
      </c>
      <c r="U108" s="7" t="s">
        <v>1</v>
      </c>
      <c r="AD108" s="24">
        <v>57252</v>
      </c>
      <c r="AE108" s="7">
        <v>0.04</v>
      </c>
      <c r="AF108" s="7" t="s">
        <v>3654</v>
      </c>
      <c r="AG108" s="7">
        <v>0.104</v>
      </c>
      <c r="AH108" s="7" t="s">
        <v>3653</v>
      </c>
      <c r="AI108" s="7">
        <v>84683</v>
      </c>
      <c r="AJ108" s="7">
        <v>-1</v>
      </c>
      <c r="AK108" s="7">
        <v>9</v>
      </c>
      <c r="AN108" s="7" t="s">
        <v>1994</v>
      </c>
      <c r="AT108" s="7" t="str">
        <f t="shared" si="37"/>
        <v>None</v>
      </c>
      <c r="AU108" s="7" t="str">
        <f t="shared" si="30"/>
        <v>None</v>
      </c>
      <c r="AV108" s="7" t="str">
        <f t="shared" si="31"/>
        <v/>
      </c>
      <c r="AW108" s="7" t="str">
        <f t="shared" si="32"/>
        <v/>
      </c>
      <c r="AX108" s="7" t="str">
        <f t="shared" si="33"/>
        <v/>
      </c>
      <c r="BB108" s="7" t="str">
        <f t="shared" si="38"/>
        <v/>
      </c>
      <c r="BC108" s="7" t="str">
        <f t="shared" si="35"/>
        <v>No</v>
      </c>
      <c r="BD108" s="7" t="s">
        <v>1</v>
      </c>
      <c r="BQ108" s="22"/>
      <c r="CH108" s="7" t="str">
        <f t="shared" si="36"/>
        <v/>
      </c>
    </row>
    <row r="109" spans="1:86">
      <c r="A109" s="7" t="s">
        <v>1010</v>
      </c>
      <c r="B109" s="7">
        <v>235</v>
      </c>
      <c r="C109" s="7" t="s">
        <v>73</v>
      </c>
      <c r="I109" s="24" t="str">
        <f t="shared" si="26"/>
        <v/>
      </c>
      <c r="L109" s="7" t="str">
        <f t="shared" si="27"/>
        <v/>
      </c>
      <c r="M109" s="21" t="str">
        <f t="shared" si="28"/>
        <v/>
      </c>
      <c r="N109" s="7" t="s">
        <v>1960</v>
      </c>
      <c r="T109" s="7" t="str">
        <f t="shared" si="29"/>
        <v>Nothing</v>
      </c>
      <c r="U109" s="7" t="s">
        <v>1</v>
      </c>
      <c r="AD109" s="24">
        <v>49126</v>
      </c>
      <c r="AE109" s="7">
        <v>7.0000000000000007E-2</v>
      </c>
      <c r="AF109" s="7" t="s">
        <v>3652</v>
      </c>
      <c r="AG109" s="7">
        <v>0.17100000000000001</v>
      </c>
      <c r="AH109" s="7" t="s">
        <v>3651</v>
      </c>
      <c r="AI109" s="7">
        <v>157635</v>
      </c>
      <c r="AJ109" s="7">
        <v>9</v>
      </c>
      <c r="AK109" s="7">
        <v>3</v>
      </c>
      <c r="AN109" s="7" t="s">
        <v>1994</v>
      </c>
      <c r="AT109" s="7" t="str">
        <f t="shared" si="37"/>
        <v>None</v>
      </c>
      <c r="AU109" s="7" t="str">
        <f t="shared" si="30"/>
        <v>None</v>
      </c>
      <c r="AV109" s="7" t="str">
        <f t="shared" si="31"/>
        <v/>
      </c>
      <c r="AW109" s="7" t="str">
        <f t="shared" si="32"/>
        <v/>
      </c>
      <c r="AX109" s="7" t="str">
        <f t="shared" si="33"/>
        <v/>
      </c>
      <c r="BB109" s="7" t="str">
        <f t="shared" si="38"/>
        <v/>
      </c>
      <c r="BC109" s="7" t="str">
        <f t="shared" si="35"/>
        <v>No</v>
      </c>
      <c r="BD109" s="7" t="s">
        <v>1</v>
      </c>
      <c r="BQ109" s="22"/>
      <c r="CH109" s="7" t="str">
        <f t="shared" si="36"/>
        <v/>
      </c>
    </row>
    <row r="110" spans="1:86">
      <c r="A110" s="7" t="s">
        <v>1483</v>
      </c>
      <c r="B110" s="7">
        <v>92</v>
      </c>
      <c r="C110" s="7" t="s">
        <v>73</v>
      </c>
      <c r="I110" s="24" t="str">
        <f t="shared" si="26"/>
        <v/>
      </c>
      <c r="L110" s="7" t="str">
        <f t="shared" si="27"/>
        <v/>
      </c>
      <c r="M110" s="21" t="str">
        <f t="shared" si="28"/>
        <v/>
      </c>
      <c r="N110" s="7" t="s">
        <v>1960</v>
      </c>
      <c r="T110" s="7" t="str">
        <f t="shared" si="29"/>
        <v>Nothing</v>
      </c>
      <c r="U110" s="7" t="s">
        <v>1</v>
      </c>
      <c r="AD110" s="24">
        <v>88357</v>
      </c>
      <c r="AE110" s="7">
        <v>0.10299999999999999</v>
      </c>
      <c r="AF110" s="7" t="s">
        <v>3650</v>
      </c>
      <c r="AG110" s="7" t="s">
        <v>9</v>
      </c>
      <c r="AH110" s="7" t="s">
        <v>3649</v>
      </c>
      <c r="AI110" s="7">
        <v>199486</v>
      </c>
      <c r="AJ110" s="7">
        <v>20</v>
      </c>
      <c r="AK110" s="7">
        <v>14</v>
      </c>
      <c r="AN110" s="7" t="s">
        <v>1994</v>
      </c>
      <c r="AT110" s="7" t="str">
        <f t="shared" si="37"/>
        <v>None</v>
      </c>
      <c r="AU110" s="7" t="str">
        <f t="shared" si="30"/>
        <v>None</v>
      </c>
      <c r="AV110" s="7" t="str">
        <f t="shared" si="31"/>
        <v/>
      </c>
      <c r="AW110" s="7" t="str">
        <f t="shared" si="32"/>
        <v/>
      </c>
      <c r="AX110" s="7" t="str">
        <f t="shared" si="33"/>
        <v/>
      </c>
      <c r="BB110" s="7" t="str">
        <f t="shared" si="38"/>
        <v/>
      </c>
      <c r="BC110" s="7" t="str">
        <f t="shared" si="35"/>
        <v>No</v>
      </c>
      <c r="BD110" s="7" t="s">
        <v>1</v>
      </c>
      <c r="BQ110" s="22"/>
      <c r="CH110" s="7" t="str">
        <f t="shared" si="36"/>
        <v/>
      </c>
    </row>
    <row r="111" spans="1:86">
      <c r="A111" s="7" t="s">
        <v>1052</v>
      </c>
      <c r="B111" s="7">
        <v>239</v>
      </c>
      <c r="C111" s="7" t="s">
        <v>73</v>
      </c>
      <c r="I111" s="24" t="str">
        <f t="shared" si="26"/>
        <v/>
      </c>
      <c r="L111" s="7" t="str">
        <f t="shared" si="27"/>
        <v/>
      </c>
      <c r="M111" s="21" t="str">
        <f t="shared" si="28"/>
        <v/>
      </c>
      <c r="N111" s="7" t="s">
        <v>1960</v>
      </c>
      <c r="T111" s="7" t="str">
        <f t="shared" si="29"/>
        <v>Nothing</v>
      </c>
      <c r="U111" s="7" t="s">
        <v>1</v>
      </c>
      <c r="AD111" s="24">
        <v>48528</v>
      </c>
      <c r="AE111" s="7">
        <v>1.0999999999999999E-2</v>
      </c>
      <c r="AF111" s="7" t="s">
        <v>3648</v>
      </c>
      <c r="AG111" s="7">
        <v>2.4E-2</v>
      </c>
      <c r="AH111" s="7" t="s">
        <v>3647</v>
      </c>
      <c r="AI111" s="7">
        <v>58933</v>
      </c>
      <c r="AJ111" s="7">
        <v>-7</v>
      </c>
      <c r="AK111" s="7">
        <v>8</v>
      </c>
      <c r="AN111" s="7" t="s">
        <v>1994</v>
      </c>
      <c r="AT111" s="7" t="str">
        <f t="shared" si="37"/>
        <v>None</v>
      </c>
      <c r="AU111" s="7" t="str">
        <f t="shared" si="30"/>
        <v>None</v>
      </c>
      <c r="AV111" s="7" t="str">
        <f t="shared" si="31"/>
        <v/>
      </c>
      <c r="AW111" s="7" t="str">
        <f t="shared" si="32"/>
        <v/>
      </c>
      <c r="AX111" s="7" t="str">
        <f t="shared" si="33"/>
        <v/>
      </c>
      <c r="BB111" s="7" t="str">
        <f t="shared" si="38"/>
        <v/>
      </c>
      <c r="BC111" s="7" t="str">
        <f t="shared" si="35"/>
        <v>No</v>
      </c>
      <c r="BD111" s="7" t="s">
        <v>1</v>
      </c>
      <c r="BQ111" s="22"/>
      <c r="CH111" s="7" t="str">
        <f t="shared" si="36"/>
        <v/>
      </c>
    </row>
    <row r="112" spans="1:86">
      <c r="A112" s="7" t="s">
        <v>1700</v>
      </c>
      <c r="B112" s="7">
        <v>65</v>
      </c>
      <c r="C112" s="7" t="s">
        <v>73</v>
      </c>
      <c r="I112" s="24" t="str">
        <f t="shared" si="26"/>
        <v/>
      </c>
      <c r="L112" s="7" t="str">
        <f t="shared" si="27"/>
        <v/>
      </c>
      <c r="M112" s="21" t="str">
        <f t="shared" si="28"/>
        <v/>
      </c>
      <c r="N112" s="7" t="s">
        <v>1960</v>
      </c>
      <c r="T112" s="7" t="str">
        <f t="shared" si="29"/>
        <v>Nothing</v>
      </c>
      <c r="U112" s="7" t="s">
        <v>1</v>
      </c>
      <c r="AC112" s="8" t="s">
        <v>3646</v>
      </c>
      <c r="AD112" s="24">
        <v>108527</v>
      </c>
      <c r="AE112" s="7">
        <v>-3.2000000000000001E-2</v>
      </c>
      <c r="AF112" s="7" t="s">
        <v>3645</v>
      </c>
      <c r="AG112" s="7">
        <v>3.4000000000000002E-2</v>
      </c>
      <c r="AH112" s="7" t="s">
        <v>3644</v>
      </c>
      <c r="AI112" s="7">
        <v>457565</v>
      </c>
      <c r="AJ112" s="7">
        <v>-9</v>
      </c>
      <c r="AK112" s="7">
        <v>20</v>
      </c>
      <c r="AN112" s="7" t="s">
        <v>1994</v>
      </c>
      <c r="AT112" s="7" t="str">
        <f t="shared" si="37"/>
        <v>None</v>
      </c>
      <c r="AU112" s="7" t="str">
        <f t="shared" si="30"/>
        <v>None</v>
      </c>
      <c r="AV112" s="7" t="str">
        <f t="shared" si="31"/>
        <v/>
      </c>
      <c r="AW112" s="7" t="str">
        <f t="shared" si="32"/>
        <v/>
      </c>
      <c r="AX112" s="7" t="str">
        <f t="shared" si="33"/>
        <v/>
      </c>
      <c r="BB112" s="7" t="str">
        <f t="shared" si="38"/>
        <v/>
      </c>
      <c r="BC112" s="7" t="str">
        <f t="shared" si="35"/>
        <v>No</v>
      </c>
      <c r="BD112" s="7" t="s">
        <v>1</v>
      </c>
      <c r="BF112" s="7" t="s">
        <v>3643</v>
      </c>
      <c r="BQ112" s="22"/>
      <c r="CH112" s="7" t="str">
        <f t="shared" si="36"/>
        <v/>
      </c>
    </row>
    <row r="113" spans="1:86">
      <c r="A113" s="7" t="s">
        <v>897</v>
      </c>
      <c r="B113" s="7">
        <v>305</v>
      </c>
      <c r="C113" s="7" t="s">
        <v>73</v>
      </c>
      <c r="I113" s="24" t="str">
        <f t="shared" si="26"/>
        <v/>
      </c>
      <c r="L113" s="7" t="str">
        <f t="shared" si="27"/>
        <v/>
      </c>
      <c r="M113" s="21" t="str">
        <f t="shared" si="28"/>
        <v/>
      </c>
      <c r="N113" s="7" t="s">
        <v>1960</v>
      </c>
      <c r="T113" s="7" t="str">
        <f t="shared" si="29"/>
        <v>Nothing</v>
      </c>
      <c r="U113" s="7" t="s">
        <v>1963</v>
      </c>
      <c r="AD113" s="24">
        <v>40487</v>
      </c>
      <c r="AE113" s="7">
        <v>-4.3999999999999997E-2</v>
      </c>
      <c r="AF113" s="7" t="s">
        <v>3642</v>
      </c>
      <c r="AG113" s="7">
        <v>0.19400000000000001</v>
      </c>
      <c r="AH113" s="7" t="s">
        <v>3641</v>
      </c>
      <c r="AI113" s="7">
        <v>13705</v>
      </c>
      <c r="AJ113" s="7">
        <v>-22</v>
      </c>
      <c r="AK113" s="7">
        <v>10</v>
      </c>
      <c r="AN113" s="7" t="s">
        <v>1994</v>
      </c>
      <c r="AT113" s="7" t="str">
        <f t="shared" si="37"/>
        <v>None</v>
      </c>
      <c r="AU113" s="7" t="str">
        <f t="shared" si="30"/>
        <v>None</v>
      </c>
      <c r="AV113" s="7" t="str">
        <f t="shared" si="31"/>
        <v/>
      </c>
      <c r="AW113" s="7" t="str">
        <f t="shared" si="32"/>
        <v/>
      </c>
      <c r="AX113" s="7" t="str">
        <f t="shared" si="33"/>
        <v/>
      </c>
      <c r="BB113" s="7" t="str">
        <f t="shared" si="38"/>
        <v/>
      </c>
      <c r="BC113" s="7" t="str">
        <f t="shared" si="35"/>
        <v>No</v>
      </c>
      <c r="BD113" s="7" t="s">
        <v>1963</v>
      </c>
      <c r="BQ113" s="22"/>
      <c r="CH113" s="7" t="str">
        <f t="shared" si="36"/>
        <v/>
      </c>
    </row>
    <row r="114" spans="1:86">
      <c r="A114" s="7" t="s">
        <v>1151</v>
      </c>
      <c r="B114" s="7">
        <v>187</v>
      </c>
      <c r="C114" s="7" t="s">
        <v>73</v>
      </c>
      <c r="H114" s="8"/>
      <c r="I114" s="24" t="str">
        <f t="shared" si="26"/>
        <v/>
      </c>
      <c r="L114" s="7" t="str">
        <f t="shared" si="27"/>
        <v/>
      </c>
      <c r="M114" s="21" t="str">
        <f t="shared" si="28"/>
        <v/>
      </c>
      <c r="N114" s="7" t="s">
        <v>1960</v>
      </c>
      <c r="T114" s="7" t="str">
        <f t="shared" si="29"/>
        <v>Nothing</v>
      </c>
      <c r="U114" s="7" t="s">
        <v>1</v>
      </c>
      <c r="AD114" s="24">
        <v>57626</v>
      </c>
      <c r="AE114" s="7">
        <v>9.5000000000000001E-2</v>
      </c>
      <c r="AF114" s="7" t="s">
        <v>3640</v>
      </c>
      <c r="AG114" s="7">
        <v>-2.512</v>
      </c>
      <c r="AH114" s="7" t="s">
        <v>3639</v>
      </c>
      <c r="AI114" s="7">
        <v>204936</v>
      </c>
      <c r="AJ114" s="7">
        <v>16</v>
      </c>
      <c r="AK114" s="7">
        <v>10</v>
      </c>
      <c r="AN114" s="7" t="s">
        <v>1994</v>
      </c>
      <c r="AT114" s="7" t="str">
        <f t="shared" si="37"/>
        <v>None</v>
      </c>
      <c r="AU114" s="7" t="str">
        <f t="shared" si="30"/>
        <v>None</v>
      </c>
      <c r="AV114" s="7" t="str">
        <f t="shared" si="31"/>
        <v/>
      </c>
      <c r="AW114" s="7" t="str">
        <f t="shared" si="32"/>
        <v/>
      </c>
      <c r="AX114" s="7" t="str">
        <f t="shared" si="33"/>
        <v/>
      </c>
      <c r="BB114" s="7" t="str">
        <f t="shared" si="38"/>
        <v/>
      </c>
      <c r="BC114" s="7" t="str">
        <f t="shared" si="35"/>
        <v>No</v>
      </c>
      <c r="BD114" s="7" t="s">
        <v>1</v>
      </c>
      <c r="BQ114" s="22"/>
      <c r="CH114" s="7" t="str">
        <f t="shared" si="36"/>
        <v/>
      </c>
    </row>
    <row r="115" spans="1:86">
      <c r="A115" s="7" t="s">
        <v>3638</v>
      </c>
      <c r="B115" s="7">
        <v>496</v>
      </c>
      <c r="C115" s="7" t="s">
        <v>73</v>
      </c>
      <c r="I115" s="24" t="str">
        <f t="shared" si="26"/>
        <v/>
      </c>
      <c r="L115" s="7" t="str">
        <f t="shared" si="27"/>
        <v/>
      </c>
      <c r="M115" s="21" t="str">
        <f t="shared" si="28"/>
        <v/>
      </c>
      <c r="N115" s="7" t="s">
        <v>1960</v>
      </c>
      <c r="T115" s="7" t="str">
        <f t="shared" si="29"/>
        <v>Nothing</v>
      </c>
      <c r="U115" s="7" t="s">
        <v>1</v>
      </c>
      <c r="AD115" s="24">
        <v>25846</v>
      </c>
      <c r="AE115" s="7">
        <v>0.14000000000000001</v>
      </c>
      <c r="AF115" s="7" t="s">
        <v>3637</v>
      </c>
      <c r="AG115" s="7" t="s">
        <v>9</v>
      </c>
      <c r="AH115" s="7" t="s">
        <v>3636</v>
      </c>
      <c r="AI115" s="7">
        <v>122827</v>
      </c>
      <c r="AJ115" s="7" t="s">
        <v>9</v>
      </c>
      <c r="AK115" s="7">
        <v>1</v>
      </c>
      <c r="AN115" s="7" t="s">
        <v>1994</v>
      </c>
      <c r="AT115" s="7" t="str">
        <f t="shared" si="37"/>
        <v>None</v>
      </c>
      <c r="AU115" s="7" t="str">
        <f t="shared" si="30"/>
        <v>None</v>
      </c>
      <c r="AV115" s="7" t="str">
        <f t="shared" si="31"/>
        <v/>
      </c>
      <c r="AW115" s="7" t="str">
        <f t="shared" si="32"/>
        <v/>
      </c>
      <c r="AX115" s="7" t="str">
        <f t="shared" si="33"/>
        <v/>
      </c>
      <c r="BB115" s="7" t="str">
        <f t="shared" si="38"/>
        <v/>
      </c>
      <c r="BC115" s="7" t="str">
        <f t="shared" si="35"/>
        <v>No</v>
      </c>
      <c r="BD115" s="7" t="s">
        <v>1</v>
      </c>
      <c r="BQ115" s="22"/>
      <c r="CH115" s="7" t="str">
        <f t="shared" si="36"/>
        <v/>
      </c>
    </row>
    <row r="116" spans="1:86">
      <c r="A116" s="7" t="s">
        <v>3635</v>
      </c>
      <c r="B116" s="7">
        <v>493</v>
      </c>
      <c r="C116" s="7" t="s">
        <v>73</v>
      </c>
      <c r="I116" s="24" t="str">
        <f t="shared" si="26"/>
        <v/>
      </c>
      <c r="L116" s="7" t="str">
        <f t="shared" si="27"/>
        <v/>
      </c>
      <c r="M116" s="21" t="str">
        <f t="shared" si="28"/>
        <v/>
      </c>
      <c r="N116" s="7" t="s">
        <v>1960</v>
      </c>
      <c r="T116" s="7" t="str">
        <f t="shared" si="29"/>
        <v>Nothing</v>
      </c>
      <c r="U116" s="7" t="s">
        <v>1</v>
      </c>
      <c r="AD116" s="24">
        <v>25975</v>
      </c>
      <c r="AE116" s="7">
        <v>0.127</v>
      </c>
      <c r="AF116" s="7" t="s">
        <v>3634</v>
      </c>
      <c r="AG116" s="7">
        <v>0.16200000000000001</v>
      </c>
      <c r="AH116" s="7" t="s">
        <v>3633</v>
      </c>
      <c r="AI116" s="7">
        <v>156300</v>
      </c>
      <c r="AJ116" s="7" t="s">
        <v>9</v>
      </c>
      <c r="AK116" s="7">
        <v>1</v>
      </c>
      <c r="AN116" s="7" t="s">
        <v>1994</v>
      </c>
      <c r="AT116" s="7" t="str">
        <f t="shared" si="37"/>
        <v>None</v>
      </c>
      <c r="AU116" s="7" t="str">
        <f t="shared" si="30"/>
        <v>None</v>
      </c>
      <c r="AV116" s="7" t="str">
        <f t="shared" si="31"/>
        <v/>
      </c>
      <c r="AW116" s="7" t="str">
        <f t="shared" si="32"/>
        <v/>
      </c>
      <c r="AX116" s="7" t="str">
        <f t="shared" si="33"/>
        <v/>
      </c>
      <c r="BB116" s="7" t="str">
        <f t="shared" si="38"/>
        <v/>
      </c>
      <c r="BC116" s="7" t="str">
        <f t="shared" si="35"/>
        <v>No</v>
      </c>
      <c r="BD116" s="7" t="s">
        <v>1</v>
      </c>
      <c r="BQ116" s="22"/>
      <c r="CH116" s="7" t="str">
        <f t="shared" si="36"/>
        <v/>
      </c>
    </row>
    <row r="117" spans="1:86">
      <c r="A117" s="7" t="s">
        <v>1679</v>
      </c>
      <c r="B117" s="7">
        <v>64</v>
      </c>
      <c r="C117" s="7" t="s">
        <v>73</v>
      </c>
      <c r="I117" s="24" t="str">
        <f t="shared" si="26"/>
        <v/>
      </c>
      <c r="L117" s="7" t="str">
        <f t="shared" si="27"/>
        <v/>
      </c>
      <c r="M117" s="21" t="str">
        <f t="shared" si="28"/>
        <v/>
      </c>
      <c r="N117" s="7" t="s">
        <v>1960</v>
      </c>
      <c r="T117" s="7" t="str">
        <f t="shared" si="29"/>
        <v>Nothing</v>
      </c>
      <c r="U117" s="7" t="s">
        <v>1</v>
      </c>
      <c r="AC117" s="8" t="s">
        <v>3632</v>
      </c>
      <c r="AD117" s="24">
        <v>108687</v>
      </c>
      <c r="AE117" s="7">
        <v>5.0000000000000001E-3</v>
      </c>
      <c r="AF117" s="7" t="s">
        <v>3631</v>
      </c>
      <c r="AG117" s="7">
        <v>-5.0999999999999997E-2</v>
      </c>
      <c r="AH117" s="7" t="s">
        <v>3630</v>
      </c>
      <c r="AI117" s="7">
        <v>92080</v>
      </c>
      <c r="AJ117" s="7">
        <v>-1</v>
      </c>
      <c r="AK117" s="7">
        <v>14</v>
      </c>
      <c r="AN117" s="7" t="s">
        <v>1994</v>
      </c>
      <c r="AT117" s="7" t="str">
        <f t="shared" si="37"/>
        <v>None</v>
      </c>
      <c r="AU117" s="7" t="str">
        <f t="shared" si="30"/>
        <v>None</v>
      </c>
      <c r="AV117" s="7" t="str">
        <f t="shared" si="31"/>
        <v/>
      </c>
      <c r="AW117" s="7" t="str">
        <f t="shared" si="32"/>
        <v/>
      </c>
      <c r="AX117" s="7" t="str">
        <f t="shared" si="33"/>
        <v/>
      </c>
      <c r="BB117" s="7" t="str">
        <f t="shared" si="38"/>
        <v/>
      </c>
      <c r="BC117" s="7" t="str">
        <f t="shared" si="35"/>
        <v>No</v>
      </c>
      <c r="BD117" s="7" t="s">
        <v>1</v>
      </c>
      <c r="BF117" s="7" t="s">
        <v>3629</v>
      </c>
      <c r="BQ117" s="22"/>
      <c r="CH117" s="7" t="str">
        <f t="shared" si="36"/>
        <v/>
      </c>
    </row>
    <row r="118" spans="1:86">
      <c r="A118" s="7" t="s">
        <v>1880</v>
      </c>
      <c r="B118" s="7">
        <v>4</v>
      </c>
      <c r="C118" s="7" t="s">
        <v>73</v>
      </c>
      <c r="H118" s="26" t="s">
        <v>3627</v>
      </c>
      <c r="I118" s="24" t="str">
        <f t="shared" si="26"/>
        <v/>
      </c>
      <c r="L118" s="7" t="str">
        <f t="shared" si="27"/>
        <v/>
      </c>
      <c r="M118" s="21" t="str">
        <f t="shared" si="28"/>
        <v/>
      </c>
      <c r="N118" s="7" t="s">
        <v>1960</v>
      </c>
      <c r="T118" s="7" t="str">
        <f t="shared" si="29"/>
        <v>Nothing</v>
      </c>
      <c r="U118" s="7" t="s">
        <v>1</v>
      </c>
      <c r="X118" s="7" t="s">
        <v>3628</v>
      </c>
      <c r="AC118" s="26" t="s">
        <v>3627</v>
      </c>
      <c r="AD118" s="24">
        <v>379130</v>
      </c>
      <c r="AE118" s="7">
        <v>-3.5000000000000003E-2</v>
      </c>
      <c r="AF118" s="7" t="s">
        <v>3626</v>
      </c>
      <c r="AG118" s="7">
        <v>0.95699999999999996</v>
      </c>
      <c r="AH118" s="7" t="s">
        <v>3625</v>
      </c>
      <c r="AI118" s="7">
        <v>1344410</v>
      </c>
      <c r="AJ118" s="7" t="s">
        <v>9</v>
      </c>
      <c r="AK118" s="7">
        <v>20</v>
      </c>
      <c r="AN118" s="7" t="s">
        <v>1994</v>
      </c>
      <c r="AT118" s="7" t="str">
        <f t="shared" si="37"/>
        <v>None</v>
      </c>
      <c r="AU118" s="7" t="str">
        <f t="shared" si="30"/>
        <v>None</v>
      </c>
      <c r="AV118" s="7" t="str">
        <f t="shared" si="31"/>
        <v/>
      </c>
      <c r="AW118" s="7" t="str">
        <f t="shared" si="32"/>
        <v/>
      </c>
      <c r="AX118" s="7" t="str">
        <f t="shared" si="33"/>
        <v/>
      </c>
      <c r="BB118" s="7" t="str">
        <f t="shared" si="38"/>
        <v/>
      </c>
      <c r="BC118" s="7" t="str">
        <f t="shared" si="35"/>
        <v>No</v>
      </c>
      <c r="BD118" s="7" t="s">
        <v>1</v>
      </c>
      <c r="BF118" s="7" t="s">
        <v>3624</v>
      </c>
      <c r="BQ118" s="22"/>
      <c r="CH118" s="7" t="str">
        <f t="shared" si="36"/>
        <v/>
      </c>
    </row>
    <row r="119" spans="1:86">
      <c r="A119" s="7" t="s">
        <v>1366</v>
      </c>
      <c r="B119" s="7">
        <v>154</v>
      </c>
      <c r="C119" s="7" t="s">
        <v>73</v>
      </c>
      <c r="H119" s="8" t="s">
        <v>3623</v>
      </c>
      <c r="I119" s="24" t="str">
        <f t="shared" si="26"/>
        <v/>
      </c>
      <c r="L119" s="7" t="str">
        <f t="shared" si="27"/>
        <v/>
      </c>
      <c r="M119" s="21" t="str">
        <f t="shared" si="28"/>
        <v/>
      </c>
      <c r="N119" s="7" t="s">
        <v>1960</v>
      </c>
      <c r="T119" s="7" t="str">
        <f t="shared" si="29"/>
        <v>Nothing</v>
      </c>
      <c r="U119" s="7" t="s">
        <v>1986</v>
      </c>
      <c r="AD119" s="24">
        <v>68714</v>
      </c>
      <c r="AE119" s="7">
        <v>-1E-3</v>
      </c>
      <c r="AF119" s="7" t="s">
        <v>3622</v>
      </c>
      <c r="AG119" s="7">
        <v>0.32800000000000001</v>
      </c>
      <c r="AH119" s="7" t="s">
        <v>3621</v>
      </c>
      <c r="AI119" s="7">
        <v>204378</v>
      </c>
      <c r="AJ119" s="7">
        <v>-14</v>
      </c>
      <c r="AK119" s="7">
        <v>11</v>
      </c>
      <c r="AN119" s="7" t="s">
        <v>1994</v>
      </c>
      <c r="AT119" s="7" t="str">
        <f t="shared" si="37"/>
        <v>None</v>
      </c>
      <c r="AU119" s="7" t="str">
        <f t="shared" si="30"/>
        <v>None</v>
      </c>
      <c r="AV119" s="7" t="str">
        <f t="shared" si="31"/>
        <v/>
      </c>
      <c r="AW119" s="7" t="str">
        <f t="shared" si="32"/>
        <v/>
      </c>
      <c r="AX119" s="7" t="str">
        <f t="shared" si="33"/>
        <v/>
      </c>
      <c r="BB119" s="7" t="str">
        <f t="shared" si="38"/>
        <v/>
      </c>
      <c r="BC119" s="7" t="str">
        <f t="shared" si="35"/>
        <v>No</v>
      </c>
      <c r="BD119" s="7" t="s">
        <v>1</v>
      </c>
      <c r="BQ119" s="22"/>
      <c r="CH119" s="7" t="str">
        <f t="shared" si="36"/>
        <v/>
      </c>
    </row>
    <row r="120" spans="1:86">
      <c r="A120" s="7" t="s">
        <v>1170</v>
      </c>
      <c r="B120" s="7">
        <v>193</v>
      </c>
      <c r="C120" s="7" t="s">
        <v>73</v>
      </c>
      <c r="I120" s="24" t="str">
        <f t="shared" si="26"/>
        <v/>
      </c>
      <c r="L120" s="7" t="str">
        <f t="shared" si="27"/>
        <v/>
      </c>
      <c r="M120" s="21" t="str">
        <f t="shared" si="28"/>
        <v/>
      </c>
      <c r="N120" s="7" t="s">
        <v>1960</v>
      </c>
      <c r="T120" s="7" t="str">
        <f t="shared" si="29"/>
        <v>Nothing</v>
      </c>
      <c r="U120" s="7" t="s">
        <v>1</v>
      </c>
      <c r="AD120" s="24">
        <v>55800</v>
      </c>
      <c r="AE120" s="7">
        <v>4.2000000000000003E-2</v>
      </c>
      <c r="AF120" s="7" t="s">
        <v>3620</v>
      </c>
      <c r="AG120" s="7">
        <v>0.47399999999999998</v>
      </c>
      <c r="AH120" s="7" t="s">
        <v>3619</v>
      </c>
      <c r="AI120" s="7">
        <v>111247</v>
      </c>
      <c r="AJ120" s="7">
        <v>6</v>
      </c>
      <c r="AK120" s="7">
        <v>10</v>
      </c>
      <c r="AN120" s="7" t="s">
        <v>1994</v>
      </c>
      <c r="AT120" s="7" t="str">
        <f t="shared" si="37"/>
        <v>None</v>
      </c>
      <c r="AU120" s="7" t="str">
        <f t="shared" si="30"/>
        <v>None</v>
      </c>
      <c r="AV120" s="7" t="str">
        <f t="shared" si="31"/>
        <v/>
      </c>
      <c r="AW120" s="7" t="str">
        <f t="shared" si="32"/>
        <v/>
      </c>
      <c r="AX120" s="7" t="str">
        <f t="shared" si="33"/>
        <v/>
      </c>
      <c r="BB120" s="7" t="str">
        <f t="shared" si="38"/>
        <v/>
      </c>
      <c r="BC120" s="7" t="str">
        <f t="shared" si="35"/>
        <v>No</v>
      </c>
      <c r="BD120" s="7" t="s">
        <v>1</v>
      </c>
      <c r="BQ120" s="22"/>
      <c r="CH120" s="7" t="str">
        <f t="shared" si="36"/>
        <v/>
      </c>
    </row>
    <row r="121" spans="1:86">
      <c r="A121" s="7" t="s">
        <v>1014</v>
      </c>
      <c r="B121" s="7">
        <v>191</v>
      </c>
      <c r="C121" s="7" t="s">
        <v>73</v>
      </c>
      <c r="I121" s="24" t="str">
        <f t="shared" si="26"/>
        <v/>
      </c>
      <c r="L121" s="7" t="str">
        <f t="shared" si="27"/>
        <v/>
      </c>
      <c r="M121" s="21" t="str">
        <f t="shared" si="28"/>
        <v/>
      </c>
      <c r="N121" s="7" t="s">
        <v>1960</v>
      </c>
      <c r="T121" s="7" t="str">
        <f t="shared" si="29"/>
        <v>Nothing</v>
      </c>
      <c r="U121" s="7" t="s">
        <v>1</v>
      </c>
      <c r="AD121" s="24">
        <v>57147</v>
      </c>
      <c r="AE121" s="7">
        <v>0.23699999999999999</v>
      </c>
      <c r="AF121" s="7" t="s">
        <v>3618</v>
      </c>
      <c r="AG121" s="7">
        <v>0.35799999999999998</v>
      </c>
      <c r="AH121" s="7" t="s">
        <v>3617</v>
      </c>
      <c r="AI121" s="7">
        <v>100393</v>
      </c>
      <c r="AJ121" s="7">
        <v>51</v>
      </c>
      <c r="AK121" s="7">
        <v>6</v>
      </c>
      <c r="AN121" s="7" t="s">
        <v>1994</v>
      </c>
      <c r="AT121" s="7" t="str">
        <f t="shared" si="37"/>
        <v>None</v>
      </c>
      <c r="AU121" s="7" t="str">
        <f t="shared" si="30"/>
        <v>None</v>
      </c>
      <c r="AV121" s="7" t="str">
        <f t="shared" si="31"/>
        <v/>
      </c>
      <c r="AW121" s="7" t="str">
        <f t="shared" si="32"/>
        <v/>
      </c>
      <c r="AX121" s="7" t="str">
        <f t="shared" si="33"/>
        <v/>
      </c>
      <c r="BB121" s="7" t="str">
        <f t="shared" si="38"/>
        <v/>
      </c>
      <c r="BC121" s="7" t="str">
        <f t="shared" si="35"/>
        <v>No</v>
      </c>
      <c r="BD121" s="7" t="s">
        <v>1</v>
      </c>
      <c r="BQ121" s="22"/>
      <c r="CH121" s="7" t="str">
        <f t="shared" si="36"/>
        <v/>
      </c>
    </row>
    <row r="122" spans="1:86">
      <c r="A122" s="7" t="s">
        <v>1534</v>
      </c>
      <c r="B122" s="7">
        <v>90</v>
      </c>
      <c r="C122" s="7" t="s">
        <v>73</v>
      </c>
      <c r="I122" s="24" t="str">
        <f t="shared" si="26"/>
        <v/>
      </c>
      <c r="L122" s="7" t="str">
        <f t="shared" si="27"/>
        <v/>
      </c>
      <c r="M122" s="21" t="str">
        <f t="shared" si="28"/>
        <v/>
      </c>
      <c r="N122" s="7" t="s">
        <v>1960</v>
      </c>
      <c r="T122" s="7" t="str">
        <f t="shared" si="29"/>
        <v>Nothing</v>
      </c>
      <c r="U122" s="7" t="s">
        <v>1</v>
      </c>
      <c r="AD122" s="24">
        <v>89347</v>
      </c>
      <c r="AE122" s="7">
        <v>4.2999999999999997E-2</v>
      </c>
      <c r="AF122" s="7" t="s">
        <v>3616</v>
      </c>
      <c r="AG122" s="7">
        <v>7.3999999999999996E-2</v>
      </c>
      <c r="AH122" s="7" t="s">
        <v>3615</v>
      </c>
      <c r="AI122" s="7">
        <v>927171</v>
      </c>
      <c r="AJ122" s="7">
        <v>11</v>
      </c>
      <c r="AK122" s="7">
        <v>10</v>
      </c>
      <c r="AN122" s="7" t="s">
        <v>1994</v>
      </c>
      <c r="AT122" s="7" t="str">
        <f t="shared" si="37"/>
        <v>None</v>
      </c>
      <c r="AU122" s="7" t="str">
        <f t="shared" si="30"/>
        <v>None</v>
      </c>
      <c r="AV122" s="7" t="str">
        <f t="shared" si="31"/>
        <v/>
      </c>
      <c r="AW122" s="7" t="str">
        <f t="shared" si="32"/>
        <v/>
      </c>
      <c r="AX122" s="7" t="str">
        <f t="shared" si="33"/>
        <v/>
      </c>
      <c r="BB122" s="7" t="str">
        <f t="shared" si="38"/>
        <v/>
      </c>
      <c r="BC122" s="7" t="str">
        <f t="shared" si="35"/>
        <v>No</v>
      </c>
      <c r="BD122" s="7" t="s">
        <v>1</v>
      </c>
      <c r="BQ122" s="22"/>
      <c r="CH122" s="7" t="str">
        <f t="shared" si="36"/>
        <v/>
      </c>
    </row>
    <row r="123" spans="1:86">
      <c r="A123" s="7" t="s">
        <v>1691</v>
      </c>
      <c r="B123" s="7">
        <v>54</v>
      </c>
      <c r="C123" s="7" t="s">
        <v>73</v>
      </c>
      <c r="I123" s="24" t="str">
        <f t="shared" si="26"/>
        <v/>
      </c>
      <c r="L123" s="7" t="str">
        <f t="shared" si="27"/>
        <v/>
      </c>
      <c r="M123" s="21" t="str">
        <f t="shared" si="28"/>
        <v/>
      </c>
      <c r="N123" s="7" t="s">
        <v>1960</v>
      </c>
      <c r="T123" s="7" t="str">
        <f t="shared" si="29"/>
        <v>Nothing</v>
      </c>
      <c r="U123" s="7" t="s">
        <v>1</v>
      </c>
      <c r="AD123" s="24">
        <v>120302</v>
      </c>
      <c r="AE123" s="7">
        <v>8.8999999999999996E-2</v>
      </c>
      <c r="AF123" s="7" t="s">
        <v>3614</v>
      </c>
      <c r="AG123" s="7">
        <v>0.14499999999999999</v>
      </c>
      <c r="AH123" s="7" t="s">
        <v>3613</v>
      </c>
      <c r="AI123" s="7">
        <v>364907</v>
      </c>
      <c r="AJ123" s="7">
        <v>5</v>
      </c>
      <c r="AK123" s="7">
        <v>9</v>
      </c>
      <c r="AN123" s="7" t="s">
        <v>1994</v>
      </c>
      <c r="AT123" s="7" t="str">
        <f t="shared" si="37"/>
        <v>None</v>
      </c>
      <c r="AU123" s="7" t="str">
        <f t="shared" si="30"/>
        <v>None</v>
      </c>
      <c r="AV123" s="7" t="str">
        <f t="shared" si="31"/>
        <v/>
      </c>
      <c r="AW123" s="7" t="str">
        <f t="shared" si="32"/>
        <v/>
      </c>
      <c r="AX123" s="7" t="str">
        <f t="shared" si="33"/>
        <v/>
      </c>
      <c r="BB123" s="7" t="str">
        <f t="shared" si="38"/>
        <v/>
      </c>
      <c r="BC123" s="7" t="str">
        <f t="shared" si="35"/>
        <v>No</v>
      </c>
      <c r="BD123" s="7" t="s">
        <v>1</v>
      </c>
      <c r="BQ123" s="22"/>
      <c r="CH123" s="7" t="str">
        <f t="shared" si="36"/>
        <v/>
      </c>
    </row>
    <row r="124" spans="1:86">
      <c r="A124" s="7" t="s">
        <v>1704</v>
      </c>
      <c r="B124" s="7">
        <v>50</v>
      </c>
      <c r="C124" s="7" t="s">
        <v>73</v>
      </c>
      <c r="I124" s="24" t="str">
        <f t="shared" si="26"/>
        <v/>
      </c>
      <c r="L124" s="7" t="str">
        <f t="shared" si="27"/>
        <v/>
      </c>
      <c r="M124" s="21" t="str">
        <f t="shared" si="28"/>
        <v/>
      </c>
      <c r="N124" s="7" t="s">
        <v>1960</v>
      </c>
      <c r="T124" s="7" t="str">
        <f t="shared" si="29"/>
        <v>Nothing</v>
      </c>
      <c r="U124" s="7" t="s">
        <v>1</v>
      </c>
      <c r="AC124" s="26" t="s">
        <v>3612</v>
      </c>
      <c r="AD124" s="24">
        <v>123324</v>
      </c>
      <c r="AE124" s="7">
        <v>0.1</v>
      </c>
      <c r="AF124" s="7" t="s">
        <v>3611</v>
      </c>
      <c r="AG124" s="7">
        <v>0.23699999999999999</v>
      </c>
      <c r="AH124" s="7" t="s">
        <v>3610</v>
      </c>
      <c r="AI124" s="7">
        <v>302394</v>
      </c>
      <c r="AJ124" s="7">
        <v>5</v>
      </c>
      <c r="AK124" s="7">
        <v>6</v>
      </c>
      <c r="AN124" s="7" t="s">
        <v>1994</v>
      </c>
      <c r="AT124" s="7" t="str">
        <f t="shared" si="37"/>
        <v>None</v>
      </c>
      <c r="AU124" s="7" t="str">
        <f t="shared" si="30"/>
        <v>None</v>
      </c>
      <c r="AV124" s="7" t="str">
        <f t="shared" si="31"/>
        <v/>
      </c>
      <c r="AW124" s="7" t="str">
        <f t="shared" si="32"/>
        <v/>
      </c>
      <c r="AX124" s="7" t="str">
        <f t="shared" si="33"/>
        <v/>
      </c>
      <c r="BB124" s="7" t="str">
        <f t="shared" si="38"/>
        <v/>
      </c>
      <c r="BC124" s="7" t="str">
        <f t="shared" si="35"/>
        <v>No</v>
      </c>
      <c r="BD124" s="7" t="s">
        <v>1</v>
      </c>
      <c r="BF124" s="7" t="s">
        <v>3609</v>
      </c>
      <c r="BQ124" s="22"/>
      <c r="CH124" s="7" t="str">
        <f t="shared" si="36"/>
        <v/>
      </c>
    </row>
    <row r="125" spans="1:86">
      <c r="A125" s="7" t="s">
        <v>1623</v>
      </c>
      <c r="B125" s="7">
        <v>79</v>
      </c>
      <c r="C125" s="7" t="s">
        <v>73</v>
      </c>
      <c r="I125" s="24" t="str">
        <f t="shared" si="26"/>
        <v/>
      </c>
      <c r="L125" s="7" t="str">
        <f t="shared" si="27"/>
        <v/>
      </c>
      <c r="M125" s="21" t="str">
        <f t="shared" si="28"/>
        <v/>
      </c>
      <c r="N125" s="7" t="s">
        <v>1960</v>
      </c>
      <c r="T125" s="7" t="str">
        <f t="shared" si="29"/>
        <v>Nothing</v>
      </c>
      <c r="U125" s="7" t="s">
        <v>1</v>
      </c>
      <c r="AC125" s="8" t="s">
        <v>3608</v>
      </c>
      <c r="AD125" s="24">
        <v>94758</v>
      </c>
      <c r="AE125" s="7">
        <v>0.03</v>
      </c>
      <c r="AF125" s="7" t="s">
        <v>3607</v>
      </c>
      <c r="AG125" s="7">
        <v>2.8000000000000001E-2</v>
      </c>
      <c r="AH125" s="7" t="s">
        <v>3606</v>
      </c>
      <c r="AI125" s="7">
        <v>396456</v>
      </c>
      <c r="AJ125" s="7">
        <v>1</v>
      </c>
      <c r="AK125" s="7">
        <v>11</v>
      </c>
      <c r="AN125" s="7" t="s">
        <v>1994</v>
      </c>
      <c r="AT125" s="7" t="str">
        <f t="shared" si="37"/>
        <v>None</v>
      </c>
      <c r="AU125" s="7" t="str">
        <f t="shared" si="30"/>
        <v>None</v>
      </c>
      <c r="AV125" s="7" t="str">
        <f t="shared" si="31"/>
        <v/>
      </c>
      <c r="AW125" s="7" t="str">
        <f t="shared" si="32"/>
        <v/>
      </c>
      <c r="AX125" s="7" t="str">
        <f t="shared" si="33"/>
        <v/>
      </c>
      <c r="BB125" s="7" t="str">
        <f t="shared" si="38"/>
        <v/>
      </c>
      <c r="BC125" s="7" t="str">
        <f t="shared" si="35"/>
        <v>No</v>
      </c>
      <c r="BD125" s="7" t="s">
        <v>1</v>
      </c>
      <c r="BF125" s="7" t="s">
        <v>3605</v>
      </c>
      <c r="BQ125" s="22"/>
      <c r="CH125" s="7" t="str">
        <f t="shared" si="36"/>
        <v/>
      </c>
    </row>
    <row r="126" spans="1:86">
      <c r="A126" s="7" t="s">
        <v>617</v>
      </c>
      <c r="B126" s="7">
        <v>434</v>
      </c>
      <c r="C126" s="7" t="s">
        <v>73</v>
      </c>
      <c r="I126" s="24" t="str">
        <f t="shared" si="26"/>
        <v/>
      </c>
      <c r="L126" s="7" t="str">
        <f t="shared" si="27"/>
        <v/>
      </c>
      <c r="M126" s="21" t="str">
        <f t="shared" si="28"/>
        <v/>
      </c>
      <c r="N126" s="7" t="s">
        <v>1960</v>
      </c>
      <c r="T126" s="7" t="str">
        <f t="shared" si="29"/>
        <v>Nothing</v>
      </c>
      <c r="U126" s="7" t="s">
        <v>2305</v>
      </c>
      <c r="AD126" s="24">
        <v>29063</v>
      </c>
      <c r="AE126" s="7">
        <v>-0.14299999999999999</v>
      </c>
      <c r="AF126" s="7" t="s">
        <v>3604</v>
      </c>
      <c r="AG126" s="7">
        <v>2.6840000000000002</v>
      </c>
      <c r="AH126" s="7" t="s">
        <v>3603</v>
      </c>
      <c r="AI126" s="7">
        <v>176326</v>
      </c>
      <c r="AJ126" s="7">
        <v>-67</v>
      </c>
      <c r="AK126" s="7">
        <v>11</v>
      </c>
      <c r="AN126" s="7" t="s">
        <v>1994</v>
      </c>
      <c r="AT126" s="7" t="str">
        <f t="shared" si="37"/>
        <v>None</v>
      </c>
      <c r="AU126" s="7" t="str">
        <f t="shared" si="30"/>
        <v>None</v>
      </c>
      <c r="AV126" s="7" t="str">
        <f t="shared" si="31"/>
        <v/>
      </c>
      <c r="AW126" s="7" t="str">
        <f t="shared" si="32"/>
        <v/>
      </c>
      <c r="AX126" s="7" t="str">
        <f t="shared" si="33"/>
        <v/>
      </c>
      <c r="BB126" s="7" t="str">
        <f t="shared" si="38"/>
        <v/>
      </c>
      <c r="BC126" s="7" t="str">
        <f t="shared" si="35"/>
        <v>No</v>
      </c>
      <c r="BD126" s="7" t="s">
        <v>2305</v>
      </c>
      <c r="BF126" s="7" t="s">
        <v>3602</v>
      </c>
      <c r="BQ126" s="22"/>
      <c r="CD126" s="7" t="s">
        <v>361</v>
      </c>
      <c r="CH126" s="7" t="str">
        <f t="shared" si="36"/>
        <v/>
      </c>
    </row>
    <row r="127" spans="1:86">
      <c r="A127" s="7" t="s">
        <v>1485</v>
      </c>
      <c r="B127" s="7">
        <v>105</v>
      </c>
      <c r="C127" s="7" t="s">
        <v>73</v>
      </c>
      <c r="I127" s="24" t="str">
        <f t="shared" si="26"/>
        <v/>
      </c>
      <c r="L127" s="7" t="str">
        <f t="shared" si="27"/>
        <v/>
      </c>
      <c r="M127" s="21" t="str">
        <f t="shared" si="28"/>
        <v/>
      </c>
      <c r="N127" s="7" t="s">
        <v>1960</v>
      </c>
      <c r="T127" s="7" t="str">
        <f t="shared" si="29"/>
        <v>Nothing</v>
      </c>
      <c r="U127" s="7" t="s">
        <v>1</v>
      </c>
      <c r="AD127" s="24">
        <v>81978</v>
      </c>
      <c r="AE127" s="7">
        <v>1.2999999999999999E-2</v>
      </c>
      <c r="AF127" s="7" t="s">
        <v>3601</v>
      </c>
      <c r="AG127" s="7">
        <v>2.8000000000000001E-2</v>
      </c>
      <c r="AH127" s="7" t="s">
        <v>3600</v>
      </c>
      <c r="AI127" s="7">
        <v>283639</v>
      </c>
      <c r="AJ127" s="7">
        <v>6</v>
      </c>
      <c r="AK127" s="7">
        <v>16</v>
      </c>
      <c r="AN127" s="7" t="s">
        <v>1994</v>
      </c>
      <c r="AT127" s="7" t="str">
        <f t="shared" si="37"/>
        <v>None</v>
      </c>
      <c r="AU127" s="7" t="str">
        <f t="shared" si="30"/>
        <v>None</v>
      </c>
      <c r="AV127" s="7" t="str">
        <f t="shared" si="31"/>
        <v/>
      </c>
      <c r="AW127" s="7" t="str">
        <f t="shared" si="32"/>
        <v/>
      </c>
      <c r="AX127" s="7" t="str">
        <f t="shared" si="33"/>
        <v/>
      </c>
      <c r="BB127" s="7" t="str">
        <f t="shared" si="38"/>
        <v/>
      </c>
      <c r="BC127" s="7" t="str">
        <f t="shared" si="35"/>
        <v>No</v>
      </c>
      <c r="BD127" s="7" t="s">
        <v>1</v>
      </c>
      <c r="BQ127" s="22"/>
      <c r="CH127" s="7" t="str">
        <f t="shared" si="36"/>
        <v/>
      </c>
    </row>
    <row r="128" spans="1:86">
      <c r="A128" s="7" t="s">
        <v>1811</v>
      </c>
      <c r="B128" s="7">
        <v>18</v>
      </c>
      <c r="C128" s="7" t="s">
        <v>73</v>
      </c>
      <c r="I128" s="24" t="str">
        <f t="shared" si="26"/>
        <v/>
      </c>
      <c r="L128" s="7" t="str">
        <f t="shared" si="27"/>
        <v/>
      </c>
      <c r="M128" s="21" t="str">
        <f t="shared" si="28"/>
        <v/>
      </c>
      <c r="N128" s="7" t="s">
        <v>1960</v>
      </c>
      <c r="T128" s="7" t="str">
        <f t="shared" si="29"/>
        <v>Nothing</v>
      </c>
      <c r="U128" s="7" t="s">
        <v>1</v>
      </c>
      <c r="AD128" s="24">
        <v>205839</v>
      </c>
      <c r="AE128" s="7">
        <v>0.13400000000000001</v>
      </c>
      <c r="AF128" s="7" t="s">
        <v>3599</v>
      </c>
      <c r="AG128" s="7">
        <v>5.5E-2</v>
      </c>
      <c r="AH128" s="7" t="s">
        <v>3598</v>
      </c>
      <c r="AI128" s="7">
        <v>335038</v>
      </c>
      <c r="AJ128" s="7">
        <v>3</v>
      </c>
      <c r="AK128" s="7">
        <v>9</v>
      </c>
      <c r="AN128" s="7" t="s">
        <v>1994</v>
      </c>
      <c r="AT128" s="7" t="str">
        <f t="shared" si="37"/>
        <v>None</v>
      </c>
      <c r="AU128" s="7" t="str">
        <f t="shared" si="30"/>
        <v>None</v>
      </c>
      <c r="AV128" s="7" t="str">
        <f t="shared" si="31"/>
        <v/>
      </c>
      <c r="AW128" s="7" t="str">
        <f t="shared" si="32"/>
        <v/>
      </c>
      <c r="AX128" s="7" t="str">
        <f t="shared" si="33"/>
        <v/>
      </c>
      <c r="BB128" s="7" t="str">
        <f t="shared" si="38"/>
        <v/>
      </c>
      <c r="BC128" s="7" t="str">
        <f t="shared" si="35"/>
        <v>No</v>
      </c>
      <c r="BD128" s="7" t="s">
        <v>1</v>
      </c>
      <c r="BQ128" s="22"/>
      <c r="CH128" s="7" t="str">
        <f t="shared" si="36"/>
        <v/>
      </c>
    </row>
    <row r="129" spans="1:103">
      <c r="A129" s="7" t="s">
        <v>270</v>
      </c>
      <c r="B129" s="7">
        <v>392</v>
      </c>
      <c r="C129" s="7" t="s">
        <v>73</v>
      </c>
      <c r="I129" s="24" t="str">
        <f t="shared" si="26"/>
        <v/>
      </c>
      <c r="L129" s="7" t="str">
        <f t="shared" si="27"/>
        <v/>
      </c>
      <c r="M129" s="21" t="str">
        <f t="shared" si="28"/>
        <v/>
      </c>
      <c r="N129" s="7" t="s">
        <v>1960</v>
      </c>
      <c r="T129" s="7" t="str">
        <f t="shared" si="29"/>
        <v>Nothing</v>
      </c>
      <c r="U129" s="7" t="s">
        <v>1963</v>
      </c>
      <c r="AD129" s="24">
        <v>31912</v>
      </c>
      <c r="AE129" s="7">
        <v>0.161</v>
      </c>
      <c r="AF129" s="7" t="s">
        <v>3597</v>
      </c>
      <c r="AG129" s="7">
        <v>0.35</v>
      </c>
      <c r="AH129" s="7" t="s">
        <v>3596</v>
      </c>
      <c r="AI129" s="7">
        <v>65957</v>
      </c>
      <c r="AJ129" s="7">
        <v>59</v>
      </c>
      <c r="AK129" s="7">
        <v>3</v>
      </c>
      <c r="AN129" s="7" t="s">
        <v>1994</v>
      </c>
      <c r="AT129" s="7" t="str">
        <f t="shared" ref="AT129:AT157" si="39">IF(OR(BC129="Carbon Neutral",BC129="No - but post-2030 commitment"),IF((OR(BH129="Committed",BH129="Targets Set")),IF(J129="", "CN &amp; SBT","CN, SBT &amp; RE100"),IF(CH129="","CN","CN &amp; RE100")),IF((OR(BH129="Committed",BH129="Targets Set")),IF(CH129="", "SBT","SBT &amp; RE100"),IF(CH129="","None","RE100")))</f>
        <v>None</v>
      </c>
      <c r="AU129" s="7" t="str">
        <f t="shared" si="30"/>
        <v>None</v>
      </c>
      <c r="AV129" s="7" t="str">
        <f t="shared" si="31"/>
        <v/>
      </c>
      <c r="AW129" s="7" t="str">
        <f t="shared" si="32"/>
        <v/>
      </c>
      <c r="AX129" s="7" t="str">
        <f t="shared" si="33"/>
        <v/>
      </c>
      <c r="BB129" s="7" t="str">
        <f t="shared" si="38"/>
        <v/>
      </c>
      <c r="BC129" s="7" t="str">
        <f t="shared" si="35"/>
        <v>No</v>
      </c>
      <c r="BD129" s="7" t="s">
        <v>1963</v>
      </c>
      <c r="BQ129" s="22"/>
      <c r="CH129" s="7" t="str">
        <f t="shared" si="36"/>
        <v/>
      </c>
    </row>
    <row r="130" spans="1:103">
      <c r="A130" s="7" t="s">
        <v>1362</v>
      </c>
      <c r="B130" s="7">
        <v>158</v>
      </c>
      <c r="C130" s="7" t="s">
        <v>73</v>
      </c>
      <c r="I130" s="24" t="str">
        <f t="shared" ref="I130:I193" si="40">IF(J130="","","Yes")</f>
        <v/>
      </c>
      <c r="L130" s="7" t="str">
        <f t="shared" ref="L130:L193" si="41">IF(BH130="","",IF(BH130="Targets Set","T","C"))</f>
        <v/>
      </c>
      <c r="M130" s="21" t="str">
        <f t="shared" ref="M130:M193" si="42">IF(BM130="","",AVERAGE(BN130:BP130))</f>
        <v/>
      </c>
      <c r="N130" s="7" t="s">
        <v>1960</v>
      </c>
      <c r="T130" s="7" t="str">
        <f t="shared" ref="T130:T193" si="43">IF(AND(O130="",D130=""),"Nothing","")</f>
        <v>Nothing</v>
      </c>
      <c r="U130" s="7" t="s">
        <v>1</v>
      </c>
      <c r="AD130" s="24">
        <v>67365</v>
      </c>
      <c r="AE130" s="7">
        <v>-0.02</v>
      </c>
      <c r="AF130" s="7" t="s">
        <v>3595</v>
      </c>
      <c r="AG130" s="7">
        <v>8.3000000000000004E-2</v>
      </c>
      <c r="AH130" s="7" t="s">
        <v>3594</v>
      </c>
      <c r="AI130" s="7">
        <v>401965</v>
      </c>
      <c r="AJ130" s="7">
        <v>-17</v>
      </c>
      <c r="AK130" s="7">
        <v>21</v>
      </c>
      <c r="AN130" s="7" t="s">
        <v>1994</v>
      </c>
      <c r="AT130" s="7" t="str">
        <f t="shared" si="39"/>
        <v>None</v>
      </c>
      <c r="AU130" s="7" t="str">
        <f t="shared" ref="AU130:AU193" si="44">IF((BC130="Carbon Neutral"),IF((OR(BH130="Committed",BH130="Targets Set")),IF(CH130="yes", "CN, SBT &amp; RE100", "CN &amp; SBT"),IF(CH130="yes", "CN &amp; RE100", "CN")),IF((OR(BH130="Committed",BH130="Targets Set")),IF(CH130="yes", "SBT &amp; RE100", "SBT"),IF(CH130="yes", "RE100", "None")))</f>
        <v>None</v>
      </c>
      <c r="AV130" s="7" t="str">
        <f t="shared" ref="AV130:AV193" si="45">IF(BC130="Carbon Neutral",G130,"")</f>
        <v/>
      </c>
      <c r="AW130" s="7" t="str">
        <f t="shared" ref="AW130:AW193" si="46">IF(N130="","",N130)</f>
        <v/>
      </c>
      <c r="AX130" s="7" t="str">
        <f t="shared" ref="AX130:AX193" si="47">IF(J130="","",IF(J130="2020 - achieved",K130,IF(J130="2020 - not achieved",K130,IF(J130="2020 - achieved pre-July 2019",K130,IF(J130&gt;2030,"",K130)))))</f>
        <v/>
      </c>
      <c r="BB130" s="7" t="str">
        <f t="shared" ref="BB130:BB161" si="48">IF(BH130="","","Yes")</f>
        <v/>
      </c>
      <c r="BC130" s="7" t="str">
        <f t="shared" ref="BC130:BC193" si="49">IF(U130="No","No",IF(AND(OR(U130="No - but future commitment",U130="No - but future commitment and further future commitment across more scopes"),F130&lt;=2030),"Carbon Neutral",IF(OR(U130="No - but future commitment",U130="No - but future commitment and further future commitment across more scopes"),"No - but post-2030 commitment",IF(OR(U130="Yes",U130="Yes and future commitment across more scopes",U130="Yes by virtue of zero net"),"Carbon Neutral","No"))))</f>
        <v>No</v>
      </c>
      <c r="BD130" s="7" t="s">
        <v>1</v>
      </c>
      <c r="BQ130" s="22"/>
      <c r="CH130" s="7" t="str">
        <f t="shared" ref="CH130:CH193" si="50">IF(J130="","",IF(J130&lt;=2030,"yes",IF(J130="2020 - achieved","yes",IF(J130="2020 - not achieved","yes",IF(J130="2020 - achieved pre-July 2019","yes",IF(J130&gt;2030,"",IF(J130="No target date","","unknown error")))))))</f>
        <v/>
      </c>
    </row>
    <row r="131" spans="1:103">
      <c r="A131" s="7" t="s">
        <v>954</v>
      </c>
      <c r="B131" s="7">
        <v>290</v>
      </c>
      <c r="C131" s="7" t="s">
        <v>73</v>
      </c>
      <c r="I131" s="24" t="str">
        <f t="shared" si="40"/>
        <v/>
      </c>
      <c r="L131" s="7" t="str">
        <f t="shared" si="41"/>
        <v/>
      </c>
      <c r="M131" s="21" t="str">
        <f t="shared" si="42"/>
        <v/>
      </c>
      <c r="N131" s="7" t="s">
        <v>1960</v>
      </c>
      <c r="T131" s="7" t="str">
        <f t="shared" si="43"/>
        <v>Nothing</v>
      </c>
      <c r="U131" s="7" t="s">
        <v>1963</v>
      </c>
      <c r="AC131" s="27" t="s">
        <v>3593</v>
      </c>
      <c r="AD131" s="24">
        <v>42052</v>
      </c>
      <c r="AE131" s="7">
        <v>-4.3999999999999997E-2</v>
      </c>
      <c r="AF131" s="7" t="s">
        <v>3592</v>
      </c>
      <c r="AG131" s="7">
        <v>0.16900000000000001</v>
      </c>
      <c r="AH131" s="7" t="s">
        <v>3591</v>
      </c>
      <c r="AI131" s="7">
        <v>243790</v>
      </c>
      <c r="AJ131" s="7">
        <v>-28</v>
      </c>
      <c r="AK131" s="7">
        <v>12</v>
      </c>
      <c r="AN131" s="7" t="s">
        <v>1994</v>
      </c>
      <c r="AT131" s="7" t="str">
        <f t="shared" si="39"/>
        <v>None</v>
      </c>
      <c r="AU131" s="7" t="str">
        <f t="shared" si="44"/>
        <v>None</v>
      </c>
      <c r="AV131" s="7" t="str">
        <f t="shared" si="45"/>
        <v/>
      </c>
      <c r="AW131" s="7" t="str">
        <f t="shared" si="46"/>
        <v/>
      </c>
      <c r="AX131" s="7" t="str">
        <f t="shared" si="47"/>
        <v/>
      </c>
      <c r="BB131" s="7" t="str">
        <f t="shared" si="48"/>
        <v/>
      </c>
      <c r="BC131" s="7" t="str">
        <f t="shared" si="49"/>
        <v>No</v>
      </c>
      <c r="BD131" s="7" t="s">
        <v>1963</v>
      </c>
      <c r="BF131" s="7" t="s">
        <v>3590</v>
      </c>
      <c r="BQ131" s="22"/>
      <c r="CH131" s="7" t="str">
        <f t="shared" si="50"/>
        <v/>
      </c>
    </row>
    <row r="132" spans="1:103">
      <c r="A132" s="7" t="s">
        <v>974</v>
      </c>
      <c r="B132" s="7">
        <v>208</v>
      </c>
      <c r="C132" s="7" t="s">
        <v>73</v>
      </c>
      <c r="I132" s="24" t="str">
        <f t="shared" si="40"/>
        <v/>
      </c>
      <c r="L132" s="7" t="str">
        <f t="shared" si="41"/>
        <v/>
      </c>
      <c r="M132" s="21" t="str">
        <f t="shared" si="42"/>
        <v/>
      </c>
      <c r="N132" s="7" t="s">
        <v>1960</v>
      </c>
      <c r="T132" s="7" t="str">
        <f t="shared" si="43"/>
        <v>Nothing</v>
      </c>
      <c r="U132" s="7" t="s">
        <v>1986</v>
      </c>
      <c r="AD132" s="24">
        <v>53253</v>
      </c>
      <c r="AE132" s="7">
        <v>0.186</v>
      </c>
      <c r="AF132" s="7" t="s">
        <v>3589</v>
      </c>
      <c r="AG132" s="7">
        <v>0.10199999999999999</v>
      </c>
      <c r="AH132" s="7" t="s">
        <v>3588</v>
      </c>
      <c r="AI132" s="7">
        <v>131505</v>
      </c>
      <c r="AJ132" s="7">
        <v>46</v>
      </c>
      <c r="AK132" s="7">
        <v>5</v>
      </c>
      <c r="AN132" s="7" t="s">
        <v>1994</v>
      </c>
      <c r="AT132" s="7" t="str">
        <f t="shared" si="39"/>
        <v>None</v>
      </c>
      <c r="AU132" s="7" t="str">
        <f t="shared" si="44"/>
        <v>None</v>
      </c>
      <c r="AV132" s="7" t="str">
        <f t="shared" si="45"/>
        <v/>
      </c>
      <c r="AW132" s="7" t="str">
        <f t="shared" si="46"/>
        <v/>
      </c>
      <c r="AX132" s="7" t="str">
        <f t="shared" si="47"/>
        <v/>
      </c>
      <c r="BB132" s="7" t="str">
        <f t="shared" si="48"/>
        <v/>
      </c>
      <c r="BC132" s="7" t="str">
        <f t="shared" si="49"/>
        <v>No</v>
      </c>
      <c r="BD132" s="7" t="s">
        <v>1</v>
      </c>
      <c r="BQ132" s="22"/>
      <c r="CH132" s="7" t="str">
        <f t="shared" si="50"/>
        <v/>
      </c>
    </row>
    <row r="133" spans="1:103">
      <c r="A133" s="7" t="s">
        <v>1203</v>
      </c>
      <c r="B133" s="7">
        <v>180</v>
      </c>
      <c r="C133" s="7" t="s">
        <v>63</v>
      </c>
      <c r="H133" s="8" t="s">
        <v>3587</v>
      </c>
      <c r="I133" s="24" t="str">
        <f t="shared" si="40"/>
        <v/>
      </c>
      <c r="L133" s="7" t="str">
        <f t="shared" si="41"/>
        <v/>
      </c>
      <c r="M133" s="21" t="str">
        <f t="shared" si="42"/>
        <v/>
      </c>
      <c r="N133" s="7" t="s">
        <v>1960</v>
      </c>
      <c r="T133" s="7" t="str">
        <f t="shared" si="43"/>
        <v>Nothing</v>
      </c>
      <c r="U133" s="7" t="s">
        <v>1</v>
      </c>
      <c r="X133" s="7" t="s">
        <v>3586</v>
      </c>
      <c r="AD133" s="24">
        <v>60071</v>
      </c>
      <c r="AE133" s="7">
        <v>8.6999999999999994E-2</v>
      </c>
      <c r="AF133" s="7" t="s">
        <v>3585</v>
      </c>
      <c r="AG133" s="7">
        <v>8.3000000000000004E-2</v>
      </c>
      <c r="AH133" s="7" t="s">
        <v>3584</v>
      </c>
      <c r="AI133" s="7">
        <v>149685</v>
      </c>
      <c r="AJ133" s="7">
        <v>7</v>
      </c>
      <c r="AK133" s="7">
        <v>20</v>
      </c>
      <c r="AN133" s="7" t="s">
        <v>1951</v>
      </c>
      <c r="AT133" s="7" t="str">
        <f t="shared" si="39"/>
        <v>None</v>
      </c>
      <c r="AU133" s="7" t="str">
        <f t="shared" si="44"/>
        <v>None</v>
      </c>
      <c r="AV133" s="7" t="str">
        <f t="shared" si="45"/>
        <v/>
      </c>
      <c r="AW133" s="7" t="str">
        <f t="shared" si="46"/>
        <v/>
      </c>
      <c r="AX133" s="7" t="str">
        <f t="shared" si="47"/>
        <v/>
      </c>
      <c r="BB133" s="7" t="str">
        <f t="shared" si="48"/>
        <v/>
      </c>
      <c r="BC133" s="7" t="str">
        <f t="shared" si="49"/>
        <v>No</v>
      </c>
      <c r="BD133" s="7" t="s">
        <v>1</v>
      </c>
      <c r="BQ133" s="22"/>
      <c r="CH133" s="7" t="str">
        <f t="shared" si="50"/>
        <v/>
      </c>
    </row>
    <row r="134" spans="1:103">
      <c r="A134" s="7" t="s">
        <v>558</v>
      </c>
      <c r="B134" s="7">
        <v>394</v>
      </c>
      <c r="I134" s="24" t="str">
        <f t="shared" si="40"/>
        <v/>
      </c>
      <c r="L134" s="7" t="str">
        <f t="shared" si="41"/>
        <v/>
      </c>
      <c r="M134" s="21" t="str">
        <f t="shared" si="42"/>
        <v/>
      </c>
      <c r="N134" s="7" t="s">
        <v>1960</v>
      </c>
      <c r="T134" s="7" t="str">
        <f t="shared" si="43"/>
        <v>Nothing</v>
      </c>
      <c r="U134" s="7" t="s">
        <v>1963</v>
      </c>
      <c r="AD134" s="24">
        <v>31901</v>
      </c>
      <c r="AE134" s="7">
        <v>-2.4E-2</v>
      </c>
      <c r="AF134" s="7" t="s">
        <v>3583</v>
      </c>
      <c r="AG134" s="7">
        <v>7.0000000000000007E-2</v>
      </c>
      <c r="AH134" s="7" t="s">
        <v>3582</v>
      </c>
      <c r="AI134" s="7">
        <v>10703</v>
      </c>
      <c r="AJ134" s="7">
        <v>-11</v>
      </c>
      <c r="AK134" s="7">
        <v>13</v>
      </c>
      <c r="AT134" s="7" t="str">
        <f t="shared" si="39"/>
        <v>None</v>
      </c>
      <c r="AU134" s="7" t="str">
        <f t="shared" si="44"/>
        <v>None</v>
      </c>
      <c r="AV134" s="7" t="str">
        <f t="shared" si="45"/>
        <v/>
      </c>
      <c r="AW134" s="7" t="str">
        <f t="shared" si="46"/>
        <v/>
      </c>
      <c r="AX134" s="7" t="str">
        <f t="shared" si="47"/>
        <v/>
      </c>
      <c r="BB134" s="7" t="str">
        <f t="shared" si="48"/>
        <v/>
      </c>
      <c r="BC134" s="7" t="str">
        <f t="shared" si="49"/>
        <v>No</v>
      </c>
      <c r="BD134" s="7" t="s">
        <v>1963</v>
      </c>
      <c r="BQ134" s="22"/>
      <c r="CH134" s="7" t="str">
        <f t="shared" si="50"/>
        <v/>
      </c>
    </row>
    <row r="135" spans="1:103">
      <c r="A135" s="7" t="s">
        <v>561</v>
      </c>
      <c r="B135" s="7">
        <v>366</v>
      </c>
      <c r="I135" s="24" t="str">
        <f t="shared" si="40"/>
        <v/>
      </c>
      <c r="L135" s="7" t="str">
        <f t="shared" si="41"/>
        <v/>
      </c>
      <c r="M135" s="21" t="str">
        <f t="shared" si="42"/>
        <v/>
      </c>
      <c r="N135" s="7" t="s">
        <v>1960</v>
      </c>
      <c r="T135" s="7" t="str">
        <f t="shared" si="43"/>
        <v>Nothing</v>
      </c>
      <c r="U135" s="7" t="s">
        <v>1963</v>
      </c>
      <c r="AC135" s="26" t="s">
        <v>562</v>
      </c>
      <c r="AD135" s="24">
        <v>34186</v>
      </c>
      <c r="AE135" s="7">
        <v>4.4999999999999998E-2</v>
      </c>
      <c r="AF135" s="7" t="s">
        <v>3581</v>
      </c>
      <c r="AG135" s="7">
        <v>0.124</v>
      </c>
      <c r="AH135" s="7" t="s">
        <v>3580</v>
      </c>
      <c r="AI135" s="7">
        <v>33000</v>
      </c>
      <c r="AJ135" s="7">
        <v>16</v>
      </c>
      <c r="AK135" s="7">
        <v>4</v>
      </c>
      <c r="AT135" s="7" t="str">
        <f t="shared" si="39"/>
        <v>None</v>
      </c>
      <c r="AU135" s="7" t="str">
        <f t="shared" si="44"/>
        <v>None</v>
      </c>
      <c r="AV135" s="7" t="str">
        <f t="shared" si="45"/>
        <v/>
      </c>
      <c r="AW135" s="7" t="str">
        <f t="shared" si="46"/>
        <v/>
      </c>
      <c r="AX135" s="7" t="str">
        <f t="shared" si="47"/>
        <v/>
      </c>
      <c r="BB135" s="7" t="str">
        <f t="shared" si="48"/>
        <v/>
      </c>
      <c r="BC135" s="7" t="str">
        <f t="shared" si="49"/>
        <v>No</v>
      </c>
      <c r="BD135" s="7" t="s">
        <v>1963</v>
      </c>
      <c r="BF135" s="7" t="s">
        <v>3579</v>
      </c>
      <c r="BQ135" s="22"/>
      <c r="CH135" s="7" t="str">
        <f t="shared" si="50"/>
        <v/>
      </c>
      <c r="CY135" s="7" t="s">
        <v>361</v>
      </c>
    </row>
    <row r="136" spans="1:103">
      <c r="A136" s="7" t="s">
        <v>263</v>
      </c>
      <c r="B136" s="7">
        <v>454</v>
      </c>
      <c r="I136" s="24" t="str">
        <f t="shared" si="40"/>
        <v/>
      </c>
      <c r="L136" s="7" t="str">
        <f t="shared" si="41"/>
        <v/>
      </c>
      <c r="M136" s="21" t="str">
        <f t="shared" si="42"/>
        <v/>
      </c>
      <c r="N136" s="7" t="s">
        <v>1960</v>
      </c>
      <c r="T136" s="7" t="str">
        <f t="shared" si="43"/>
        <v>Nothing</v>
      </c>
      <c r="U136" s="7" t="s">
        <v>1</v>
      </c>
      <c r="AD136" s="24">
        <v>28200</v>
      </c>
      <c r="AE136" s="7">
        <v>0.03</v>
      </c>
      <c r="AF136" s="7" t="s">
        <v>3578</v>
      </c>
      <c r="AG136" s="7">
        <v>1.099</v>
      </c>
      <c r="AH136" s="7" t="s">
        <v>3577</v>
      </c>
      <c r="AI136" s="7">
        <v>28448</v>
      </c>
      <c r="AJ136" s="7">
        <v>-1</v>
      </c>
      <c r="AK136" s="7">
        <v>26</v>
      </c>
      <c r="AT136" s="7" t="str">
        <f t="shared" si="39"/>
        <v>None</v>
      </c>
      <c r="AU136" s="7" t="str">
        <f t="shared" si="44"/>
        <v>None</v>
      </c>
      <c r="AV136" s="7" t="str">
        <f t="shared" si="45"/>
        <v/>
      </c>
      <c r="AW136" s="7" t="str">
        <f t="shared" si="46"/>
        <v/>
      </c>
      <c r="AX136" s="7" t="str">
        <f t="shared" si="47"/>
        <v/>
      </c>
      <c r="BB136" s="7" t="str">
        <f t="shared" si="48"/>
        <v/>
      </c>
      <c r="BC136" s="7" t="str">
        <f t="shared" si="49"/>
        <v>No</v>
      </c>
      <c r="BD136" s="7" t="s">
        <v>1</v>
      </c>
      <c r="BQ136" s="22"/>
      <c r="CH136" s="7" t="str">
        <f t="shared" si="50"/>
        <v/>
      </c>
    </row>
    <row r="137" spans="1:103">
      <c r="A137" s="7" t="s">
        <v>1065</v>
      </c>
      <c r="B137" s="7">
        <v>32</v>
      </c>
      <c r="I137" s="24" t="str">
        <f t="shared" si="40"/>
        <v/>
      </c>
      <c r="L137" s="7" t="str">
        <f t="shared" si="41"/>
        <v/>
      </c>
      <c r="M137" s="21" t="str">
        <f t="shared" si="42"/>
        <v/>
      </c>
      <c r="N137" s="7" t="s">
        <v>1960</v>
      </c>
      <c r="T137" s="7" t="str">
        <f t="shared" si="43"/>
        <v>Nothing</v>
      </c>
      <c r="U137" s="7" t="s">
        <v>1</v>
      </c>
      <c r="AC137" s="26" t="s">
        <v>3576</v>
      </c>
      <c r="AD137" s="24">
        <v>153566</v>
      </c>
      <c r="AE137" s="7">
        <v>2.157</v>
      </c>
      <c r="AF137" s="7" t="s">
        <v>3575</v>
      </c>
      <c r="AG137" s="7">
        <v>0.93600000000000005</v>
      </c>
      <c r="AH137" s="7" t="s">
        <v>3574</v>
      </c>
      <c r="AI137" s="7">
        <v>73700</v>
      </c>
      <c r="AJ137" s="7">
        <v>197</v>
      </c>
      <c r="AK137" s="7">
        <v>25</v>
      </c>
      <c r="AT137" s="7" t="str">
        <f t="shared" si="39"/>
        <v>None</v>
      </c>
      <c r="AU137" s="7" t="str">
        <f t="shared" si="44"/>
        <v>None</v>
      </c>
      <c r="AV137" s="7" t="str">
        <f t="shared" si="45"/>
        <v/>
      </c>
      <c r="AW137" s="7" t="str">
        <f t="shared" si="46"/>
        <v/>
      </c>
      <c r="AX137" s="7" t="str">
        <f t="shared" si="47"/>
        <v/>
      </c>
      <c r="BB137" s="7" t="str">
        <f t="shared" si="48"/>
        <v/>
      </c>
      <c r="BC137" s="7" t="str">
        <f t="shared" si="49"/>
        <v>No</v>
      </c>
      <c r="BD137" s="7" t="s">
        <v>1</v>
      </c>
      <c r="BF137" s="23" t="s">
        <v>3573</v>
      </c>
      <c r="BQ137" s="22"/>
      <c r="CH137" s="7" t="str">
        <f t="shared" si="50"/>
        <v/>
      </c>
      <c r="CY137" s="7" t="s">
        <v>361</v>
      </c>
    </row>
    <row r="138" spans="1:103">
      <c r="A138" s="7" t="s">
        <v>1078</v>
      </c>
      <c r="B138" s="7">
        <v>211</v>
      </c>
      <c r="C138" s="7" t="s">
        <v>127</v>
      </c>
      <c r="I138" s="24" t="str">
        <f t="shared" si="40"/>
        <v/>
      </c>
      <c r="L138" s="7" t="str">
        <f t="shared" si="41"/>
        <v>T</v>
      </c>
      <c r="M138" s="21">
        <f t="shared" si="42"/>
        <v>2022</v>
      </c>
      <c r="N138" s="7">
        <v>2018</v>
      </c>
      <c r="T138" s="7" t="str">
        <f t="shared" si="43"/>
        <v>Nothing</v>
      </c>
      <c r="U138" s="7" t="s">
        <v>1</v>
      </c>
      <c r="AC138" s="8" t="s">
        <v>3572</v>
      </c>
      <c r="AD138" s="24">
        <v>51904</v>
      </c>
      <c r="AE138" s="7">
        <v>5.1999999999999998E-2</v>
      </c>
      <c r="AF138" s="7" t="s">
        <v>3571</v>
      </c>
      <c r="AG138" s="7">
        <v>104.645</v>
      </c>
      <c r="AH138" s="7" t="s">
        <v>3570</v>
      </c>
      <c r="AI138" s="7">
        <v>75900</v>
      </c>
      <c r="AJ138" s="7">
        <v>14</v>
      </c>
      <c r="AK138" s="7">
        <v>21</v>
      </c>
      <c r="AL138" s="7" t="s">
        <v>204</v>
      </c>
      <c r="AN138" s="7" t="s">
        <v>2029</v>
      </c>
      <c r="AT138" s="7" t="str">
        <f t="shared" si="39"/>
        <v>SBT</v>
      </c>
      <c r="AU138" s="7" t="str">
        <f t="shared" si="44"/>
        <v>SBT</v>
      </c>
      <c r="AV138" s="7" t="str">
        <f t="shared" si="45"/>
        <v/>
      </c>
      <c r="AW138" s="7">
        <f t="shared" si="46"/>
        <v>2018</v>
      </c>
      <c r="AX138" s="7" t="str">
        <f t="shared" si="47"/>
        <v/>
      </c>
      <c r="BB138" s="7" t="str">
        <f t="shared" si="48"/>
        <v>Yes</v>
      </c>
      <c r="BC138" s="7" t="str">
        <f t="shared" si="49"/>
        <v>No</v>
      </c>
      <c r="BD138" s="7" t="s">
        <v>1</v>
      </c>
      <c r="BF138" s="7" t="s">
        <v>3569</v>
      </c>
      <c r="BH138" s="7" t="s">
        <v>22</v>
      </c>
      <c r="BI138" s="7" t="s">
        <v>2245</v>
      </c>
      <c r="BJ138" s="7" t="s">
        <v>808</v>
      </c>
      <c r="BM138" s="7" t="s">
        <v>1079</v>
      </c>
      <c r="BN138" s="7">
        <v>2022</v>
      </c>
      <c r="BO138" s="7">
        <v>2022</v>
      </c>
      <c r="BP138" s="7">
        <v>2022</v>
      </c>
      <c r="BQ138" s="22">
        <v>0.6</v>
      </c>
      <c r="CH138" s="7" t="str">
        <f t="shared" si="50"/>
        <v/>
      </c>
      <c r="CX138" s="7" t="s">
        <v>361</v>
      </c>
      <c r="CY138" s="7" t="s">
        <v>361</v>
      </c>
    </row>
    <row r="139" spans="1:103">
      <c r="A139" s="7" t="s">
        <v>1373</v>
      </c>
      <c r="B139" s="7">
        <v>126</v>
      </c>
      <c r="I139" s="24" t="str">
        <f t="shared" si="40"/>
        <v/>
      </c>
      <c r="L139" s="7" t="str">
        <f t="shared" si="41"/>
        <v/>
      </c>
      <c r="M139" s="21" t="str">
        <f t="shared" si="42"/>
        <v/>
      </c>
      <c r="N139" s="7" t="s">
        <v>1960</v>
      </c>
      <c r="T139" s="7" t="str">
        <f t="shared" si="43"/>
        <v>Nothing</v>
      </c>
      <c r="U139" s="7" t="s">
        <v>1</v>
      </c>
      <c r="AD139" s="24">
        <v>75115</v>
      </c>
      <c r="AE139" s="7">
        <v>6.3E-2</v>
      </c>
      <c r="AF139" s="7" t="s">
        <v>3568</v>
      </c>
      <c r="AG139" s="7">
        <v>-0.20100000000000001</v>
      </c>
      <c r="AH139" s="7" t="s">
        <v>3567</v>
      </c>
      <c r="AI139" s="7">
        <v>304260</v>
      </c>
      <c r="AJ139" s="7">
        <v>11</v>
      </c>
      <c r="AK139" s="7">
        <v>12</v>
      </c>
      <c r="AT139" s="7" t="str">
        <f t="shared" si="39"/>
        <v>None</v>
      </c>
      <c r="AU139" s="7" t="str">
        <f t="shared" si="44"/>
        <v>None</v>
      </c>
      <c r="AV139" s="7" t="str">
        <f t="shared" si="45"/>
        <v/>
      </c>
      <c r="AW139" s="7" t="str">
        <f t="shared" si="46"/>
        <v/>
      </c>
      <c r="AX139" s="7" t="str">
        <f t="shared" si="47"/>
        <v/>
      </c>
      <c r="BB139" s="7" t="str">
        <f t="shared" si="48"/>
        <v/>
      </c>
      <c r="BC139" s="7" t="str">
        <f t="shared" si="49"/>
        <v>No</v>
      </c>
      <c r="BD139" s="7" t="s">
        <v>1</v>
      </c>
      <c r="BQ139" s="22"/>
      <c r="CH139" s="7" t="str">
        <f t="shared" si="50"/>
        <v/>
      </c>
    </row>
    <row r="140" spans="1:103">
      <c r="A140" s="7" t="s">
        <v>1653</v>
      </c>
      <c r="B140" s="7">
        <v>70</v>
      </c>
      <c r="C140" s="7" t="s">
        <v>127</v>
      </c>
      <c r="I140" s="24" t="str">
        <f t="shared" si="40"/>
        <v>Yes</v>
      </c>
      <c r="J140" s="7">
        <v>2020</v>
      </c>
      <c r="K140" s="7">
        <v>2017</v>
      </c>
      <c r="L140" s="7" t="str">
        <f t="shared" si="41"/>
        <v/>
      </c>
      <c r="M140" s="21" t="str">
        <f t="shared" si="42"/>
        <v/>
      </c>
      <c r="N140" s="7" t="s">
        <v>1960</v>
      </c>
      <c r="T140" s="7" t="str">
        <f t="shared" si="43"/>
        <v>Nothing</v>
      </c>
      <c r="U140" s="7" t="s">
        <v>1</v>
      </c>
      <c r="AC140" s="8" t="s">
        <v>3566</v>
      </c>
      <c r="AD140" s="24">
        <v>103449</v>
      </c>
      <c r="AE140" s="7">
        <v>6.5000000000000002E-2</v>
      </c>
      <c r="AF140" s="7" t="s">
        <v>3565</v>
      </c>
      <c r="AG140" s="7">
        <v>7.4999999999999997E-2</v>
      </c>
      <c r="AH140" s="7" t="s">
        <v>3564</v>
      </c>
      <c r="AI140" s="7">
        <v>200000</v>
      </c>
      <c r="AJ140" s="7">
        <v>1</v>
      </c>
      <c r="AK140" s="7">
        <v>26</v>
      </c>
      <c r="AL140" s="7" t="s">
        <v>93</v>
      </c>
      <c r="AN140" s="7" t="s">
        <v>2029</v>
      </c>
      <c r="AT140" s="7" t="str">
        <f t="shared" si="39"/>
        <v>RE100</v>
      </c>
      <c r="AU140" s="7" t="str">
        <f t="shared" si="44"/>
        <v>RE100</v>
      </c>
      <c r="AV140" s="7" t="str">
        <f t="shared" si="45"/>
        <v/>
      </c>
      <c r="AW140" s="7" t="str">
        <f t="shared" si="46"/>
        <v/>
      </c>
      <c r="AX140" s="7">
        <f t="shared" si="47"/>
        <v>2017</v>
      </c>
      <c r="BB140" s="7" t="str">
        <f t="shared" si="48"/>
        <v/>
      </c>
      <c r="BC140" s="7" t="str">
        <f t="shared" si="49"/>
        <v>No</v>
      </c>
      <c r="BD140" s="7" t="s">
        <v>1</v>
      </c>
      <c r="BF140" s="7" t="s">
        <v>3563</v>
      </c>
      <c r="BQ140" s="22"/>
      <c r="CG140" s="7" t="s">
        <v>2027</v>
      </c>
      <c r="CH140" s="7" t="str">
        <f t="shared" si="50"/>
        <v>yes</v>
      </c>
      <c r="CI140" s="7" t="s">
        <v>13</v>
      </c>
      <c r="CJ140" s="7">
        <v>0.25</v>
      </c>
      <c r="CK140" s="7">
        <v>0.18</v>
      </c>
      <c r="CL140" s="7" t="s">
        <v>1652</v>
      </c>
      <c r="CM140" s="7" t="s">
        <v>13</v>
      </c>
      <c r="CN140" s="7" t="s">
        <v>13</v>
      </c>
      <c r="CO140" s="7" t="s">
        <v>3562</v>
      </c>
      <c r="CQ140" s="7" t="s">
        <v>3561</v>
      </c>
      <c r="CR140" s="27" t="s">
        <v>3560</v>
      </c>
      <c r="CY140" s="7" t="s">
        <v>361</v>
      </c>
    </row>
    <row r="141" spans="1:103">
      <c r="A141" s="7" t="s">
        <v>235</v>
      </c>
      <c r="B141" s="7">
        <v>437</v>
      </c>
      <c r="I141" s="24" t="str">
        <f t="shared" si="40"/>
        <v/>
      </c>
      <c r="L141" s="7" t="str">
        <f t="shared" si="41"/>
        <v/>
      </c>
      <c r="M141" s="21" t="str">
        <f t="shared" si="42"/>
        <v/>
      </c>
      <c r="N141" s="7" t="s">
        <v>1960</v>
      </c>
      <c r="T141" s="7" t="str">
        <f t="shared" si="43"/>
        <v>Nothing</v>
      </c>
      <c r="U141" s="7" t="s">
        <v>1963</v>
      </c>
      <c r="AD141" s="24">
        <v>28986</v>
      </c>
      <c r="AE141" s="7">
        <v>0.08</v>
      </c>
      <c r="AF141" s="7" t="s">
        <v>3559</v>
      </c>
      <c r="AG141" s="7">
        <v>-8.5999999999999993E-2</v>
      </c>
      <c r="AH141" s="7" t="s">
        <v>3558</v>
      </c>
      <c r="AI141" s="7">
        <v>59915</v>
      </c>
      <c r="AJ141" s="7">
        <v>26</v>
      </c>
      <c r="AK141" s="7">
        <v>3</v>
      </c>
      <c r="AT141" s="7" t="str">
        <f t="shared" si="39"/>
        <v>None</v>
      </c>
      <c r="AU141" s="7" t="str">
        <f t="shared" si="44"/>
        <v>None</v>
      </c>
      <c r="AV141" s="7" t="str">
        <f t="shared" si="45"/>
        <v/>
      </c>
      <c r="AW141" s="7" t="str">
        <f t="shared" si="46"/>
        <v/>
      </c>
      <c r="AX141" s="7" t="str">
        <f t="shared" si="47"/>
        <v/>
      </c>
      <c r="BB141" s="7" t="str">
        <f t="shared" si="48"/>
        <v/>
      </c>
      <c r="BC141" s="7" t="str">
        <f t="shared" si="49"/>
        <v>No</v>
      </c>
      <c r="BD141" s="7" t="s">
        <v>1963</v>
      </c>
      <c r="BQ141" s="22"/>
      <c r="CH141" s="7" t="str">
        <f t="shared" si="50"/>
        <v/>
      </c>
    </row>
    <row r="142" spans="1:103">
      <c r="A142" s="7" t="s">
        <v>656</v>
      </c>
      <c r="B142" s="7">
        <v>328</v>
      </c>
      <c r="I142" s="24" t="str">
        <f t="shared" si="40"/>
        <v/>
      </c>
      <c r="L142" s="7" t="str">
        <f t="shared" si="41"/>
        <v/>
      </c>
      <c r="M142" s="21" t="str">
        <f t="shared" si="42"/>
        <v/>
      </c>
      <c r="N142" s="7" t="s">
        <v>1960</v>
      </c>
      <c r="T142" s="7" t="str">
        <f t="shared" si="43"/>
        <v>Nothing</v>
      </c>
      <c r="U142" s="7" t="s">
        <v>1963</v>
      </c>
      <c r="AD142" s="24">
        <v>38166</v>
      </c>
      <c r="AE142" s="7">
        <v>7.9000000000000001E-2</v>
      </c>
      <c r="AF142" s="7" t="s">
        <v>3557</v>
      </c>
      <c r="AG142" s="7">
        <v>2.1999999999999999E-2</v>
      </c>
      <c r="AH142" s="7" t="s">
        <v>3556</v>
      </c>
      <c r="AI142" s="7">
        <v>300000</v>
      </c>
      <c r="AJ142" s="7">
        <v>24</v>
      </c>
      <c r="AK142" s="7">
        <v>5</v>
      </c>
      <c r="AT142" s="7" t="str">
        <f t="shared" si="39"/>
        <v>None</v>
      </c>
      <c r="AU142" s="7" t="str">
        <f t="shared" si="44"/>
        <v>None</v>
      </c>
      <c r="AV142" s="7" t="str">
        <f t="shared" si="45"/>
        <v/>
      </c>
      <c r="AW142" s="7" t="str">
        <f t="shared" si="46"/>
        <v/>
      </c>
      <c r="AX142" s="7" t="str">
        <f t="shared" si="47"/>
        <v/>
      </c>
      <c r="BB142" s="7" t="str">
        <f t="shared" si="48"/>
        <v/>
      </c>
      <c r="BC142" s="7" t="str">
        <f t="shared" si="49"/>
        <v>No</v>
      </c>
      <c r="BD142" s="7" t="s">
        <v>1963</v>
      </c>
      <c r="BQ142" s="22"/>
      <c r="CH142" s="7" t="str">
        <f t="shared" si="50"/>
        <v/>
      </c>
    </row>
    <row r="143" spans="1:103">
      <c r="A143" s="7" t="s">
        <v>3555</v>
      </c>
      <c r="B143" s="7">
        <v>415</v>
      </c>
      <c r="C143" s="7" t="s">
        <v>63</v>
      </c>
      <c r="D143" s="7" t="s">
        <v>2082</v>
      </c>
      <c r="E143" s="7" t="s">
        <v>2637</v>
      </c>
      <c r="F143" s="7">
        <v>2050</v>
      </c>
      <c r="G143" s="7">
        <v>2020</v>
      </c>
      <c r="H143" s="26" t="s">
        <v>3554</v>
      </c>
      <c r="I143" s="24" t="str">
        <f t="shared" si="40"/>
        <v/>
      </c>
      <c r="L143" s="7" t="str">
        <f t="shared" si="41"/>
        <v>C</v>
      </c>
      <c r="M143" s="21" t="str">
        <f t="shared" si="42"/>
        <v/>
      </c>
      <c r="N143" s="7">
        <v>2018</v>
      </c>
      <c r="T143" s="7" t="str">
        <f t="shared" si="43"/>
        <v/>
      </c>
      <c r="U143" s="7" t="s">
        <v>1969</v>
      </c>
      <c r="V143" s="7" t="s">
        <v>3553</v>
      </c>
      <c r="X143" s="7" t="s">
        <v>3552</v>
      </c>
      <c r="AD143" s="24">
        <v>30254</v>
      </c>
      <c r="AE143" s="7">
        <v>0.28899999999999998</v>
      </c>
      <c r="AF143" s="7" t="s">
        <v>3551</v>
      </c>
      <c r="AG143" s="7">
        <v>-7.758</v>
      </c>
      <c r="AH143" s="7" t="s">
        <v>3550</v>
      </c>
      <c r="AI143" s="7">
        <v>86700</v>
      </c>
      <c r="AJ143" s="7" t="s">
        <v>9</v>
      </c>
      <c r="AK143" s="7">
        <v>1</v>
      </c>
      <c r="AL143" s="7" t="s">
        <v>3549</v>
      </c>
      <c r="AN143" s="7" t="s">
        <v>1951</v>
      </c>
      <c r="AT143" s="7" t="str">
        <f t="shared" si="39"/>
        <v>CN &amp; SBT</v>
      </c>
      <c r="AU143" s="7" t="str">
        <f t="shared" si="44"/>
        <v>SBT</v>
      </c>
      <c r="AV143" s="7" t="str">
        <f t="shared" si="45"/>
        <v/>
      </c>
      <c r="AW143" s="7">
        <f t="shared" si="46"/>
        <v>2018</v>
      </c>
      <c r="AX143" s="7" t="str">
        <f t="shared" si="47"/>
        <v/>
      </c>
      <c r="BB143" s="7" t="str">
        <f t="shared" si="48"/>
        <v>Yes</v>
      </c>
      <c r="BC143" s="7" t="str">
        <f t="shared" si="49"/>
        <v>No - but post-2030 commitment</v>
      </c>
      <c r="BD143" s="7" t="s">
        <v>1963</v>
      </c>
      <c r="BH143" s="7" t="s">
        <v>165</v>
      </c>
      <c r="BJ143" s="7" t="s">
        <v>1057</v>
      </c>
      <c r="BQ143" s="22"/>
      <c r="CD143" s="7" t="s">
        <v>361</v>
      </c>
      <c r="CF143" s="25"/>
      <c r="CH143" s="7" t="str">
        <f t="shared" si="50"/>
        <v/>
      </c>
    </row>
    <row r="144" spans="1:103">
      <c r="A144" s="7" t="s">
        <v>993</v>
      </c>
      <c r="B144" s="7">
        <v>199</v>
      </c>
      <c r="I144" s="24" t="str">
        <f t="shared" si="40"/>
        <v/>
      </c>
      <c r="L144" s="7" t="str">
        <f t="shared" si="41"/>
        <v/>
      </c>
      <c r="M144" s="21" t="str">
        <f t="shared" si="42"/>
        <v/>
      </c>
      <c r="N144" s="7" t="s">
        <v>1960</v>
      </c>
      <c r="T144" s="7" t="str">
        <f t="shared" si="43"/>
        <v>Nothing</v>
      </c>
      <c r="U144" s="7" t="s">
        <v>1</v>
      </c>
      <c r="AC144" s="8" t="s">
        <v>3548</v>
      </c>
      <c r="AD144" s="24">
        <v>54365</v>
      </c>
      <c r="AE144" s="7">
        <v>0.19600000000000001</v>
      </c>
      <c r="AF144" s="7" t="s">
        <v>3547</v>
      </c>
      <c r="AG144" s="7">
        <v>-0.02</v>
      </c>
      <c r="AH144" s="7" t="s">
        <v>3546</v>
      </c>
      <c r="AI144" s="7">
        <v>5353</v>
      </c>
      <c r="AJ144" s="7">
        <v>49</v>
      </c>
      <c r="AK144" s="7">
        <v>26</v>
      </c>
      <c r="AT144" s="7" t="str">
        <f t="shared" si="39"/>
        <v>None</v>
      </c>
      <c r="AU144" s="7" t="str">
        <f t="shared" si="44"/>
        <v>None</v>
      </c>
      <c r="AV144" s="7" t="str">
        <f t="shared" si="45"/>
        <v/>
      </c>
      <c r="AW144" s="7" t="str">
        <f t="shared" si="46"/>
        <v/>
      </c>
      <c r="AX144" s="7" t="str">
        <f t="shared" si="47"/>
        <v/>
      </c>
      <c r="BB144" s="7" t="str">
        <f t="shared" si="48"/>
        <v/>
      </c>
      <c r="BC144" s="7" t="str">
        <f t="shared" si="49"/>
        <v>No</v>
      </c>
      <c r="BD144" s="7" t="s">
        <v>1</v>
      </c>
      <c r="BF144" s="23" t="s">
        <v>3545</v>
      </c>
      <c r="BQ144" s="22"/>
      <c r="CH144" s="7" t="str">
        <f t="shared" si="50"/>
        <v/>
      </c>
    </row>
    <row r="145" spans="1:103">
      <c r="A145" s="7" t="s">
        <v>517</v>
      </c>
      <c r="B145" s="7">
        <v>335</v>
      </c>
      <c r="C145" s="7" t="s">
        <v>127</v>
      </c>
      <c r="I145" s="24" t="str">
        <f t="shared" si="40"/>
        <v/>
      </c>
      <c r="J145" s="25"/>
      <c r="K145" s="25"/>
      <c r="L145" s="7" t="str">
        <f t="shared" si="41"/>
        <v>T</v>
      </c>
      <c r="M145" s="21">
        <f t="shared" si="42"/>
        <v>2030</v>
      </c>
      <c r="N145" s="7">
        <v>2019</v>
      </c>
      <c r="T145" s="7" t="str">
        <f t="shared" si="43"/>
        <v>Nothing</v>
      </c>
      <c r="U145" s="7" t="s">
        <v>1963</v>
      </c>
      <c r="AC145" s="26" t="s">
        <v>3544</v>
      </c>
      <c r="AD145" s="24">
        <v>37266</v>
      </c>
      <c r="AE145" s="7">
        <v>0.17</v>
      </c>
      <c r="AF145" s="7" t="s">
        <v>3543</v>
      </c>
      <c r="AG145" s="7">
        <v>0.38600000000000001</v>
      </c>
      <c r="AH145" s="7" t="s">
        <v>3542</v>
      </c>
      <c r="AI145" s="7">
        <v>86200</v>
      </c>
      <c r="AJ145" s="7">
        <v>60</v>
      </c>
      <c r="AK145" s="7">
        <v>26</v>
      </c>
      <c r="AL145" s="7" t="s">
        <v>23</v>
      </c>
      <c r="AN145" s="7" t="s">
        <v>2029</v>
      </c>
      <c r="AT145" s="7" t="str">
        <f t="shared" si="39"/>
        <v>SBT</v>
      </c>
      <c r="AU145" s="7" t="str">
        <f t="shared" si="44"/>
        <v>SBT</v>
      </c>
      <c r="AV145" s="7" t="str">
        <f t="shared" si="45"/>
        <v/>
      </c>
      <c r="AW145" s="7">
        <f t="shared" si="46"/>
        <v>2019</v>
      </c>
      <c r="AX145" s="7" t="str">
        <f t="shared" si="47"/>
        <v/>
      </c>
      <c r="BB145" s="7" t="str">
        <f t="shared" si="48"/>
        <v>Yes</v>
      </c>
      <c r="BC145" s="7" t="str">
        <f t="shared" si="49"/>
        <v>No</v>
      </c>
      <c r="BD145" s="7" t="s">
        <v>1963</v>
      </c>
      <c r="BF145" s="7" t="s">
        <v>3541</v>
      </c>
      <c r="BH145" s="7" t="s">
        <v>22</v>
      </c>
      <c r="BI145" s="7" t="s">
        <v>2040</v>
      </c>
      <c r="BJ145" s="7" t="s">
        <v>2008</v>
      </c>
      <c r="BM145" s="7" t="s">
        <v>3540</v>
      </c>
      <c r="BN145" s="7">
        <v>2030</v>
      </c>
      <c r="BO145" s="7">
        <v>2030</v>
      </c>
      <c r="BP145" s="7">
        <v>2030</v>
      </c>
      <c r="BQ145" s="22">
        <v>0.5</v>
      </c>
      <c r="CG145" s="25"/>
      <c r="CH145" s="7" t="str">
        <f t="shared" si="50"/>
        <v/>
      </c>
      <c r="CI145" s="25"/>
      <c r="CJ145" s="25"/>
      <c r="CK145" s="25"/>
      <c r="CL145" s="25"/>
      <c r="CM145" s="25"/>
      <c r="CN145" s="25"/>
      <c r="CO145" s="25"/>
      <c r="CX145" s="7" t="s">
        <v>361</v>
      </c>
      <c r="CY145" s="7" t="s">
        <v>361</v>
      </c>
    </row>
    <row r="146" spans="1:103">
      <c r="A146" s="7" t="s">
        <v>1387</v>
      </c>
      <c r="B146" s="7">
        <v>136</v>
      </c>
      <c r="I146" s="24" t="str">
        <f t="shared" si="40"/>
        <v/>
      </c>
      <c r="L146" s="7" t="str">
        <f t="shared" si="41"/>
        <v/>
      </c>
      <c r="M146" s="21" t="str">
        <f t="shared" si="42"/>
        <v/>
      </c>
      <c r="N146" s="7" t="s">
        <v>1960</v>
      </c>
      <c r="T146" s="7" t="str">
        <f t="shared" si="43"/>
        <v>Nothing</v>
      </c>
      <c r="U146" s="7" t="s">
        <v>1</v>
      </c>
      <c r="AD146" s="24">
        <v>72149</v>
      </c>
      <c r="AE146" s="7">
        <v>1.2999999999999999E-2</v>
      </c>
      <c r="AF146" s="7" t="s">
        <v>3539</v>
      </c>
      <c r="AG146" s="7">
        <v>0.22600000000000001</v>
      </c>
      <c r="AH146" s="7" t="s">
        <v>3538</v>
      </c>
      <c r="AI146" s="7">
        <v>110896</v>
      </c>
      <c r="AJ146" s="7">
        <v>-2</v>
      </c>
      <c r="AK146" s="7">
        <v>26</v>
      </c>
      <c r="AT146" s="7" t="str">
        <f t="shared" si="39"/>
        <v>None</v>
      </c>
      <c r="AU146" s="7" t="str">
        <f t="shared" si="44"/>
        <v>None</v>
      </c>
      <c r="AV146" s="7" t="str">
        <f t="shared" si="45"/>
        <v/>
      </c>
      <c r="AW146" s="7" t="str">
        <f t="shared" si="46"/>
        <v/>
      </c>
      <c r="AX146" s="7" t="str">
        <f t="shared" si="47"/>
        <v/>
      </c>
      <c r="BB146" s="7" t="str">
        <f t="shared" si="48"/>
        <v/>
      </c>
      <c r="BC146" s="7" t="str">
        <f t="shared" si="49"/>
        <v>No</v>
      </c>
      <c r="BD146" s="7" t="s">
        <v>1</v>
      </c>
      <c r="BQ146" s="22"/>
      <c r="CH146" s="7" t="str">
        <f t="shared" si="50"/>
        <v/>
      </c>
      <c r="CW146" s="7" t="s">
        <v>361</v>
      </c>
      <c r="CX146" s="7" t="s">
        <v>361</v>
      </c>
    </row>
    <row r="147" spans="1:103">
      <c r="A147" s="7" t="s">
        <v>3537</v>
      </c>
      <c r="B147" s="7">
        <v>407</v>
      </c>
      <c r="I147" s="24" t="str">
        <f t="shared" si="40"/>
        <v/>
      </c>
      <c r="L147" s="7" t="str">
        <f t="shared" si="41"/>
        <v/>
      </c>
      <c r="M147" s="21" t="str">
        <f t="shared" si="42"/>
        <v/>
      </c>
      <c r="N147" s="7" t="s">
        <v>1960</v>
      </c>
      <c r="T147" s="7" t="str">
        <f t="shared" si="43"/>
        <v>Nothing</v>
      </c>
      <c r="U147" s="7" t="s">
        <v>1963</v>
      </c>
      <c r="AC147" s="26" t="s">
        <v>3536</v>
      </c>
      <c r="AD147" s="24">
        <v>30601</v>
      </c>
      <c r="AE147" s="7" t="s">
        <v>9</v>
      </c>
      <c r="AF147" s="7" t="s">
        <v>3535</v>
      </c>
      <c r="AG147" s="7" t="s">
        <v>9</v>
      </c>
      <c r="AH147" s="7" t="s">
        <v>3534</v>
      </c>
      <c r="AI147" s="7">
        <v>113000</v>
      </c>
      <c r="AJ147" s="7" t="s">
        <v>9</v>
      </c>
      <c r="AK147" s="7">
        <v>1</v>
      </c>
      <c r="AT147" s="7" t="str">
        <f t="shared" si="39"/>
        <v>None</v>
      </c>
      <c r="AU147" s="7" t="str">
        <f t="shared" si="44"/>
        <v>None</v>
      </c>
      <c r="AV147" s="7" t="str">
        <f t="shared" si="45"/>
        <v/>
      </c>
      <c r="AW147" s="7" t="str">
        <f t="shared" si="46"/>
        <v/>
      </c>
      <c r="AX147" s="7" t="str">
        <f t="shared" si="47"/>
        <v/>
      </c>
      <c r="BB147" s="7" t="str">
        <f t="shared" si="48"/>
        <v/>
      </c>
      <c r="BC147" s="7" t="str">
        <f t="shared" si="49"/>
        <v>No</v>
      </c>
      <c r="BD147" s="7" t="s">
        <v>1963</v>
      </c>
      <c r="BF147" s="7" t="s">
        <v>3533</v>
      </c>
      <c r="BQ147" s="22"/>
      <c r="CH147" s="7" t="str">
        <f t="shared" si="50"/>
        <v/>
      </c>
    </row>
    <row r="148" spans="1:103">
      <c r="A148" s="7" t="s">
        <v>1642</v>
      </c>
      <c r="B148" s="7">
        <v>63</v>
      </c>
      <c r="I148" s="24" t="str">
        <f t="shared" si="40"/>
        <v/>
      </c>
      <c r="L148" s="7" t="str">
        <f t="shared" si="41"/>
        <v/>
      </c>
      <c r="M148" s="21" t="str">
        <f t="shared" si="42"/>
        <v/>
      </c>
      <c r="N148" s="7" t="s">
        <v>1960</v>
      </c>
      <c r="T148" s="7" t="str">
        <f t="shared" si="43"/>
        <v>Nothing</v>
      </c>
      <c r="U148" s="7" t="s">
        <v>1</v>
      </c>
      <c r="AC148" s="26" t="s">
        <v>3532</v>
      </c>
      <c r="AD148" s="24">
        <v>108942</v>
      </c>
      <c r="AE148" s="7">
        <v>0.153</v>
      </c>
      <c r="AF148" s="7" t="s">
        <v>3531</v>
      </c>
      <c r="AG148" s="7">
        <v>0.113</v>
      </c>
      <c r="AH148" s="7" t="s">
        <v>3530</v>
      </c>
      <c r="AI148" s="7">
        <v>190000</v>
      </c>
      <c r="AJ148" s="7">
        <v>12</v>
      </c>
      <c r="AK148" s="7">
        <v>18</v>
      </c>
      <c r="AT148" s="7" t="str">
        <f t="shared" si="39"/>
        <v>None</v>
      </c>
      <c r="AU148" s="7" t="str">
        <f t="shared" si="44"/>
        <v>None</v>
      </c>
      <c r="AV148" s="7" t="str">
        <f t="shared" si="45"/>
        <v/>
      </c>
      <c r="AW148" s="7" t="str">
        <f t="shared" si="46"/>
        <v/>
      </c>
      <c r="AX148" s="7" t="str">
        <f t="shared" si="47"/>
        <v/>
      </c>
      <c r="BB148" s="7" t="str">
        <f t="shared" si="48"/>
        <v/>
      </c>
      <c r="BC148" s="7" t="str">
        <f t="shared" si="49"/>
        <v>No</v>
      </c>
      <c r="BD148" s="7" t="s">
        <v>1</v>
      </c>
      <c r="BF148" s="7" t="s">
        <v>3529</v>
      </c>
      <c r="BQ148" s="22"/>
      <c r="CH148" s="7" t="str">
        <f t="shared" si="50"/>
        <v/>
      </c>
      <c r="CY148" s="7" t="s">
        <v>361</v>
      </c>
    </row>
    <row r="149" spans="1:103">
      <c r="A149" s="7" t="s">
        <v>600</v>
      </c>
      <c r="B149" s="7">
        <v>416</v>
      </c>
      <c r="C149" s="7" t="s">
        <v>161</v>
      </c>
      <c r="I149" s="24" t="str">
        <f t="shared" si="40"/>
        <v>Yes</v>
      </c>
      <c r="J149" s="7">
        <v>2030</v>
      </c>
      <c r="K149" s="7">
        <v>2018</v>
      </c>
      <c r="L149" s="7" t="str">
        <f t="shared" si="41"/>
        <v/>
      </c>
      <c r="M149" s="21" t="str">
        <f t="shared" si="42"/>
        <v/>
      </c>
      <c r="N149" s="7" t="s">
        <v>1960</v>
      </c>
      <c r="T149" s="7" t="str">
        <f t="shared" si="43"/>
        <v>Nothing</v>
      </c>
      <c r="U149" s="7" t="s">
        <v>1</v>
      </c>
      <c r="AC149" s="26" t="s">
        <v>3528</v>
      </c>
      <c r="AD149" s="24">
        <v>29967</v>
      </c>
      <c r="AE149" s="7">
        <v>-9.7000000000000003E-2</v>
      </c>
      <c r="AF149" s="7" t="s">
        <v>3527</v>
      </c>
      <c r="AG149" s="7">
        <v>-0.152</v>
      </c>
      <c r="AH149" s="7" t="s">
        <v>3526</v>
      </c>
      <c r="AI149" s="7">
        <v>45165</v>
      </c>
      <c r="AJ149" s="7">
        <v>-43</v>
      </c>
      <c r="AK149" s="7">
        <v>16</v>
      </c>
      <c r="AL149" s="7" t="s">
        <v>93</v>
      </c>
      <c r="AN149" s="7" t="s">
        <v>2010</v>
      </c>
      <c r="AT149" s="7" t="str">
        <f t="shared" si="39"/>
        <v>RE100</v>
      </c>
      <c r="AU149" s="7" t="str">
        <f t="shared" si="44"/>
        <v>RE100</v>
      </c>
      <c r="AV149" s="7" t="str">
        <f t="shared" si="45"/>
        <v/>
      </c>
      <c r="AW149" s="7" t="str">
        <f t="shared" si="46"/>
        <v/>
      </c>
      <c r="AX149" s="7">
        <f t="shared" si="47"/>
        <v>2018</v>
      </c>
      <c r="BB149" s="7" t="str">
        <f t="shared" si="48"/>
        <v/>
      </c>
      <c r="BC149" s="7" t="str">
        <f t="shared" si="49"/>
        <v>No</v>
      </c>
      <c r="BD149" s="7" t="s">
        <v>1963</v>
      </c>
      <c r="BF149" s="7" t="s">
        <v>3525</v>
      </c>
      <c r="BQ149" s="22"/>
      <c r="CG149" s="7" t="s">
        <v>161</v>
      </c>
      <c r="CH149" s="7" t="str">
        <f t="shared" si="50"/>
        <v>yes</v>
      </c>
      <c r="CI149" s="7" t="s">
        <v>3524</v>
      </c>
      <c r="CJ149" s="7">
        <v>0.3</v>
      </c>
      <c r="CK149" s="7">
        <v>0</v>
      </c>
      <c r="CL149" s="7" t="s">
        <v>13</v>
      </c>
      <c r="CM149" s="7" t="s">
        <v>13</v>
      </c>
      <c r="CN149" s="7" t="s">
        <v>13</v>
      </c>
      <c r="CO149" s="7" t="s">
        <v>1652</v>
      </c>
    </row>
    <row r="150" spans="1:103">
      <c r="A150" s="7" t="s">
        <v>529</v>
      </c>
      <c r="B150" s="7">
        <v>396</v>
      </c>
      <c r="I150" s="24" t="str">
        <f t="shared" si="40"/>
        <v/>
      </c>
      <c r="L150" s="7" t="str">
        <f t="shared" si="41"/>
        <v/>
      </c>
      <c r="M150" s="21" t="str">
        <f t="shared" si="42"/>
        <v/>
      </c>
      <c r="N150" s="7" t="s">
        <v>1960</v>
      </c>
      <c r="T150" s="7" t="str">
        <f t="shared" si="43"/>
        <v>Nothing</v>
      </c>
      <c r="U150" s="7" t="s">
        <v>1963</v>
      </c>
      <c r="AD150" s="24">
        <v>31723</v>
      </c>
      <c r="AE150" s="7">
        <v>-1.2E-2</v>
      </c>
      <c r="AF150" s="7" t="s">
        <v>3523</v>
      </c>
      <c r="AG150" s="7">
        <v>-0.23899999999999999</v>
      </c>
      <c r="AH150" s="7" t="s">
        <v>3522</v>
      </c>
      <c r="AI150" s="7">
        <v>81743</v>
      </c>
      <c r="AJ150" s="7">
        <v>-6</v>
      </c>
      <c r="AK150" s="7">
        <v>9</v>
      </c>
      <c r="AT150" s="7" t="str">
        <f t="shared" si="39"/>
        <v>None</v>
      </c>
      <c r="AU150" s="7" t="str">
        <f t="shared" si="44"/>
        <v>None</v>
      </c>
      <c r="AV150" s="7" t="str">
        <f t="shared" si="45"/>
        <v/>
      </c>
      <c r="AW150" s="7" t="str">
        <f t="shared" si="46"/>
        <v/>
      </c>
      <c r="AX150" s="7" t="str">
        <f t="shared" si="47"/>
        <v/>
      </c>
      <c r="BB150" s="7" t="str">
        <f t="shared" si="48"/>
        <v/>
      </c>
      <c r="BC150" s="7" t="str">
        <f t="shared" si="49"/>
        <v>No</v>
      </c>
      <c r="BD150" s="7" t="s">
        <v>1963</v>
      </c>
      <c r="BQ150" s="22"/>
      <c r="CH150" s="7" t="str">
        <f t="shared" si="50"/>
        <v/>
      </c>
    </row>
    <row r="151" spans="1:103">
      <c r="A151" s="7" t="s">
        <v>477</v>
      </c>
      <c r="B151" s="7">
        <v>395</v>
      </c>
      <c r="C151" s="7" t="s">
        <v>2070</v>
      </c>
      <c r="I151" s="24" t="str">
        <f t="shared" si="40"/>
        <v/>
      </c>
      <c r="L151" s="7" t="str">
        <f t="shared" si="41"/>
        <v>C</v>
      </c>
      <c r="M151" s="21" t="str">
        <f t="shared" si="42"/>
        <v/>
      </c>
      <c r="N151" s="7">
        <v>2019</v>
      </c>
      <c r="T151" s="7" t="str">
        <f t="shared" si="43"/>
        <v>Nothing</v>
      </c>
      <c r="U151" s="7" t="s">
        <v>1</v>
      </c>
      <c r="AD151" s="24">
        <v>31736</v>
      </c>
      <c r="AE151" s="7">
        <v>2.8000000000000001E-2</v>
      </c>
      <c r="AF151" s="7" t="s">
        <v>3521</v>
      </c>
      <c r="AG151" s="7">
        <v>-6.4000000000000001E-2</v>
      </c>
      <c r="AH151" s="7" t="s">
        <v>3520</v>
      </c>
      <c r="AI151" s="7">
        <v>596452</v>
      </c>
      <c r="AJ151" s="7">
        <v>8</v>
      </c>
      <c r="AK151" s="7">
        <v>19</v>
      </c>
      <c r="AL151" s="7" t="s">
        <v>3519</v>
      </c>
      <c r="AN151" s="7" t="s">
        <v>1951</v>
      </c>
      <c r="AT151" s="7" t="str">
        <f t="shared" si="39"/>
        <v>SBT</v>
      </c>
      <c r="AU151" s="7" t="str">
        <f t="shared" si="44"/>
        <v>SBT</v>
      </c>
      <c r="AV151" s="7" t="str">
        <f t="shared" si="45"/>
        <v/>
      </c>
      <c r="AW151" s="7">
        <f t="shared" si="46"/>
        <v>2019</v>
      </c>
      <c r="AX151" s="7" t="str">
        <f t="shared" si="47"/>
        <v/>
      </c>
      <c r="BB151" s="7" t="str">
        <f t="shared" si="48"/>
        <v>Yes</v>
      </c>
      <c r="BC151" s="7" t="str">
        <f t="shared" si="49"/>
        <v>No</v>
      </c>
      <c r="BD151" s="7" t="s">
        <v>1963</v>
      </c>
      <c r="BH151" s="7" t="s">
        <v>165</v>
      </c>
      <c r="BJ151" s="7" t="s">
        <v>855</v>
      </c>
      <c r="BQ151" s="22"/>
      <c r="CH151" s="7" t="str">
        <f t="shared" si="50"/>
        <v/>
      </c>
      <c r="CW151" s="7" t="s">
        <v>361</v>
      </c>
    </row>
    <row r="152" spans="1:103">
      <c r="A152" s="7" t="s">
        <v>761</v>
      </c>
      <c r="B152" s="7">
        <v>348</v>
      </c>
      <c r="C152" s="7" t="s">
        <v>127</v>
      </c>
      <c r="I152" s="24" t="str">
        <f t="shared" si="40"/>
        <v/>
      </c>
      <c r="L152" s="7" t="str">
        <f t="shared" si="41"/>
        <v/>
      </c>
      <c r="M152" s="21" t="str">
        <f t="shared" si="42"/>
        <v/>
      </c>
      <c r="N152" s="7" t="s">
        <v>1960</v>
      </c>
      <c r="T152" s="7" t="str">
        <f t="shared" si="43"/>
        <v>Nothing</v>
      </c>
      <c r="U152" s="7" t="s">
        <v>1963</v>
      </c>
      <c r="AC152" s="26" t="s">
        <v>3518</v>
      </c>
      <c r="AD152" s="24">
        <v>36670</v>
      </c>
      <c r="AE152" s="7">
        <v>-5.2999999999999999E-2</v>
      </c>
      <c r="AF152" s="7" t="s">
        <v>3517</v>
      </c>
      <c r="AG152" s="7">
        <v>0.14899999999999999</v>
      </c>
      <c r="AH152" s="7" t="s">
        <v>3516</v>
      </c>
      <c r="AI152" s="7">
        <v>10400</v>
      </c>
      <c r="AJ152" s="7">
        <v>-29</v>
      </c>
      <c r="AK152" s="7">
        <v>26</v>
      </c>
      <c r="AL152" t="s">
        <v>2111</v>
      </c>
      <c r="AT152" s="7" t="str">
        <f t="shared" si="39"/>
        <v>None</v>
      </c>
      <c r="AU152" s="7" t="str">
        <f t="shared" si="44"/>
        <v>None</v>
      </c>
      <c r="AV152" s="7" t="str">
        <f t="shared" si="45"/>
        <v/>
      </c>
      <c r="AW152" s="7" t="str">
        <f t="shared" si="46"/>
        <v/>
      </c>
      <c r="AX152" s="7" t="str">
        <f t="shared" si="47"/>
        <v/>
      </c>
      <c r="BB152" s="7" t="str">
        <f t="shared" si="48"/>
        <v/>
      </c>
      <c r="BC152" s="7" t="str">
        <f t="shared" si="49"/>
        <v>No</v>
      </c>
      <c r="BD152" s="7" t="s">
        <v>1963</v>
      </c>
      <c r="BF152" s="7" t="s">
        <v>3515</v>
      </c>
      <c r="BQ152" s="22"/>
      <c r="CH152" s="7" t="str">
        <f t="shared" si="50"/>
        <v/>
      </c>
      <c r="CT152" s="7" t="s">
        <v>761</v>
      </c>
      <c r="CU152" s="7" t="s">
        <v>2109</v>
      </c>
      <c r="CV152" s="7">
        <v>-29</v>
      </c>
      <c r="CY152" s="7" t="s">
        <v>361</v>
      </c>
    </row>
    <row r="153" spans="1:103">
      <c r="A153" s="7" t="s">
        <v>1143</v>
      </c>
      <c r="B153" s="7">
        <v>230</v>
      </c>
      <c r="C153" s="7" t="s">
        <v>146</v>
      </c>
      <c r="D153" s="7" t="s">
        <v>1957</v>
      </c>
      <c r="E153" s="7" t="s">
        <v>3514</v>
      </c>
      <c r="F153" s="7">
        <v>2040</v>
      </c>
      <c r="G153" s="7">
        <v>2019</v>
      </c>
      <c r="H153" s="8" t="s">
        <v>3513</v>
      </c>
      <c r="I153" s="24" t="str">
        <f t="shared" si="40"/>
        <v>Yes</v>
      </c>
      <c r="J153" s="7">
        <v>2030</v>
      </c>
      <c r="K153" s="7">
        <v>2020</v>
      </c>
      <c r="L153" s="7" t="str">
        <f t="shared" si="41"/>
        <v/>
      </c>
      <c r="M153" s="21" t="str">
        <f t="shared" si="42"/>
        <v/>
      </c>
      <c r="N153" s="7" t="s">
        <v>1960</v>
      </c>
      <c r="T153" s="7" t="str">
        <f t="shared" si="43"/>
        <v/>
      </c>
      <c r="U153" s="7" t="s">
        <v>2060</v>
      </c>
      <c r="V153" s="7" t="s">
        <v>3512</v>
      </c>
      <c r="Z153" s="23"/>
      <c r="AB153" s="8"/>
      <c r="AD153" s="24">
        <v>49783</v>
      </c>
      <c r="AE153" s="7">
        <v>-0.05</v>
      </c>
      <c r="AF153" s="7" t="s">
        <v>3511</v>
      </c>
      <c r="AG153" s="7">
        <v>-1.401</v>
      </c>
      <c r="AH153" s="7" t="s">
        <v>3510</v>
      </c>
      <c r="AI153" s="7">
        <v>241458</v>
      </c>
      <c r="AJ153" s="7">
        <v>-25</v>
      </c>
      <c r="AK153" s="7">
        <v>18</v>
      </c>
      <c r="AL153" s="7" t="s">
        <v>166</v>
      </c>
      <c r="AN153" s="7" t="s">
        <v>1951</v>
      </c>
      <c r="AT153" s="7" t="str">
        <f t="shared" si="39"/>
        <v>CN &amp; RE100</v>
      </c>
      <c r="AU153" s="7" t="str">
        <f t="shared" si="44"/>
        <v>RE100</v>
      </c>
      <c r="AV153" s="7" t="str">
        <f t="shared" si="45"/>
        <v/>
      </c>
      <c r="AW153" s="7" t="str">
        <f t="shared" si="46"/>
        <v/>
      </c>
      <c r="AX153" s="7">
        <f t="shared" si="47"/>
        <v>2020</v>
      </c>
      <c r="BB153" s="7" t="str">
        <f t="shared" si="48"/>
        <v/>
      </c>
      <c r="BC153" s="7" t="str">
        <f t="shared" si="49"/>
        <v>No - but post-2030 commitment</v>
      </c>
      <c r="BD153" s="7" t="s">
        <v>1</v>
      </c>
      <c r="BG153" s="7" t="s">
        <v>3509</v>
      </c>
      <c r="BQ153" s="22"/>
      <c r="CD153" s="7" t="s">
        <v>361</v>
      </c>
      <c r="CF153" s="7" t="s">
        <v>2071</v>
      </c>
      <c r="CH153" s="7" t="str">
        <f t="shared" si="50"/>
        <v>yes</v>
      </c>
      <c r="CW153" s="7" t="s">
        <v>361</v>
      </c>
    </row>
    <row r="154" spans="1:103" s="36" customFormat="1">
      <c r="A154" s="7" t="s">
        <v>415</v>
      </c>
      <c r="B154" s="7">
        <v>425</v>
      </c>
      <c r="C154" s="7" t="s">
        <v>287</v>
      </c>
      <c r="D154" s="7" t="s">
        <v>1957</v>
      </c>
      <c r="E154" s="7" t="s">
        <v>418</v>
      </c>
      <c r="F154" s="7">
        <v>2023</v>
      </c>
      <c r="G154" s="7">
        <v>2008</v>
      </c>
      <c r="H154" s="27" t="s">
        <v>416</v>
      </c>
      <c r="I154" s="24" t="str">
        <f t="shared" si="40"/>
        <v/>
      </c>
      <c r="J154" s="7"/>
      <c r="K154" s="7"/>
      <c r="L154" s="7" t="str">
        <f t="shared" si="41"/>
        <v/>
      </c>
      <c r="M154" s="21" t="str">
        <f t="shared" si="42"/>
        <v/>
      </c>
      <c r="N154" s="7" t="s">
        <v>1960</v>
      </c>
      <c r="O154" s="7"/>
      <c r="P154" s="7"/>
      <c r="Q154" s="7"/>
      <c r="R154" s="7"/>
      <c r="S154" s="7"/>
      <c r="T154" s="7" t="str">
        <f t="shared" si="43"/>
        <v/>
      </c>
      <c r="U154" s="7" t="s">
        <v>1969</v>
      </c>
      <c r="V154" s="7" t="s">
        <v>418</v>
      </c>
      <c r="W154" s="7"/>
      <c r="X154" s="7"/>
      <c r="Y154" s="7"/>
      <c r="Z154" s="7"/>
      <c r="AA154" s="7"/>
      <c r="AB154" s="7"/>
      <c r="AC154" s="26"/>
      <c r="AD154" s="24">
        <v>29485</v>
      </c>
      <c r="AE154" s="7">
        <v>-2.5000000000000001E-2</v>
      </c>
      <c r="AF154" s="7" t="s">
        <v>3508</v>
      </c>
      <c r="AG154" s="7">
        <v>9.1999999999999998E-2</v>
      </c>
      <c r="AH154" s="7" t="s">
        <v>3507</v>
      </c>
      <c r="AI154" s="7">
        <v>78264</v>
      </c>
      <c r="AJ154" s="7">
        <v>-10</v>
      </c>
      <c r="AK154" s="7">
        <v>11</v>
      </c>
      <c r="AL154" s="7" t="s">
        <v>942</v>
      </c>
      <c r="AM154" s="7"/>
      <c r="AN154" s="7" t="s">
        <v>1951</v>
      </c>
      <c r="AO154" s="7"/>
      <c r="AP154" s="7"/>
      <c r="AQ154" s="7"/>
      <c r="AR154" s="7"/>
      <c r="AS154" s="7"/>
      <c r="AT154" s="7" t="str">
        <f t="shared" si="39"/>
        <v>CN</v>
      </c>
      <c r="AU154" s="7" t="str">
        <f t="shared" si="44"/>
        <v>CN</v>
      </c>
      <c r="AV154" s="7">
        <f t="shared" si="45"/>
        <v>2008</v>
      </c>
      <c r="AW154" s="7" t="str">
        <f t="shared" si="46"/>
        <v/>
      </c>
      <c r="AX154" s="7" t="str">
        <f t="shared" si="47"/>
        <v/>
      </c>
      <c r="AY154" s="7"/>
      <c r="AZ154" s="7"/>
      <c r="BA154" s="7"/>
      <c r="BB154" s="7" t="str">
        <f t="shared" si="48"/>
        <v/>
      </c>
      <c r="BC154" s="7" t="str">
        <f t="shared" si="49"/>
        <v>Carbon Neutral</v>
      </c>
      <c r="BD154" s="7" t="s">
        <v>1963</v>
      </c>
      <c r="BE154" s="7"/>
      <c r="BF154"/>
      <c r="BG154" s="7"/>
      <c r="BH154" s="7"/>
      <c r="BI154" s="7"/>
      <c r="BJ154" s="7"/>
      <c r="BK154" s="7"/>
      <c r="BL154" s="7"/>
      <c r="BM154" s="7"/>
      <c r="BN154" s="7"/>
      <c r="BO154" s="7"/>
      <c r="BP154" s="7"/>
      <c r="BQ154" s="22"/>
      <c r="BR154" s="7"/>
      <c r="BS154" s="7"/>
      <c r="BT154" s="7"/>
      <c r="BU154" s="7"/>
      <c r="BV154" s="7"/>
      <c r="BW154" s="7"/>
      <c r="BX154" s="7"/>
      <c r="BY154" s="7"/>
      <c r="BZ154" s="7"/>
      <c r="CA154" s="7"/>
      <c r="CB154" s="7"/>
      <c r="CC154" s="7"/>
      <c r="CD154" s="7" t="s">
        <v>361</v>
      </c>
      <c r="CE154" s="7" t="s">
        <v>2492</v>
      </c>
      <c r="CF154" s="7"/>
      <c r="CG154" s="7"/>
      <c r="CH154" s="7" t="str">
        <f t="shared" si="50"/>
        <v/>
      </c>
      <c r="CI154" s="7"/>
      <c r="CJ154" s="7"/>
      <c r="CK154" s="7"/>
      <c r="CL154" s="7"/>
      <c r="CM154" s="7"/>
      <c r="CN154" s="7"/>
      <c r="CO154" s="7"/>
      <c r="CP154" s="7"/>
      <c r="CQ154" s="7"/>
      <c r="CR154" s="7"/>
      <c r="CS154" s="7"/>
      <c r="CT154" s="7"/>
      <c r="CU154" s="7"/>
      <c r="CV154" s="7"/>
      <c r="CW154" s="7"/>
      <c r="CX154" s="7"/>
      <c r="CY154" s="7"/>
    </row>
    <row r="155" spans="1:103">
      <c r="A155" s="7" t="s">
        <v>1767</v>
      </c>
      <c r="B155" s="7">
        <v>33</v>
      </c>
      <c r="I155" s="24" t="str">
        <f t="shared" si="40"/>
        <v/>
      </c>
      <c r="L155" s="7" t="str">
        <f t="shared" si="41"/>
        <v/>
      </c>
      <c r="M155" s="21" t="str">
        <f t="shared" si="42"/>
        <v/>
      </c>
      <c r="N155" s="7" t="s">
        <v>1960</v>
      </c>
      <c r="T155" s="7" t="str">
        <f t="shared" si="43"/>
        <v>Nothing</v>
      </c>
      <c r="U155" s="7" t="s">
        <v>1</v>
      </c>
      <c r="AC155" s="26" t="s">
        <v>3506</v>
      </c>
      <c r="AD155" s="24">
        <v>152703</v>
      </c>
      <c r="AE155" s="7">
        <v>7.9000000000000001E-2</v>
      </c>
      <c r="AF155" s="7" t="s">
        <v>3505</v>
      </c>
      <c r="AG155" s="7">
        <v>0.16800000000000001</v>
      </c>
      <c r="AH155" s="7" t="s">
        <v>3504</v>
      </c>
      <c r="AI155" s="7">
        <v>201500</v>
      </c>
      <c r="AJ155" s="7">
        <v>2</v>
      </c>
      <c r="AK155" s="7">
        <v>26</v>
      </c>
      <c r="AT155" s="7" t="str">
        <f t="shared" si="39"/>
        <v>None</v>
      </c>
      <c r="AU155" s="7" t="str">
        <f t="shared" si="44"/>
        <v>None</v>
      </c>
      <c r="AV155" s="7" t="str">
        <f t="shared" si="45"/>
        <v/>
      </c>
      <c r="AW155" s="7" t="str">
        <f t="shared" si="46"/>
        <v/>
      </c>
      <c r="AX155" s="7" t="str">
        <f t="shared" si="47"/>
        <v/>
      </c>
      <c r="BB155" s="7" t="str">
        <f t="shared" si="48"/>
        <v/>
      </c>
      <c r="BC155" s="7" t="str">
        <f t="shared" si="49"/>
        <v>No</v>
      </c>
      <c r="BD155" s="7" t="s">
        <v>1</v>
      </c>
      <c r="BF155" s="7" t="s">
        <v>3503</v>
      </c>
      <c r="BQ155" s="22"/>
      <c r="CH155" s="7" t="str">
        <f t="shared" si="50"/>
        <v/>
      </c>
    </row>
    <row r="156" spans="1:103">
      <c r="A156" s="7" t="s">
        <v>1232</v>
      </c>
      <c r="B156" s="7">
        <v>147</v>
      </c>
      <c r="I156" s="24" t="str">
        <f t="shared" si="40"/>
        <v/>
      </c>
      <c r="L156" s="7" t="str">
        <f t="shared" si="41"/>
        <v/>
      </c>
      <c r="M156" s="21" t="str">
        <f t="shared" si="42"/>
        <v/>
      </c>
      <c r="N156" s="7" t="s">
        <v>1960</v>
      </c>
      <c r="T156" s="7" t="str">
        <f t="shared" si="43"/>
        <v>Nothing</v>
      </c>
      <c r="U156" s="7" t="s">
        <v>1</v>
      </c>
      <c r="AD156" s="24">
        <v>70335</v>
      </c>
      <c r="AE156" s="7">
        <v>0.22700000000000001</v>
      </c>
      <c r="AF156" s="7" t="s">
        <v>3502</v>
      </c>
      <c r="AG156" s="7">
        <v>9.4E-2</v>
      </c>
      <c r="AH156" s="7" t="s">
        <v>3501</v>
      </c>
      <c r="AI156" s="7">
        <v>101784</v>
      </c>
      <c r="AJ156" s="7">
        <v>30</v>
      </c>
      <c r="AK156" s="7">
        <v>4</v>
      </c>
      <c r="AT156" s="7" t="str">
        <f t="shared" si="39"/>
        <v>None</v>
      </c>
      <c r="AU156" s="7" t="str">
        <f t="shared" si="44"/>
        <v>None</v>
      </c>
      <c r="AV156" s="7" t="str">
        <f t="shared" si="45"/>
        <v/>
      </c>
      <c r="AW156" s="7" t="str">
        <f t="shared" si="46"/>
        <v/>
      </c>
      <c r="AX156" s="7" t="str">
        <f t="shared" si="47"/>
        <v/>
      </c>
      <c r="BB156" s="7" t="str">
        <f t="shared" si="48"/>
        <v/>
      </c>
      <c r="BC156" s="7" t="str">
        <f t="shared" si="49"/>
        <v>No</v>
      </c>
      <c r="BD156" s="7" t="s">
        <v>1</v>
      </c>
      <c r="BQ156" s="22"/>
      <c r="CH156" s="7" t="str">
        <f t="shared" si="50"/>
        <v/>
      </c>
    </row>
    <row r="157" spans="1:103">
      <c r="A157" s="7" t="s">
        <v>518</v>
      </c>
      <c r="B157" s="7">
        <v>409</v>
      </c>
      <c r="C157" s="7" t="s">
        <v>103</v>
      </c>
      <c r="H157" s="26"/>
      <c r="I157" s="24" t="str">
        <f t="shared" si="40"/>
        <v/>
      </c>
      <c r="L157" s="7" t="str">
        <f t="shared" si="41"/>
        <v/>
      </c>
      <c r="M157" s="21" t="str">
        <f t="shared" si="42"/>
        <v/>
      </c>
      <c r="N157" s="7" t="s">
        <v>1960</v>
      </c>
      <c r="T157" s="7" t="str">
        <f t="shared" si="43"/>
        <v>Nothing</v>
      </c>
      <c r="U157" s="7" t="s">
        <v>1</v>
      </c>
      <c r="AD157" s="24">
        <v>30546</v>
      </c>
      <c r="AE157" s="7">
        <v>-4.2999999999999997E-2</v>
      </c>
      <c r="AF157" s="7" t="s">
        <v>3500</v>
      </c>
      <c r="AG157" s="7">
        <v>-7.6999999999999999E-2</v>
      </c>
      <c r="AH157" s="7" t="s">
        <v>3499</v>
      </c>
      <c r="AI157" s="7">
        <v>15836</v>
      </c>
      <c r="AJ157" s="7">
        <v>-15</v>
      </c>
      <c r="AK157" s="7">
        <v>20</v>
      </c>
      <c r="AL157" s="7" t="s">
        <v>3498</v>
      </c>
      <c r="AT157" s="7" t="str">
        <f t="shared" si="39"/>
        <v>None</v>
      </c>
      <c r="AU157" s="7" t="str">
        <f t="shared" si="44"/>
        <v>None</v>
      </c>
      <c r="AV157" s="7" t="str">
        <f t="shared" si="45"/>
        <v/>
      </c>
      <c r="AW157" s="7" t="str">
        <f t="shared" si="46"/>
        <v/>
      </c>
      <c r="AX157" s="7" t="str">
        <f t="shared" si="47"/>
        <v/>
      </c>
      <c r="BB157" s="7" t="str">
        <f t="shared" si="48"/>
        <v/>
      </c>
      <c r="BC157" s="7" t="str">
        <f t="shared" si="49"/>
        <v>No</v>
      </c>
      <c r="BD157" s="7" t="s">
        <v>1963</v>
      </c>
      <c r="BQ157" s="22"/>
      <c r="CD157" s="7" t="s">
        <v>361</v>
      </c>
      <c r="CF157" s="25"/>
      <c r="CH157" s="7" t="str">
        <f t="shared" si="50"/>
        <v/>
      </c>
    </row>
    <row r="158" spans="1:103">
      <c r="A158" s="7" t="s">
        <v>1573</v>
      </c>
      <c r="B158" s="7">
        <v>67</v>
      </c>
      <c r="C158" s="7" t="s">
        <v>63</v>
      </c>
      <c r="I158" s="24" t="str">
        <f t="shared" si="40"/>
        <v>Yes</v>
      </c>
      <c r="J158" s="7" t="s">
        <v>1251</v>
      </c>
      <c r="K158" s="7">
        <v>2016</v>
      </c>
      <c r="L158" s="7" t="str">
        <f t="shared" si="41"/>
        <v>C</v>
      </c>
      <c r="M158" s="21" t="str">
        <f t="shared" si="42"/>
        <v/>
      </c>
      <c r="N158" s="7">
        <v>2016</v>
      </c>
      <c r="T158" s="7" t="str">
        <f t="shared" si="43"/>
        <v>Nothing</v>
      </c>
      <c r="U158" s="7" t="s">
        <v>1</v>
      </c>
      <c r="AC158" s="8" t="s">
        <v>3497</v>
      </c>
      <c r="AD158" s="24">
        <v>104972</v>
      </c>
      <c r="AE158" s="7">
        <v>0.188</v>
      </c>
      <c r="AF158" s="7" t="s">
        <v>3496</v>
      </c>
      <c r="AG158" s="7">
        <v>4.3999999999999997E-2</v>
      </c>
      <c r="AH158" s="7" t="s">
        <v>3495</v>
      </c>
      <c r="AI158" s="7">
        <v>73037</v>
      </c>
      <c r="AJ158" s="7">
        <v>24</v>
      </c>
      <c r="AK158" s="7">
        <v>26</v>
      </c>
      <c r="AL158" s="7" t="s">
        <v>93</v>
      </c>
      <c r="AN158" s="7" t="s">
        <v>1951</v>
      </c>
      <c r="AT158" s="7" t="s">
        <v>2385</v>
      </c>
      <c r="AU158" s="7" t="str">
        <f t="shared" si="44"/>
        <v>SBT</v>
      </c>
      <c r="AV158" s="7" t="str">
        <f t="shared" si="45"/>
        <v/>
      </c>
      <c r="AW158" s="7">
        <f t="shared" si="46"/>
        <v>2016</v>
      </c>
      <c r="AX158" s="7" t="str">
        <f t="shared" si="47"/>
        <v/>
      </c>
      <c r="BB158" s="7" t="str">
        <f t="shared" si="48"/>
        <v>Yes</v>
      </c>
      <c r="BC158" s="7" t="str">
        <f t="shared" si="49"/>
        <v>No</v>
      </c>
      <c r="BD158" s="7" t="s">
        <v>1</v>
      </c>
      <c r="BF158" s="7" t="s">
        <v>3494</v>
      </c>
      <c r="BH158" s="7" t="s">
        <v>165</v>
      </c>
      <c r="BJ158" s="7" t="s">
        <v>1568</v>
      </c>
      <c r="BQ158" s="22"/>
      <c r="CG158" s="7" t="s">
        <v>63</v>
      </c>
      <c r="CH158" s="7" t="str">
        <f t="shared" si="50"/>
        <v/>
      </c>
      <c r="CI158" s="7" t="s">
        <v>3493</v>
      </c>
      <c r="CJ158" s="7" t="s">
        <v>3492</v>
      </c>
      <c r="CK158" s="7" t="s">
        <v>1565</v>
      </c>
      <c r="CL158" s="7">
        <v>0.85</v>
      </c>
      <c r="CM158" s="7">
        <v>0.4</v>
      </c>
      <c r="CN158" s="7" t="s">
        <v>13</v>
      </c>
      <c r="CO158" s="7" t="s">
        <v>3491</v>
      </c>
    </row>
    <row r="159" spans="1:103">
      <c r="A159" s="7" t="s">
        <v>634</v>
      </c>
      <c r="B159" s="7">
        <v>357</v>
      </c>
      <c r="C159" s="7" t="s">
        <v>287</v>
      </c>
      <c r="D159" s="7" t="s">
        <v>1957</v>
      </c>
      <c r="E159" s="7" t="s">
        <v>3490</v>
      </c>
      <c r="F159" s="7">
        <v>2010</v>
      </c>
      <c r="G159" s="7">
        <v>2010</v>
      </c>
      <c r="H159" s="26" t="s">
        <v>3486</v>
      </c>
      <c r="I159" s="24" t="str">
        <f t="shared" si="40"/>
        <v>Yes</v>
      </c>
      <c r="J159" s="7">
        <v>2025</v>
      </c>
      <c r="K159" s="7">
        <v>2020</v>
      </c>
      <c r="L159" s="7" t="str">
        <f t="shared" si="41"/>
        <v/>
      </c>
      <c r="M159" s="21" t="str">
        <f t="shared" si="42"/>
        <v/>
      </c>
      <c r="N159" s="7" t="s">
        <v>1960</v>
      </c>
      <c r="T159" s="7" t="str">
        <f t="shared" si="43"/>
        <v/>
      </c>
      <c r="U159" s="7" t="s">
        <v>361</v>
      </c>
      <c r="V159" s="7" t="s">
        <v>2347</v>
      </c>
      <c r="W159" s="7" t="s">
        <v>3489</v>
      </c>
      <c r="X159" s="7" t="s">
        <v>3488</v>
      </c>
      <c r="Z159" s="7" t="s">
        <v>3487</v>
      </c>
      <c r="AC159" s="26" t="s">
        <v>3486</v>
      </c>
      <c r="AD159" s="24">
        <v>35473</v>
      </c>
      <c r="AE159" s="7">
        <v>3.5000000000000003E-2</v>
      </c>
      <c r="AF159" s="7" t="s">
        <v>3485</v>
      </c>
      <c r="AG159" s="7">
        <v>0.64400000000000002</v>
      </c>
      <c r="AH159" s="7" t="s">
        <v>3484</v>
      </c>
      <c r="AI159" s="7">
        <v>47860</v>
      </c>
      <c r="AJ159" s="7">
        <v>3</v>
      </c>
      <c r="AK159" s="7">
        <v>26</v>
      </c>
      <c r="AL159" s="7" t="s">
        <v>93</v>
      </c>
      <c r="AN159" s="7" t="s">
        <v>1951</v>
      </c>
      <c r="AT159" s="7" t="str">
        <f>IF(OR(BC159="Carbon Neutral",BC159="No - but post-2030 commitment"),IF((OR(BH159="Committed",BH159="Targets Set")),IF(J159="", "CN &amp; SBT","CN, SBT &amp; RE100"),IF(CH159="","CN","CN &amp; RE100")),IF((OR(BH159="Committed",BH159="Targets Set")),IF(CH159="", "SBT","SBT &amp; RE100"),IF(CH159="","None","RE100")))</f>
        <v>CN &amp; RE100</v>
      </c>
      <c r="AU159" s="7" t="str">
        <f t="shared" si="44"/>
        <v>CN &amp; RE100</v>
      </c>
      <c r="AV159" s="7">
        <f t="shared" si="45"/>
        <v>2010</v>
      </c>
      <c r="AW159" s="7" t="str">
        <f t="shared" si="46"/>
        <v/>
      </c>
      <c r="AX159" s="7">
        <f t="shared" si="47"/>
        <v>2020</v>
      </c>
      <c r="BB159" s="7" t="str">
        <f t="shared" si="48"/>
        <v/>
      </c>
      <c r="BC159" s="7" t="str">
        <f t="shared" si="49"/>
        <v>Carbon Neutral</v>
      </c>
      <c r="BD159" s="7" t="s">
        <v>1963</v>
      </c>
      <c r="BF159" t="s">
        <v>3483</v>
      </c>
      <c r="BG159" s="7" t="s">
        <v>3482</v>
      </c>
      <c r="BQ159" s="22"/>
      <c r="CE159" s="7" t="s">
        <v>1947</v>
      </c>
      <c r="CH159" s="7" t="str">
        <f t="shared" si="50"/>
        <v>yes</v>
      </c>
    </row>
    <row r="160" spans="1:103">
      <c r="A160" s="7" t="s">
        <v>498</v>
      </c>
      <c r="B160" s="7">
        <v>397</v>
      </c>
      <c r="C160" s="7" t="s">
        <v>400</v>
      </c>
      <c r="D160" s="7" t="s">
        <v>1971</v>
      </c>
      <c r="E160" s="7" t="s">
        <v>2760</v>
      </c>
      <c r="F160" s="7">
        <v>2050</v>
      </c>
      <c r="G160" s="7">
        <v>2020</v>
      </c>
      <c r="H160" s="26" t="s">
        <v>3481</v>
      </c>
      <c r="I160" s="24" t="str">
        <f t="shared" si="40"/>
        <v/>
      </c>
      <c r="L160" s="7" t="str">
        <f t="shared" si="41"/>
        <v>C</v>
      </c>
      <c r="M160" s="21" t="str">
        <f t="shared" si="42"/>
        <v/>
      </c>
      <c r="N160" s="7">
        <v>2018</v>
      </c>
      <c r="T160" s="7" t="str">
        <f t="shared" si="43"/>
        <v/>
      </c>
      <c r="U160" s="7" t="s">
        <v>1969</v>
      </c>
      <c r="V160" s="7" t="s">
        <v>3480</v>
      </c>
      <c r="X160" s="1" t="s">
        <v>3479</v>
      </c>
      <c r="AD160" s="24">
        <v>31682</v>
      </c>
      <c r="AE160" s="7">
        <v>2E-3</v>
      </c>
      <c r="AF160" s="7" t="s">
        <v>3445</v>
      </c>
      <c r="AG160" s="7">
        <v>-0.27300000000000002</v>
      </c>
      <c r="AH160" s="7" t="s">
        <v>3478</v>
      </c>
      <c r="AI160" s="7">
        <v>86951</v>
      </c>
      <c r="AJ160" s="7" t="s">
        <v>9</v>
      </c>
      <c r="AK160" s="7">
        <v>17</v>
      </c>
      <c r="AL160" s="7" t="s">
        <v>500</v>
      </c>
      <c r="AN160" s="7" t="s">
        <v>1951</v>
      </c>
      <c r="AT160" s="7" t="str">
        <f>IF(OR(BC160="Carbon Neutral",BC160="No - but post-2030 commitment"),IF((OR(BH160="Committed",BH160="Targets Set")),IF(J160="", "CN &amp; SBT","CN, SBT &amp; RE100"),IF(CH160="","CN","CN &amp; RE100")),IF((OR(BH160="Committed",BH160="Targets Set")),IF(CH160="", "SBT","SBT &amp; RE100"),IF(CH160="","None","RE100")))</f>
        <v>CN &amp; SBT</v>
      </c>
      <c r="AU160" s="7" t="str">
        <f t="shared" si="44"/>
        <v>SBT</v>
      </c>
      <c r="AV160" s="7" t="str">
        <f t="shared" si="45"/>
        <v/>
      </c>
      <c r="AW160" s="7">
        <f t="shared" si="46"/>
        <v>2018</v>
      </c>
      <c r="AX160" s="7" t="str">
        <f t="shared" si="47"/>
        <v/>
      </c>
      <c r="BB160" s="7" t="str">
        <f t="shared" si="48"/>
        <v>Yes</v>
      </c>
      <c r="BC160" s="7" t="str">
        <f t="shared" si="49"/>
        <v>No - but post-2030 commitment</v>
      </c>
      <c r="BD160" s="7" t="s">
        <v>1963</v>
      </c>
      <c r="BH160" s="7" t="s">
        <v>165</v>
      </c>
      <c r="BJ160" s="7" t="s">
        <v>499</v>
      </c>
      <c r="BQ160" s="22"/>
      <c r="CD160" s="7" t="s">
        <v>361</v>
      </c>
      <c r="CF160" s="25"/>
      <c r="CH160" s="7" t="str">
        <f t="shared" si="50"/>
        <v/>
      </c>
      <c r="CW160" s="7" t="s">
        <v>361</v>
      </c>
    </row>
    <row r="161" spans="1:103">
      <c r="A161" s="7" t="s">
        <v>638</v>
      </c>
      <c r="B161" s="7">
        <v>361</v>
      </c>
      <c r="I161" s="24" t="str">
        <f t="shared" si="40"/>
        <v/>
      </c>
      <c r="L161" s="7" t="str">
        <f t="shared" si="41"/>
        <v/>
      </c>
      <c r="M161" s="21" t="str">
        <f t="shared" si="42"/>
        <v/>
      </c>
      <c r="N161" s="7" t="s">
        <v>1960</v>
      </c>
      <c r="T161" s="7" t="str">
        <f t="shared" si="43"/>
        <v>Nothing</v>
      </c>
      <c r="U161" s="7" t="s">
        <v>1963</v>
      </c>
      <c r="AD161" s="24">
        <v>34704</v>
      </c>
      <c r="AE161" s="7">
        <v>1E-3</v>
      </c>
      <c r="AF161" s="7" t="s">
        <v>3477</v>
      </c>
      <c r="AG161" s="7">
        <v>7.4999999999999997E-2</v>
      </c>
      <c r="AH161" s="7" t="s">
        <v>3476</v>
      </c>
      <c r="AI161" s="7">
        <v>176348</v>
      </c>
      <c r="AJ161" s="7">
        <v>-2</v>
      </c>
      <c r="AK161" s="7">
        <v>2</v>
      </c>
      <c r="AT161" s="7" t="str">
        <f>IF(OR(BC161="Carbon Neutral",BC161="No - but post-2030 commitment"),IF((OR(BH161="Committed",BH161="Targets Set")),IF(J161="", "CN &amp; SBT","CN, SBT &amp; RE100"),IF(CH161="","CN","CN &amp; RE100")),IF((OR(BH161="Committed",BH161="Targets Set")),IF(CH161="", "SBT","SBT &amp; RE100"),IF(CH161="","None","RE100")))</f>
        <v>None</v>
      </c>
      <c r="AU161" s="7" t="str">
        <f t="shared" si="44"/>
        <v>None</v>
      </c>
      <c r="AV161" s="7" t="str">
        <f t="shared" si="45"/>
        <v/>
      </c>
      <c r="AW161" s="7" t="str">
        <f t="shared" si="46"/>
        <v/>
      </c>
      <c r="AX161" s="7" t="str">
        <f t="shared" si="47"/>
        <v/>
      </c>
      <c r="BB161" s="7" t="str">
        <f t="shared" si="48"/>
        <v/>
      </c>
      <c r="BC161" s="7" t="str">
        <f t="shared" si="49"/>
        <v>No</v>
      </c>
      <c r="BD161" s="7" t="s">
        <v>1963</v>
      </c>
      <c r="BQ161" s="22"/>
      <c r="CH161" s="7" t="str">
        <f t="shared" si="50"/>
        <v/>
      </c>
    </row>
    <row r="162" spans="1:103">
      <c r="A162" s="7" t="s">
        <v>1815</v>
      </c>
      <c r="B162" s="7">
        <v>13</v>
      </c>
      <c r="C162" s="7" t="s">
        <v>127</v>
      </c>
      <c r="I162" s="24" t="str">
        <f t="shared" si="40"/>
        <v/>
      </c>
      <c r="L162" s="7" t="str">
        <f t="shared" si="41"/>
        <v>T</v>
      </c>
      <c r="M162" s="21">
        <f t="shared" si="42"/>
        <v>2027.6666666666667</v>
      </c>
      <c r="N162" s="7">
        <v>2018</v>
      </c>
      <c r="T162" s="7" t="str">
        <f t="shared" si="43"/>
        <v>Nothing</v>
      </c>
      <c r="U162" s="7" t="s">
        <v>1</v>
      </c>
      <c r="AC162" s="26" t="s">
        <v>3475</v>
      </c>
      <c r="AD162" s="24">
        <v>256776</v>
      </c>
      <c r="AE162" s="7">
        <v>0.32</v>
      </c>
      <c r="AF162" s="7" t="s">
        <v>3474</v>
      </c>
      <c r="AG162" s="7" t="s">
        <v>9</v>
      </c>
      <c r="AH162" s="7" t="s">
        <v>3473</v>
      </c>
      <c r="AI162" s="7">
        <v>290000</v>
      </c>
      <c r="AJ162" s="7">
        <v>6</v>
      </c>
      <c r="AK162" s="7">
        <v>25</v>
      </c>
      <c r="AL162" s="7" t="s">
        <v>942</v>
      </c>
      <c r="AN162" s="7" t="s">
        <v>2029</v>
      </c>
      <c r="AT162" s="7" t="str">
        <f>IF(OR(BC162="Carbon Neutral",BC162="No - but post-2030 commitment"),IF((OR(BH162="Committed",BH162="Targets Set")),IF(J162="", "CN &amp; SBT","CN, SBT &amp; RE100"),IF(CH162="","CN","CN &amp; RE100")),IF((OR(BH162="Committed",BH162="Targets Set")),IF(CH162="", "SBT","SBT &amp; RE100"),IF(CH162="","None","RE100")))</f>
        <v>SBT</v>
      </c>
      <c r="AU162" s="7" t="str">
        <f t="shared" si="44"/>
        <v>SBT</v>
      </c>
      <c r="AV162" s="7" t="str">
        <f t="shared" si="45"/>
        <v/>
      </c>
      <c r="AW162" s="7">
        <f t="shared" si="46"/>
        <v>2018</v>
      </c>
      <c r="AX162" s="7" t="str">
        <f t="shared" si="47"/>
        <v/>
      </c>
      <c r="BB162" s="7" t="str">
        <f t="shared" ref="BB162:BB176" si="51">IF(BH162="","","Yes")</f>
        <v>Yes</v>
      </c>
      <c r="BC162" s="7" t="str">
        <f t="shared" si="49"/>
        <v>No</v>
      </c>
      <c r="BD162" s="7" t="s">
        <v>1</v>
      </c>
      <c r="BF162" s="23" t="s">
        <v>3472</v>
      </c>
      <c r="BH162" s="7" t="s">
        <v>22</v>
      </c>
      <c r="BI162" s="7" t="s">
        <v>2040</v>
      </c>
      <c r="BJ162" s="7" t="s">
        <v>1057</v>
      </c>
      <c r="BM162" s="7" t="s">
        <v>1816</v>
      </c>
      <c r="BN162" s="7">
        <v>2030</v>
      </c>
      <c r="BO162" s="7">
        <v>2030</v>
      </c>
      <c r="BP162" s="7">
        <v>2023</v>
      </c>
      <c r="BQ162" s="22">
        <v>0.36</v>
      </c>
      <c r="CH162" s="7" t="str">
        <f t="shared" si="50"/>
        <v/>
      </c>
      <c r="CX162" s="7" t="s">
        <v>361</v>
      </c>
      <c r="CY162" s="7" t="s">
        <v>361</v>
      </c>
    </row>
    <row r="163" spans="1:103">
      <c r="A163" s="7" t="s">
        <v>1318</v>
      </c>
      <c r="B163" s="7">
        <v>165</v>
      </c>
      <c r="C163" s="7" t="s">
        <v>207</v>
      </c>
      <c r="I163" s="24" t="str">
        <f t="shared" si="40"/>
        <v>Yes</v>
      </c>
      <c r="J163" s="7">
        <v>2050</v>
      </c>
      <c r="K163" s="7">
        <v>2019</v>
      </c>
      <c r="L163" s="7" t="str">
        <f t="shared" si="41"/>
        <v/>
      </c>
      <c r="M163" s="21" t="str">
        <f t="shared" si="42"/>
        <v/>
      </c>
      <c r="N163" s="7" t="s">
        <v>1960</v>
      </c>
      <c r="T163" s="7" t="str">
        <f t="shared" si="43"/>
        <v>Nothing</v>
      </c>
      <c r="U163" s="7" t="s">
        <v>1</v>
      </c>
      <c r="AD163" s="24">
        <v>65434</v>
      </c>
      <c r="AE163" s="7">
        <v>0.01</v>
      </c>
      <c r="AF163" s="7" t="s">
        <v>3471</v>
      </c>
      <c r="AG163" s="7">
        <v>-0.85299999999999998</v>
      </c>
      <c r="AH163" s="7" t="s">
        <v>3470</v>
      </c>
      <c r="AI163" s="7">
        <v>63719</v>
      </c>
      <c r="AJ163" s="7">
        <v>-12</v>
      </c>
      <c r="AK163" s="7">
        <v>26</v>
      </c>
      <c r="AL163" s="7" t="s">
        <v>93</v>
      </c>
      <c r="AN163" s="7" t="s">
        <v>1994</v>
      </c>
      <c r="AT163" s="7" t="s">
        <v>3034</v>
      </c>
      <c r="AU163" s="7" t="str">
        <f t="shared" si="44"/>
        <v>None</v>
      </c>
      <c r="AV163" s="7" t="str">
        <f t="shared" si="45"/>
        <v/>
      </c>
      <c r="AW163" s="7" t="str">
        <f t="shared" si="46"/>
        <v/>
      </c>
      <c r="AX163" s="7" t="str">
        <f t="shared" si="47"/>
        <v/>
      </c>
      <c r="BB163" s="7" t="str">
        <f t="shared" si="51"/>
        <v/>
      </c>
      <c r="BC163" s="7" t="str">
        <f t="shared" si="49"/>
        <v>No</v>
      </c>
      <c r="BD163" s="7" t="s">
        <v>1</v>
      </c>
      <c r="BQ163" s="22"/>
      <c r="CG163" s="7" t="s">
        <v>207</v>
      </c>
      <c r="CH163" s="7" t="str">
        <f t="shared" si="50"/>
        <v/>
      </c>
      <c r="CI163" s="7" t="s">
        <v>13</v>
      </c>
      <c r="CJ163" s="7">
        <v>0</v>
      </c>
      <c r="CK163" s="7" t="s">
        <v>13</v>
      </c>
      <c r="CL163" s="7" t="s">
        <v>13</v>
      </c>
      <c r="CM163" s="7" t="s">
        <v>13</v>
      </c>
      <c r="CN163" s="7" t="s">
        <v>13</v>
      </c>
      <c r="CO163" s="7" t="s">
        <v>3469</v>
      </c>
      <c r="CP163" s="7" t="s">
        <v>1945</v>
      </c>
    </row>
    <row r="164" spans="1:103">
      <c r="A164" s="7" t="s">
        <v>1821</v>
      </c>
      <c r="B164" s="7">
        <v>20</v>
      </c>
      <c r="C164" s="7" t="s">
        <v>146</v>
      </c>
      <c r="D164" s="7" t="s">
        <v>1971</v>
      </c>
      <c r="E164" s="7" t="s">
        <v>3468</v>
      </c>
      <c r="F164" s="7">
        <v>2039</v>
      </c>
      <c r="G164" s="7">
        <v>2019</v>
      </c>
      <c r="H164" s="27" t="s">
        <v>3467</v>
      </c>
      <c r="I164" s="24" t="str">
        <f t="shared" si="40"/>
        <v/>
      </c>
      <c r="L164" s="7" t="str">
        <f t="shared" si="41"/>
        <v/>
      </c>
      <c r="M164" s="21" t="str">
        <f t="shared" si="42"/>
        <v/>
      </c>
      <c r="N164" s="7" t="s">
        <v>1960</v>
      </c>
      <c r="T164" s="7" t="str">
        <f t="shared" si="43"/>
        <v/>
      </c>
      <c r="U164" s="7" t="s">
        <v>1969</v>
      </c>
      <c r="V164" s="7" t="s">
        <v>3466</v>
      </c>
      <c r="X164" s="36" t="s">
        <v>3465</v>
      </c>
      <c r="Z164" s="7" t="s">
        <v>3464</v>
      </c>
      <c r="AB164" s="27" t="s">
        <v>3463</v>
      </c>
      <c r="AC164" s="26" t="s">
        <v>3462</v>
      </c>
      <c r="AD164" s="24">
        <v>193346</v>
      </c>
      <c r="AE164" s="7">
        <v>-2.1000000000000001E-2</v>
      </c>
      <c r="AF164" s="7" t="s">
        <v>3461</v>
      </c>
      <c r="AG164" s="7">
        <v>-0.68899999999999995</v>
      </c>
      <c r="AH164" s="7" t="s">
        <v>3460</v>
      </c>
      <c r="AI164" s="7">
        <v>298655</v>
      </c>
      <c r="AJ164" s="7">
        <v>-2</v>
      </c>
      <c r="AK164" s="7">
        <v>26</v>
      </c>
      <c r="AL164" s="7" t="s">
        <v>166</v>
      </c>
      <c r="AN164" s="7" t="s">
        <v>1951</v>
      </c>
      <c r="AT164" s="7" t="str">
        <f>IF(OR(BC164="Carbon Neutral",BC164="No - but post-2030 commitment"),IF((OR(BH164="Committed",BH164="Targets Set")),IF(J164="", "CN &amp; SBT","CN, SBT &amp; RE100"),IF(CH164="","CN","CN &amp; RE100")),IF((OR(BH164="Committed",BH164="Targets Set")),IF(CH164="", "SBT","SBT &amp; RE100"),IF(CH164="","None","RE100")))</f>
        <v>CN</v>
      </c>
      <c r="AU164" s="7" t="str">
        <f t="shared" si="44"/>
        <v>None</v>
      </c>
      <c r="AV164" s="7" t="str">
        <f t="shared" si="45"/>
        <v/>
      </c>
      <c r="AW164" s="7" t="str">
        <f t="shared" si="46"/>
        <v/>
      </c>
      <c r="AX164" s="7" t="str">
        <f t="shared" si="47"/>
        <v/>
      </c>
      <c r="BB164" s="7" t="str">
        <f t="shared" si="51"/>
        <v/>
      </c>
      <c r="BC164" s="7" t="str">
        <f t="shared" si="49"/>
        <v>No - but post-2030 commitment</v>
      </c>
      <c r="BD164" s="7" t="s">
        <v>1</v>
      </c>
      <c r="BF164" s="23" t="s">
        <v>3459</v>
      </c>
      <c r="BG164" s="7" t="s">
        <v>3458</v>
      </c>
      <c r="BQ164" s="22"/>
      <c r="CD164" s="7" t="s">
        <v>361</v>
      </c>
      <c r="CE164" s="7" t="s">
        <v>2093</v>
      </c>
      <c r="CH164" s="7" t="str">
        <f t="shared" si="50"/>
        <v/>
      </c>
      <c r="CT164" s="7" t="s">
        <v>1821</v>
      </c>
      <c r="CU164" s="7" t="s">
        <v>2109</v>
      </c>
      <c r="CV164" s="7">
        <v>-28</v>
      </c>
      <c r="CW164" s="7" t="s">
        <v>361</v>
      </c>
    </row>
    <row r="165" spans="1:103">
      <c r="A165" s="7" t="s">
        <v>736</v>
      </c>
      <c r="B165" s="7">
        <v>311</v>
      </c>
      <c r="C165" s="7" t="s">
        <v>207</v>
      </c>
      <c r="I165" s="24" t="str">
        <f t="shared" si="40"/>
        <v>Yes</v>
      </c>
      <c r="J165" s="7">
        <v>2040</v>
      </c>
      <c r="K165" s="7">
        <v>2018</v>
      </c>
      <c r="L165" s="7" t="str">
        <f t="shared" si="41"/>
        <v>T</v>
      </c>
      <c r="M165" s="21">
        <f t="shared" si="42"/>
        <v>2030</v>
      </c>
      <c r="N165" s="7">
        <v>2018</v>
      </c>
      <c r="T165" s="7" t="str">
        <f t="shared" si="43"/>
        <v>Nothing</v>
      </c>
      <c r="U165" s="7" t="s">
        <v>1963</v>
      </c>
      <c r="AC165" s="26" t="s">
        <v>3457</v>
      </c>
      <c r="AD165" s="24">
        <v>40288</v>
      </c>
      <c r="AE165" s="7">
        <v>7.8E-2</v>
      </c>
      <c r="AF165" s="7" t="s">
        <v>3456</v>
      </c>
      <c r="AG165" s="7">
        <v>3.0000000000000001E-3</v>
      </c>
      <c r="AH165" s="7" t="s">
        <v>3455</v>
      </c>
      <c r="AI165" s="7">
        <v>47133</v>
      </c>
      <c r="AJ165" s="7">
        <v>16</v>
      </c>
      <c r="AK165" s="7">
        <v>16</v>
      </c>
      <c r="AL165" s="7" t="s">
        <v>739</v>
      </c>
      <c r="AN165" s="7" t="s">
        <v>1994</v>
      </c>
      <c r="AT165" s="7" t="s">
        <v>2385</v>
      </c>
      <c r="AU165" s="7" t="str">
        <f t="shared" si="44"/>
        <v>SBT</v>
      </c>
      <c r="AV165" s="7" t="str">
        <f t="shared" si="45"/>
        <v/>
      </c>
      <c r="AW165" s="7">
        <f t="shared" si="46"/>
        <v>2018</v>
      </c>
      <c r="AX165" s="7" t="str">
        <f t="shared" si="47"/>
        <v/>
      </c>
      <c r="BB165" s="7" t="str">
        <f t="shared" si="51"/>
        <v>Yes</v>
      </c>
      <c r="BC165" s="7" t="str">
        <f t="shared" si="49"/>
        <v>No</v>
      </c>
      <c r="BD165" s="7" t="s">
        <v>1963</v>
      </c>
      <c r="BF165" s="7" t="s">
        <v>3454</v>
      </c>
      <c r="BH165" s="7" t="s">
        <v>22</v>
      </c>
      <c r="BI165" s="7" t="s">
        <v>2040</v>
      </c>
      <c r="BJ165" s="7" t="s">
        <v>731</v>
      </c>
      <c r="BM165" s="7" t="s">
        <v>737</v>
      </c>
      <c r="BN165" s="7">
        <v>2030</v>
      </c>
      <c r="BO165" s="7">
        <v>2030</v>
      </c>
      <c r="BP165" s="7">
        <v>2030</v>
      </c>
      <c r="BQ165" s="22">
        <v>0.22</v>
      </c>
      <c r="CG165" s="7" t="s">
        <v>207</v>
      </c>
      <c r="CH165" s="7" t="str">
        <f t="shared" si="50"/>
        <v/>
      </c>
      <c r="CI165" s="7" t="s">
        <v>13</v>
      </c>
      <c r="CJ165" s="7">
        <v>0</v>
      </c>
      <c r="CK165" s="7">
        <v>0</v>
      </c>
      <c r="CL165" s="7" t="s">
        <v>13</v>
      </c>
      <c r="CM165" s="7" t="s">
        <v>13</v>
      </c>
      <c r="CN165" s="7" t="s">
        <v>13</v>
      </c>
      <c r="CO165" s="7" t="s">
        <v>3453</v>
      </c>
    </row>
    <row r="166" spans="1:103">
      <c r="A166" s="7" t="s">
        <v>330</v>
      </c>
      <c r="B166" s="7">
        <v>453</v>
      </c>
      <c r="C166" s="7" t="s">
        <v>63</v>
      </c>
      <c r="D166" s="7" t="s">
        <v>1971</v>
      </c>
      <c r="E166" s="7" t="s">
        <v>3452</v>
      </c>
      <c r="F166" s="7">
        <v>2050</v>
      </c>
      <c r="G166" s="7">
        <v>2015</v>
      </c>
      <c r="H166" s="8" t="s">
        <v>3451</v>
      </c>
      <c r="I166" s="24" t="str">
        <f t="shared" si="40"/>
        <v>Yes</v>
      </c>
      <c r="J166" s="7">
        <v>2030</v>
      </c>
      <c r="K166" s="7">
        <v>2018</v>
      </c>
      <c r="L166" s="7" t="str">
        <f t="shared" si="41"/>
        <v>T</v>
      </c>
      <c r="M166" s="21">
        <f t="shared" si="42"/>
        <v>2030</v>
      </c>
      <c r="N166" s="7">
        <v>2017</v>
      </c>
      <c r="O166" s="7" t="s">
        <v>1971</v>
      </c>
      <c r="P166" s="7" t="s">
        <v>3450</v>
      </c>
      <c r="Q166" s="7">
        <v>2050</v>
      </c>
      <c r="R166" s="7">
        <v>2015</v>
      </c>
      <c r="S166" s="8" t="s">
        <v>3446</v>
      </c>
      <c r="T166" s="7" t="str">
        <f t="shared" si="43"/>
        <v/>
      </c>
      <c r="U166" s="7" t="s">
        <v>1969</v>
      </c>
      <c r="V166" s="7" t="s">
        <v>3449</v>
      </c>
      <c r="X166" s="7" t="s">
        <v>3448</v>
      </c>
      <c r="Z166" s="23" t="s">
        <v>3447</v>
      </c>
      <c r="AB166" s="8" t="s">
        <v>3446</v>
      </c>
      <c r="AC166" s="27" t="s">
        <v>3446</v>
      </c>
      <c r="AD166" s="24">
        <v>28303</v>
      </c>
      <c r="AE166" s="7">
        <v>-2.7E-2</v>
      </c>
      <c r="AF166" s="7" t="s">
        <v>3445</v>
      </c>
      <c r="AG166" s="7">
        <v>-0.221</v>
      </c>
      <c r="AH166" s="7" t="s">
        <v>3444</v>
      </c>
      <c r="AI166" s="7">
        <v>102449</v>
      </c>
      <c r="AJ166" s="7">
        <v>-21</v>
      </c>
      <c r="AK166" s="7">
        <v>26</v>
      </c>
      <c r="AL166" s="7" t="s">
        <v>23</v>
      </c>
      <c r="AN166" s="7" t="s">
        <v>1951</v>
      </c>
      <c r="AT166" s="7" t="str">
        <f>IF(OR(BC166="Carbon Neutral",BC166="No - but post-2030 commitment"),IF((OR(BH166="Committed",BH166="Targets Set")),IF(J166="", "CN &amp; SBT","CN, SBT &amp; RE100"),IF(CH166="","CN","CN &amp; RE100")),IF((OR(BH166="Committed",BH166="Targets Set")),IF(CH166="", "SBT","SBT &amp; RE100"),IF(CH166="","None","RE100")))</f>
        <v>CN, SBT &amp; RE100</v>
      </c>
      <c r="AU166" s="7" t="str">
        <f t="shared" si="44"/>
        <v>SBT &amp; RE100</v>
      </c>
      <c r="AV166" s="7" t="str">
        <f t="shared" si="45"/>
        <v/>
      </c>
      <c r="AW166" s="7">
        <f t="shared" si="46"/>
        <v>2017</v>
      </c>
      <c r="AX166" s="7">
        <f t="shared" si="47"/>
        <v>2018</v>
      </c>
      <c r="BB166" s="7" t="str">
        <f t="shared" si="51"/>
        <v>Yes</v>
      </c>
      <c r="BC166" s="7" t="str">
        <f t="shared" si="49"/>
        <v>No - but post-2030 commitment</v>
      </c>
      <c r="BD166" s="7" t="s">
        <v>1969</v>
      </c>
      <c r="BE166" s="7" t="s">
        <v>3443</v>
      </c>
      <c r="BF166" s="7" t="s">
        <v>2938</v>
      </c>
      <c r="BG166" s="7" t="s">
        <v>2471</v>
      </c>
      <c r="BH166" s="7" t="s">
        <v>22</v>
      </c>
      <c r="BI166" s="7" t="s">
        <v>2040</v>
      </c>
      <c r="BJ166" s="7" t="s">
        <v>333</v>
      </c>
      <c r="BM166" s="7" t="s">
        <v>331</v>
      </c>
      <c r="BN166" s="7">
        <v>2030</v>
      </c>
      <c r="BO166" s="7">
        <v>2030</v>
      </c>
      <c r="BP166" s="7">
        <v>2030</v>
      </c>
      <c r="BQ166" s="22">
        <v>0.3</v>
      </c>
      <c r="CD166" s="7" t="s">
        <v>361</v>
      </c>
      <c r="CE166" s="7">
        <v>2050</v>
      </c>
      <c r="CG166" s="7" t="s">
        <v>63</v>
      </c>
      <c r="CH166" s="7" t="str">
        <f t="shared" si="50"/>
        <v>yes</v>
      </c>
      <c r="CI166" s="7" t="s">
        <v>329</v>
      </c>
      <c r="CJ166" s="7">
        <v>0.34</v>
      </c>
      <c r="CK166" s="7">
        <v>0.18</v>
      </c>
      <c r="CL166" s="7">
        <v>7.0000000000000007E-2</v>
      </c>
      <c r="CM166" s="7" t="s">
        <v>13</v>
      </c>
      <c r="CN166" s="7" t="s">
        <v>13</v>
      </c>
      <c r="CO166" s="7" t="s">
        <v>3442</v>
      </c>
      <c r="CT166" s="7" t="s">
        <v>330</v>
      </c>
      <c r="CU166" s="7" t="s">
        <v>2151</v>
      </c>
      <c r="CV166" s="7">
        <v>16</v>
      </c>
      <c r="CW166" s="7" t="s">
        <v>361</v>
      </c>
    </row>
    <row r="167" spans="1:103">
      <c r="A167" s="7" t="s">
        <v>233</v>
      </c>
      <c r="B167" s="7">
        <v>463</v>
      </c>
      <c r="C167" s="7" t="s">
        <v>73</v>
      </c>
      <c r="I167" s="24" t="str">
        <f t="shared" si="40"/>
        <v/>
      </c>
      <c r="L167" s="7" t="str">
        <f t="shared" si="41"/>
        <v/>
      </c>
      <c r="M167" s="21" t="str">
        <f t="shared" si="42"/>
        <v/>
      </c>
      <c r="N167" s="7" t="s">
        <v>1960</v>
      </c>
      <c r="T167" s="7" t="str">
        <f t="shared" si="43"/>
        <v>Nothing</v>
      </c>
      <c r="U167" s="7" t="s">
        <v>1986</v>
      </c>
      <c r="AD167" s="24">
        <v>27557</v>
      </c>
      <c r="AE167" s="7">
        <v>3.2000000000000001E-2</v>
      </c>
      <c r="AF167" s="7" t="s">
        <v>3441</v>
      </c>
      <c r="AG167" s="7" t="s">
        <v>9</v>
      </c>
      <c r="AH167" s="7" t="s">
        <v>3440</v>
      </c>
      <c r="AI167" s="7">
        <v>152733</v>
      </c>
      <c r="AJ167" s="7">
        <v>1</v>
      </c>
      <c r="AK167" s="7">
        <v>8</v>
      </c>
      <c r="AT167" s="7" t="str">
        <f>IF(OR(BC167="Carbon Neutral",BC167="No - but post-2030 commitment"),IF((OR(BH167="Committed",BH167="Targets Set")),IF(J167="", "CN &amp; SBT","CN, SBT &amp; RE100"),IF(CH167="","CN","CN &amp; RE100")),IF((OR(BH167="Committed",BH167="Targets Set")),IF(CH167="", "SBT","SBT &amp; RE100"),IF(CH167="","None","RE100")))</f>
        <v>None</v>
      </c>
      <c r="AU167" s="7" t="str">
        <f t="shared" si="44"/>
        <v>None</v>
      </c>
      <c r="AV167" s="7" t="str">
        <f t="shared" si="45"/>
        <v/>
      </c>
      <c r="AW167" s="7" t="str">
        <f t="shared" si="46"/>
        <v/>
      </c>
      <c r="AX167" s="7" t="str">
        <f t="shared" si="47"/>
        <v/>
      </c>
      <c r="BB167" s="7" t="str">
        <f t="shared" si="51"/>
        <v/>
      </c>
      <c r="BC167" s="7" t="str">
        <f t="shared" si="49"/>
        <v>No</v>
      </c>
      <c r="BQ167" s="22"/>
      <c r="CH167" s="7" t="str">
        <f t="shared" si="50"/>
        <v/>
      </c>
    </row>
    <row r="168" spans="1:103">
      <c r="A168" s="7" t="s">
        <v>727</v>
      </c>
      <c r="B168" s="7">
        <v>319</v>
      </c>
      <c r="I168" s="24" t="str">
        <f t="shared" si="40"/>
        <v/>
      </c>
      <c r="L168" s="7" t="str">
        <f t="shared" si="41"/>
        <v/>
      </c>
      <c r="M168" s="21" t="str">
        <f t="shared" si="42"/>
        <v/>
      </c>
      <c r="N168" s="7" t="s">
        <v>1960</v>
      </c>
      <c r="T168" s="7" t="str">
        <f t="shared" si="43"/>
        <v>Nothing</v>
      </c>
      <c r="U168" s="7" t="s">
        <v>1963</v>
      </c>
      <c r="AC168" s="26" t="s">
        <v>3439</v>
      </c>
      <c r="AD168" s="24">
        <v>39258</v>
      </c>
      <c r="AE168" s="7">
        <v>5.0999999999999997E-2</v>
      </c>
      <c r="AF168" s="7" t="s">
        <v>3438</v>
      </c>
      <c r="AG168" s="7">
        <v>0.374</v>
      </c>
      <c r="AH168" s="7" t="s">
        <v>3437</v>
      </c>
      <c r="AI168" s="7">
        <v>73489</v>
      </c>
      <c r="AJ168" s="7">
        <v>10</v>
      </c>
      <c r="AK168" s="7">
        <v>26</v>
      </c>
      <c r="AT168" s="7" t="str">
        <f>IF(OR(BC168="Carbon Neutral",BC168="No - but post-2030 commitment"),IF((OR(BH168="Committed",BH168="Targets Set")),IF(J168="", "CN &amp; SBT","CN, SBT &amp; RE100"),IF(CH168="","CN","CN &amp; RE100")),IF((OR(BH168="Committed",BH168="Targets Set")),IF(CH168="", "SBT","SBT &amp; RE100"),IF(CH168="","None","RE100")))</f>
        <v>None</v>
      </c>
      <c r="AU168" s="7" t="str">
        <f t="shared" si="44"/>
        <v>None</v>
      </c>
      <c r="AV168" s="7" t="str">
        <f t="shared" si="45"/>
        <v/>
      </c>
      <c r="AW168" s="7" t="str">
        <f t="shared" si="46"/>
        <v/>
      </c>
      <c r="AX168" s="7" t="str">
        <f t="shared" si="47"/>
        <v/>
      </c>
      <c r="BB168" s="7" t="str">
        <f t="shared" si="51"/>
        <v/>
      </c>
      <c r="BC168" s="7" t="str">
        <f t="shared" si="49"/>
        <v>No</v>
      </c>
      <c r="BD168" s="7" t="s">
        <v>1963</v>
      </c>
      <c r="BF168" t="s">
        <v>3436</v>
      </c>
      <c r="BQ168" s="22"/>
      <c r="CH168" s="7" t="str">
        <f t="shared" si="50"/>
        <v/>
      </c>
      <c r="CY168" s="7" t="s">
        <v>361</v>
      </c>
    </row>
    <row r="169" spans="1:103">
      <c r="A169" s="7" t="s">
        <v>1600</v>
      </c>
      <c r="B169" s="7">
        <v>81</v>
      </c>
      <c r="C169" s="7" t="s">
        <v>127</v>
      </c>
      <c r="I169" s="24" t="str">
        <f t="shared" si="40"/>
        <v>Yes</v>
      </c>
      <c r="J169" s="7">
        <v>2040</v>
      </c>
      <c r="K169" s="7">
        <v>2019</v>
      </c>
      <c r="L169" s="7" t="str">
        <f t="shared" si="41"/>
        <v>T</v>
      </c>
      <c r="M169" s="21">
        <f t="shared" si="42"/>
        <v>2020</v>
      </c>
      <c r="N169" s="7">
        <v>2015</v>
      </c>
      <c r="T169" s="7" t="str">
        <f t="shared" si="43"/>
        <v>Nothing</v>
      </c>
      <c r="U169" s="7" t="s">
        <v>1</v>
      </c>
      <c r="AC169" s="8" t="s">
        <v>3435</v>
      </c>
      <c r="AD169" s="24">
        <v>92154</v>
      </c>
      <c r="AE169" s="7">
        <v>1.7000000000000001E-2</v>
      </c>
      <c r="AF169" s="7" t="s">
        <v>3434</v>
      </c>
      <c r="AG169" s="7" t="s">
        <v>9</v>
      </c>
      <c r="AH169" s="7" t="s">
        <v>3433</v>
      </c>
      <c r="AI169" s="7">
        <v>165000</v>
      </c>
      <c r="AJ169" s="7">
        <v>3</v>
      </c>
      <c r="AK169" s="7">
        <v>20</v>
      </c>
      <c r="AL169" s="7" t="s">
        <v>204</v>
      </c>
      <c r="AN169" s="7" t="s">
        <v>2029</v>
      </c>
      <c r="AT169" s="7" t="s">
        <v>2385</v>
      </c>
      <c r="AU169" s="7" t="str">
        <f t="shared" si="44"/>
        <v>SBT</v>
      </c>
      <c r="AV169" s="7" t="str">
        <f t="shared" si="45"/>
        <v/>
      </c>
      <c r="AW169" s="7">
        <f t="shared" si="46"/>
        <v>2015</v>
      </c>
      <c r="AX169" s="7" t="str">
        <f t="shared" si="47"/>
        <v/>
      </c>
      <c r="BB169" s="7" t="str">
        <f t="shared" si="51"/>
        <v>Yes</v>
      </c>
      <c r="BC169" s="7" t="str">
        <f t="shared" si="49"/>
        <v>No</v>
      </c>
      <c r="BD169" s="7" t="s">
        <v>1</v>
      </c>
      <c r="BF169" s="7" t="s">
        <v>3432</v>
      </c>
      <c r="BH169" s="7" t="s">
        <v>22</v>
      </c>
      <c r="BI169" s="7" t="s">
        <v>2245</v>
      </c>
      <c r="BJ169" s="7" t="s">
        <v>1049</v>
      </c>
      <c r="BM169" s="7" t="s">
        <v>1601</v>
      </c>
      <c r="BN169" s="7">
        <v>2020</v>
      </c>
      <c r="BO169" s="7">
        <v>2020</v>
      </c>
      <c r="BP169" s="7">
        <v>2020</v>
      </c>
      <c r="BQ169" s="22"/>
      <c r="CG169" s="7" t="s">
        <v>2027</v>
      </c>
      <c r="CH169" s="7" t="str">
        <f t="shared" si="50"/>
        <v/>
      </c>
      <c r="CI169" s="7" t="s">
        <v>13</v>
      </c>
      <c r="CJ169" s="7">
        <v>0.33</v>
      </c>
      <c r="CK169" s="7" t="s">
        <v>13</v>
      </c>
      <c r="CL169" s="7" t="s">
        <v>13</v>
      </c>
      <c r="CM169" s="7" t="s">
        <v>13</v>
      </c>
      <c r="CN169" s="7" t="s">
        <v>13</v>
      </c>
      <c r="CO169" s="7" t="s">
        <v>3431</v>
      </c>
      <c r="CP169" s="7" t="s">
        <v>2279</v>
      </c>
      <c r="CX169" s="7" t="s">
        <v>361</v>
      </c>
      <c r="CY169" s="7" t="s">
        <v>361</v>
      </c>
    </row>
    <row r="170" spans="1:103">
      <c r="A170" s="7" t="s">
        <v>958</v>
      </c>
      <c r="B170" s="7">
        <v>252</v>
      </c>
      <c r="C170" s="7" t="s">
        <v>127</v>
      </c>
      <c r="D170" s="7" t="s">
        <v>1971</v>
      </c>
      <c r="E170" s="7" t="s">
        <v>3430</v>
      </c>
      <c r="F170" s="1" t="s">
        <v>2034</v>
      </c>
      <c r="G170" s="1">
        <v>2020</v>
      </c>
      <c r="H170" s="28" t="s">
        <v>3426</v>
      </c>
      <c r="I170" s="24" t="str">
        <f t="shared" si="40"/>
        <v/>
      </c>
      <c r="L170" s="7" t="str">
        <f t="shared" si="41"/>
        <v/>
      </c>
      <c r="M170" s="21" t="str">
        <f t="shared" si="42"/>
        <v/>
      </c>
      <c r="N170" s="7" t="s">
        <v>1960</v>
      </c>
      <c r="Q170" s="1"/>
      <c r="R170" s="1"/>
      <c r="T170" s="7" t="str">
        <f t="shared" si="43"/>
        <v/>
      </c>
      <c r="U170" s="7" t="s">
        <v>361</v>
      </c>
      <c r="V170" s="1" t="s">
        <v>3429</v>
      </c>
      <c r="W170" s="1"/>
      <c r="X170" s="1" t="s">
        <v>3428</v>
      </c>
      <c r="Y170" s="1"/>
      <c r="Z170" s="1" t="s">
        <v>3427</v>
      </c>
      <c r="AB170" s="30" t="s">
        <v>3426</v>
      </c>
      <c r="AC170" s="1"/>
      <c r="AD170" s="24">
        <v>47007</v>
      </c>
      <c r="AE170" s="7">
        <v>5.8000000000000003E-2</v>
      </c>
      <c r="AF170" s="7" t="s">
        <v>3425</v>
      </c>
      <c r="AG170" s="7">
        <v>0.21099999999999999</v>
      </c>
      <c r="AH170" s="7" t="s">
        <v>3424</v>
      </c>
      <c r="AI170" s="7">
        <v>91224</v>
      </c>
      <c r="AJ170" s="7">
        <v>8</v>
      </c>
      <c r="AK170" s="7">
        <v>26</v>
      </c>
      <c r="AL170" s="7" t="s">
        <v>3083</v>
      </c>
      <c r="AN170" s="7" t="s">
        <v>2029</v>
      </c>
      <c r="AT170" s="7" t="str">
        <f t="shared" ref="AT170:AT208" si="52">IF(OR(BC170="Carbon Neutral",BC170="No - but post-2030 commitment"),IF((OR(BH170="Committed",BH170="Targets Set")),IF(J170="", "CN &amp; SBT","CN, SBT &amp; RE100"),IF(CH170="","CN","CN &amp; RE100")),IF((OR(BH170="Committed",BH170="Targets Set")),IF(CH170="", "SBT","SBT &amp; RE100"),IF(CH170="","None","RE100")))</f>
        <v>CN</v>
      </c>
      <c r="AU170" s="7" t="str">
        <f t="shared" si="44"/>
        <v>CN</v>
      </c>
      <c r="AV170" s="7">
        <f t="shared" si="45"/>
        <v>2020</v>
      </c>
      <c r="AW170" s="7" t="str">
        <f t="shared" si="46"/>
        <v/>
      </c>
      <c r="AX170" s="7" t="str">
        <f t="shared" si="47"/>
        <v/>
      </c>
      <c r="BB170" s="7" t="str">
        <f t="shared" si="51"/>
        <v/>
      </c>
      <c r="BC170" s="7" t="str">
        <f t="shared" si="49"/>
        <v>Carbon Neutral</v>
      </c>
      <c r="BD170" s="1" t="s">
        <v>1</v>
      </c>
      <c r="BE170" s="1"/>
      <c r="BF170" s="50"/>
      <c r="BG170" s="1"/>
      <c r="BQ170" s="22"/>
      <c r="CD170" s="7" t="s">
        <v>361</v>
      </c>
      <c r="CF170" s="25"/>
      <c r="CH170" s="7" t="str">
        <f t="shared" si="50"/>
        <v/>
      </c>
      <c r="CY170" s="7" t="s">
        <v>361</v>
      </c>
    </row>
    <row r="171" spans="1:103">
      <c r="A171" s="7" t="s">
        <v>1060</v>
      </c>
      <c r="B171" s="7">
        <v>247</v>
      </c>
      <c r="I171" s="24" t="str">
        <f t="shared" si="40"/>
        <v/>
      </c>
      <c r="L171" s="7" t="str">
        <f t="shared" si="41"/>
        <v/>
      </c>
      <c r="M171" s="21" t="str">
        <f t="shared" si="42"/>
        <v/>
      </c>
      <c r="N171" s="7" t="s">
        <v>1960</v>
      </c>
      <c r="T171" s="7" t="str">
        <f t="shared" si="43"/>
        <v>Nothing</v>
      </c>
      <c r="U171" s="7" t="s">
        <v>1</v>
      </c>
      <c r="AD171" s="24">
        <v>47400</v>
      </c>
      <c r="AE171" s="7">
        <v>-0.02</v>
      </c>
      <c r="AF171" s="7" t="s">
        <v>3423</v>
      </c>
      <c r="AG171" s="7">
        <v>-0.72699999999999998</v>
      </c>
      <c r="AH171" s="7" t="s">
        <v>3422</v>
      </c>
      <c r="AI171" s="7">
        <v>170932</v>
      </c>
      <c r="AJ171" s="7">
        <v>-17</v>
      </c>
      <c r="AK171" s="7">
        <v>26</v>
      </c>
      <c r="AT171" s="7" t="str">
        <f t="shared" si="52"/>
        <v>None</v>
      </c>
      <c r="AU171" s="7" t="str">
        <f t="shared" si="44"/>
        <v>None</v>
      </c>
      <c r="AV171" s="7" t="str">
        <f t="shared" si="45"/>
        <v/>
      </c>
      <c r="AW171" s="7" t="str">
        <f t="shared" si="46"/>
        <v/>
      </c>
      <c r="AX171" s="7" t="str">
        <f t="shared" si="47"/>
        <v/>
      </c>
      <c r="BB171" s="7" t="str">
        <f t="shared" si="51"/>
        <v/>
      </c>
      <c r="BC171" s="7" t="str">
        <f t="shared" si="49"/>
        <v>No</v>
      </c>
      <c r="BD171" s="7" t="s">
        <v>1</v>
      </c>
      <c r="BQ171" s="22"/>
      <c r="CH171" s="7" t="str">
        <f t="shared" si="50"/>
        <v/>
      </c>
      <c r="CW171" s="7" t="s">
        <v>361</v>
      </c>
    </row>
    <row r="172" spans="1:103">
      <c r="A172" s="7" t="s">
        <v>1134</v>
      </c>
      <c r="B172" s="7">
        <v>232</v>
      </c>
      <c r="C172" s="7" t="s">
        <v>146</v>
      </c>
      <c r="D172" s="7" t="s">
        <v>1971</v>
      </c>
      <c r="E172" s="7" t="s">
        <v>3421</v>
      </c>
      <c r="F172" s="7">
        <v>2050</v>
      </c>
      <c r="G172" s="7">
        <v>2018</v>
      </c>
      <c r="H172" s="8" t="s">
        <v>3420</v>
      </c>
      <c r="I172" s="24" t="str">
        <f t="shared" si="40"/>
        <v/>
      </c>
      <c r="L172" s="7" t="str">
        <f t="shared" si="41"/>
        <v>T</v>
      </c>
      <c r="M172" s="21">
        <f t="shared" si="42"/>
        <v>2030</v>
      </c>
      <c r="N172" s="7">
        <v>2020</v>
      </c>
      <c r="T172" s="7" t="str">
        <f t="shared" si="43"/>
        <v/>
      </c>
      <c r="U172" s="7" t="s">
        <v>1969</v>
      </c>
      <c r="V172" s="7" t="s">
        <v>3419</v>
      </c>
      <c r="X172" s="7" t="s">
        <v>3418</v>
      </c>
      <c r="AD172" s="24">
        <v>49729</v>
      </c>
      <c r="AE172" s="7">
        <v>-4.3999999999999997E-2</v>
      </c>
      <c r="AF172" s="7" t="s">
        <v>3417</v>
      </c>
      <c r="AG172" s="7">
        <v>0.19800000000000001</v>
      </c>
      <c r="AH172" s="7" t="s">
        <v>3416</v>
      </c>
      <c r="AI172" s="7">
        <v>323944</v>
      </c>
      <c r="AJ172" s="7">
        <v>-24</v>
      </c>
      <c r="AK172" s="7">
        <v>26</v>
      </c>
      <c r="AL172" s="7" t="s">
        <v>742</v>
      </c>
      <c r="AN172" s="7" t="s">
        <v>1951</v>
      </c>
      <c r="AT172" s="7" t="str">
        <f t="shared" si="52"/>
        <v>CN &amp; SBT</v>
      </c>
      <c r="AU172" s="7" t="str">
        <f t="shared" si="44"/>
        <v>SBT</v>
      </c>
      <c r="AV172" s="7" t="str">
        <f t="shared" si="45"/>
        <v/>
      </c>
      <c r="AW172" s="7">
        <f t="shared" si="46"/>
        <v>2020</v>
      </c>
      <c r="AX172" s="7" t="str">
        <f t="shared" si="47"/>
        <v/>
      </c>
      <c r="BB172" s="7" t="str">
        <f t="shared" si="51"/>
        <v>Yes</v>
      </c>
      <c r="BC172" s="7" t="str">
        <f t="shared" si="49"/>
        <v>No - but post-2030 commitment</v>
      </c>
      <c r="BD172" s="7" t="s">
        <v>1</v>
      </c>
      <c r="BG172" s="7" t="s">
        <v>3415</v>
      </c>
      <c r="BH172" s="7" t="s">
        <v>22</v>
      </c>
      <c r="BI172" s="7" t="s">
        <v>3414</v>
      </c>
      <c r="BJ172" s="7" t="s">
        <v>2498</v>
      </c>
      <c r="BM172" s="7" t="s">
        <v>3413</v>
      </c>
      <c r="BN172" s="7">
        <v>2030</v>
      </c>
      <c r="BO172" s="7">
        <v>2030</v>
      </c>
      <c r="BP172" s="7">
        <v>2030</v>
      </c>
      <c r="BQ172" s="22"/>
      <c r="CD172" s="7" t="s">
        <v>361</v>
      </c>
      <c r="CH172" s="7" t="str">
        <f t="shared" si="50"/>
        <v/>
      </c>
    </row>
    <row r="173" spans="1:103">
      <c r="A173" s="7" t="s">
        <v>1023</v>
      </c>
      <c r="B173" s="7">
        <v>291</v>
      </c>
      <c r="C173" s="7" t="s">
        <v>146</v>
      </c>
      <c r="D173" s="7" t="s">
        <v>1957</v>
      </c>
      <c r="E173" s="7" t="s">
        <v>3412</v>
      </c>
      <c r="F173" s="1">
        <v>2013</v>
      </c>
      <c r="G173" s="1">
        <v>2013</v>
      </c>
      <c r="H173" s="26" t="s">
        <v>3411</v>
      </c>
      <c r="I173" s="24" t="str">
        <f t="shared" si="40"/>
        <v/>
      </c>
      <c r="L173" s="7" t="str">
        <f t="shared" si="41"/>
        <v/>
      </c>
      <c r="M173" s="21" t="str">
        <f t="shared" si="42"/>
        <v/>
      </c>
      <c r="N173" s="7" t="s">
        <v>1960</v>
      </c>
      <c r="T173" s="7" t="str">
        <f t="shared" si="43"/>
        <v/>
      </c>
      <c r="U173" s="1" t="s">
        <v>361</v>
      </c>
      <c r="V173" s="1" t="s">
        <v>3410</v>
      </c>
      <c r="W173" s="1"/>
      <c r="X173" s="1" t="s">
        <v>3409</v>
      </c>
      <c r="AD173" s="24">
        <v>41780</v>
      </c>
      <c r="AE173" s="7">
        <v>-0.11</v>
      </c>
      <c r="AF173" s="7" t="s">
        <v>3408</v>
      </c>
      <c r="AG173" s="7">
        <v>-20.145</v>
      </c>
      <c r="AH173" s="7" t="s">
        <v>3407</v>
      </c>
      <c r="AI173" s="7">
        <v>87597</v>
      </c>
      <c r="AJ173" s="7">
        <v>-52</v>
      </c>
      <c r="AK173" s="7">
        <v>26</v>
      </c>
      <c r="AL173" s="7" t="s">
        <v>93</v>
      </c>
      <c r="AN173" s="7" t="s">
        <v>1951</v>
      </c>
      <c r="AT173" s="7" t="str">
        <f t="shared" si="52"/>
        <v>CN</v>
      </c>
      <c r="AU173" s="7" t="str">
        <f t="shared" si="44"/>
        <v>CN</v>
      </c>
      <c r="AV173" s="7">
        <f t="shared" si="45"/>
        <v>2013</v>
      </c>
      <c r="AW173" s="7" t="str">
        <f t="shared" si="46"/>
        <v/>
      </c>
      <c r="AX173" s="7" t="str">
        <f t="shared" si="47"/>
        <v/>
      </c>
      <c r="BB173" s="7" t="str">
        <f t="shared" si="51"/>
        <v/>
      </c>
      <c r="BC173" s="7" t="str">
        <f t="shared" si="49"/>
        <v>Carbon Neutral</v>
      </c>
      <c r="BD173" s="7" t="s">
        <v>1963</v>
      </c>
      <c r="BG173" s="7" t="s">
        <v>2220</v>
      </c>
      <c r="BQ173" s="22"/>
      <c r="CE173" s="7" t="s">
        <v>1947</v>
      </c>
      <c r="CH173" s="7" t="str">
        <f t="shared" si="50"/>
        <v/>
      </c>
    </row>
    <row r="174" spans="1:103">
      <c r="A174" s="7" t="s">
        <v>1428</v>
      </c>
      <c r="B174" s="7">
        <v>142</v>
      </c>
      <c r="C174" s="7" t="s">
        <v>146</v>
      </c>
      <c r="F174" s="7">
        <v>2050</v>
      </c>
      <c r="G174" s="7">
        <v>2017</v>
      </c>
      <c r="H174" s="27" t="s">
        <v>3406</v>
      </c>
      <c r="I174" s="24" t="str">
        <f t="shared" si="40"/>
        <v/>
      </c>
      <c r="L174" s="7" t="str">
        <f t="shared" si="41"/>
        <v>C</v>
      </c>
      <c r="M174" s="21" t="str">
        <f t="shared" si="42"/>
        <v/>
      </c>
      <c r="N174" s="7">
        <v>2017</v>
      </c>
      <c r="O174" s="7" t="s">
        <v>2985</v>
      </c>
      <c r="P174" s="7" t="s">
        <v>3405</v>
      </c>
      <c r="Q174" s="7">
        <v>2050</v>
      </c>
      <c r="R174" s="7">
        <v>2020</v>
      </c>
      <c r="S174" s="26" t="s">
        <v>3401</v>
      </c>
      <c r="T174" s="7" t="str">
        <f t="shared" si="43"/>
        <v/>
      </c>
      <c r="U174" s="7" t="s">
        <v>2080</v>
      </c>
      <c r="V174" s="49" t="s">
        <v>3404</v>
      </c>
      <c r="X174" s="7" t="s">
        <v>3403</v>
      </c>
      <c r="Z174" s="49" t="s">
        <v>3402</v>
      </c>
      <c r="AB174" s="26" t="s">
        <v>3401</v>
      </c>
      <c r="AD174" s="24">
        <v>70895</v>
      </c>
      <c r="AE174" s="7">
        <v>-2.4E-2</v>
      </c>
      <c r="AF174" s="7" t="s">
        <v>3400</v>
      </c>
      <c r="AG174" s="7">
        <v>0.19900000000000001</v>
      </c>
      <c r="AH174" s="7" t="s">
        <v>3399</v>
      </c>
      <c r="AI174" s="7">
        <v>504871</v>
      </c>
      <c r="AJ174" s="7">
        <v>-18</v>
      </c>
      <c r="AK174" s="7">
        <v>26</v>
      </c>
      <c r="AL174" s="7" t="s">
        <v>355</v>
      </c>
      <c r="AN174" s="7" t="s">
        <v>1951</v>
      </c>
      <c r="AT174" s="7" t="str">
        <f t="shared" si="52"/>
        <v>SBT</v>
      </c>
      <c r="AU174" s="7" t="str">
        <f t="shared" si="44"/>
        <v>SBT</v>
      </c>
      <c r="AV174" s="7" t="str">
        <f t="shared" si="45"/>
        <v/>
      </c>
      <c r="AW174" s="7">
        <f t="shared" si="46"/>
        <v>2017</v>
      </c>
      <c r="AX174" s="7" t="str">
        <f t="shared" si="47"/>
        <v/>
      </c>
      <c r="BB174" s="7" t="str">
        <f t="shared" si="51"/>
        <v>Yes</v>
      </c>
      <c r="BC174" s="7" t="str">
        <f t="shared" si="49"/>
        <v>No</v>
      </c>
      <c r="BD174" s="7" t="s">
        <v>1969</v>
      </c>
      <c r="BG174" s="7" t="s">
        <v>2072</v>
      </c>
      <c r="BH174" s="7" t="s">
        <v>165</v>
      </c>
      <c r="BJ174" s="7" t="s">
        <v>1135</v>
      </c>
      <c r="BQ174" s="22"/>
      <c r="CD174" s="7" t="s">
        <v>361</v>
      </c>
      <c r="CE174" s="7">
        <v>2050</v>
      </c>
      <c r="CH174" s="7" t="str">
        <f t="shared" si="50"/>
        <v/>
      </c>
    </row>
    <row r="175" spans="1:103">
      <c r="A175" s="7" t="s">
        <v>1574</v>
      </c>
      <c r="B175" s="7">
        <v>86</v>
      </c>
      <c r="C175" s="7" t="s">
        <v>146</v>
      </c>
      <c r="D175" s="7" t="s">
        <v>1971</v>
      </c>
      <c r="E175" s="7" t="s">
        <v>3398</v>
      </c>
      <c r="F175" s="7">
        <v>2050</v>
      </c>
      <c r="G175" s="7">
        <v>2020</v>
      </c>
      <c r="H175" s="8" t="s">
        <v>3397</v>
      </c>
      <c r="I175" s="24" t="str">
        <f t="shared" si="40"/>
        <v>Yes</v>
      </c>
      <c r="J175" s="7">
        <v>2021</v>
      </c>
      <c r="K175" s="7">
        <v>2019</v>
      </c>
      <c r="L175" s="7" t="str">
        <f t="shared" si="41"/>
        <v>T</v>
      </c>
      <c r="M175" s="21">
        <f t="shared" si="42"/>
        <v>2030</v>
      </c>
      <c r="N175" s="7">
        <v>2019</v>
      </c>
      <c r="T175" s="7" t="str">
        <f t="shared" si="43"/>
        <v/>
      </c>
      <c r="U175" s="7" t="s">
        <v>1969</v>
      </c>
      <c r="V175" s="7" t="s">
        <v>3396</v>
      </c>
      <c r="X175" s="23" t="s">
        <v>3395</v>
      </c>
      <c r="AB175" s="8"/>
      <c r="AC175" s="8" t="s">
        <v>3394</v>
      </c>
      <c r="AD175" s="24">
        <v>90135</v>
      </c>
      <c r="AE175" s="7">
        <v>8.9999999999999993E-3</v>
      </c>
      <c r="AF175" s="7" t="s">
        <v>3393</v>
      </c>
      <c r="AG175" s="7">
        <v>0.69299999999999995</v>
      </c>
      <c r="AH175" s="7" t="s">
        <v>3392</v>
      </c>
      <c r="AI175" s="7">
        <v>210533</v>
      </c>
      <c r="AJ175" s="7">
        <v>4</v>
      </c>
      <c r="AK175" s="7">
        <v>26</v>
      </c>
      <c r="AL175" s="7" t="s">
        <v>461</v>
      </c>
      <c r="AN175" s="7" t="s">
        <v>1951</v>
      </c>
      <c r="AT175" s="7" t="str">
        <f t="shared" si="52"/>
        <v>CN, SBT &amp; RE100</v>
      </c>
      <c r="AU175" s="7" t="str">
        <f t="shared" si="44"/>
        <v>SBT &amp; RE100</v>
      </c>
      <c r="AV175" s="7" t="str">
        <f t="shared" si="45"/>
        <v/>
      </c>
      <c r="AW175" s="7">
        <f t="shared" si="46"/>
        <v>2019</v>
      </c>
      <c r="AX175" s="7">
        <f t="shared" si="47"/>
        <v>2019</v>
      </c>
      <c r="BB175" s="7" t="str">
        <f t="shared" si="51"/>
        <v>Yes</v>
      </c>
      <c r="BC175" s="7" t="str">
        <f t="shared" si="49"/>
        <v>No - but post-2030 commitment</v>
      </c>
      <c r="BD175" s="7" t="s">
        <v>1</v>
      </c>
      <c r="BF175" s="7" t="s">
        <v>3391</v>
      </c>
      <c r="BG175" s="7" t="s">
        <v>3390</v>
      </c>
      <c r="BH175" s="7" t="s">
        <v>22</v>
      </c>
      <c r="BI175" s="7" t="s">
        <v>2156</v>
      </c>
      <c r="BJ175" s="7" t="s">
        <v>1577</v>
      </c>
      <c r="BM175" s="7" t="s">
        <v>1575</v>
      </c>
      <c r="BN175" s="7">
        <v>2030</v>
      </c>
      <c r="BO175" s="7">
        <v>2030</v>
      </c>
      <c r="BP175" s="7">
        <v>2030</v>
      </c>
      <c r="BQ175" s="22"/>
      <c r="CD175" s="7" t="s">
        <v>361</v>
      </c>
      <c r="CF175" s="25"/>
      <c r="CG175" s="7" t="s">
        <v>146</v>
      </c>
      <c r="CH175" s="7" t="str">
        <f t="shared" si="50"/>
        <v>yes</v>
      </c>
      <c r="CI175" s="7" t="s">
        <v>13</v>
      </c>
      <c r="CJ175" s="7">
        <v>0.65</v>
      </c>
      <c r="CK175" s="7" t="s">
        <v>13</v>
      </c>
      <c r="CL175" s="7" t="s">
        <v>13</v>
      </c>
      <c r="CM175" s="7" t="s">
        <v>13</v>
      </c>
      <c r="CN175" s="7" t="s">
        <v>13</v>
      </c>
      <c r="CO175" s="7" t="s">
        <v>1652</v>
      </c>
      <c r="CP175" s="7" t="s">
        <v>2279</v>
      </c>
      <c r="CT175" s="7" t="s">
        <v>1574</v>
      </c>
      <c r="CU175" s="7" t="s">
        <v>2151</v>
      </c>
      <c r="CV175" s="7">
        <v>17</v>
      </c>
      <c r="CX175" s="7" t="s">
        <v>361</v>
      </c>
    </row>
    <row r="176" spans="1:103">
      <c r="A176" s="7" t="s">
        <v>116</v>
      </c>
      <c r="B176" s="7">
        <v>460</v>
      </c>
      <c r="I176" s="24" t="str">
        <f t="shared" si="40"/>
        <v/>
      </c>
      <c r="L176" s="7" t="str">
        <f t="shared" si="41"/>
        <v/>
      </c>
      <c r="M176" s="21" t="str">
        <f t="shared" si="42"/>
        <v/>
      </c>
      <c r="N176" s="7" t="s">
        <v>1960</v>
      </c>
      <c r="T176" s="7" t="str">
        <f t="shared" si="43"/>
        <v>Nothing</v>
      </c>
      <c r="U176" s="7" t="s">
        <v>1</v>
      </c>
      <c r="AD176" s="24">
        <v>27754</v>
      </c>
      <c r="AE176" s="7">
        <v>8.3000000000000004E-2</v>
      </c>
      <c r="AF176" s="7" t="s">
        <v>3389</v>
      </c>
      <c r="AG176" s="7">
        <v>7.6999999999999999E-2</v>
      </c>
      <c r="AH176" s="7" t="s">
        <v>3388</v>
      </c>
      <c r="AI176" s="7">
        <v>143000</v>
      </c>
      <c r="AJ176" s="7">
        <v>29</v>
      </c>
      <c r="AK176" s="7">
        <v>3</v>
      </c>
      <c r="AT176" s="7" t="str">
        <f t="shared" si="52"/>
        <v>None</v>
      </c>
      <c r="AU176" s="7" t="str">
        <f t="shared" si="44"/>
        <v>None</v>
      </c>
      <c r="AV176" s="7" t="str">
        <f t="shared" si="45"/>
        <v/>
      </c>
      <c r="AW176" s="7" t="str">
        <f t="shared" si="46"/>
        <v/>
      </c>
      <c r="AX176" s="7" t="str">
        <f t="shared" si="47"/>
        <v/>
      </c>
      <c r="BB176" s="7" t="str">
        <f t="shared" si="51"/>
        <v/>
      </c>
      <c r="BC176" s="7" t="str">
        <f t="shared" si="49"/>
        <v>No</v>
      </c>
      <c r="BD176" s="7" t="s">
        <v>1</v>
      </c>
      <c r="BQ176" s="22"/>
      <c r="CH176" s="7" t="str">
        <f t="shared" si="50"/>
        <v/>
      </c>
    </row>
    <row r="177" spans="1:103">
      <c r="A177" s="7" t="s">
        <v>1614</v>
      </c>
      <c r="B177" s="7">
        <v>100</v>
      </c>
      <c r="C177" s="7" t="s">
        <v>73</v>
      </c>
      <c r="I177" s="24" t="str">
        <f t="shared" si="40"/>
        <v/>
      </c>
      <c r="L177" s="7" t="str">
        <f t="shared" si="41"/>
        <v/>
      </c>
      <c r="M177" s="21" t="str">
        <f t="shared" si="42"/>
        <v/>
      </c>
      <c r="N177" s="7" t="s">
        <v>1960</v>
      </c>
      <c r="T177" s="7" t="str">
        <f t="shared" si="43"/>
        <v>Nothing</v>
      </c>
      <c r="U177" s="7" t="s">
        <v>1986</v>
      </c>
      <c r="AD177" s="24">
        <v>84049</v>
      </c>
      <c r="AE177" s="7">
        <v>-7.5999999999999998E-2</v>
      </c>
      <c r="AF177" s="7" t="s">
        <v>3387</v>
      </c>
      <c r="AG177" s="7">
        <v>-0.17</v>
      </c>
      <c r="AH177" s="7" t="s">
        <v>3386</v>
      </c>
      <c r="AI177" s="7">
        <v>154641</v>
      </c>
      <c r="AJ177" s="7">
        <v>-18</v>
      </c>
      <c r="AK177" s="7">
        <v>11</v>
      </c>
      <c r="AT177" s="7" t="str">
        <f t="shared" si="52"/>
        <v>None</v>
      </c>
      <c r="AU177" s="7" t="str">
        <f t="shared" si="44"/>
        <v>None</v>
      </c>
      <c r="AV177" s="7" t="str">
        <f t="shared" si="45"/>
        <v/>
      </c>
      <c r="AW177" s="7" t="str">
        <f t="shared" si="46"/>
        <v/>
      </c>
      <c r="AX177" s="7" t="str">
        <f t="shared" si="47"/>
        <v/>
      </c>
      <c r="BB177" s="36"/>
      <c r="BC177" s="7" t="str">
        <f t="shared" si="49"/>
        <v>No</v>
      </c>
      <c r="BH177" s="36"/>
      <c r="BI177" s="36"/>
      <c r="BJ177" s="36"/>
      <c r="BQ177" s="22"/>
      <c r="CH177" s="7" t="str">
        <f t="shared" si="50"/>
        <v/>
      </c>
    </row>
    <row r="178" spans="1:103">
      <c r="A178" s="7" t="s">
        <v>3385</v>
      </c>
      <c r="B178" s="7">
        <v>283</v>
      </c>
      <c r="C178" s="7" t="s">
        <v>127</v>
      </c>
      <c r="D178" s="7" t="s">
        <v>1971</v>
      </c>
      <c r="E178" s="7" t="s">
        <v>1970</v>
      </c>
      <c r="F178" s="7">
        <v>2050</v>
      </c>
      <c r="G178" s="7">
        <v>2020</v>
      </c>
      <c r="H178" s="26" t="s">
        <v>3383</v>
      </c>
      <c r="I178" s="24" t="str">
        <f t="shared" si="40"/>
        <v/>
      </c>
      <c r="L178" s="7" t="str">
        <f t="shared" si="41"/>
        <v/>
      </c>
      <c r="M178" s="21" t="str">
        <f t="shared" si="42"/>
        <v/>
      </c>
      <c r="N178" s="7" t="s">
        <v>1960</v>
      </c>
      <c r="T178" s="7" t="str">
        <f t="shared" si="43"/>
        <v/>
      </c>
      <c r="U178" s="7" t="s">
        <v>1969</v>
      </c>
      <c r="V178" s="7" t="s">
        <v>3384</v>
      </c>
      <c r="AC178" s="26" t="s">
        <v>3383</v>
      </c>
      <c r="AD178" s="24">
        <v>42951</v>
      </c>
      <c r="AE178" s="7" t="s">
        <v>9</v>
      </c>
      <c r="AF178" s="7" t="s">
        <v>3382</v>
      </c>
      <c r="AG178" s="7" t="s">
        <v>9</v>
      </c>
      <c r="AH178" s="7" t="s">
        <v>3381</v>
      </c>
      <c r="AI178" s="7">
        <v>36500</v>
      </c>
      <c r="AJ178" s="7" t="s">
        <v>9</v>
      </c>
      <c r="AK178" s="7">
        <v>1</v>
      </c>
      <c r="AL178" s="7" t="s">
        <v>66</v>
      </c>
      <c r="AN178" s="7" t="s">
        <v>2029</v>
      </c>
      <c r="AT178" s="7" t="str">
        <f t="shared" si="52"/>
        <v>CN</v>
      </c>
      <c r="AU178" s="7" t="str">
        <f t="shared" si="44"/>
        <v>None</v>
      </c>
      <c r="AV178" s="7" t="str">
        <f t="shared" si="45"/>
        <v/>
      </c>
      <c r="AW178" s="7" t="str">
        <f t="shared" si="46"/>
        <v/>
      </c>
      <c r="AX178" s="7" t="str">
        <f t="shared" si="47"/>
        <v/>
      </c>
      <c r="BB178" s="7" t="str">
        <f t="shared" ref="BB178:BB207" si="53">IF(BH178="","","Yes")</f>
        <v/>
      </c>
      <c r="BC178" s="7" t="str">
        <f t="shared" si="49"/>
        <v>No - but post-2030 commitment</v>
      </c>
      <c r="BD178" s="7" t="s">
        <v>1963</v>
      </c>
      <c r="BF178" s="7" t="s">
        <v>3380</v>
      </c>
      <c r="BQ178" s="22"/>
      <c r="CD178" s="7" t="s">
        <v>361</v>
      </c>
      <c r="CF178" s="25"/>
      <c r="CH178" s="7" t="str">
        <f t="shared" si="50"/>
        <v/>
      </c>
      <c r="CT178" s="7" t="s">
        <v>3379</v>
      </c>
      <c r="CU178" s="7" t="s">
        <v>2109</v>
      </c>
      <c r="CV178" s="7">
        <v>-26</v>
      </c>
      <c r="CW178" s="7" t="s">
        <v>361</v>
      </c>
      <c r="CY178" s="7" t="s">
        <v>361</v>
      </c>
    </row>
    <row r="179" spans="1:103">
      <c r="A179" s="7" t="s">
        <v>522</v>
      </c>
      <c r="B179" s="7">
        <v>321</v>
      </c>
      <c r="I179" s="24" t="str">
        <f t="shared" si="40"/>
        <v/>
      </c>
      <c r="L179" s="7" t="str">
        <f t="shared" si="41"/>
        <v/>
      </c>
      <c r="M179" s="21" t="str">
        <f t="shared" si="42"/>
        <v/>
      </c>
      <c r="N179" s="7" t="s">
        <v>1960</v>
      </c>
      <c r="T179" s="7" t="str">
        <f t="shared" si="43"/>
        <v>Nothing</v>
      </c>
      <c r="U179" s="7" t="s">
        <v>1963</v>
      </c>
      <c r="AC179" s="26" t="s">
        <v>3378</v>
      </c>
      <c r="AD179" s="24">
        <v>39144</v>
      </c>
      <c r="AE179" s="7">
        <v>0.224</v>
      </c>
      <c r="AF179" s="7" t="s">
        <v>3377</v>
      </c>
      <c r="AG179" s="7">
        <v>0.94899999999999995</v>
      </c>
      <c r="AH179" s="7" t="s">
        <v>3376</v>
      </c>
      <c r="AI179" s="7">
        <v>27560</v>
      </c>
      <c r="AJ179" s="7">
        <v>71</v>
      </c>
      <c r="AK179" s="7">
        <v>26</v>
      </c>
      <c r="AT179" s="7" t="str">
        <f t="shared" si="52"/>
        <v>None</v>
      </c>
      <c r="AU179" s="7" t="str">
        <f t="shared" si="44"/>
        <v>None</v>
      </c>
      <c r="AV179" s="7" t="str">
        <f t="shared" si="45"/>
        <v/>
      </c>
      <c r="AW179" s="7" t="str">
        <f t="shared" si="46"/>
        <v/>
      </c>
      <c r="AX179" s="7" t="str">
        <f t="shared" si="47"/>
        <v/>
      </c>
      <c r="BB179" s="7" t="str">
        <f t="shared" si="53"/>
        <v/>
      </c>
      <c r="BC179" s="7" t="str">
        <f t="shared" si="49"/>
        <v>No</v>
      </c>
      <c r="BD179" s="7" t="s">
        <v>1963</v>
      </c>
      <c r="BF179" s="7" t="s">
        <v>3375</v>
      </c>
      <c r="BQ179" s="22"/>
      <c r="CH179" s="7" t="str">
        <f t="shared" si="50"/>
        <v/>
      </c>
    </row>
    <row r="180" spans="1:103">
      <c r="A180" s="7" t="s">
        <v>672</v>
      </c>
      <c r="B180" s="7">
        <v>255</v>
      </c>
      <c r="C180" s="7" t="s">
        <v>146</v>
      </c>
      <c r="D180" s="7" t="s">
        <v>2062</v>
      </c>
      <c r="E180" s="7" t="s">
        <v>109</v>
      </c>
      <c r="F180" s="1">
        <v>2040</v>
      </c>
      <c r="G180" s="1">
        <v>2020</v>
      </c>
      <c r="H180" s="28" t="s">
        <v>3373</v>
      </c>
      <c r="I180" s="24" t="str">
        <f t="shared" si="40"/>
        <v/>
      </c>
      <c r="L180" s="7" t="str">
        <f t="shared" si="41"/>
        <v/>
      </c>
      <c r="M180" s="21" t="str">
        <f t="shared" si="42"/>
        <v/>
      </c>
      <c r="N180" s="7" t="s">
        <v>1960</v>
      </c>
      <c r="Q180" s="1"/>
      <c r="R180" s="1"/>
      <c r="T180" s="7" t="str">
        <f t="shared" si="43"/>
        <v/>
      </c>
      <c r="U180" s="7" t="s">
        <v>2060</v>
      </c>
      <c r="V180" s="1" t="s">
        <v>2271</v>
      </c>
      <c r="W180" s="1"/>
      <c r="X180" s="1" t="s">
        <v>3374</v>
      </c>
      <c r="Y180" s="1"/>
      <c r="Z180" s="1"/>
      <c r="AB180" s="28"/>
      <c r="AC180" s="28" t="s">
        <v>3373</v>
      </c>
      <c r="AD180" s="24">
        <v>46861</v>
      </c>
      <c r="AE180" s="7">
        <v>0.313</v>
      </c>
      <c r="AF180" s="7" t="s">
        <v>3372</v>
      </c>
      <c r="AG180" s="7">
        <v>-0.53900000000000003</v>
      </c>
      <c r="AH180" s="7" t="s">
        <v>3371</v>
      </c>
      <c r="AI180" s="7">
        <v>78948</v>
      </c>
      <c r="AJ180" s="7">
        <v>93</v>
      </c>
      <c r="AK180" s="7">
        <v>26</v>
      </c>
      <c r="AL180" s="7" t="s">
        <v>869</v>
      </c>
      <c r="AN180" s="7" t="s">
        <v>1951</v>
      </c>
      <c r="AT180" s="7" t="str">
        <f t="shared" si="52"/>
        <v>CN</v>
      </c>
      <c r="AU180" s="7" t="str">
        <f t="shared" si="44"/>
        <v>None</v>
      </c>
      <c r="AV180" s="7" t="str">
        <f t="shared" si="45"/>
        <v/>
      </c>
      <c r="AW180" s="7" t="str">
        <f t="shared" si="46"/>
        <v/>
      </c>
      <c r="AX180" s="7" t="str">
        <f t="shared" si="47"/>
        <v/>
      </c>
      <c r="BB180" s="7" t="str">
        <f t="shared" si="53"/>
        <v/>
      </c>
      <c r="BC180" s="7" t="str">
        <f t="shared" si="49"/>
        <v>No - but post-2030 commitment</v>
      </c>
      <c r="BD180" s="7" t="s">
        <v>1</v>
      </c>
      <c r="BE180" s="1"/>
      <c r="BF180" s="1"/>
      <c r="BG180" s="1"/>
      <c r="BQ180" s="22"/>
      <c r="CD180" s="7" t="s">
        <v>361</v>
      </c>
      <c r="CE180" s="7">
        <v>2030</v>
      </c>
      <c r="CH180" s="7" t="str">
        <f t="shared" si="50"/>
        <v/>
      </c>
      <c r="CT180" s="7" t="s">
        <v>672</v>
      </c>
      <c r="CU180" s="7" t="s">
        <v>2151</v>
      </c>
      <c r="CV180" s="7">
        <v>20</v>
      </c>
    </row>
    <row r="181" spans="1:103">
      <c r="A181" s="7" t="s">
        <v>248</v>
      </c>
      <c r="B181" s="7">
        <v>470</v>
      </c>
      <c r="I181" s="24" t="str">
        <f t="shared" si="40"/>
        <v/>
      </c>
      <c r="L181" s="7" t="str">
        <f t="shared" si="41"/>
        <v/>
      </c>
      <c r="M181" s="21" t="str">
        <f t="shared" si="42"/>
        <v/>
      </c>
      <c r="N181" s="7" t="s">
        <v>1960</v>
      </c>
      <c r="T181" s="7" t="str">
        <f t="shared" si="43"/>
        <v>Nothing</v>
      </c>
      <c r="U181" s="7" t="s">
        <v>1</v>
      </c>
      <c r="AC181" s="8" t="s">
        <v>3370</v>
      </c>
      <c r="AD181" s="24">
        <v>27102</v>
      </c>
      <c r="AE181" s="7">
        <v>1E-3</v>
      </c>
      <c r="AF181" s="7" t="s">
        <v>3369</v>
      </c>
      <c r="AG181" s="7">
        <v>-0.315</v>
      </c>
      <c r="AH181" s="7" t="s">
        <v>3368</v>
      </c>
      <c r="AI181" s="7">
        <v>85114</v>
      </c>
      <c r="AJ181" s="7">
        <v>-12</v>
      </c>
      <c r="AK181" s="7">
        <v>26</v>
      </c>
      <c r="AT181" s="7" t="str">
        <f t="shared" si="52"/>
        <v>None</v>
      </c>
      <c r="AU181" s="7" t="str">
        <f t="shared" si="44"/>
        <v>None</v>
      </c>
      <c r="AV181" s="7" t="str">
        <f t="shared" si="45"/>
        <v/>
      </c>
      <c r="AW181" s="7" t="str">
        <f t="shared" si="46"/>
        <v/>
      </c>
      <c r="AX181" s="7" t="str">
        <f t="shared" si="47"/>
        <v/>
      </c>
      <c r="BB181" s="7" t="str">
        <f t="shared" si="53"/>
        <v/>
      </c>
      <c r="BC181" s="7" t="str">
        <f t="shared" si="49"/>
        <v>No</v>
      </c>
      <c r="BD181" s="7" t="s">
        <v>1</v>
      </c>
      <c r="BF181" s="7" t="s">
        <v>3367</v>
      </c>
      <c r="BQ181" s="22"/>
      <c r="CH181" s="7" t="str">
        <f t="shared" si="50"/>
        <v/>
      </c>
    </row>
    <row r="182" spans="1:103">
      <c r="A182" s="7" t="s">
        <v>814</v>
      </c>
      <c r="B182" s="7">
        <v>312</v>
      </c>
      <c r="I182" s="24" t="str">
        <f t="shared" si="40"/>
        <v/>
      </c>
      <c r="L182" s="7" t="str">
        <f t="shared" si="41"/>
        <v/>
      </c>
      <c r="M182" s="21" t="str">
        <f t="shared" si="42"/>
        <v/>
      </c>
      <c r="N182" s="7" t="s">
        <v>1960</v>
      </c>
      <c r="T182" s="7" t="str">
        <f t="shared" si="43"/>
        <v>Nothing</v>
      </c>
      <c r="U182" s="7" t="s">
        <v>1963</v>
      </c>
      <c r="AC182" s="26" t="s">
        <v>3366</v>
      </c>
      <c r="AD182" s="24">
        <v>39824</v>
      </c>
      <c r="AE182" s="7">
        <v>-1.6E-2</v>
      </c>
      <c r="AF182" s="7" t="s">
        <v>3365</v>
      </c>
      <c r="AG182" s="7">
        <v>2E-3</v>
      </c>
      <c r="AH182" s="7" t="s">
        <v>3364</v>
      </c>
      <c r="AI182" s="7">
        <v>381000</v>
      </c>
      <c r="AJ182" s="7">
        <v>-8</v>
      </c>
      <c r="AK182" s="7">
        <v>22</v>
      </c>
      <c r="AT182" s="7" t="str">
        <f t="shared" si="52"/>
        <v>None</v>
      </c>
      <c r="AU182" s="7" t="str">
        <f t="shared" si="44"/>
        <v>None</v>
      </c>
      <c r="AV182" s="7" t="str">
        <f t="shared" si="45"/>
        <v/>
      </c>
      <c r="AW182" s="7" t="str">
        <f t="shared" si="46"/>
        <v/>
      </c>
      <c r="AX182" s="7" t="str">
        <f t="shared" si="47"/>
        <v/>
      </c>
      <c r="BB182" s="7" t="str">
        <f t="shared" si="53"/>
        <v/>
      </c>
      <c r="BC182" s="7" t="str">
        <f t="shared" si="49"/>
        <v>No</v>
      </c>
      <c r="BD182" s="7" t="s">
        <v>1963</v>
      </c>
      <c r="BF182" s="7" t="s">
        <v>3363</v>
      </c>
      <c r="BQ182" s="22"/>
      <c r="CH182" s="7" t="str">
        <f t="shared" si="50"/>
        <v/>
      </c>
    </row>
    <row r="183" spans="1:103">
      <c r="A183" s="7" t="s">
        <v>1491</v>
      </c>
      <c r="B183" s="7">
        <v>110</v>
      </c>
      <c r="C183" s="7" t="s">
        <v>63</v>
      </c>
      <c r="D183" s="7" t="s">
        <v>1957</v>
      </c>
      <c r="E183" s="7" t="s">
        <v>3362</v>
      </c>
      <c r="F183" s="7">
        <v>2050</v>
      </c>
      <c r="G183" s="7">
        <v>2020</v>
      </c>
      <c r="H183" s="8" t="s">
        <v>1488</v>
      </c>
      <c r="I183" s="24" t="str">
        <f t="shared" si="40"/>
        <v/>
      </c>
      <c r="L183" s="7" t="str">
        <f t="shared" si="41"/>
        <v>C</v>
      </c>
      <c r="M183" s="21" t="str">
        <f t="shared" si="42"/>
        <v/>
      </c>
      <c r="N183" s="7">
        <v>2020</v>
      </c>
      <c r="T183" s="7" t="str">
        <f t="shared" si="43"/>
        <v/>
      </c>
      <c r="U183" s="7" t="s">
        <v>1969</v>
      </c>
      <c r="V183" s="7" t="s">
        <v>3361</v>
      </c>
      <c r="AC183" s="8" t="s">
        <v>1488</v>
      </c>
      <c r="AD183" s="24">
        <v>80278</v>
      </c>
      <c r="AE183" s="7">
        <v>-1.4E-2</v>
      </c>
      <c r="AF183" s="7" t="s">
        <v>3360</v>
      </c>
      <c r="AG183" s="7">
        <v>3.1539999999999999</v>
      </c>
      <c r="AH183" s="7" t="s">
        <v>3359</v>
      </c>
      <c r="AI183" s="7">
        <v>161522</v>
      </c>
      <c r="AJ183" s="7" t="s">
        <v>9</v>
      </c>
      <c r="AK183" s="7">
        <v>26</v>
      </c>
      <c r="AL183" s="7" t="s">
        <v>869</v>
      </c>
      <c r="AN183" s="7" t="s">
        <v>1951</v>
      </c>
      <c r="AT183" s="7" t="str">
        <f t="shared" si="52"/>
        <v>CN &amp; SBT</v>
      </c>
      <c r="AU183" s="7" t="str">
        <f t="shared" si="44"/>
        <v>SBT</v>
      </c>
      <c r="AV183" s="7" t="str">
        <f t="shared" si="45"/>
        <v/>
      </c>
      <c r="AW183" s="7">
        <f t="shared" si="46"/>
        <v>2020</v>
      </c>
      <c r="AX183" s="7" t="str">
        <f t="shared" si="47"/>
        <v/>
      </c>
      <c r="BB183" s="7" t="str">
        <f t="shared" si="53"/>
        <v>Yes</v>
      </c>
      <c r="BC183" s="7" t="str">
        <f t="shared" si="49"/>
        <v>No - but post-2030 commitment</v>
      </c>
      <c r="BD183" s="7" t="s">
        <v>1</v>
      </c>
      <c r="BF183" s="23" t="s">
        <v>3358</v>
      </c>
      <c r="BG183" s="7" t="s">
        <v>3357</v>
      </c>
      <c r="BH183" s="7" t="s">
        <v>165</v>
      </c>
      <c r="BJ183" s="7" t="s">
        <v>1992</v>
      </c>
      <c r="BQ183" s="22"/>
      <c r="CE183" s="7">
        <v>2050</v>
      </c>
      <c r="CH183" s="7" t="str">
        <f t="shared" si="50"/>
        <v/>
      </c>
      <c r="CT183" s="7" t="s">
        <v>3356</v>
      </c>
      <c r="CU183" s="7" t="s">
        <v>2151</v>
      </c>
      <c r="CV183" s="7">
        <v>16</v>
      </c>
      <c r="CW183" s="7" t="s">
        <v>361</v>
      </c>
    </row>
    <row r="184" spans="1:103">
      <c r="A184" s="7" t="s">
        <v>680</v>
      </c>
      <c r="B184" s="7">
        <v>331</v>
      </c>
      <c r="I184" s="24" t="str">
        <f t="shared" si="40"/>
        <v/>
      </c>
      <c r="L184" s="7" t="str">
        <f t="shared" si="41"/>
        <v/>
      </c>
      <c r="M184" s="21" t="str">
        <f t="shared" si="42"/>
        <v/>
      </c>
      <c r="N184" s="7" t="s">
        <v>1960</v>
      </c>
      <c r="T184" s="7" t="str">
        <f t="shared" si="43"/>
        <v>Nothing</v>
      </c>
      <c r="U184" s="7" t="s">
        <v>1</v>
      </c>
      <c r="AD184" s="24">
        <v>37735</v>
      </c>
      <c r="AE184" s="7">
        <v>5.3999999999999999E-2</v>
      </c>
      <c r="AF184" s="7" t="s">
        <v>3355</v>
      </c>
      <c r="AG184" s="7">
        <v>0.93400000000000005</v>
      </c>
      <c r="AH184" s="7" t="s">
        <v>3354</v>
      </c>
      <c r="AI184" s="7">
        <v>11300</v>
      </c>
      <c r="AJ184" s="7">
        <v>15</v>
      </c>
      <c r="AK184" s="7">
        <v>7</v>
      </c>
      <c r="AT184" s="7" t="str">
        <f t="shared" si="52"/>
        <v>None</v>
      </c>
      <c r="AU184" s="7" t="str">
        <f t="shared" si="44"/>
        <v>None</v>
      </c>
      <c r="AV184" s="7" t="str">
        <f t="shared" si="45"/>
        <v/>
      </c>
      <c r="AW184" s="7" t="str">
        <f t="shared" si="46"/>
        <v/>
      </c>
      <c r="AX184" s="7" t="str">
        <f t="shared" si="47"/>
        <v/>
      </c>
      <c r="BB184" s="7" t="str">
        <f t="shared" si="53"/>
        <v/>
      </c>
      <c r="BC184" s="7" t="str">
        <f t="shared" si="49"/>
        <v>No</v>
      </c>
      <c r="BD184" s="7" t="s">
        <v>1963</v>
      </c>
      <c r="BQ184" s="22"/>
      <c r="CH184" s="7" t="str">
        <f t="shared" si="50"/>
        <v/>
      </c>
    </row>
    <row r="185" spans="1:103">
      <c r="A185" s="7" t="s">
        <v>1582</v>
      </c>
      <c r="B185" s="7">
        <v>87</v>
      </c>
      <c r="C185" s="7" t="s">
        <v>376</v>
      </c>
      <c r="D185" s="7" t="s">
        <v>1957</v>
      </c>
      <c r="E185" s="7" t="s">
        <v>3353</v>
      </c>
      <c r="F185" s="7">
        <v>2050</v>
      </c>
      <c r="G185" s="7">
        <v>2009</v>
      </c>
      <c r="H185" s="8" t="s">
        <v>3352</v>
      </c>
      <c r="I185" s="24" t="str">
        <f t="shared" si="40"/>
        <v/>
      </c>
      <c r="L185" s="7" t="str">
        <f t="shared" si="41"/>
        <v>T</v>
      </c>
      <c r="M185" s="21">
        <f t="shared" si="42"/>
        <v>2030</v>
      </c>
      <c r="N185" s="7">
        <v>2019</v>
      </c>
      <c r="T185" s="7" t="str">
        <f t="shared" si="43"/>
        <v/>
      </c>
      <c r="U185" s="7" t="s">
        <v>1969</v>
      </c>
      <c r="V185" s="23" t="s">
        <v>3351</v>
      </c>
      <c r="X185" s="7" t="s">
        <v>3350</v>
      </c>
      <c r="AD185" s="24">
        <v>89907</v>
      </c>
      <c r="AE185" s="7">
        <v>7.0000000000000001E-3</v>
      </c>
      <c r="AF185" s="7" t="s">
        <v>3349</v>
      </c>
      <c r="AG185" s="7">
        <v>-0.56899999999999995</v>
      </c>
      <c r="AH185" s="7" t="s">
        <v>3348</v>
      </c>
      <c r="AI185" s="7">
        <v>68253</v>
      </c>
      <c r="AJ185" s="7">
        <v>2</v>
      </c>
      <c r="AK185" s="7">
        <v>26</v>
      </c>
      <c r="AL185" s="7" t="s">
        <v>869</v>
      </c>
      <c r="AN185" s="7" t="s">
        <v>1951</v>
      </c>
      <c r="AT185" s="7" t="str">
        <f t="shared" si="52"/>
        <v>CN &amp; SBT</v>
      </c>
      <c r="AU185" s="7" t="str">
        <f t="shared" si="44"/>
        <v>SBT</v>
      </c>
      <c r="AV185" s="7" t="str">
        <f t="shared" si="45"/>
        <v/>
      </c>
      <c r="AW185" s="7">
        <f t="shared" si="46"/>
        <v>2019</v>
      </c>
      <c r="AX185" s="7" t="str">
        <f t="shared" si="47"/>
        <v/>
      </c>
      <c r="BB185" s="7" t="str">
        <f t="shared" si="53"/>
        <v>Yes</v>
      </c>
      <c r="BC185" s="7" t="str">
        <f t="shared" si="49"/>
        <v>No - but post-2030 commitment</v>
      </c>
      <c r="BD185" s="7" t="s">
        <v>1</v>
      </c>
      <c r="BH185" s="7" t="s">
        <v>22</v>
      </c>
      <c r="BI185" s="7" t="s">
        <v>2245</v>
      </c>
      <c r="BJ185" s="7" t="s">
        <v>2008</v>
      </c>
      <c r="BM185" s="7" t="s">
        <v>3347</v>
      </c>
      <c r="BN185" s="7">
        <v>2030</v>
      </c>
      <c r="BO185" s="7">
        <v>2030</v>
      </c>
      <c r="BP185" s="7">
        <v>2030</v>
      </c>
      <c r="BQ185" s="22"/>
      <c r="CE185" s="7">
        <v>2050</v>
      </c>
      <c r="CH185" s="7" t="str">
        <f t="shared" si="50"/>
        <v/>
      </c>
      <c r="CT185" s="7" t="s">
        <v>1582</v>
      </c>
      <c r="CU185" s="7" t="s">
        <v>2151</v>
      </c>
      <c r="CV185" s="7">
        <v>35</v>
      </c>
      <c r="CW185" s="7" t="s">
        <v>361</v>
      </c>
      <c r="CX185" s="7" t="s">
        <v>361</v>
      </c>
    </row>
    <row r="186" spans="1:103">
      <c r="A186" s="7" t="s">
        <v>3346</v>
      </c>
      <c r="B186" s="7">
        <v>123</v>
      </c>
      <c r="I186" s="24" t="str">
        <f t="shared" si="40"/>
        <v/>
      </c>
      <c r="L186" s="7" t="str">
        <f t="shared" si="41"/>
        <v/>
      </c>
      <c r="M186" s="21" t="str">
        <f t="shared" si="42"/>
        <v/>
      </c>
      <c r="N186" s="7" t="s">
        <v>1960</v>
      </c>
      <c r="T186" s="7" t="str">
        <f t="shared" si="43"/>
        <v>Nothing</v>
      </c>
      <c r="U186" s="7" t="s">
        <v>1</v>
      </c>
      <c r="AC186" s="8" t="s">
        <v>3345</v>
      </c>
      <c r="AD186" s="24">
        <v>75897</v>
      </c>
      <c r="AE186" s="7">
        <v>-8.3000000000000004E-2</v>
      </c>
      <c r="AF186" s="7" t="s">
        <v>3344</v>
      </c>
      <c r="AG186" s="7">
        <v>-1.595</v>
      </c>
      <c r="AH186" s="7" t="s">
        <v>3343</v>
      </c>
      <c r="AI186" s="7">
        <v>40983</v>
      </c>
      <c r="AJ186" s="7">
        <v>-18</v>
      </c>
      <c r="AK186" s="7">
        <v>26</v>
      </c>
      <c r="AT186" s="7" t="str">
        <f t="shared" si="52"/>
        <v>None</v>
      </c>
      <c r="AU186" s="7" t="str">
        <f t="shared" si="44"/>
        <v>None</v>
      </c>
      <c r="AV186" s="7" t="str">
        <f t="shared" si="45"/>
        <v/>
      </c>
      <c r="AW186" s="7" t="str">
        <f t="shared" si="46"/>
        <v/>
      </c>
      <c r="AX186" s="7" t="str">
        <f t="shared" si="47"/>
        <v/>
      </c>
      <c r="BB186" s="7" t="str">
        <f t="shared" si="53"/>
        <v/>
      </c>
      <c r="BC186" s="7" t="str">
        <f t="shared" si="49"/>
        <v>No</v>
      </c>
      <c r="BD186" s="7" t="s">
        <v>1</v>
      </c>
      <c r="BF186" s="23" t="s">
        <v>3342</v>
      </c>
      <c r="BQ186" s="22"/>
      <c r="CH186" s="7" t="str">
        <f t="shared" si="50"/>
        <v/>
      </c>
      <c r="CW186" s="7" t="s">
        <v>361</v>
      </c>
    </row>
    <row r="187" spans="1:103">
      <c r="A187" s="7" t="s">
        <v>1185</v>
      </c>
      <c r="B187" s="7">
        <v>200</v>
      </c>
      <c r="I187" s="24" t="str">
        <f t="shared" si="40"/>
        <v/>
      </c>
      <c r="L187" s="7" t="str">
        <f t="shared" si="41"/>
        <v/>
      </c>
      <c r="M187" s="21" t="str">
        <f t="shared" si="42"/>
        <v/>
      </c>
      <c r="N187" s="7" t="s">
        <v>1960</v>
      </c>
      <c r="T187" s="7" t="str">
        <f t="shared" si="43"/>
        <v>Nothing</v>
      </c>
      <c r="U187" s="7" t="s">
        <v>1</v>
      </c>
      <c r="AD187" s="24">
        <v>54213</v>
      </c>
      <c r="AE187" s="7">
        <v>-4.0000000000000001E-3</v>
      </c>
      <c r="AF187" s="7" t="s">
        <v>3341</v>
      </c>
      <c r="AG187" s="7">
        <v>1.1200000000000001</v>
      </c>
      <c r="AH187" s="7" t="s">
        <v>3340</v>
      </c>
      <c r="AI187" s="7">
        <v>12812</v>
      </c>
      <c r="AJ187" s="7">
        <v>-6</v>
      </c>
      <c r="AK187" s="7">
        <v>7</v>
      </c>
      <c r="AT187" s="7" t="str">
        <f t="shared" si="52"/>
        <v>None</v>
      </c>
      <c r="AU187" s="7" t="str">
        <f t="shared" si="44"/>
        <v>None</v>
      </c>
      <c r="AV187" s="7" t="str">
        <f t="shared" si="45"/>
        <v/>
      </c>
      <c r="AW187" s="7" t="str">
        <f t="shared" si="46"/>
        <v/>
      </c>
      <c r="AX187" s="7" t="str">
        <f t="shared" si="47"/>
        <v/>
      </c>
      <c r="BB187" s="7" t="str">
        <f t="shared" si="53"/>
        <v/>
      </c>
      <c r="BC187" s="7" t="str">
        <f t="shared" si="49"/>
        <v>No</v>
      </c>
      <c r="BD187" s="7" t="s">
        <v>1</v>
      </c>
      <c r="BQ187" s="22"/>
      <c r="CH187" s="7" t="str">
        <f t="shared" si="50"/>
        <v/>
      </c>
    </row>
    <row r="188" spans="1:103">
      <c r="A188" s="7" t="s">
        <v>1416</v>
      </c>
      <c r="B188" s="7">
        <v>159</v>
      </c>
      <c r="C188" s="7" t="s">
        <v>63</v>
      </c>
      <c r="H188" s="8" t="s">
        <v>3338</v>
      </c>
      <c r="I188" s="24" t="str">
        <f t="shared" si="40"/>
        <v/>
      </c>
      <c r="L188" s="7" t="str">
        <f t="shared" si="41"/>
        <v>T</v>
      </c>
      <c r="M188" s="21">
        <f t="shared" si="42"/>
        <v>2030</v>
      </c>
      <c r="N188" s="7">
        <v>2020</v>
      </c>
      <c r="T188" s="7" t="str">
        <f t="shared" si="43"/>
        <v>Nothing</v>
      </c>
      <c r="U188" s="25" t="s">
        <v>1</v>
      </c>
      <c r="X188" s="7" t="s">
        <v>3339</v>
      </c>
      <c r="AC188" s="8" t="s">
        <v>3338</v>
      </c>
      <c r="AD188" s="24">
        <v>67220</v>
      </c>
      <c r="AE188" s="7">
        <v>-9.2999999999999999E-2</v>
      </c>
      <c r="AF188" s="7" t="s">
        <v>3337</v>
      </c>
      <c r="AG188" s="7">
        <v>-9.7000000000000003E-2</v>
      </c>
      <c r="AH188" s="7" t="s">
        <v>3336</v>
      </c>
      <c r="AI188" s="7">
        <v>171103</v>
      </c>
      <c r="AJ188" s="7">
        <v>-33</v>
      </c>
      <c r="AK188" s="7">
        <v>25</v>
      </c>
      <c r="AL188" s="7" t="s">
        <v>869</v>
      </c>
      <c r="AN188" s="7" t="s">
        <v>1951</v>
      </c>
      <c r="AT188" s="7" t="str">
        <f t="shared" si="52"/>
        <v>SBT</v>
      </c>
      <c r="AU188" s="7" t="str">
        <f t="shared" si="44"/>
        <v>SBT</v>
      </c>
      <c r="AV188" s="7" t="str">
        <f t="shared" si="45"/>
        <v/>
      </c>
      <c r="AW188" s="7">
        <f t="shared" si="46"/>
        <v>2020</v>
      </c>
      <c r="AX188" s="7" t="str">
        <f t="shared" si="47"/>
        <v/>
      </c>
      <c r="BB188" s="7" t="str">
        <f t="shared" si="53"/>
        <v>Yes</v>
      </c>
      <c r="BC188" s="7" t="str">
        <f t="shared" si="49"/>
        <v>No</v>
      </c>
      <c r="BD188" s="7" t="s">
        <v>1</v>
      </c>
      <c r="BF188" s="7" t="s">
        <v>3335</v>
      </c>
      <c r="BH188" s="7" t="s">
        <v>22</v>
      </c>
      <c r="BI188" s="7" t="s">
        <v>2040</v>
      </c>
      <c r="BJ188" s="7" t="s">
        <v>1992</v>
      </c>
      <c r="BM188" s="7" t="s">
        <v>3334</v>
      </c>
      <c r="BN188" s="7">
        <v>2030</v>
      </c>
      <c r="BO188" s="7">
        <v>2030</v>
      </c>
      <c r="BP188" s="7">
        <v>2030</v>
      </c>
      <c r="BQ188" s="22"/>
      <c r="CD188" s="7" t="s">
        <v>361</v>
      </c>
      <c r="CF188" s="25"/>
      <c r="CH188" s="7" t="str">
        <f t="shared" si="50"/>
        <v/>
      </c>
      <c r="CW188" s="7" t="s">
        <v>361</v>
      </c>
    </row>
    <row r="189" spans="1:103">
      <c r="A189" s="7" t="s">
        <v>1607</v>
      </c>
      <c r="B189" s="7">
        <v>113</v>
      </c>
      <c r="C189" s="7" t="s">
        <v>376</v>
      </c>
      <c r="D189" s="7" t="s">
        <v>1957</v>
      </c>
      <c r="E189" s="7" t="s">
        <v>3333</v>
      </c>
      <c r="F189" s="7">
        <v>2030</v>
      </c>
      <c r="G189" s="7">
        <v>2020</v>
      </c>
      <c r="H189" s="8" t="s">
        <v>3330</v>
      </c>
      <c r="I189" s="24" t="str">
        <f t="shared" si="40"/>
        <v/>
      </c>
      <c r="L189" s="7" t="str">
        <f t="shared" si="41"/>
        <v/>
      </c>
      <c r="M189" s="21" t="str">
        <f t="shared" si="42"/>
        <v/>
      </c>
      <c r="N189" s="7" t="s">
        <v>1960</v>
      </c>
      <c r="T189" s="7" t="str">
        <f t="shared" si="43"/>
        <v/>
      </c>
      <c r="U189" s="7" t="s">
        <v>1969</v>
      </c>
      <c r="V189" s="7" t="s">
        <v>3332</v>
      </c>
      <c r="X189" s="7" t="s">
        <v>3331</v>
      </c>
      <c r="AC189" s="8" t="s">
        <v>3330</v>
      </c>
      <c r="AD189" s="24">
        <v>79513</v>
      </c>
      <c r="AE189" s="7">
        <v>-0.124</v>
      </c>
      <c r="AF189" s="7" t="s">
        <v>3329</v>
      </c>
      <c r="AG189" s="7">
        <v>-0.96599999999999997</v>
      </c>
      <c r="AH189" s="7" t="s">
        <v>3328</v>
      </c>
      <c r="AI189" s="7">
        <v>32053</v>
      </c>
      <c r="AJ189" s="7">
        <v>-30</v>
      </c>
      <c r="AK189" s="7">
        <v>26</v>
      </c>
      <c r="AL189" s="7" t="s">
        <v>2111</v>
      </c>
      <c r="AN189" s="7" t="s">
        <v>1951</v>
      </c>
      <c r="AT189" s="7" t="str">
        <f t="shared" si="52"/>
        <v>CN</v>
      </c>
      <c r="AU189" s="7" t="str">
        <f t="shared" si="44"/>
        <v>CN</v>
      </c>
      <c r="AV189" s="7">
        <f t="shared" si="45"/>
        <v>2020</v>
      </c>
      <c r="AW189" s="7" t="str">
        <f t="shared" si="46"/>
        <v/>
      </c>
      <c r="AX189" s="7" t="str">
        <f t="shared" si="47"/>
        <v/>
      </c>
      <c r="BB189" s="7" t="str">
        <f t="shared" si="53"/>
        <v/>
      </c>
      <c r="BC189" s="7" t="str">
        <f t="shared" si="49"/>
        <v>Carbon Neutral</v>
      </c>
      <c r="BD189" s="7" t="s">
        <v>1</v>
      </c>
      <c r="BF189" t="s">
        <v>3327</v>
      </c>
      <c r="BG189" s="7" t="s">
        <v>3326</v>
      </c>
      <c r="BQ189" s="22"/>
      <c r="CE189" s="7">
        <v>2030</v>
      </c>
      <c r="CH189" s="7" t="str">
        <f t="shared" si="50"/>
        <v/>
      </c>
      <c r="CW189" s="7" t="s">
        <v>361</v>
      </c>
    </row>
    <row r="190" spans="1:103">
      <c r="A190" s="7" t="s">
        <v>703</v>
      </c>
      <c r="B190" s="7">
        <v>384</v>
      </c>
      <c r="I190" s="24" t="str">
        <f t="shared" si="40"/>
        <v/>
      </c>
      <c r="L190" s="7" t="str">
        <f t="shared" si="41"/>
        <v/>
      </c>
      <c r="M190" s="21" t="str">
        <f t="shared" si="42"/>
        <v/>
      </c>
      <c r="N190" s="7" t="s">
        <v>1960</v>
      </c>
      <c r="T190" s="7" t="str">
        <f t="shared" si="43"/>
        <v>Nothing</v>
      </c>
      <c r="U190" s="7" t="s">
        <v>1963</v>
      </c>
      <c r="AD190" s="24">
        <v>32789</v>
      </c>
      <c r="AE190" s="7">
        <v>-0.10299999999999999</v>
      </c>
      <c r="AF190" s="7" t="s">
        <v>3325</v>
      </c>
      <c r="AG190" s="7">
        <v>0.1</v>
      </c>
      <c r="AH190" s="7" t="s">
        <v>3324</v>
      </c>
      <c r="AI190" s="7">
        <v>7300</v>
      </c>
      <c r="AJ190" s="7">
        <v>-47</v>
      </c>
      <c r="AK190" s="7">
        <v>10</v>
      </c>
      <c r="AT190" s="7" t="str">
        <f t="shared" si="52"/>
        <v>None</v>
      </c>
      <c r="AU190" s="7" t="str">
        <f t="shared" si="44"/>
        <v>None</v>
      </c>
      <c r="AV190" s="7" t="str">
        <f t="shared" si="45"/>
        <v/>
      </c>
      <c r="AW190" s="7" t="str">
        <f t="shared" si="46"/>
        <v/>
      </c>
      <c r="AX190" s="7" t="str">
        <f t="shared" si="47"/>
        <v/>
      </c>
      <c r="BB190" s="7" t="str">
        <f t="shared" si="53"/>
        <v/>
      </c>
      <c r="BC190" s="7" t="str">
        <f t="shared" si="49"/>
        <v>No</v>
      </c>
      <c r="BD190" s="7" t="s">
        <v>1963</v>
      </c>
      <c r="BQ190" s="22"/>
      <c r="CH190" s="7" t="str">
        <f t="shared" si="50"/>
        <v/>
      </c>
    </row>
    <row r="191" spans="1:103">
      <c r="A191" s="7" t="s">
        <v>1478</v>
      </c>
      <c r="B191" s="7">
        <v>169</v>
      </c>
      <c r="C191" s="7" t="s">
        <v>1481</v>
      </c>
      <c r="D191" s="7" t="s">
        <v>1957</v>
      </c>
      <c r="E191" s="7" t="s">
        <v>1659</v>
      </c>
      <c r="F191" s="7">
        <v>2030</v>
      </c>
      <c r="G191" s="25">
        <v>2020</v>
      </c>
      <c r="H191" s="8" t="s">
        <v>3322</v>
      </c>
      <c r="I191" s="24" t="str">
        <f t="shared" si="40"/>
        <v/>
      </c>
      <c r="L191" s="7" t="str">
        <f t="shared" si="41"/>
        <v/>
      </c>
      <c r="M191" s="21" t="str">
        <f t="shared" si="42"/>
        <v/>
      </c>
      <c r="N191" s="7" t="s">
        <v>1960</v>
      </c>
      <c r="T191" s="7" t="str">
        <f t="shared" si="43"/>
        <v/>
      </c>
      <c r="U191" s="7" t="s">
        <v>1969</v>
      </c>
      <c r="V191" s="7" t="s">
        <v>2610</v>
      </c>
      <c r="X191" s="25" t="s">
        <v>3323</v>
      </c>
      <c r="AC191" s="8" t="s">
        <v>3322</v>
      </c>
      <c r="AD191" s="24">
        <v>64357</v>
      </c>
      <c r="AE191" s="7">
        <v>-0.191</v>
      </c>
      <c r="AF191" s="7" t="s">
        <v>3321</v>
      </c>
      <c r="AG191" s="7">
        <v>-0.755</v>
      </c>
      <c r="AH191" s="7" t="s">
        <v>3320</v>
      </c>
      <c r="AI191" s="7">
        <v>21412</v>
      </c>
      <c r="AJ191" s="7">
        <v>-56</v>
      </c>
      <c r="AK191" s="7">
        <v>26</v>
      </c>
      <c r="AL191" s="7" t="s">
        <v>2111</v>
      </c>
      <c r="AN191" s="7" t="s">
        <v>1951</v>
      </c>
      <c r="AT191" s="7" t="str">
        <f t="shared" si="52"/>
        <v>CN</v>
      </c>
      <c r="AU191" s="7" t="str">
        <f t="shared" si="44"/>
        <v>CN</v>
      </c>
      <c r="AV191" s="7">
        <f t="shared" si="45"/>
        <v>2020</v>
      </c>
      <c r="AW191" s="7" t="str">
        <f t="shared" si="46"/>
        <v/>
      </c>
      <c r="AX191" s="7" t="str">
        <f t="shared" si="47"/>
        <v/>
      </c>
      <c r="BB191" s="7" t="str">
        <f t="shared" si="53"/>
        <v/>
      </c>
      <c r="BC191" s="7" t="str">
        <f t="shared" si="49"/>
        <v>Carbon Neutral</v>
      </c>
      <c r="BD191" s="7" t="s">
        <v>1</v>
      </c>
      <c r="BF191" s="23" t="s">
        <v>3319</v>
      </c>
      <c r="BQ191" s="22"/>
      <c r="CD191" s="7" t="s">
        <v>361</v>
      </c>
      <c r="CF191" s="25"/>
      <c r="CH191" s="7" t="str">
        <f t="shared" si="50"/>
        <v/>
      </c>
      <c r="CW191" s="7" t="s">
        <v>361</v>
      </c>
    </row>
    <row r="192" spans="1:103">
      <c r="A192" s="7" t="s">
        <v>684</v>
      </c>
      <c r="B192" s="7">
        <v>364</v>
      </c>
      <c r="I192" s="24" t="str">
        <f t="shared" si="40"/>
        <v/>
      </c>
      <c r="L192" s="7" t="str">
        <f t="shared" si="41"/>
        <v/>
      </c>
      <c r="M192" s="21" t="str">
        <f t="shared" si="42"/>
        <v/>
      </c>
      <c r="N192" s="7" t="s">
        <v>1960</v>
      </c>
      <c r="T192" s="7" t="str">
        <f t="shared" si="43"/>
        <v>Nothing</v>
      </c>
      <c r="U192" s="7" t="s">
        <v>1963</v>
      </c>
      <c r="AD192" s="24">
        <v>34438</v>
      </c>
      <c r="AE192" s="7">
        <v>-4.2999999999999997E-2</v>
      </c>
      <c r="AF192" s="7" t="s">
        <v>3318</v>
      </c>
      <c r="AG192" s="7">
        <v>0.46100000000000002</v>
      </c>
      <c r="AH192" s="7" t="s">
        <v>3317</v>
      </c>
      <c r="AI192" s="7">
        <v>32713</v>
      </c>
      <c r="AJ192" s="7">
        <v>-20</v>
      </c>
      <c r="AK192" s="7">
        <v>17</v>
      </c>
      <c r="AT192" s="7" t="str">
        <f t="shared" si="52"/>
        <v>None</v>
      </c>
      <c r="AU192" s="7" t="str">
        <f t="shared" si="44"/>
        <v>None</v>
      </c>
      <c r="AV192" s="7" t="str">
        <f t="shared" si="45"/>
        <v/>
      </c>
      <c r="AW192" s="7" t="str">
        <f t="shared" si="46"/>
        <v/>
      </c>
      <c r="AX192" s="7" t="str">
        <f t="shared" si="47"/>
        <v/>
      </c>
      <c r="BB192" s="7" t="str">
        <f t="shared" si="53"/>
        <v/>
      </c>
      <c r="BC192" s="7" t="str">
        <f t="shared" si="49"/>
        <v>No</v>
      </c>
      <c r="BD192" s="7" t="s">
        <v>1963</v>
      </c>
      <c r="BQ192" s="22"/>
      <c r="CH192" s="7" t="str">
        <f t="shared" si="50"/>
        <v/>
      </c>
      <c r="CY192" s="7" t="s">
        <v>361</v>
      </c>
    </row>
    <row r="193" spans="1:103" s="36" customFormat="1">
      <c r="A193" s="7" t="s">
        <v>1804</v>
      </c>
      <c r="B193" s="7">
        <v>28</v>
      </c>
      <c r="C193" s="7"/>
      <c r="D193" s="7"/>
      <c r="E193" s="7"/>
      <c r="F193" s="7"/>
      <c r="G193" s="7"/>
      <c r="H193" s="7"/>
      <c r="I193" s="24" t="str">
        <f t="shared" si="40"/>
        <v/>
      </c>
      <c r="J193" s="7"/>
      <c r="K193" s="7"/>
      <c r="L193" s="7" t="str">
        <f t="shared" si="41"/>
        <v/>
      </c>
      <c r="M193" s="21" t="str">
        <f t="shared" si="42"/>
        <v/>
      </c>
      <c r="N193" s="7" t="s">
        <v>1960</v>
      </c>
      <c r="O193" s="7"/>
      <c r="P193" s="7"/>
      <c r="Q193" s="7"/>
      <c r="R193" s="7"/>
      <c r="S193" s="7"/>
      <c r="T193" s="7" t="str">
        <f t="shared" si="43"/>
        <v>Nothing</v>
      </c>
      <c r="U193" s="7" t="s">
        <v>1</v>
      </c>
      <c r="V193" s="7"/>
      <c r="W193" s="7"/>
      <c r="X193" s="7"/>
      <c r="Y193" s="7"/>
      <c r="Z193" s="7"/>
      <c r="AA193" s="7"/>
      <c r="AB193" s="7"/>
      <c r="AC193" s="26" t="s">
        <v>3316</v>
      </c>
      <c r="AD193" s="24">
        <v>162754</v>
      </c>
      <c r="AE193" s="7">
        <v>-7.0000000000000007E-2</v>
      </c>
      <c r="AF193" s="7" t="s">
        <v>3315</v>
      </c>
      <c r="AG193" s="7">
        <v>1.1499999999999999</v>
      </c>
      <c r="AH193" s="7" t="s">
        <v>3314</v>
      </c>
      <c r="AI193" s="7">
        <v>268979</v>
      </c>
      <c r="AJ193" s="7">
        <v>-4</v>
      </c>
      <c r="AK193" s="7">
        <v>10</v>
      </c>
      <c r="AL193" s="7"/>
      <c r="AM193" s="7"/>
      <c r="AN193" s="7"/>
      <c r="AO193" s="7"/>
      <c r="AP193" s="7"/>
      <c r="AQ193" s="7"/>
      <c r="AR193" s="7"/>
      <c r="AS193" s="7"/>
      <c r="AT193" s="7" t="str">
        <f t="shared" si="52"/>
        <v>None</v>
      </c>
      <c r="AU193" s="7" t="str">
        <f t="shared" si="44"/>
        <v>None</v>
      </c>
      <c r="AV193" s="7" t="str">
        <f t="shared" si="45"/>
        <v/>
      </c>
      <c r="AW193" s="7" t="str">
        <f t="shared" si="46"/>
        <v/>
      </c>
      <c r="AX193" s="7" t="str">
        <f t="shared" si="47"/>
        <v/>
      </c>
      <c r="AY193" s="7"/>
      <c r="AZ193" s="7"/>
      <c r="BA193" s="7"/>
      <c r="BB193" s="7" t="str">
        <f t="shared" si="53"/>
        <v/>
      </c>
      <c r="BC193" s="7" t="str">
        <f t="shared" si="49"/>
        <v>No</v>
      </c>
      <c r="BD193" s="7" t="s">
        <v>1</v>
      </c>
      <c r="BE193" s="7"/>
      <c r="BF193" s="7" t="s">
        <v>3313</v>
      </c>
      <c r="BG193" s="7"/>
      <c r="BH193" s="7"/>
      <c r="BI193" s="7"/>
      <c r="BJ193" s="7"/>
      <c r="BK193" s="7"/>
      <c r="BL193" s="7"/>
      <c r="BM193" s="7"/>
      <c r="BN193" s="7"/>
      <c r="BO193" s="7"/>
      <c r="BP193" s="7"/>
      <c r="BQ193" s="22"/>
      <c r="BR193" s="7"/>
      <c r="BS193" s="7"/>
      <c r="BT193" s="7"/>
      <c r="BU193" s="7"/>
      <c r="BV193" s="7"/>
      <c r="BW193" s="7"/>
      <c r="BX193" s="7"/>
      <c r="BY193" s="7"/>
      <c r="BZ193" s="7"/>
      <c r="CA193" s="7"/>
      <c r="CB193" s="7"/>
      <c r="CC193" s="7"/>
      <c r="CD193" s="7"/>
      <c r="CE193" s="7"/>
      <c r="CF193" s="7"/>
      <c r="CG193" s="7"/>
      <c r="CH193" s="7" t="str">
        <f t="shared" si="50"/>
        <v/>
      </c>
      <c r="CI193" s="7"/>
      <c r="CJ193" s="7"/>
      <c r="CK193" s="7"/>
      <c r="CL193" s="7"/>
      <c r="CM193" s="7"/>
      <c r="CN193" s="7"/>
      <c r="CO193" s="7"/>
      <c r="CP193" s="7"/>
      <c r="CQ193" s="7"/>
      <c r="CR193" s="7"/>
      <c r="CS193" s="7"/>
      <c r="CT193" s="7"/>
      <c r="CU193" s="7"/>
      <c r="CV193" s="7"/>
      <c r="CW193" s="7"/>
      <c r="CX193" s="7"/>
      <c r="CY193" s="7"/>
    </row>
    <row r="194" spans="1:103">
      <c r="A194" s="7" t="s">
        <v>1868</v>
      </c>
      <c r="B194" s="7">
        <v>11</v>
      </c>
      <c r="C194" s="7" t="s">
        <v>127</v>
      </c>
      <c r="I194" s="24" t="str">
        <f t="shared" ref="I194:I257" si="54">IF(J194="","","Yes")</f>
        <v/>
      </c>
      <c r="L194" s="7" t="str">
        <f t="shared" ref="L194:L257" si="55">IF(BH194="","",IF(BH194="Targets Set","T","C"))</f>
        <v/>
      </c>
      <c r="M194" s="21" t="str">
        <f t="shared" ref="M194:M257" si="56">IF(BM194="","",AVERAGE(BN194:BP194))</f>
        <v/>
      </c>
      <c r="N194" s="7" t="s">
        <v>1960</v>
      </c>
      <c r="T194" s="7" t="str">
        <f t="shared" ref="T194:T257" si="57">IF(AND(O194="",D194=""),"Nothing","")</f>
        <v>Nothing</v>
      </c>
      <c r="U194" s="7" t="s">
        <v>1</v>
      </c>
      <c r="AC194" s="26" t="s">
        <v>3312</v>
      </c>
      <c r="AD194" s="24">
        <v>264938</v>
      </c>
      <c r="AE194" s="7">
        <v>-8.6999999999999994E-2</v>
      </c>
      <c r="AF194" s="7" t="s">
        <v>3311</v>
      </c>
      <c r="AG194" s="7">
        <v>-0.312</v>
      </c>
      <c r="AH194" s="7" t="s">
        <v>3310</v>
      </c>
      <c r="AI194" s="7">
        <v>74900</v>
      </c>
      <c r="AJ194" s="7">
        <v>-3</v>
      </c>
      <c r="AK194" s="7">
        <v>26</v>
      </c>
      <c r="AL194" t="s">
        <v>2111</v>
      </c>
      <c r="AT194" s="7" t="str">
        <f t="shared" si="52"/>
        <v>None</v>
      </c>
      <c r="AU194" s="7" t="str">
        <f t="shared" ref="AU194:AU257" si="58">IF((BC194="Carbon Neutral"),IF((OR(BH194="Committed",BH194="Targets Set")),IF(CH194="yes", "CN, SBT &amp; RE100", "CN &amp; SBT"),IF(CH194="yes", "CN &amp; RE100", "CN")),IF((OR(BH194="Committed",BH194="Targets Set")),IF(CH194="yes", "SBT &amp; RE100", "SBT"),IF(CH194="yes", "RE100", "None")))</f>
        <v>None</v>
      </c>
      <c r="AV194" s="7" t="str">
        <f t="shared" ref="AV194:AV257" si="59">IF(BC194="Carbon Neutral",G194,"")</f>
        <v/>
      </c>
      <c r="AW194" s="7" t="str">
        <f t="shared" ref="AW194:AW257" si="60">IF(N194="","",N194)</f>
        <v/>
      </c>
      <c r="AX194" s="7" t="str">
        <f t="shared" ref="AX194:AX257" si="61">IF(J194="","",IF(J194="2020 - achieved",K194,IF(J194="2020 - not achieved",K194,IF(J194="2020 - achieved pre-July 2019",K194,IF(J194&gt;2030,"",K194)))))</f>
        <v/>
      </c>
      <c r="BB194" s="7" t="str">
        <f t="shared" si="53"/>
        <v/>
      </c>
      <c r="BC194" s="7" t="str">
        <f t="shared" ref="BC194:BC257" si="62">IF(U194="No","No",IF(AND(OR(U194="No - but future commitment",U194="No - but future commitment and further future commitment across more scopes"),F194&lt;=2030),"Carbon Neutral",IF(OR(U194="No - but future commitment",U194="No - but future commitment and further future commitment across more scopes"),"No - but post-2030 commitment",IF(OR(U194="Yes",U194="Yes and future commitment across more scopes",U194="Yes by virtue of zero net"),"Carbon Neutral","No"))))</f>
        <v>No</v>
      </c>
      <c r="BD194" s="7" t="s">
        <v>1</v>
      </c>
      <c r="BF194" s="23" t="s">
        <v>3309</v>
      </c>
      <c r="BQ194" s="22"/>
      <c r="CH194" s="7" t="str">
        <f t="shared" ref="CH194:CH257" si="63">IF(J194="","",IF(J194&lt;=2030,"yes",IF(J194="2020 - achieved","yes",IF(J194="2020 - not achieved","yes",IF(J194="2020 - achieved pre-July 2019","yes",IF(J194&gt;2030,"",IF(J194="No target date","","unknown error")))))))</f>
        <v/>
      </c>
      <c r="CT194" s="7" t="s">
        <v>3308</v>
      </c>
      <c r="CU194" s="7" t="s">
        <v>2109</v>
      </c>
      <c r="CV194" s="7">
        <v>-48</v>
      </c>
      <c r="CY194" s="7" t="s">
        <v>361</v>
      </c>
    </row>
    <row r="195" spans="1:103">
      <c r="A195" s="7" t="s">
        <v>1214</v>
      </c>
      <c r="B195" s="7">
        <v>144</v>
      </c>
      <c r="C195" s="7" t="s">
        <v>127</v>
      </c>
      <c r="I195" s="24" t="str">
        <f t="shared" si="54"/>
        <v>Yes</v>
      </c>
      <c r="J195" s="7">
        <v>2020</v>
      </c>
      <c r="K195" s="7">
        <v>2016</v>
      </c>
      <c r="L195" s="7" t="str">
        <f t="shared" si="55"/>
        <v/>
      </c>
      <c r="M195" s="21" t="str">
        <f t="shared" si="56"/>
        <v/>
      </c>
      <c r="N195" s="7" t="s">
        <v>1960</v>
      </c>
      <c r="T195" s="7" t="str">
        <f t="shared" si="57"/>
        <v>Nothing</v>
      </c>
      <c r="U195" s="7" t="s">
        <v>1</v>
      </c>
      <c r="AC195" s="8" t="s">
        <v>3307</v>
      </c>
      <c r="AD195" s="24">
        <v>70697</v>
      </c>
      <c r="AE195" s="7">
        <v>0.26600000000000001</v>
      </c>
      <c r="AF195" s="7" t="s">
        <v>3306</v>
      </c>
      <c r="AG195" s="7">
        <v>-0.16400000000000001</v>
      </c>
      <c r="AH195" s="7" t="s">
        <v>3305</v>
      </c>
      <c r="AI195" s="7">
        <v>44942</v>
      </c>
      <c r="AJ195" s="7">
        <v>40</v>
      </c>
      <c r="AK195" s="7">
        <v>4</v>
      </c>
      <c r="AL195" s="7" t="s">
        <v>364</v>
      </c>
      <c r="AN195" s="7" t="s">
        <v>2029</v>
      </c>
      <c r="AT195" s="7" t="str">
        <f t="shared" si="52"/>
        <v>RE100</v>
      </c>
      <c r="AU195" s="7" t="str">
        <f t="shared" si="58"/>
        <v>RE100</v>
      </c>
      <c r="AV195" s="7" t="str">
        <f t="shared" si="59"/>
        <v/>
      </c>
      <c r="AW195" s="7" t="str">
        <f t="shared" si="60"/>
        <v/>
      </c>
      <c r="AX195" s="7">
        <f t="shared" si="61"/>
        <v>2016</v>
      </c>
      <c r="BB195" s="7" t="str">
        <f t="shared" si="53"/>
        <v/>
      </c>
      <c r="BC195" s="7" t="str">
        <f t="shared" si="62"/>
        <v>No</v>
      </c>
      <c r="BD195" s="7" t="s">
        <v>1</v>
      </c>
      <c r="BF195" s="7" t="s">
        <v>3304</v>
      </c>
      <c r="BQ195" s="22"/>
      <c r="CG195" s="7" t="s">
        <v>2027</v>
      </c>
      <c r="CH195" s="7" t="str">
        <f t="shared" si="63"/>
        <v>yes</v>
      </c>
      <c r="CI195" s="7" t="s">
        <v>3303</v>
      </c>
      <c r="CJ195" s="7">
        <v>0.75</v>
      </c>
      <c r="CK195" s="7">
        <v>0.43</v>
      </c>
      <c r="CL195" s="7">
        <v>0.43</v>
      </c>
      <c r="CM195" s="7">
        <v>0.35</v>
      </c>
      <c r="CN195" s="7">
        <v>0.21</v>
      </c>
      <c r="CO195" s="7" t="s">
        <v>2039</v>
      </c>
      <c r="CR195" s="27" t="s">
        <v>3302</v>
      </c>
      <c r="CX195" s="7" t="s">
        <v>361</v>
      </c>
    </row>
    <row r="196" spans="1:103">
      <c r="A196" s="7" t="s">
        <v>1718</v>
      </c>
      <c r="B196" s="7">
        <v>53</v>
      </c>
      <c r="I196" s="24" t="str">
        <f t="shared" si="54"/>
        <v/>
      </c>
      <c r="L196" s="7" t="str">
        <f t="shared" si="55"/>
        <v/>
      </c>
      <c r="M196" s="21" t="str">
        <f t="shared" si="56"/>
        <v/>
      </c>
      <c r="N196" s="7" t="s">
        <v>1960</v>
      </c>
      <c r="T196" s="7" t="str">
        <f t="shared" si="57"/>
        <v>Nothing</v>
      </c>
      <c r="U196" s="7" t="s">
        <v>1</v>
      </c>
      <c r="AD196" s="24">
        <v>120304</v>
      </c>
      <c r="AE196" s="7">
        <v>2E-3</v>
      </c>
      <c r="AF196" s="7" t="s">
        <v>3301</v>
      </c>
      <c r="AG196" s="7">
        <v>-0.113</v>
      </c>
      <c r="AH196" s="7" t="s">
        <v>3300</v>
      </c>
      <c r="AI196" s="7">
        <v>7500</v>
      </c>
      <c r="AJ196" s="7">
        <v>-4</v>
      </c>
      <c r="AK196" s="7">
        <v>23</v>
      </c>
      <c r="AT196" s="7" t="str">
        <f t="shared" si="52"/>
        <v>None</v>
      </c>
      <c r="AU196" s="7" t="str">
        <f t="shared" si="58"/>
        <v>None</v>
      </c>
      <c r="AV196" s="7" t="str">
        <f t="shared" si="59"/>
        <v/>
      </c>
      <c r="AW196" s="7" t="str">
        <f t="shared" si="60"/>
        <v/>
      </c>
      <c r="AX196" s="7" t="str">
        <f t="shared" si="61"/>
        <v/>
      </c>
      <c r="BB196" s="7" t="str">
        <f t="shared" si="53"/>
        <v/>
      </c>
      <c r="BC196" s="7" t="str">
        <f t="shared" si="62"/>
        <v>No</v>
      </c>
      <c r="BD196" s="7" t="s">
        <v>1</v>
      </c>
      <c r="BQ196" s="22"/>
      <c r="CH196" s="7" t="str">
        <f t="shared" si="63"/>
        <v/>
      </c>
    </row>
    <row r="197" spans="1:103">
      <c r="A197" s="7" t="s">
        <v>1319</v>
      </c>
      <c r="B197" s="7">
        <v>148</v>
      </c>
      <c r="I197" s="24" t="str">
        <f t="shared" si="54"/>
        <v/>
      </c>
      <c r="L197" s="7" t="str">
        <f t="shared" si="55"/>
        <v/>
      </c>
      <c r="M197" s="21" t="str">
        <f t="shared" si="56"/>
        <v/>
      </c>
      <c r="N197" s="7" t="s">
        <v>1960</v>
      </c>
      <c r="T197" s="7" t="str">
        <f t="shared" si="57"/>
        <v>Nothing</v>
      </c>
      <c r="U197" s="7" t="s">
        <v>1</v>
      </c>
      <c r="AC197" s="26" t="s">
        <v>3299</v>
      </c>
      <c r="AD197" s="24">
        <v>69693</v>
      </c>
      <c r="AE197" s="7">
        <v>6.5000000000000002E-2</v>
      </c>
      <c r="AF197" s="7" t="s">
        <v>3298</v>
      </c>
      <c r="AG197" s="7">
        <v>-0.88200000000000001</v>
      </c>
      <c r="AH197" s="7" t="s">
        <v>3297</v>
      </c>
      <c r="AI197" s="7">
        <v>374198</v>
      </c>
      <c r="AJ197" s="7">
        <v>4</v>
      </c>
      <c r="AK197" s="7">
        <v>26</v>
      </c>
      <c r="AT197" s="7" t="str">
        <f t="shared" si="52"/>
        <v>None</v>
      </c>
      <c r="AU197" s="7" t="str">
        <f t="shared" si="58"/>
        <v>None</v>
      </c>
      <c r="AV197" s="7" t="str">
        <f t="shared" si="59"/>
        <v/>
      </c>
      <c r="AW197" s="7" t="str">
        <f t="shared" si="60"/>
        <v/>
      </c>
      <c r="AX197" s="7" t="str">
        <f t="shared" si="61"/>
        <v/>
      </c>
      <c r="BB197" s="7" t="str">
        <f t="shared" si="53"/>
        <v/>
      </c>
      <c r="BC197" s="7" t="str">
        <f t="shared" si="62"/>
        <v>No</v>
      </c>
      <c r="BD197" s="7" t="s">
        <v>1</v>
      </c>
      <c r="BF197" s="7" t="s">
        <v>3296</v>
      </c>
      <c r="BQ197" s="22"/>
      <c r="CH197" s="7" t="str">
        <f t="shared" si="63"/>
        <v/>
      </c>
      <c r="CX197" s="7" t="s">
        <v>361</v>
      </c>
      <c r="CY197" s="7" t="s">
        <v>361</v>
      </c>
    </row>
    <row r="198" spans="1:103">
      <c r="A198" s="7" t="s">
        <v>255</v>
      </c>
      <c r="B198" s="7">
        <v>458</v>
      </c>
      <c r="I198" s="24" t="str">
        <f t="shared" si="54"/>
        <v/>
      </c>
      <c r="L198" s="7" t="str">
        <f t="shared" si="55"/>
        <v/>
      </c>
      <c r="M198" s="21" t="str">
        <f t="shared" si="56"/>
        <v/>
      </c>
      <c r="N198" s="7" t="s">
        <v>1960</v>
      </c>
      <c r="T198" s="7" t="str">
        <f t="shared" si="57"/>
        <v>Nothing</v>
      </c>
      <c r="U198" s="7" t="s">
        <v>1</v>
      </c>
      <c r="AD198" s="24">
        <v>27806</v>
      </c>
      <c r="AE198" s="7">
        <v>2.3E-2</v>
      </c>
      <c r="AF198" s="7" t="s">
        <v>3295</v>
      </c>
      <c r="AG198" s="7">
        <v>-5.2999999999999999E-2</v>
      </c>
      <c r="AH198" s="7" t="s">
        <v>3294</v>
      </c>
      <c r="AI198" s="7">
        <v>83801</v>
      </c>
      <c r="AJ198" s="7">
        <v>-2</v>
      </c>
      <c r="AK198" s="7">
        <v>2</v>
      </c>
      <c r="AT198" s="7" t="str">
        <f t="shared" si="52"/>
        <v>None</v>
      </c>
      <c r="AU198" s="7" t="str">
        <f t="shared" si="58"/>
        <v>None</v>
      </c>
      <c r="AV198" s="7" t="str">
        <f t="shared" si="59"/>
        <v/>
      </c>
      <c r="AW198" s="7" t="str">
        <f t="shared" si="60"/>
        <v/>
      </c>
      <c r="AX198" s="7" t="str">
        <f t="shared" si="61"/>
        <v/>
      </c>
      <c r="BB198" s="7" t="str">
        <f t="shared" si="53"/>
        <v/>
      </c>
      <c r="BC198" s="7" t="str">
        <f t="shared" si="62"/>
        <v>No</v>
      </c>
      <c r="BD198" s="7" t="s">
        <v>1</v>
      </c>
      <c r="BQ198" s="22"/>
      <c r="CH198" s="7" t="str">
        <f t="shared" si="63"/>
        <v/>
      </c>
    </row>
    <row r="199" spans="1:103">
      <c r="A199" s="7" t="s">
        <v>1139</v>
      </c>
      <c r="B199" s="7">
        <v>262</v>
      </c>
      <c r="I199" s="24" t="str">
        <f t="shared" si="54"/>
        <v/>
      </c>
      <c r="L199" s="7" t="str">
        <f t="shared" si="55"/>
        <v/>
      </c>
      <c r="M199" s="21" t="str">
        <f t="shared" si="56"/>
        <v/>
      </c>
      <c r="N199" s="7" t="s">
        <v>1960</v>
      </c>
      <c r="T199" s="7" t="str">
        <f t="shared" si="57"/>
        <v>Nothing</v>
      </c>
      <c r="U199" s="7" t="s">
        <v>1963</v>
      </c>
      <c r="AD199" s="24">
        <v>45045</v>
      </c>
      <c r="AE199" s="7">
        <v>-0.13800000000000001</v>
      </c>
      <c r="AF199" s="7" t="s">
        <v>3293</v>
      </c>
      <c r="AG199" s="7" t="s">
        <v>9</v>
      </c>
      <c r="AH199" s="7" t="s">
        <v>3292</v>
      </c>
      <c r="AI199" s="7">
        <v>209747</v>
      </c>
      <c r="AJ199" s="7">
        <v>-55</v>
      </c>
      <c r="AK199" s="7">
        <v>6</v>
      </c>
      <c r="AT199" s="7" t="str">
        <f t="shared" si="52"/>
        <v>None</v>
      </c>
      <c r="AU199" s="7" t="str">
        <f t="shared" si="58"/>
        <v>None</v>
      </c>
      <c r="AV199" s="7" t="str">
        <f t="shared" si="59"/>
        <v/>
      </c>
      <c r="AW199" s="7" t="str">
        <f t="shared" si="60"/>
        <v/>
      </c>
      <c r="AX199" s="7" t="str">
        <f t="shared" si="61"/>
        <v/>
      </c>
      <c r="BB199" s="7" t="str">
        <f t="shared" si="53"/>
        <v/>
      </c>
      <c r="BC199" s="7" t="str">
        <f t="shared" si="62"/>
        <v>No</v>
      </c>
      <c r="BD199" s="7" t="s">
        <v>1963</v>
      </c>
      <c r="BE199" s="1"/>
      <c r="BF199" s="7" t="s">
        <v>2863</v>
      </c>
      <c r="BQ199" s="22"/>
      <c r="CH199" s="7" t="str">
        <f t="shared" si="63"/>
        <v/>
      </c>
    </row>
    <row r="200" spans="1:103">
      <c r="A200" s="7" t="s">
        <v>125</v>
      </c>
      <c r="B200" s="7">
        <v>482</v>
      </c>
      <c r="I200" s="24" t="str">
        <f t="shared" si="54"/>
        <v/>
      </c>
      <c r="L200" s="7" t="str">
        <f t="shared" si="55"/>
        <v/>
      </c>
      <c r="M200" s="21" t="str">
        <f t="shared" si="56"/>
        <v/>
      </c>
      <c r="N200" s="7" t="s">
        <v>1960</v>
      </c>
      <c r="T200" s="7" t="str">
        <f t="shared" si="57"/>
        <v>Nothing</v>
      </c>
      <c r="U200" s="7" t="s">
        <v>1</v>
      </c>
      <c r="AD200" s="24">
        <v>26319</v>
      </c>
      <c r="AE200" s="7">
        <v>2.5000000000000001E-2</v>
      </c>
      <c r="AF200" s="7" t="s">
        <v>3291</v>
      </c>
      <c r="AG200" s="7">
        <v>-0.13800000000000001</v>
      </c>
      <c r="AH200" s="7" t="s">
        <v>3290</v>
      </c>
      <c r="AI200" s="7">
        <v>314656</v>
      </c>
      <c r="AJ200" s="7">
        <v>6</v>
      </c>
      <c r="AK200" s="7">
        <v>3</v>
      </c>
      <c r="AT200" s="7" t="str">
        <f t="shared" si="52"/>
        <v>None</v>
      </c>
      <c r="AU200" s="7" t="str">
        <f t="shared" si="58"/>
        <v>None</v>
      </c>
      <c r="AV200" s="7" t="str">
        <f t="shared" si="59"/>
        <v/>
      </c>
      <c r="AW200" s="7" t="str">
        <f t="shared" si="60"/>
        <v/>
      </c>
      <c r="AX200" s="7" t="str">
        <f t="shared" si="61"/>
        <v/>
      </c>
      <c r="BB200" s="7" t="str">
        <f t="shared" si="53"/>
        <v/>
      </c>
      <c r="BC200" s="7" t="str">
        <f t="shared" si="62"/>
        <v>No</v>
      </c>
      <c r="BD200" s="7" t="s">
        <v>1</v>
      </c>
      <c r="BQ200" s="22"/>
      <c r="CH200" s="7" t="str">
        <f t="shared" si="63"/>
        <v/>
      </c>
    </row>
    <row r="201" spans="1:103">
      <c r="A201" s="7" t="s">
        <v>1787</v>
      </c>
      <c r="B201" s="7">
        <v>31</v>
      </c>
      <c r="C201" s="7" t="s">
        <v>127</v>
      </c>
      <c r="D201" s="7" t="s">
        <v>1971</v>
      </c>
      <c r="E201" s="7" t="s">
        <v>3289</v>
      </c>
      <c r="F201" s="7">
        <v>2050</v>
      </c>
      <c r="G201" s="7">
        <v>2020</v>
      </c>
      <c r="H201" s="26" t="s">
        <v>3287</v>
      </c>
      <c r="I201" s="24" t="str">
        <f t="shared" si="54"/>
        <v/>
      </c>
      <c r="L201" s="7" t="str">
        <f t="shared" si="55"/>
        <v/>
      </c>
      <c r="M201" s="21" t="str">
        <f t="shared" si="56"/>
        <v/>
      </c>
      <c r="N201" s="7" t="s">
        <v>1960</v>
      </c>
      <c r="S201" s="27"/>
      <c r="T201" s="7" t="str">
        <f t="shared" si="57"/>
        <v/>
      </c>
      <c r="U201" s="7" t="s">
        <v>1969</v>
      </c>
      <c r="V201" s="7" t="s">
        <v>3288</v>
      </c>
      <c r="AC201" s="26" t="s">
        <v>3287</v>
      </c>
      <c r="AD201" s="24">
        <v>155900</v>
      </c>
      <c r="AE201" s="7">
        <v>-2.8000000000000001E-2</v>
      </c>
      <c r="AF201" s="7" t="s">
        <v>3286</v>
      </c>
      <c r="AG201" s="7">
        <v>-0.98699999999999999</v>
      </c>
      <c r="AH201" s="7" t="s">
        <v>3285</v>
      </c>
      <c r="AI201" s="7">
        <v>190000</v>
      </c>
      <c r="AJ201" s="7">
        <v>-1</v>
      </c>
      <c r="AK201" s="7">
        <v>26</v>
      </c>
      <c r="AL201" s="7" t="s">
        <v>166</v>
      </c>
      <c r="AN201" s="7" t="s">
        <v>2029</v>
      </c>
      <c r="AT201" s="7" t="str">
        <f t="shared" si="52"/>
        <v>CN</v>
      </c>
      <c r="AU201" s="7" t="str">
        <f t="shared" si="58"/>
        <v>None</v>
      </c>
      <c r="AV201" s="7" t="str">
        <f t="shared" si="59"/>
        <v/>
      </c>
      <c r="AW201" s="7" t="str">
        <f t="shared" si="60"/>
        <v/>
      </c>
      <c r="AX201" s="7" t="str">
        <f t="shared" si="61"/>
        <v/>
      </c>
      <c r="BB201" s="7" t="str">
        <f t="shared" si="53"/>
        <v/>
      </c>
      <c r="BC201" s="7" t="str">
        <f t="shared" si="62"/>
        <v>No - but post-2030 commitment</v>
      </c>
      <c r="BD201" s="29" t="s">
        <v>1969</v>
      </c>
      <c r="BF201" s="23" t="s">
        <v>3284</v>
      </c>
      <c r="BG201" s="7" t="s">
        <v>3283</v>
      </c>
      <c r="BQ201" s="22"/>
      <c r="CD201" s="7" t="s">
        <v>361</v>
      </c>
      <c r="CF201" s="25"/>
      <c r="CH201" s="7" t="str">
        <f t="shared" si="63"/>
        <v/>
      </c>
      <c r="CT201" s="7" t="s">
        <v>1787</v>
      </c>
      <c r="CU201" s="7" t="s">
        <v>2109</v>
      </c>
      <c r="CV201" s="7">
        <v>-24</v>
      </c>
      <c r="CY201" s="7" t="s">
        <v>361</v>
      </c>
    </row>
    <row r="202" spans="1:103">
      <c r="A202" s="7" t="s">
        <v>1412</v>
      </c>
      <c r="B202" s="7">
        <v>125</v>
      </c>
      <c r="I202" s="24" t="str">
        <f t="shared" si="54"/>
        <v/>
      </c>
      <c r="L202" s="7" t="str">
        <f t="shared" si="55"/>
        <v/>
      </c>
      <c r="M202" s="21" t="str">
        <f t="shared" si="56"/>
        <v/>
      </c>
      <c r="N202" s="7" t="s">
        <v>1960</v>
      </c>
      <c r="T202" s="7" t="str">
        <f t="shared" si="57"/>
        <v>Nothing</v>
      </c>
      <c r="U202" s="7" t="s">
        <v>1</v>
      </c>
      <c r="AD202" s="24">
        <v>75125</v>
      </c>
      <c r="AE202" s="7">
        <v>2.1000000000000001E-2</v>
      </c>
      <c r="AF202" s="7" t="s">
        <v>3282</v>
      </c>
      <c r="AG202" s="7">
        <v>-0.219</v>
      </c>
      <c r="AH202" s="7" t="s">
        <v>3281</v>
      </c>
      <c r="AI202" s="7">
        <v>6892</v>
      </c>
      <c r="AJ202" s="7">
        <v>3</v>
      </c>
      <c r="AK202" s="7">
        <v>24</v>
      </c>
      <c r="AT202" s="7" t="str">
        <f t="shared" si="52"/>
        <v>None</v>
      </c>
      <c r="AU202" s="7" t="str">
        <f t="shared" si="58"/>
        <v>None</v>
      </c>
      <c r="AV202" s="7" t="str">
        <f t="shared" si="59"/>
        <v/>
      </c>
      <c r="AW202" s="7" t="str">
        <f t="shared" si="60"/>
        <v/>
      </c>
      <c r="AX202" s="7" t="str">
        <f t="shared" si="61"/>
        <v/>
      </c>
      <c r="BB202" s="7" t="str">
        <f t="shared" si="53"/>
        <v/>
      </c>
      <c r="BC202" s="7" t="str">
        <f t="shared" si="62"/>
        <v>No</v>
      </c>
      <c r="BD202" s="7" t="s">
        <v>1</v>
      </c>
      <c r="BQ202" s="22"/>
      <c r="CH202" s="7" t="str">
        <f t="shared" si="63"/>
        <v/>
      </c>
    </row>
    <row r="203" spans="1:103">
      <c r="A203" s="7" t="s">
        <v>777</v>
      </c>
      <c r="B203" s="7">
        <v>313</v>
      </c>
      <c r="I203" s="24" t="str">
        <f t="shared" si="54"/>
        <v/>
      </c>
      <c r="L203" s="7" t="str">
        <f t="shared" si="55"/>
        <v/>
      </c>
      <c r="M203" s="21" t="str">
        <f t="shared" si="56"/>
        <v/>
      </c>
      <c r="N203" s="7" t="s">
        <v>1960</v>
      </c>
      <c r="T203" s="7" t="str">
        <f t="shared" si="57"/>
        <v>Nothing</v>
      </c>
      <c r="U203" s="7" t="s">
        <v>1963</v>
      </c>
      <c r="AC203" s="26" t="s">
        <v>3280</v>
      </c>
      <c r="AD203" s="24">
        <v>39632</v>
      </c>
      <c r="AE203" s="7">
        <v>2E-3</v>
      </c>
      <c r="AF203" s="7" t="s">
        <v>3279</v>
      </c>
      <c r="AG203" s="7">
        <v>-0.11899999999999999</v>
      </c>
      <c r="AH203" s="7" t="s">
        <v>3278</v>
      </c>
      <c r="AI203" s="7">
        <v>294134</v>
      </c>
      <c r="AJ203" s="7" t="s">
        <v>9</v>
      </c>
      <c r="AK203" s="7">
        <v>11</v>
      </c>
      <c r="AT203" s="7" t="str">
        <f t="shared" si="52"/>
        <v>None</v>
      </c>
      <c r="AU203" s="7" t="str">
        <f t="shared" si="58"/>
        <v>None</v>
      </c>
      <c r="AV203" s="7" t="str">
        <f t="shared" si="59"/>
        <v/>
      </c>
      <c r="AW203" s="7" t="str">
        <f t="shared" si="60"/>
        <v/>
      </c>
      <c r="AX203" s="7" t="str">
        <f t="shared" si="61"/>
        <v/>
      </c>
      <c r="BB203" s="7" t="str">
        <f t="shared" si="53"/>
        <v/>
      </c>
      <c r="BC203" s="7" t="str">
        <f t="shared" si="62"/>
        <v>No</v>
      </c>
      <c r="BD203" s="7" t="s">
        <v>1963</v>
      </c>
      <c r="BF203" s="7" t="s">
        <v>2899</v>
      </c>
      <c r="BQ203" s="22"/>
      <c r="CH203" s="7" t="str">
        <f t="shared" si="63"/>
        <v/>
      </c>
      <c r="CX203" s="7" t="s">
        <v>361</v>
      </c>
    </row>
    <row r="204" spans="1:103">
      <c r="A204" s="7" t="s">
        <v>196</v>
      </c>
      <c r="B204" s="7">
        <v>403</v>
      </c>
      <c r="C204" s="7" t="s">
        <v>3277</v>
      </c>
      <c r="I204" s="24" t="str">
        <f t="shared" si="54"/>
        <v/>
      </c>
      <c r="L204" s="7" t="str">
        <f t="shared" si="55"/>
        <v>C</v>
      </c>
      <c r="M204" s="21" t="str">
        <f t="shared" si="56"/>
        <v/>
      </c>
      <c r="N204" s="7">
        <v>2016</v>
      </c>
      <c r="T204" s="7" t="str">
        <f t="shared" si="57"/>
        <v>Nothing</v>
      </c>
      <c r="U204" s="7" t="s">
        <v>1963</v>
      </c>
      <c r="AD204" s="24">
        <v>31013</v>
      </c>
      <c r="AE204" s="7">
        <v>0.18</v>
      </c>
      <c r="AF204" s="7" t="s">
        <v>3276</v>
      </c>
      <c r="AG204" s="7">
        <v>0.19500000000000001</v>
      </c>
      <c r="AH204" s="7" t="s">
        <v>3275</v>
      </c>
      <c r="AI204" s="7">
        <v>44388</v>
      </c>
      <c r="AJ204" s="7">
        <v>68</v>
      </c>
      <c r="AK204" s="7">
        <v>3</v>
      </c>
      <c r="AL204" s="7" t="s">
        <v>93</v>
      </c>
      <c r="AN204" s="7" t="s">
        <v>1994</v>
      </c>
      <c r="AT204" s="7" t="str">
        <f t="shared" si="52"/>
        <v>SBT</v>
      </c>
      <c r="AU204" s="7" t="str">
        <f t="shared" si="58"/>
        <v>SBT</v>
      </c>
      <c r="AV204" s="7" t="str">
        <f t="shared" si="59"/>
        <v/>
      </c>
      <c r="AW204" s="7">
        <f t="shared" si="60"/>
        <v>2016</v>
      </c>
      <c r="AX204" s="7" t="str">
        <f t="shared" si="61"/>
        <v/>
      </c>
      <c r="BB204" s="7" t="str">
        <f t="shared" si="53"/>
        <v>Yes</v>
      </c>
      <c r="BC204" s="7" t="str">
        <f t="shared" si="62"/>
        <v>No</v>
      </c>
      <c r="BD204" s="7" t="s">
        <v>1963</v>
      </c>
      <c r="BH204" s="7" t="s">
        <v>165</v>
      </c>
      <c r="BJ204" s="7" t="s">
        <v>197</v>
      </c>
      <c r="BQ204" s="22"/>
      <c r="CH204" s="7" t="str">
        <f t="shared" si="63"/>
        <v/>
      </c>
    </row>
    <row r="205" spans="1:103">
      <c r="A205" s="36" t="s">
        <v>666</v>
      </c>
      <c r="B205" s="36">
        <v>356</v>
      </c>
      <c r="C205" s="36" t="s">
        <v>207</v>
      </c>
      <c r="D205" s="36"/>
      <c r="E205" s="36"/>
      <c r="F205" s="36"/>
      <c r="G205" s="36"/>
      <c r="H205" s="42"/>
      <c r="I205" s="41" t="str">
        <f t="shared" si="54"/>
        <v>Yes</v>
      </c>
      <c r="J205" s="36">
        <v>2050</v>
      </c>
      <c r="K205" s="36">
        <v>2018</v>
      </c>
      <c r="L205" s="36" t="str">
        <f t="shared" si="55"/>
        <v>T</v>
      </c>
      <c r="M205" s="40">
        <f t="shared" si="56"/>
        <v>2030</v>
      </c>
      <c r="N205" s="36">
        <v>2017</v>
      </c>
      <c r="O205" s="36" t="s">
        <v>2082</v>
      </c>
      <c r="P205" s="36" t="s">
        <v>2081</v>
      </c>
      <c r="Q205" s="36">
        <v>2050</v>
      </c>
      <c r="R205" s="36">
        <v>2017</v>
      </c>
      <c r="S205" s="42" t="s">
        <v>669</v>
      </c>
      <c r="T205" s="7" t="str">
        <f t="shared" si="57"/>
        <v/>
      </c>
      <c r="U205" s="36" t="s">
        <v>1969</v>
      </c>
      <c r="V205" s="36" t="s">
        <v>3274</v>
      </c>
      <c r="W205" s="36"/>
      <c r="X205" s="36" t="s">
        <v>3273</v>
      </c>
      <c r="Y205" s="36"/>
      <c r="Z205" s="36" t="s">
        <v>3272</v>
      </c>
      <c r="AA205" s="36"/>
      <c r="AB205" s="42" t="s">
        <v>669</v>
      </c>
      <c r="AC205" s="36"/>
      <c r="AD205" s="24">
        <v>35483</v>
      </c>
      <c r="AE205" s="7">
        <v>-5.0000000000000001E-3</v>
      </c>
      <c r="AF205" s="7" t="s">
        <v>3271</v>
      </c>
      <c r="AG205" s="7">
        <v>0.56100000000000005</v>
      </c>
      <c r="AH205" s="7" t="s">
        <v>3270</v>
      </c>
      <c r="AI205" s="7">
        <v>129609</v>
      </c>
      <c r="AJ205" s="7">
        <v>-7</v>
      </c>
      <c r="AK205" s="7">
        <v>26</v>
      </c>
      <c r="AL205" s="7" t="s">
        <v>364</v>
      </c>
      <c r="AN205" s="7" t="s">
        <v>1994</v>
      </c>
      <c r="AT205" s="36" t="str">
        <f t="shared" si="52"/>
        <v>CN, SBT &amp; RE100</v>
      </c>
      <c r="AU205" s="36" t="str">
        <f t="shared" si="58"/>
        <v>CN &amp; SBT</v>
      </c>
      <c r="AV205" s="36">
        <f t="shared" si="59"/>
        <v>0</v>
      </c>
      <c r="AW205" s="36">
        <f t="shared" si="60"/>
        <v>2017</v>
      </c>
      <c r="AX205" s="36" t="str">
        <f t="shared" si="61"/>
        <v/>
      </c>
      <c r="AY205" s="36"/>
      <c r="AZ205" s="36"/>
      <c r="BA205" s="36"/>
      <c r="BB205" s="36" t="str">
        <f t="shared" si="53"/>
        <v>Yes</v>
      </c>
      <c r="BC205" s="36" t="str">
        <f t="shared" si="62"/>
        <v>Carbon Neutral</v>
      </c>
      <c r="BD205" s="36" t="s">
        <v>1963</v>
      </c>
      <c r="BE205" s="36"/>
      <c r="BF205" s="36"/>
      <c r="BG205" s="36" t="s">
        <v>3269</v>
      </c>
      <c r="BH205" s="36" t="s">
        <v>22</v>
      </c>
      <c r="BI205" s="36" t="s">
        <v>2040</v>
      </c>
      <c r="BJ205" s="36" t="s">
        <v>668</v>
      </c>
      <c r="BK205" s="36"/>
      <c r="BL205" s="36"/>
      <c r="BM205" s="36" t="s">
        <v>667</v>
      </c>
      <c r="BN205" s="36">
        <v>2030</v>
      </c>
      <c r="BO205" s="36">
        <v>2030</v>
      </c>
      <c r="BP205" s="36">
        <v>2030</v>
      </c>
      <c r="BQ205" s="22"/>
      <c r="BR205" s="36"/>
      <c r="BS205" s="36"/>
      <c r="BT205" s="36"/>
      <c r="BU205" s="36"/>
      <c r="BV205" s="36"/>
      <c r="BW205" s="36"/>
      <c r="BX205" s="36"/>
      <c r="BY205" s="36"/>
      <c r="BZ205" s="36"/>
      <c r="CA205" s="36"/>
      <c r="CB205" s="36"/>
      <c r="CC205" s="36"/>
      <c r="CD205" s="36"/>
      <c r="CE205" s="36">
        <v>2050</v>
      </c>
      <c r="CF205" s="36"/>
      <c r="CG205" s="36" t="s">
        <v>207</v>
      </c>
      <c r="CH205" s="36" t="str">
        <f t="shared" si="63"/>
        <v/>
      </c>
      <c r="CI205" s="36" t="s">
        <v>665</v>
      </c>
      <c r="CJ205" s="36">
        <v>0.04</v>
      </c>
      <c r="CK205" s="36">
        <v>0.03</v>
      </c>
      <c r="CL205" s="36" t="s">
        <v>13</v>
      </c>
      <c r="CM205" s="36" t="s">
        <v>13</v>
      </c>
      <c r="CN205" s="36" t="s">
        <v>13</v>
      </c>
      <c r="CO205" s="36" t="s">
        <v>2251</v>
      </c>
      <c r="CP205" s="36"/>
      <c r="CQ205" s="36"/>
      <c r="CR205" s="36"/>
      <c r="CS205" s="36"/>
      <c r="CT205" s="36"/>
      <c r="CU205" s="36"/>
      <c r="CV205" s="36"/>
      <c r="CW205" s="36" t="s">
        <v>361</v>
      </c>
      <c r="CX205" s="36" t="s">
        <v>361</v>
      </c>
      <c r="CY205" s="36"/>
    </row>
    <row r="206" spans="1:103">
      <c r="A206" s="7" t="s">
        <v>1743</v>
      </c>
      <c r="B206" s="7">
        <v>55</v>
      </c>
      <c r="C206" s="7" t="s">
        <v>972</v>
      </c>
      <c r="I206" s="24" t="str">
        <f t="shared" si="54"/>
        <v/>
      </c>
      <c r="L206" s="7" t="str">
        <f t="shared" si="55"/>
        <v/>
      </c>
      <c r="M206" s="21" t="str">
        <f t="shared" si="56"/>
        <v/>
      </c>
      <c r="N206" s="7" t="s">
        <v>1960</v>
      </c>
      <c r="T206" s="7" t="str">
        <f t="shared" si="57"/>
        <v>Nothing</v>
      </c>
      <c r="U206" s="7" t="s">
        <v>1</v>
      </c>
      <c r="AC206" s="26" t="s">
        <v>3268</v>
      </c>
      <c r="AD206" s="24">
        <v>118009</v>
      </c>
      <c r="AE206" s="7">
        <v>-0.10100000000000001</v>
      </c>
      <c r="AF206" s="7" t="s">
        <v>3267</v>
      </c>
      <c r="AG206" s="7">
        <v>-0.19900000000000001</v>
      </c>
      <c r="AH206" s="7" t="s">
        <v>3266</v>
      </c>
      <c r="AI206" s="7">
        <v>473800</v>
      </c>
      <c r="AJ206" s="7">
        <v>-13</v>
      </c>
      <c r="AK206" s="7">
        <v>24</v>
      </c>
      <c r="AL206" t="s">
        <v>2111</v>
      </c>
      <c r="AT206" s="7" t="str">
        <f t="shared" si="52"/>
        <v>None</v>
      </c>
      <c r="AU206" s="7" t="str">
        <f t="shared" si="58"/>
        <v>None</v>
      </c>
      <c r="AV206" s="7" t="str">
        <f t="shared" si="59"/>
        <v/>
      </c>
      <c r="AW206" s="7" t="str">
        <f t="shared" si="60"/>
        <v/>
      </c>
      <c r="AX206" s="7" t="str">
        <f t="shared" si="61"/>
        <v/>
      </c>
      <c r="BB206" s="7" t="str">
        <f t="shared" si="53"/>
        <v/>
      </c>
      <c r="BC206" s="7" t="str">
        <f t="shared" si="62"/>
        <v>No</v>
      </c>
      <c r="BD206" s="7" t="s">
        <v>1</v>
      </c>
      <c r="BF206" s="23" t="s">
        <v>3265</v>
      </c>
      <c r="BQ206" s="22"/>
      <c r="CH206" s="7" t="str">
        <f t="shared" si="63"/>
        <v/>
      </c>
      <c r="CT206" s="7" t="s">
        <v>1743</v>
      </c>
      <c r="CU206" s="7" t="s">
        <v>2109</v>
      </c>
      <c r="CV206" s="7">
        <v>-16</v>
      </c>
    </row>
    <row r="207" spans="1:103">
      <c r="A207" s="7" t="s">
        <v>688</v>
      </c>
      <c r="B207" s="7">
        <v>317</v>
      </c>
      <c r="I207" s="24" t="str">
        <f t="shared" si="54"/>
        <v/>
      </c>
      <c r="L207" s="7" t="str">
        <f t="shared" si="55"/>
        <v/>
      </c>
      <c r="M207" s="21" t="str">
        <f t="shared" si="56"/>
        <v/>
      </c>
      <c r="N207" s="7" t="s">
        <v>1960</v>
      </c>
      <c r="T207" s="7" t="str">
        <f t="shared" si="57"/>
        <v>Nothing</v>
      </c>
      <c r="U207" s="7" t="s">
        <v>1963</v>
      </c>
      <c r="AC207" s="26" t="s">
        <v>3264</v>
      </c>
      <c r="AD207" s="24">
        <v>39350</v>
      </c>
      <c r="AE207" s="7">
        <v>8.6999999999999994E-2</v>
      </c>
      <c r="AF207" s="7" t="s">
        <v>3263</v>
      </c>
      <c r="AG207" s="7">
        <v>4.2000000000000003E-2</v>
      </c>
      <c r="AH207" s="7" t="s">
        <v>3262</v>
      </c>
      <c r="AI207" s="7">
        <v>102900</v>
      </c>
      <c r="AJ207" s="7">
        <v>26</v>
      </c>
      <c r="AK207" s="7">
        <v>20</v>
      </c>
      <c r="AT207" s="7" t="str">
        <f t="shared" si="52"/>
        <v>None</v>
      </c>
      <c r="AU207" s="7" t="str">
        <f t="shared" si="58"/>
        <v>None</v>
      </c>
      <c r="AV207" s="7" t="str">
        <f t="shared" si="59"/>
        <v/>
      </c>
      <c r="AW207" s="7" t="str">
        <f t="shared" si="60"/>
        <v/>
      </c>
      <c r="AX207" s="7" t="str">
        <f t="shared" si="61"/>
        <v/>
      </c>
      <c r="BB207" s="7" t="str">
        <f t="shared" si="53"/>
        <v/>
      </c>
      <c r="BC207" s="7" t="str">
        <f t="shared" si="62"/>
        <v>No</v>
      </c>
      <c r="BD207" s="7" t="s">
        <v>1963</v>
      </c>
      <c r="BF207" s="7" t="s">
        <v>3261</v>
      </c>
      <c r="BQ207" s="22"/>
      <c r="CH207" s="7" t="str">
        <f t="shared" si="63"/>
        <v/>
      </c>
      <c r="CY207" s="7" t="s">
        <v>361</v>
      </c>
    </row>
    <row r="208" spans="1:103">
      <c r="A208" s="7" t="s">
        <v>1720</v>
      </c>
      <c r="B208" s="7">
        <v>77</v>
      </c>
      <c r="I208" s="24" t="str">
        <f t="shared" si="54"/>
        <v/>
      </c>
      <c r="L208" s="7" t="str">
        <f t="shared" si="55"/>
        <v/>
      </c>
      <c r="M208" s="21" t="str">
        <f t="shared" si="56"/>
        <v/>
      </c>
      <c r="N208" s="7" t="s">
        <v>1960</v>
      </c>
      <c r="T208" s="7" t="str">
        <f t="shared" si="57"/>
        <v>Nothing</v>
      </c>
      <c r="U208" s="7" t="s">
        <v>1</v>
      </c>
      <c r="AC208" s="8" t="s">
        <v>3260</v>
      </c>
      <c r="AD208" s="24">
        <v>95214</v>
      </c>
      <c r="AE208" s="7">
        <v>-0.20799999999999999</v>
      </c>
      <c r="AF208" s="7" t="s">
        <v>3259</v>
      </c>
      <c r="AG208" s="7" t="s">
        <v>9</v>
      </c>
      <c r="AH208" s="7" t="s">
        <v>3258</v>
      </c>
      <c r="AI208" s="7">
        <v>205000</v>
      </c>
      <c r="AJ208" s="7">
        <v>-29</v>
      </c>
      <c r="AK208" s="7">
        <v>26</v>
      </c>
      <c r="AT208" s="7" t="str">
        <f t="shared" si="52"/>
        <v>None</v>
      </c>
      <c r="AU208" s="7" t="str">
        <f t="shared" si="58"/>
        <v>None</v>
      </c>
      <c r="AV208" s="7" t="str">
        <f t="shared" si="59"/>
        <v/>
      </c>
      <c r="AW208" s="7" t="str">
        <f t="shared" si="60"/>
        <v/>
      </c>
      <c r="AX208" s="7" t="str">
        <f t="shared" si="61"/>
        <v/>
      </c>
      <c r="BC208" s="7" t="str">
        <f t="shared" si="62"/>
        <v>No</v>
      </c>
      <c r="BD208" s="7" t="s">
        <v>1</v>
      </c>
      <c r="BF208" s="7" t="s">
        <v>3257</v>
      </c>
      <c r="BQ208" s="22"/>
      <c r="CH208" s="7" t="str">
        <f t="shared" si="63"/>
        <v/>
      </c>
      <c r="CY208" s="7" t="s">
        <v>361</v>
      </c>
    </row>
    <row r="209" spans="1:103">
      <c r="A209" s="7" t="s">
        <v>1781</v>
      </c>
      <c r="B209" s="7">
        <v>40</v>
      </c>
      <c r="C209" s="7" t="s">
        <v>127</v>
      </c>
      <c r="I209" s="24" t="str">
        <f t="shared" si="54"/>
        <v>Yes</v>
      </c>
      <c r="J209" s="7">
        <v>2050</v>
      </c>
      <c r="K209" s="7">
        <v>2016</v>
      </c>
      <c r="L209" s="7" t="str">
        <f t="shared" si="55"/>
        <v/>
      </c>
      <c r="M209" s="21" t="str">
        <f t="shared" si="56"/>
        <v/>
      </c>
      <c r="N209" s="7" t="s">
        <v>1960</v>
      </c>
      <c r="T209" s="7" t="str">
        <f t="shared" si="57"/>
        <v>Nothing</v>
      </c>
      <c r="U209" s="7" t="s">
        <v>1</v>
      </c>
      <c r="AC209" s="26" t="s">
        <v>3256</v>
      </c>
      <c r="AD209" s="24">
        <v>137237</v>
      </c>
      <c r="AE209" s="7">
        <v>-6.7000000000000004E-2</v>
      </c>
      <c r="AF209" s="7" t="s">
        <v>3255</v>
      </c>
      <c r="AG209" s="7">
        <v>-0.16</v>
      </c>
      <c r="AH209" s="7" t="s">
        <v>3254</v>
      </c>
      <c r="AI209" s="7">
        <v>164000</v>
      </c>
      <c r="AJ209" s="7">
        <v>-8</v>
      </c>
      <c r="AK209" s="7">
        <v>26</v>
      </c>
      <c r="AL209" s="7" t="s">
        <v>166</v>
      </c>
      <c r="AN209" s="7" t="s">
        <v>2029</v>
      </c>
      <c r="AT209" s="7" t="s">
        <v>3034</v>
      </c>
      <c r="AU209" s="7" t="str">
        <f t="shared" si="58"/>
        <v>None</v>
      </c>
      <c r="AV209" s="7" t="str">
        <f t="shared" si="59"/>
        <v/>
      </c>
      <c r="AW209" s="7" t="str">
        <f t="shared" si="60"/>
        <v/>
      </c>
      <c r="AX209" s="7" t="str">
        <f t="shared" si="61"/>
        <v/>
      </c>
      <c r="BB209" s="7" t="str">
        <f t="shared" ref="BB209:BB239" si="64">IF(BH209="","","Yes")</f>
        <v/>
      </c>
      <c r="BC209" s="7" t="str">
        <f t="shared" si="62"/>
        <v>No</v>
      </c>
      <c r="BD209" s="7" t="s">
        <v>1</v>
      </c>
      <c r="BF209" s="23" t="s">
        <v>3253</v>
      </c>
      <c r="BQ209" s="22"/>
      <c r="CG209" s="7" t="s">
        <v>2027</v>
      </c>
      <c r="CH209" s="7" t="str">
        <f t="shared" si="63"/>
        <v/>
      </c>
      <c r="CI209" s="7" t="s">
        <v>13</v>
      </c>
      <c r="CJ209" s="7">
        <v>0.09</v>
      </c>
      <c r="CK209" s="7">
        <v>0.05</v>
      </c>
      <c r="CL209" s="7">
        <v>0.03</v>
      </c>
      <c r="CM209" s="7">
        <v>0.01</v>
      </c>
      <c r="CN209" s="7" t="s">
        <v>13</v>
      </c>
      <c r="CO209" s="7" t="s">
        <v>3252</v>
      </c>
      <c r="CT209" s="7" t="s">
        <v>1781</v>
      </c>
      <c r="CU209" s="7" t="s">
        <v>2109</v>
      </c>
      <c r="CV209" s="7">
        <v>-21</v>
      </c>
      <c r="CY209" s="7" t="s">
        <v>361</v>
      </c>
    </row>
    <row r="210" spans="1:103">
      <c r="A210" s="7" t="s">
        <v>745</v>
      </c>
      <c r="B210" s="7">
        <v>330</v>
      </c>
      <c r="I210" s="24" t="str">
        <f t="shared" si="54"/>
        <v/>
      </c>
      <c r="L210" s="7" t="str">
        <f t="shared" si="55"/>
        <v/>
      </c>
      <c r="M210" s="21" t="str">
        <f t="shared" si="56"/>
        <v/>
      </c>
      <c r="N210" s="7" t="s">
        <v>1960</v>
      </c>
      <c r="T210" s="7" t="str">
        <f t="shared" si="57"/>
        <v>Nothing</v>
      </c>
      <c r="U210" s="7" t="s">
        <v>1963</v>
      </c>
      <c r="AD210" s="24">
        <v>37765</v>
      </c>
      <c r="AE210" s="7">
        <v>8.0000000000000002E-3</v>
      </c>
      <c r="AF210" s="7" t="s">
        <v>3251</v>
      </c>
      <c r="AG210" s="7">
        <v>-0.58799999999999997</v>
      </c>
      <c r="AH210" s="7" t="s">
        <v>3250</v>
      </c>
      <c r="AI210" s="7">
        <v>194000</v>
      </c>
      <c r="AJ210" s="7">
        <v>-5</v>
      </c>
      <c r="AK210" s="7">
        <v>26</v>
      </c>
      <c r="AT210" s="7" t="str">
        <f t="shared" ref="AT210:AT227" si="65">IF(OR(BC210="Carbon Neutral",BC210="No - but post-2030 commitment"),IF((OR(BH210="Committed",BH210="Targets Set")),IF(J210="", "CN &amp; SBT","CN, SBT &amp; RE100"),IF(CH210="","CN","CN &amp; RE100")),IF((OR(BH210="Committed",BH210="Targets Set")),IF(CH210="", "SBT","SBT &amp; RE100"),IF(CH210="","None","RE100")))</f>
        <v>None</v>
      </c>
      <c r="AU210" s="7" t="str">
        <f t="shared" si="58"/>
        <v>None</v>
      </c>
      <c r="AV210" s="7" t="str">
        <f t="shared" si="59"/>
        <v/>
      </c>
      <c r="AW210" s="7" t="str">
        <f t="shared" si="60"/>
        <v/>
      </c>
      <c r="AX210" s="7" t="str">
        <f t="shared" si="61"/>
        <v/>
      </c>
      <c r="BB210" s="7" t="str">
        <f t="shared" si="64"/>
        <v/>
      </c>
      <c r="BC210" s="7" t="str">
        <f t="shared" si="62"/>
        <v>No</v>
      </c>
      <c r="BD210" s="7" t="s">
        <v>1963</v>
      </c>
      <c r="BQ210" s="22"/>
      <c r="CH210" s="7" t="str">
        <f t="shared" si="63"/>
        <v/>
      </c>
    </row>
    <row r="211" spans="1:103">
      <c r="A211" s="7" t="s">
        <v>840</v>
      </c>
      <c r="B211" s="7">
        <v>282</v>
      </c>
      <c r="C211" s="7" t="s">
        <v>2070</v>
      </c>
      <c r="D211" s="7" t="s">
        <v>1971</v>
      </c>
      <c r="E211" s="7" t="s">
        <v>1970</v>
      </c>
      <c r="F211" s="7">
        <v>2050</v>
      </c>
      <c r="G211" s="7">
        <v>2017</v>
      </c>
      <c r="H211" s="26" t="s">
        <v>843</v>
      </c>
      <c r="I211" s="24" t="str">
        <f t="shared" si="54"/>
        <v/>
      </c>
      <c r="L211" s="7" t="str">
        <f t="shared" si="55"/>
        <v>T</v>
      </c>
      <c r="M211" s="21">
        <f t="shared" si="56"/>
        <v>2026.6666666666667</v>
      </c>
      <c r="N211" s="7">
        <v>2019</v>
      </c>
      <c r="T211" s="7" t="str">
        <f t="shared" si="57"/>
        <v/>
      </c>
      <c r="U211" s="7" t="s">
        <v>1969</v>
      </c>
      <c r="V211" s="7" t="s">
        <v>3249</v>
      </c>
      <c r="X211" s="7" t="s">
        <v>3248</v>
      </c>
      <c r="AC211" s="26" t="s">
        <v>843</v>
      </c>
      <c r="AD211" s="24">
        <v>43073</v>
      </c>
      <c r="AE211" s="7">
        <v>4.8000000000000001E-2</v>
      </c>
      <c r="AF211" s="7" t="s">
        <v>3247</v>
      </c>
      <c r="AG211" s="7">
        <v>0.22700000000000001</v>
      </c>
      <c r="AH211" s="7" t="s">
        <v>3246</v>
      </c>
      <c r="AI211" s="7">
        <v>99437</v>
      </c>
      <c r="AJ211" s="7">
        <v>14</v>
      </c>
      <c r="AK211" s="7">
        <v>26</v>
      </c>
      <c r="AL211" s="7" t="s">
        <v>842</v>
      </c>
      <c r="AN211" s="7" t="s">
        <v>1951</v>
      </c>
      <c r="AT211" s="7" t="str">
        <f t="shared" si="65"/>
        <v>CN &amp; SBT</v>
      </c>
      <c r="AU211" s="7" t="str">
        <f t="shared" si="58"/>
        <v>SBT</v>
      </c>
      <c r="AV211" s="7" t="str">
        <f t="shared" si="59"/>
        <v/>
      </c>
      <c r="AW211" s="7">
        <f t="shared" si="60"/>
        <v>2019</v>
      </c>
      <c r="AX211" s="7" t="str">
        <f t="shared" si="61"/>
        <v/>
      </c>
      <c r="BB211" s="7" t="str">
        <f t="shared" si="64"/>
        <v>Yes</v>
      </c>
      <c r="BC211" s="7" t="str">
        <f t="shared" si="62"/>
        <v>No - but post-2030 commitment</v>
      </c>
      <c r="BD211" s="7" t="s">
        <v>1963</v>
      </c>
      <c r="BF211" s="7" t="s">
        <v>3245</v>
      </c>
      <c r="BG211" s="7" t="s">
        <v>2220</v>
      </c>
      <c r="BH211" s="7" t="s">
        <v>22</v>
      </c>
      <c r="BI211" s="7" t="s">
        <v>2040</v>
      </c>
      <c r="BJ211" s="7" t="s">
        <v>2244</v>
      </c>
      <c r="BM211" s="7" t="s">
        <v>3244</v>
      </c>
      <c r="BN211" s="7">
        <v>2025</v>
      </c>
      <c r="BO211" s="7">
        <v>2025</v>
      </c>
      <c r="BP211" s="7">
        <v>2030</v>
      </c>
      <c r="BQ211" s="22"/>
      <c r="CE211" s="7">
        <v>2050</v>
      </c>
      <c r="CH211" s="7" t="str">
        <f t="shared" si="63"/>
        <v/>
      </c>
      <c r="CT211" s="7" t="s">
        <v>840</v>
      </c>
      <c r="CU211" s="7" t="s">
        <v>2151</v>
      </c>
      <c r="CV211" s="7">
        <v>20</v>
      </c>
      <c r="CX211" s="7" t="s">
        <v>361</v>
      </c>
    </row>
    <row r="212" spans="1:103">
      <c r="A212" s="7" t="s">
        <v>1828</v>
      </c>
      <c r="B212" s="7">
        <v>17</v>
      </c>
      <c r="C212" s="7" t="s">
        <v>287</v>
      </c>
      <c r="I212" s="24" t="str">
        <f t="shared" si="54"/>
        <v/>
      </c>
      <c r="L212" s="7" t="str">
        <f t="shared" si="55"/>
        <v/>
      </c>
      <c r="M212" s="21" t="str">
        <f t="shared" si="56"/>
        <v/>
      </c>
      <c r="N212" s="7" t="s">
        <v>1960</v>
      </c>
      <c r="T212" s="7" t="str">
        <f t="shared" si="57"/>
        <v>Nothing</v>
      </c>
      <c r="U212" s="7" t="s">
        <v>1</v>
      </c>
      <c r="AC212" s="26" t="s">
        <v>3243</v>
      </c>
      <c r="AD212" s="24">
        <v>215111</v>
      </c>
      <c r="AE212" s="7">
        <v>-2.1000000000000001E-2</v>
      </c>
      <c r="AF212" s="7" t="s">
        <v>3242</v>
      </c>
      <c r="AG212" s="7">
        <v>-1.119</v>
      </c>
      <c r="AH212" s="7" t="s">
        <v>3241</v>
      </c>
      <c r="AI212" s="7">
        <v>88246</v>
      </c>
      <c r="AJ212" s="7">
        <v>-1</v>
      </c>
      <c r="AK212" s="7">
        <v>10</v>
      </c>
      <c r="AL212" s="7" t="s">
        <v>2120</v>
      </c>
      <c r="AT212" s="7" t="str">
        <f t="shared" si="65"/>
        <v>None</v>
      </c>
      <c r="AU212" s="7" t="str">
        <f t="shared" si="58"/>
        <v>None</v>
      </c>
      <c r="AV212" s="7" t="str">
        <f t="shared" si="59"/>
        <v/>
      </c>
      <c r="AW212" s="7" t="str">
        <f t="shared" si="60"/>
        <v/>
      </c>
      <c r="AX212" s="7" t="str">
        <f t="shared" si="61"/>
        <v/>
      </c>
      <c r="BB212" s="7" t="str">
        <f t="shared" si="64"/>
        <v/>
      </c>
      <c r="BC212" s="7" t="str">
        <f t="shared" si="62"/>
        <v>No</v>
      </c>
      <c r="BD212" s="7" t="s">
        <v>1</v>
      </c>
      <c r="BF212" s="46" t="s">
        <v>3240</v>
      </c>
      <c r="BQ212" s="22"/>
      <c r="CH212" s="7" t="str">
        <f t="shared" si="63"/>
        <v/>
      </c>
      <c r="CT212" s="7" t="s">
        <v>3239</v>
      </c>
      <c r="CU212" s="7" t="s">
        <v>2109</v>
      </c>
      <c r="CV212" s="7">
        <v>-33</v>
      </c>
      <c r="CW212" s="7" t="s">
        <v>361</v>
      </c>
    </row>
    <row r="213" spans="1:103">
      <c r="A213" s="7" t="s">
        <v>1146</v>
      </c>
      <c r="B213" s="7">
        <v>202</v>
      </c>
      <c r="C213" s="7" t="s">
        <v>127</v>
      </c>
      <c r="D213" s="7" t="s">
        <v>1957</v>
      </c>
      <c r="E213" s="7" t="s">
        <v>3238</v>
      </c>
      <c r="F213" s="7">
        <v>2015</v>
      </c>
      <c r="G213" s="7">
        <v>2015</v>
      </c>
      <c r="H213" s="8" t="s">
        <v>3231</v>
      </c>
      <c r="I213" s="24" t="str">
        <f t="shared" si="54"/>
        <v>Yes</v>
      </c>
      <c r="J213" s="7">
        <v>2020</v>
      </c>
      <c r="K213" s="7">
        <v>2015</v>
      </c>
      <c r="L213" s="7" t="str">
        <f t="shared" si="55"/>
        <v/>
      </c>
      <c r="M213" s="21" t="str">
        <f t="shared" si="56"/>
        <v/>
      </c>
      <c r="N213" s="7" t="s">
        <v>1960</v>
      </c>
      <c r="T213" s="7" t="str">
        <f t="shared" si="57"/>
        <v/>
      </c>
      <c r="U213" s="7" t="s">
        <v>361</v>
      </c>
      <c r="V213" t="s">
        <v>3237</v>
      </c>
      <c r="AC213" s="8" t="s">
        <v>3231</v>
      </c>
      <c r="AD213" s="24">
        <v>53922</v>
      </c>
      <c r="AE213" s="7">
        <v>2.7E-2</v>
      </c>
      <c r="AF213" s="7" t="s">
        <v>3236</v>
      </c>
      <c r="AG213" s="7">
        <v>-0.191</v>
      </c>
      <c r="AH213" s="7" t="s">
        <v>3235</v>
      </c>
      <c r="AI213" s="7">
        <v>38300</v>
      </c>
      <c r="AJ213" s="7">
        <v>2</v>
      </c>
      <c r="AK213" s="7">
        <v>21</v>
      </c>
      <c r="AL213" s="7" t="s">
        <v>93</v>
      </c>
      <c r="AN213" s="7" t="s">
        <v>2029</v>
      </c>
      <c r="AT213" s="7" t="str">
        <f t="shared" si="65"/>
        <v>CN &amp; RE100</v>
      </c>
      <c r="AU213" s="7" t="str">
        <f t="shared" si="58"/>
        <v>CN &amp; RE100</v>
      </c>
      <c r="AV213" s="7">
        <f t="shared" si="59"/>
        <v>2015</v>
      </c>
      <c r="AW213" s="7" t="str">
        <f t="shared" si="60"/>
        <v/>
      </c>
      <c r="AX213" s="7">
        <f t="shared" si="61"/>
        <v>2015</v>
      </c>
      <c r="BB213" s="7" t="str">
        <f t="shared" si="64"/>
        <v/>
      </c>
      <c r="BC213" s="7" t="str">
        <f t="shared" si="62"/>
        <v>Carbon Neutral</v>
      </c>
      <c r="BD213" s="7" t="s">
        <v>1</v>
      </c>
      <c r="BF213" s="23" t="s">
        <v>3234</v>
      </c>
      <c r="BG213" s="7" t="s">
        <v>2790</v>
      </c>
      <c r="BQ213" s="22"/>
      <c r="CE213" s="7" t="s">
        <v>1947</v>
      </c>
      <c r="CG213" s="7" t="s">
        <v>2027</v>
      </c>
      <c r="CH213" s="7" t="str">
        <f t="shared" si="63"/>
        <v>yes</v>
      </c>
      <c r="CI213" s="7" t="s">
        <v>2788</v>
      </c>
      <c r="CJ213" s="7">
        <v>0.96</v>
      </c>
      <c r="CK213" s="7">
        <v>0.95</v>
      </c>
      <c r="CL213" s="7">
        <v>0.9</v>
      </c>
      <c r="CM213" s="7">
        <v>0.86</v>
      </c>
      <c r="CN213" s="7">
        <v>0.14000000000000001</v>
      </c>
      <c r="CO213" s="7" t="s">
        <v>3233</v>
      </c>
      <c r="CQ213" s="7" t="s">
        <v>3232</v>
      </c>
      <c r="CR213" s="27" t="s">
        <v>3231</v>
      </c>
      <c r="CY213" s="7" t="s">
        <v>361</v>
      </c>
    </row>
    <row r="214" spans="1:103">
      <c r="A214" s="7" t="s">
        <v>3230</v>
      </c>
      <c r="B214" s="7">
        <v>436</v>
      </c>
      <c r="I214" s="24" t="str">
        <f t="shared" si="54"/>
        <v/>
      </c>
      <c r="L214" s="7" t="str">
        <f t="shared" si="55"/>
        <v/>
      </c>
      <c r="M214" s="21" t="str">
        <f t="shared" si="56"/>
        <v/>
      </c>
      <c r="N214" s="7" t="s">
        <v>1960</v>
      </c>
      <c r="T214" s="7" t="str">
        <f t="shared" si="57"/>
        <v>Nothing</v>
      </c>
      <c r="U214" s="7" t="s">
        <v>1</v>
      </c>
      <c r="AD214" s="24">
        <v>29024</v>
      </c>
      <c r="AE214" s="7">
        <v>-0.04</v>
      </c>
      <c r="AF214" s="7" t="s">
        <v>3229</v>
      </c>
      <c r="AG214" s="7">
        <v>-9.8000000000000004E-2</v>
      </c>
      <c r="AH214" s="7" t="s">
        <v>3228</v>
      </c>
      <c r="AI214" s="7">
        <v>88846</v>
      </c>
      <c r="AJ214" s="7">
        <v>-22</v>
      </c>
      <c r="AK214" s="7">
        <v>2</v>
      </c>
      <c r="AT214" s="7" t="str">
        <f t="shared" si="65"/>
        <v>None</v>
      </c>
      <c r="AU214" s="7" t="str">
        <f t="shared" si="58"/>
        <v>None</v>
      </c>
      <c r="AV214" s="7" t="str">
        <f t="shared" si="59"/>
        <v/>
      </c>
      <c r="AW214" s="7" t="str">
        <f t="shared" si="60"/>
        <v/>
      </c>
      <c r="AX214" s="7" t="str">
        <f t="shared" si="61"/>
        <v/>
      </c>
      <c r="BB214" s="7" t="str">
        <f t="shared" si="64"/>
        <v/>
      </c>
      <c r="BC214" s="7" t="str">
        <f t="shared" si="62"/>
        <v>No</v>
      </c>
      <c r="BD214" s="7" t="s">
        <v>1</v>
      </c>
      <c r="BF214" s="7" t="s">
        <v>3227</v>
      </c>
      <c r="BQ214" s="22"/>
      <c r="CD214" s="7" t="s">
        <v>361</v>
      </c>
      <c r="CH214" s="7" t="str">
        <f t="shared" si="63"/>
        <v/>
      </c>
    </row>
    <row r="215" spans="1:103">
      <c r="A215" s="7" t="s">
        <v>1153</v>
      </c>
      <c r="B215" s="7">
        <v>176</v>
      </c>
      <c r="C215" s="7" t="s">
        <v>73</v>
      </c>
      <c r="I215" s="24" t="str">
        <f t="shared" si="54"/>
        <v/>
      </c>
      <c r="L215" s="7" t="str">
        <f t="shared" si="55"/>
        <v/>
      </c>
      <c r="M215" s="21" t="str">
        <f t="shared" si="56"/>
        <v/>
      </c>
      <c r="N215" s="7" t="s">
        <v>1960</v>
      </c>
      <c r="T215" s="7" t="str">
        <f t="shared" si="57"/>
        <v>Nothing</v>
      </c>
      <c r="U215" s="7" t="s">
        <v>1986</v>
      </c>
      <c r="AC215" s="8" t="s">
        <v>3226</v>
      </c>
      <c r="AD215" s="24">
        <v>61965</v>
      </c>
      <c r="AE215" s="7">
        <v>0.17499999999999999</v>
      </c>
      <c r="AF215" s="7" t="s">
        <v>3225</v>
      </c>
      <c r="AG215" s="7">
        <v>0.24099999999999999</v>
      </c>
      <c r="AH215" s="7" t="s">
        <v>3224</v>
      </c>
      <c r="AI215" s="7">
        <v>52576</v>
      </c>
      <c r="AJ215" s="7">
        <v>26</v>
      </c>
      <c r="AK215" s="7">
        <v>9</v>
      </c>
      <c r="AT215" s="7" t="str">
        <f t="shared" si="65"/>
        <v>None</v>
      </c>
      <c r="AU215" s="7" t="str">
        <f t="shared" si="58"/>
        <v>None</v>
      </c>
      <c r="AV215" s="7" t="str">
        <f t="shared" si="59"/>
        <v/>
      </c>
      <c r="AW215" s="7" t="str">
        <f t="shared" si="60"/>
        <v/>
      </c>
      <c r="AX215" s="7" t="str">
        <f t="shared" si="61"/>
        <v/>
      </c>
      <c r="BB215" s="7" t="str">
        <f t="shared" si="64"/>
        <v/>
      </c>
      <c r="BC215" s="7" t="str">
        <f t="shared" si="62"/>
        <v>No</v>
      </c>
      <c r="BD215" s="7" t="s">
        <v>1</v>
      </c>
      <c r="BF215" s="23" t="s">
        <v>3223</v>
      </c>
      <c r="BQ215" s="22"/>
      <c r="CH215" s="7" t="str">
        <f t="shared" si="63"/>
        <v/>
      </c>
    </row>
    <row r="216" spans="1:103">
      <c r="A216" s="7" t="s">
        <v>1091</v>
      </c>
      <c r="B216" s="7">
        <v>242</v>
      </c>
      <c r="I216" s="24" t="str">
        <f t="shared" si="54"/>
        <v/>
      </c>
      <c r="L216" s="7" t="str">
        <f t="shared" si="55"/>
        <v/>
      </c>
      <c r="M216" s="21" t="str">
        <f t="shared" si="56"/>
        <v/>
      </c>
      <c r="N216" s="7" t="s">
        <v>1960</v>
      </c>
      <c r="T216" s="7" t="str">
        <f t="shared" si="57"/>
        <v>Nothing</v>
      </c>
      <c r="U216" s="7" t="s">
        <v>1</v>
      </c>
      <c r="AD216" s="24">
        <v>47911</v>
      </c>
      <c r="AE216" s="7">
        <v>-3.3000000000000002E-2</v>
      </c>
      <c r="AF216" s="7" t="s">
        <v>3222</v>
      </c>
      <c r="AG216" s="7">
        <v>-0.05</v>
      </c>
      <c r="AH216" s="7" t="s">
        <v>3221</v>
      </c>
      <c r="AI216" s="7">
        <v>100849</v>
      </c>
      <c r="AJ216" s="7">
        <v>-19</v>
      </c>
      <c r="AK216" s="7">
        <v>11</v>
      </c>
      <c r="AT216" s="7" t="str">
        <f t="shared" si="65"/>
        <v>None</v>
      </c>
      <c r="AU216" s="7" t="str">
        <f t="shared" si="58"/>
        <v>None</v>
      </c>
      <c r="AV216" s="7" t="str">
        <f t="shared" si="59"/>
        <v/>
      </c>
      <c r="AW216" s="7" t="str">
        <f t="shared" si="60"/>
        <v/>
      </c>
      <c r="AX216" s="7" t="str">
        <f t="shared" si="61"/>
        <v/>
      </c>
      <c r="BB216" s="7" t="str">
        <f t="shared" si="64"/>
        <v/>
      </c>
      <c r="BC216" s="7" t="str">
        <f t="shared" si="62"/>
        <v>No</v>
      </c>
      <c r="BD216" s="7" t="s">
        <v>1</v>
      </c>
      <c r="BQ216" s="22"/>
      <c r="CH216" s="7" t="str">
        <f t="shared" si="63"/>
        <v/>
      </c>
    </row>
    <row r="217" spans="1:103">
      <c r="A217" s="7" t="s">
        <v>587</v>
      </c>
      <c r="B217" s="7">
        <v>447</v>
      </c>
      <c r="I217" s="24" t="str">
        <f t="shared" si="54"/>
        <v/>
      </c>
      <c r="L217" s="7" t="str">
        <f t="shared" si="55"/>
        <v/>
      </c>
      <c r="M217" s="21" t="str">
        <f t="shared" si="56"/>
        <v/>
      </c>
      <c r="N217" s="7" t="s">
        <v>1960</v>
      </c>
      <c r="T217" s="7" t="str">
        <f t="shared" si="57"/>
        <v>Nothing</v>
      </c>
      <c r="U217" s="7" t="s">
        <v>1963</v>
      </c>
      <c r="AD217" s="24">
        <v>28541</v>
      </c>
      <c r="AE217" s="7">
        <v>-0.13600000000000001</v>
      </c>
      <c r="AF217" s="7" t="s">
        <v>3220</v>
      </c>
      <c r="AG217" s="7">
        <v>-0.39300000000000002</v>
      </c>
      <c r="AH217" s="7" t="s">
        <v>3219</v>
      </c>
      <c r="AI217" s="7">
        <v>3283</v>
      </c>
      <c r="AJ217" s="7">
        <v>-71</v>
      </c>
      <c r="AK217" s="7">
        <v>9</v>
      </c>
      <c r="AT217" s="7" t="str">
        <f t="shared" si="65"/>
        <v>None</v>
      </c>
      <c r="AU217" s="7" t="str">
        <f t="shared" si="58"/>
        <v>None</v>
      </c>
      <c r="AV217" s="7" t="str">
        <f t="shared" si="59"/>
        <v/>
      </c>
      <c r="AW217" s="7" t="str">
        <f t="shared" si="60"/>
        <v/>
      </c>
      <c r="AX217" s="7" t="str">
        <f t="shared" si="61"/>
        <v/>
      </c>
      <c r="BB217" s="7" t="str">
        <f t="shared" si="64"/>
        <v/>
      </c>
      <c r="BC217" s="7" t="str">
        <f t="shared" si="62"/>
        <v>No</v>
      </c>
      <c r="BD217" s="7" t="s">
        <v>1963</v>
      </c>
      <c r="BQ217" s="22"/>
      <c r="CH217" s="7" t="str">
        <f t="shared" si="63"/>
        <v/>
      </c>
      <c r="CW217" s="7" t="s">
        <v>361</v>
      </c>
    </row>
    <row r="218" spans="1:103">
      <c r="A218" s="7" t="s">
        <v>3218</v>
      </c>
      <c r="B218" s="7">
        <v>490</v>
      </c>
      <c r="C218" s="7" t="s">
        <v>73</v>
      </c>
      <c r="I218" s="24" t="str">
        <f t="shared" si="54"/>
        <v/>
      </c>
      <c r="L218" s="7" t="str">
        <f t="shared" si="55"/>
        <v/>
      </c>
      <c r="M218" s="21" t="str">
        <f t="shared" si="56"/>
        <v/>
      </c>
      <c r="N218" s="7" t="s">
        <v>1960</v>
      </c>
      <c r="T218" s="7" t="str">
        <f t="shared" si="57"/>
        <v>Nothing</v>
      </c>
      <c r="U218" s="7" t="s">
        <v>1986</v>
      </c>
      <c r="AD218" s="24">
        <v>26060</v>
      </c>
      <c r="AE218" s="7">
        <v>0.24199999999999999</v>
      </c>
      <c r="AF218" s="7" t="s">
        <v>3217</v>
      </c>
      <c r="AG218" s="7">
        <v>-0.222</v>
      </c>
      <c r="AH218" s="7" t="s">
        <v>3216</v>
      </c>
      <c r="AI218" s="7">
        <v>30605</v>
      </c>
      <c r="AJ218" s="7" t="s">
        <v>9</v>
      </c>
      <c r="AK218" s="7">
        <v>1</v>
      </c>
      <c r="AT218" s="7" t="str">
        <f t="shared" si="65"/>
        <v>None</v>
      </c>
      <c r="AU218" s="7" t="str">
        <f t="shared" si="58"/>
        <v>None</v>
      </c>
      <c r="AV218" s="7" t="str">
        <f t="shared" si="59"/>
        <v/>
      </c>
      <c r="AW218" s="7" t="str">
        <f t="shared" si="60"/>
        <v/>
      </c>
      <c r="AX218" s="7" t="str">
        <f t="shared" si="61"/>
        <v/>
      </c>
      <c r="BB218" s="7" t="str">
        <f t="shared" si="64"/>
        <v/>
      </c>
      <c r="BC218" s="7" t="str">
        <f t="shared" si="62"/>
        <v>No</v>
      </c>
      <c r="BQ218" s="22"/>
      <c r="CH218" s="7" t="str">
        <f t="shared" si="63"/>
        <v/>
      </c>
    </row>
    <row r="219" spans="1:103">
      <c r="A219" s="7" t="s">
        <v>1199</v>
      </c>
      <c r="B219" s="7">
        <v>206</v>
      </c>
      <c r="I219" s="24" t="str">
        <f t="shared" si="54"/>
        <v/>
      </c>
      <c r="L219" s="7" t="str">
        <f t="shared" si="55"/>
        <v/>
      </c>
      <c r="M219" s="21" t="str">
        <f t="shared" si="56"/>
        <v/>
      </c>
      <c r="N219" s="7" t="s">
        <v>1960</v>
      </c>
      <c r="T219" s="7" t="str">
        <f t="shared" si="57"/>
        <v>Nothing</v>
      </c>
      <c r="U219" s="7" t="s">
        <v>1</v>
      </c>
      <c r="AD219" s="24">
        <v>53662</v>
      </c>
      <c r="AE219" s="7">
        <v>-2.5000000000000001E-2</v>
      </c>
      <c r="AF219" s="7" t="s">
        <v>3215</v>
      </c>
      <c r="AG219" s="7">
        <v>-0.36299999999999999</v>
      </c>
      <c r="AH219" s="7" t="s">
        <v>3214</v>
      </c>
      <c r="AI219" s="7">
        <v>105780</v>
      </c>
      <c r="AJ219" s="7">
        <v>-17</v>
      </c>
      <c r="AK219" s="7">
        <v>8</v>
      </c>
      <c r="AT219" s="7" t="str">
        <f t="shared" si="65"/>
        <v>None</v>
      </c>
      <c r="AU219" s="7" t="str">
        <f t="shared" si="58"/>
        <v>None</v>
      </c>
      <c r="AV219" s="7" t="str">
        <f t="shared" si="59"/>
        <v/>
      </c>
      <c r="AW219" s="7" t="str">
        <f t="shared" si="60"/>
        <v/>
      </c>
      <c r="AX219" s="7" t="str">
        <f t="shared" si="61"/>
        <v/>
      </c>
      <c r="BB219" s="7" t="str">
        <f t="shared" si="64"/>
        <v/>
      </c>
      <c r="BC219" s="7" t="str">
        <f t="shared" si="62"/>
        <v>No</v>
      </c>
      <c r="BD219" s="7" t="s">
        <v>1</v>
      </c>
      <c r="BQ219" s="22"/>
      <c r="CH219" s="7" t="str">
        <f t="shared" si="63"/>
        <v/>
      </c>
    </row>
    <row r="220" spans="1:103">
      <c r="A220" s="7" t="s">
        <v>284</v>
      </c>
      <c r="B220" s="7">
        <v>435</v>
      </c>
      <c r="I220" s="24" t="str">
        <f t="shared" si="54"/>
        <v/>
      </c>
      <c r="L220" s="7" t="str">
        <f t="shared" si="55"/>
        <v/>
      </c>
      <c r="M220" s="21" t="str">
        <f t="shared" si="56"/>
        <v/>
      </c>
      <c r="N220" s="7" t="s">
        <v>1960</v>
      </c>
      <c r="T220" s="7" t="str">
        <f t="shared" si="57"/>
        <v>Nothing</v>
      </c>
      <c r="U220" s="7" t="s">
        <v>1</v>
      </c>
      <c r="AD220" s="24">
        <v>29060</v>
      </c>
      <c r="AE220" s="7">
        <v>4.9000000000000002E-2</v>
      </c>
      <c r="AF220" s="7" t="s">
        <v>3213</v>
      </c>
      <c r="AG220" s="7">
        <v>5.6000000000000001E-2</v>
      </c>
      <c r="AH220" s="7" t="s">
        <v>3212</v>
      </c>
      <c r="AI220" s="7">
        <v>99757</v>
      </c>
      <c r="AJ220" s="7">
        <v>13</v>
      </c>
      <c r="AK220" s="7">
        <v>3</v>
      </c>
      <c r="AT220" s="7" t="str">
        <f t="shared" si="65"/>
        <v>None</v>
      </c>
      <c r="AU220" s="7" t="str">
        <f t="shared" si="58"/>
        <v>None</v>
      </c>
      <c r="AV220" s="7" t="str">
        <f t="shared" si="59"/>
        <v/>
      </c>
      <c r="AW220" s="7" t="str">
        <f t="shared" si="60"/>
        <v/>
      </c>
      <c r="AX220" s="7" t="str">
        <f t="shared" si="61"/>
        <v/>
      </c>
      <c r="BB220" s="7" t="str">
        <f t="shared" si="64"/>
        <v/>
      </c>
      <c r="BC220" s="7" t="str">
        <f t="shared" si="62"/>
        <v>No</v>
      </c>
      <c r="BD220" s="7" t="s">
        <v>1963</v>
      </c>
      <c r="BQ220" s="22"/>
      <c r="CH220" s="7" t="str">
        <f t="shared" si="63"/>
        <v/>
      </c>
    </row>
    <row r="221" spans="1:103">
      <c r="A221" s="7" t="s">
        <v>187</v>
      </c>
      <c r="B221" s="7">
        <v>468</v>
      </c>
      <c r="I221" s="24" t="str">
        <f t="shared" si="54"/>
        <v/>
      </c>
      <c r="L221" s="7" t="str">
        <f t="shared" si="55"/>
        <v/>
      </c>
      <c r="M221" s="21" t="str">
        <f t="shared" si="56"/>
        <v/>
      </c>
      <c r="N221" s="7" t="s">
        <v>1960</v>
      </c>
      <c r="T221" s="7" t="str">
        <f t="shared" si="57"/>
        <v>Nothing</v>
      </c>
      <c r="U221" s="7" t="s">
        <v>1</v>
      </c>
      <c r="AD221" s="24">
        <v>27209</v>
      </c>
      <c r="AE221" s="7">
        <v>3.5999999999999997E-2</v>
      </c>
      <c r="AF221" s="7" t="s">
        <v>3211</v>
      </c>
      <c r="AG221" s="7">
        <v>-0.26400000000000001</v>
      </c>
      <c r="AH221" s="7" t="s">
        <v>3210</v>
      </c>
      <c r="AI221" s="7">
        <v>20196</v>
      </c>
      <c r="AJ221" s="7">
        <v>5</v>
      </c>
      <c r="AK221" s="7">
        <v>2</v>
      </c>
      <c r="AT221" s="7" t="str">
        <f t="shared" si="65"/>
        <v>None</v>
      </c>
      <c r="AU221" s="7" t="str">
        <f t="shared" si="58"/>
        <v>None</v>
      </c>
      <c r="AV221" s="7" t="str">
        <f t="shared" si="59"/>
        <v/>
      </c>
      <c r="AW221" s="7" t="str">
        <f t="shared" si="60"/>
        <v/>
      </c>
      <c r="AX221" s="7" t="str">
        <f t="shared" si="61"/>
        <v/>
      </c>
      <c r="BB221" s="7" t="str">
        <f t="shared" si="64"/>
        <v/>
      </c>
      <c r="BC221" s="7" t="str">
        <f t="shared" si="62"/>
        <v>No</v>
      </c>
      <c r="BD221" s="7" t="s">
        <v>1</v>
      </c>
      <c r="BQ221" s="22"/>
      <c r="CH221" s="7" t="str">
        <f t="shared" si="63"/>
        <v/>
      </c>
    </row>
    <row r="222" spans="1:103">
      <c r="A222" s="7" t="s">
        <v>956</v>
      </c>
      <c r="B222" s="7">
        <v>277</v>
      </c>
      <c r="I222" s="24" t="str">
        <f t="shared" si="54"/>
        <v/>
      </c>
      <c r="L222" s="7" t="str">
        <f t="shared" si="55"/>
        <v/>
      </c>
      <c r="M222" s="21" t="str">
        <f t="shared" si="56"/>
        <v/>
      </c>
      <c r="N222" s="7" t="s">
        <v>1960</v>
      </c>
      <c r="T222" s="7" t="str">
        <f t="shared" si="57"/>
        <v>Nothing</v>
      </c>
      <c r="U222" s="7" t="s">
        <v>1963</v>
      </c>
      <c r="AD222" s="24">
        <v>43258</v>
      </c>
      <c r="AE222" s="7">
        <v>-2.4E-2</v>
      </c>
      <c r="AF222" s="7" t="s">
        <v>3209</v>
      </c>
      <c r="AG222" s="7">
        <v>-0.81899999999999995</v>
      </c>
      <c r="AH222" s="7" t="s">
        <v>3208</v>
      </c>
      <c r="AI222" s="7">
        <v>57967</v>
      </c>
      <c r="AJ222" s="7">
        <v>-16</v>
      </c>
      <c r="AK222" s="7">
        <v>15</v>
      </c>
      <c r="AT222" s="7" t="str">
        <f t="shared" si="65"/>
        <v>None</v>
      </c>
      <c r="AU222" s="7" t="str">
        <f t="shared" si="58"/>
        <v>None</v>
      </c>
      <c r="AV222" s="7" t="str">
        <f t="shared" si="59"/>
        <v/>
      </c>
      <c r="AW222" s="7" t="str">
        <f t="shared" si="60"/>
        <v/>
      </c>
      <c r="AX222" s="7" t="str">
        <f t="shared" si="61"/>
        <v/>
      </c>
      <c r="BB222" s="7" t="str">
        <f t="shared" si="64"/>
        <v/>
      </c>
      <c r="BC222" s="7" t="str">
        <f t="shared" si="62"/>
        <v>No</v>
      </c>
      <c r="BD222" s="7" t="s">
        <v>1963</v>
      </c>
      <c r="BF222" s="7" t="s">
        <v>3207</v>
      </c>
      <c r="BQ222" s="22"/>
      <c r="CH222" s="7" t="str">
        <f t="shared" si="63"/>
        <v/>
      </c>
    </row>
    <row r="223" spans="1:103">
      <c r="A223" s="7" t="s">
        <v>1119</v>
      </c>
      <c r="B223" s="7">
        <v>218</v>
      </c>
      <c r="I223" s="24" t="str">
        <f t="shared" si="54"/>
        <v/>
      </c>
      <c r="L223" s="7" t="str">
        <f t="shared" si="55"/>
        <v/>
      </c>
      <c r="M223" s="21" t="str">
        <f t="shared" si="56"/>
        <v/>
      </c>
      <c r="N223" s="7" t="s">
        <v>1960</v>
      </c>
      <c r="T223" s="7" t="str">
        <f t="shared" si="57"/>
        <v>Nothing</v>
      </c>
      <c r="U223" s="7" t="s">
        <v>1</v>
      </c>
      <c r="AD223" s="24">
        <v>51345</v>
      </c>
      <c r="AE223" s="7">
        <v>8.0000000000000002E-3</v>
      </c>
      <c r="AF223" s="7" t="s">
        <v>3206</v>
      </c>
      <c r="AG223" s="7" t="s">
        <v>9</v>
      </c>
      <c r="AH223" s="7" t="s">
        <v>3205</v>
      </c>
      <c r="AI223" s="7">
        <v>127116</v>
      </c>
      <c r="AJ223" s="7">
        <v>-4</v>
      </c>
      <c r="AK223" s="7">
        <v>12</v>
      </c>
      <c r="AT223" s="7" t="str">
        <f t="shared" si="65"/>
        <v>None</v>
      </c>
      <c r="AU223" s="7" t="str">
        <f t="shared" si="58"/>
        <v>None</v>
      </c>
      <c r="AV223" s="7" t="str">
        <f t="shared" si="59"/>
        <v/>
      </c>
      <c r="AW223" s="7" t="str">
        <f t="shared" si="60"/>
        <v/>
      </c>
      <c r="AX223" s="7" t="str">
        <f t="shared" si="61"/>
        <v/>
      </c>
      <c r="BB223" s="7" t="str">
        <f t="shared" si="64"/>
        <v/>
      </c>
      <c r="BC223" s="7" t="str">
        <f t="shared" si="62"/>
        <v>No</v>
      </c>
      <c r="BD223" s="7" t="s">
        <v>1</v>
      </c>
      <c r="BQ223" s="22"/>
      <c r="CH223" s="7" t="str">
        <f t="shared" si="63"/>
        <v/>
      </c>
    </row>
    <row r="224" spans="1:103">
      <c r="A224" s="7" t="s">
        <v>1018</v>
      </c>
      <c r="B224" s="7">
        <v>219</v>
      </c>
      <c r="I224" s="24" t="str">
        <f t="shared" si="54"/>
        <v/>
      </c>
      <c r="L224" s="7" t="str">
        <f t="shared" si="55"/>
        <v/>
      </c>
      <c r="M224" s="21" t="str">
        <f t="shared" si="56"/>
        <v/>
      </c>
      <c r="N224" s="7" t="s">
        <v>1960</v>
      </c>
      <c r="T224" s="7" t="str">
        <f t="shared" si="57"/>
        <v>Nothing</v>
      </c>
      <c r="U224" s="7" t="s">
        <v>1</v>
      </c>
      <c r="AD224" s="24">
        <v>51336</v>
      </c>
      <c r="AE224" s="7">
        <v>0.1</v>
      </c>
      <c r="AF224" s="7" t="s">
        <v>3204</v>
      </c>
      <c r="AG224" s="7">
        <v>-7.3999999999999996E-2</v>
      </c>
      <c r="AH224" s="7" t="s">
        <v>3203</v>
      </c>
      <c r="AI224" s="7">
        <v>245000</v>
      </c>
      <c r="AJ224" s="7">
        <v>22</v>
      </c>
      <c r="AK224" s="7">
        <v>26</v>
      </c>
      <c r="AT224" s="7" t="str">
        <f t="shared" si="65"/>
        <v>None</v>
      </c>
      <c r="AU224" s="7" t="str">
        <f t="shared" si="58"/>
        <v>None</v>
      </c>
      <c r="AV224" s="7" t="str">
        <f t="shared" si="59"/>
        <v/>
      </c>
      <c r="AW224" s="7" t="str">
        <f t="shared" si="60"/>
        <v/>
      </c>
      <c r="AX224" s="7" t="str">
        <f t="shared" si="61"/>
        <v/>
      </c>
      <c r="BB224" s="7" t="str">
        <f t="shared" si="64"/>
        <v/>
      </c>
      <c r="BC224" s="7" t="str">
        <f t="shared" si="62"/>
        <v>No</v>
      </c>
      <c r="BD224" s="7" t="s">
        <v>1</v>
      </c>
      <c r="BQ224" s="22"/>
      <c r="CH224" s="7" t="str">
        <f t="shared" si="63"/>
        <v/>
      </c>
    </row>
    <row r="225" spans="1:103">
      <c r="A225" s="7" t="s">
        <v>216</v>
      </c>
      <c r="B225" s="7">
        <v>474</v>
      </c>
      <c r="C225" s="7" t="s">
        <v>96</v>
      </c>
      <c r="I225" s="24" t="str">
        <f t="shared" si="54"/>
        <v/>
      </c>
      <c r="L225" s="7" t="str">
        <f t="shared" si="55"/>
        <v>C</v>
      </c>
      <c r="M225" s="21" t="str">
        <f t="shared" si="56"/>
        <v/>
      </c>
      <c r="N225" s="7">
        <v>2019</v>
      </c>
      <c r="T225" s="7" t="str">
        <f t="shared" si="57"/>
        <v>Nothing</v>
      </c>
      <c r="U225" s="7" t="s">
        <v>1</v>
      </c>
      <c r="AC225" s="8" t="s">
        <v>3202</v>
      </c>
      <c r="AD225" s="24">
        <v>26828</v>
      </c>
      <c r="AE225" s="7">
        <v>8.0000000000000002E-3</v>
      </c>
      <c r="AF225" s="7" t="s">
        <v>3201</v>
      </c>
      <c r="AG225" s="7">
        <v>7.2999999999999995E-2</v>
      </c>
      <c r="AH225" s="7" t="s">
        <v>3200</v>
      </c>
      <c r="AI225" s="7">
        <v>85853</v>
      </c>
      <c r="AJ225" s="7">
        <v>-7</v>
      </c>
      <c r="AK225" s="7">
        <v>14</v>
      </c>
      <c r="AL225" s="7" t="s">
        <v>23</v>
      </c>
      <c r="AN225" s="7" t="s">
        <v>1951</v>
      </c>
      <c r="AT225" s="7" t="str">
        <f t="shared" si="65"/>
        <v>SBT</v>
      </c>
      <c r="AU225" s="7" t="str">
        <f t="shared" si="58"/>
        <v>SBT</v>
      </c>
      <c r="AV225" s="7" t="str">
        <f t="shared" si="59"/>
        <v/>
      </c>
      <c r="AW225" s="7">
        <f t="shared" si="60"/>
        <v>2019</v>
      </c>
      <c r="AX225" s="7" t="str">
        <f t="shared" si="61"/>
        <v/>
      </c>
      <c r="BB225" s="7" t="str">
        <f t="shared" si="64"/>
        <v>Yes</v>
      </c>
      <c r="BC225" s="7" t="str">
        <f t="shared" si="62"/>
        <v>No</v>
      </c>
      <c r="BD225" s="7" t="s">
        <v>1</v>
      </c>
      <c r="BF225" s="7" t="s">
        <v>3199</v>
      </c>
      <c r="BH225" s="7" t="s">
        <v>165</v>
      </c>
      <c r="BJ225" s="7" t="s">
        <v>3198</v>
      </c>
      <c r="BQ225" s="22"/>
      <c r="CH225" s="7" t="str">
        <f t="shared" si="63"/>
        <v/>
      </c>
    </row>
    <row r="226" spans="1:103">
      <c r="A226" s="7" t="s">
        <v>136</v>
      </c>
      <c r="B226" s="7">
        <v>486</v>
      </c>
      <c r="C226" s="7" t="s">
        <v>73</v>
      </c>
      <c r="I226" s="24" t="str">
        <f t="shared" si="54"/>
        <v/>
      </c>
      <c r="L226" s="7" t="str">
        <f t="shared" si="55"/>
        <v/>
      </c>
      <c r="M226" s="21" t="str">
        <f t="shared" si="56"/>
        <v/>
      </c>
      <c r="N226" s="7" t="s">
        <v>1960</v>
      </c>
      <c r="T226" s="7" t="str">
        <f t="shared" si="57"/>
        <v>Nothing</v>
      </c>
      <c r="U226" s="7" t="s">
        <v>1986</v>
      </c>
      <c r="AD226" s="24">
        <v>26163</v>
      </c>
      <c r="AE226" s="7">
        <v>1.4999999999999999E-2</v>
      </c>
      <c r="AF226" s="7" t="s">
        <v>3197</v>
      </c>
      <c r="AG226" s="7" t="s">
        <v>9</v>
      </c>
      <c r="AH226" s="7" t="s">
        <v>3196</v>
      </c>
      <c r="AI226" s="7">
        <v>164236</v>
      </c>
      <c r="AJ226" s="7">
        <v>-2</v>
      </c>
      <c r="AK226" s="7">
        <v>8</v>
      </c>
      <c r="AT226" s="7" t="str">
        <f t="shared" si="65"/>
        <v>None</v>
      </c>
      <c r="AU226" s="7" t="str">
        <f t="shared" si="58"/>
        <v>None</v>
      </c>
      <c r="AV226" s="7" t="str">
        <f t="shared" si="59"/>
        <v/>
      </c>
      <c r="AW226" s="7" t="str">
        <f t="shared" si="60"/>
        <v/>
      </c>
      <c r="AX226" s="7" t="str">
        <f t="shared" si="61"/>
        <v/>
      </c>
      <c r="BB226" s="7" t="str">
        <f t="shared" si="64"/>
        <v/>
      </c>
      <c r="BC226" s="7" t="str">
        <f t="shared" si="62"/>
        <v>No</v>
      </c>
      <c r="BQ226" s="22"/>
      <c r="CH226" s="7" t="str">
        <f t="shared" si="63"/>
        <v/>
      </c>
    </row>
    <row r="227" spans="1:103">
      <c r="A227" s="7" t="s">
        <v>1223</v>
      </c>
      <c r="B227" s="7">
        <v>107</v>
      </c>
      <c r="I227" s="24" t="str">
        <f t="shared" si="54"/>
        <v/>
      </c>
      <c r="L227" s="7" t="str">
        <f t="shared" si="55"/>
        <v/>
      </c>
      <c r="M227" s="21" t="str">
        <f t="shared" si="56"/>
        <v/>
      </c>
      <c r="N227" s="7" t="s">
        <v>1960</v>
      </c>
      <c r="T227" s="7" t="str">
        <f t="shared" si="57"/>
        <v>Nothing</v>
      </c>
      <c r="U227" s="7" t="s">
        <v>1</v>
      </c>
      <c r="AD227" s="24">
        <v>80588</v>
      </c>
      <c r="AE227" s="7">
        <v>0.434</v>
      </c>
      <c r="AF227" s="7" t="s">
        <v>3195</v>
      </c>
      <c r="AG227" s="7">
        <v>2.5630000000000002</v>
      </c>
      <c r="AH227" s="7" t="s">
        <v>3194</v>
      </c>
      <c r="AI227" s="7">
        <v>90555</v>
      </c>
      <c r="AJ227" s="7">
        <v>74</v>
      </c>
      <c r="AK227" s="7">
        <v>4</v>
      </c>
      <c r="AT227" s="7" t="str">
        <f t="shared" si="65"/>
        <v>None</v>
      </c>
      <c r="AU227" s="7" t="str">
        <f t="shared" si="58"/>
        <v>None</v>
      </c>
      <c r="AV227" s="7" t="str">
        <f t="shared" si="59"/>
        <v/>
      </c>
      <c r="AW227" s="7" t="str">
        <f t="shared" si="60"/>
        <v/>
      </c>
      <c r="AX227" s="7" t="str">
        <f t="shared" si="61"/>
        <v/>
      </c>
      <c r="BB227" s="7" t="str">
        <f t="shared" si="64"/>
        <v/>
      </c>
      <c r="BC227" s="7" t="str">
        <f t="shared" si="62"/>
        <v>No</v>
      </c>
      <c r="BD227" s="7" t="s">
        <v>1</v>
      </c>
      <c r="BQ227" s="22"/>
      <c r="CH227" s="7" t="str">
        <f t="shared" si="63"/>
        <v/>
      </c>
    </row>
    <row r="228" spans="1:103">
      <c r="A228" s="7" t="s">
        <v>469</v>
      </c>
      <c r="B228" s="7">
        <v>431</v>
      </c>
      <c r="C228" s="7" t="s">
        <v>127</v>
      </c>
      <c r="I228" s="24" t="str">
        <f t="shared" si="54"/>
        <v>Yes</v>
      </c>
      <c r="J228" s="7" t="s">
        <v>1251</v>
      </c>
      <c r="K228" s="7">
        <v>2016</v>
      </c>
      <c r="L228" s="7" t="str">
        <f t="shared" si="55"/>
        <v>T</v>
      </c>
      <c r="M228" s="21">
        <f t="shared" si="56"/>
        <v>2025</v>
      </c>
      <c r="N228" s="7">
        <v>2019</v>
      </c>
      <c r="T228" s="7" t="str">
        <f t="shared" si="57"/>
        <v>Nothing</v>
      </c>
      <c r="U228" s="7" t="s">
        <v>1963</v>
      </c>
      <c r="AC228" s="26" t="s">
        <v>3193</v>
      </c>
      <c r="AD228" s="24">
        <v>29135</v>
      </c>
      <c r="AE228" s="7">
        <v>-5.6000000000000001E-2</v>
      </c>
      <c r="AF228" s="7" t="s">
        <v>3192</v>
      </c>
      <c r="AG228" s="7">
        <v>-0.45</v>
      </c>
      <c r="AH228" s="7" t="s">
        <v>3191</v>
      </c>
      <c r="AI228" s="7">
        <v>61600</v>
      </c>
      <c r="AJ228" s="7">
        <v>-27</v>
      </c>
      <c r="AK228" s="7">
        <v>4</v>
      </c>
      <c r="AL228" s="7" t="s">
        <v>204</v>
      </c>
      <c r="AN228" s="7" t="s">
        <v>2029</v>
      </c>
      <c r="AT228" s="7" t="s">
        <v>2385</v>
      </c>
      <c r="AU228" s="7" t="str">
        <f t="shared" si="58"/>
        <v>SBT</v>
      </c>
      <c r="AV228" s="7" t="str">
        <f t="shared" si="59"/>
        <v/>
      </c>
      <c r="AW228" s="7">
        <f t="shared" si="60"/>
        <v>2019</v>
      </c>
      <c r="AX228" s="7" t="str">
        <f t="shared" si="61"/>
        <v/>
      </c>
      <c r="BB228" s="7" t="str">
        <f t="shared" si="64"/>
        <v>Yes</v>
      </c>
      <c r="BC228" s="7" t="str">
        <f t="shared" si="62"/>
        <v>No</v>
      </c>
      <c r="BD228" s="7" t="s">
        <v>1963</v>
      </c>
      <c r="BF228" s="7" t="s">
        <v>3190</v>
      </c>
      <c r="BH228" s="7" t="s">
        <v>22</v>
      </c>
      <c r="BI228" s="7" t="s">
        <v>2156</v>
      </c>
      <c r="BJ228" s="7" t="s">
        <v>2244</v>
      </c>
      <c r="BM228" s="7" t="s">
        <v>3189</v>
      </c>
      <c r="BN228" s="7">
        <v>2025</v>
      </c>
      <c r="BO228" s="7">
        <v>2025</v>
      </c>
      <c r="BP228" s="7">
        <v>2025</v>
      </c>
      <c r="BQ228" s="22"/>
      <c r="CG228" s="7" t="s">
        <v>2027</v>
      </c>
      <c r="CH228" s="7" t="str">
        <f t="shared" si="63"/>
        <v/>
      </c>
      <c r="CI228" s="7" t="s">
        <v>3188</v>
      </c>
      <c r="CJ228" s="7">
        <v>0.37</v>
      </c>
      <c r="CK228" s="7">
        <v>0.25</v>
      </c>
      <c r="CL228" s="7">
        <v>0.2</v>
      </c>
      <c r="CM228" s="7">
        <v>0.12</v>
      </c>
      <c r="CN228" s="7" t="s">
        <v>13</v>
      </c>
      <c r="CO228" s="7" t="s">
        <v>3187</v>
      </c>
      <c r="CX228" s="7" t="s">
        <v>361</v>
      </c>
    </row>
    <row r="229" spans="1:103">
      <c r="A229" s="7" t="s">
        <v>1528</v>
      </c>
      <c r="B229" s="7">
        <v>106</v>
      </c>
      <c r="C229" s="7" t="s">
        <v>207</v>
      </c>
      <c r="I229" s="24" t="str">
        <f t="shared" si="54"/>
        <v/>
      </c>
      <c r="L229" s="7" t="str">
        <f t="shared" si="55"/>
        <v>C</v>
      </c>
      <c r="M229" s="21" t="str">
        <f t="shared" si="56"/>
        <v/>
      </c>
      <c r="N229" s="7">
        <v>2018</v>
      </c>
      <c r="T229" s="7" t="str">
        <f t="shared" si="57"/>
        <v>Nothing</v>
      </c>
      <c r="U229" s="7" t="s">
        <v>1</v>
      </c>
      <c r="AC229" s="8" t="s">
        <v>3186</v>
      </c>
      <c r="AD229" s="24">
        <v>80639</v>
      </c>
      <c r="AE229" s="7">
        <v>-5.7000000000000002E-2</v>
      </c>
      <c r="AF229" s="7" t="s">
        <v>3185</v>
      </c>
      <c r="AG229" s="7">
        <v>-0.59899999999999998</v>
      </c>
      <c r="AH229" s="7" t="s">
        <v>3184</v>
      </c>
      <c r="AI229" s="7">
        <v>301056</v>
      </c>
      <c r="AJ229" s="7">
        <v>-4</v>
      </c>
      <c r="AK229" s="7">
        <v>26</v>
      </c>
      <c r="AL229" s="7" t="s">
        <v>204</v>
      </c>
      <c r="AN229" s="7" t="s">
        <v>1994</v>
      </c>
      <c r="AT229" s="7" t="str">
        <f>IF(OR(BC229="Carbon Neutral",BC229="No - but post-2030 commitment"),IF((OR(BH229="Committed",BH229="Targets Set")),IF(J229="", "CN &amp; SBT","CN, SBT &amp; RE100"),IF(CH229="","CN","CN &amp; RE100")),IF((OR(BH229="Committed",BH229="Targets Set")),IF(CH229="", "SBT","SBT &amp; RE100"),IF(CH229="","None","RE100")))</f>
        <v>SBT</v>
      </c>
      <c r="AU229" s="7" t="str">
        <f t="shared" si="58"/>
        <v>SBT</v>
      </c>
      <c r="AV229" s="7" t="str">
        <f t="shared" si="59"/>
        <v/>
      </c>
      <c r="AW229" s="7">
        <f t="shared" si="60"/>
        <v>2018</v>
      </c>
      <c r="AX229" s="7" t="str">
        <f t="shared" si="61"/>
        <v/>
      </c>
      <c r="BB229" s="7" t="str">
        <f t="shared" si="64"/>
        <v>Yes</v>
      </c>
      <c r="BC229" s="7" t="str">
        <f t="shared" si="62"/>
        <v>No</v>
      </c>
      <c r="BD229" s="7" t="s">
        <v>1</v>
      </c>
      <c r="BF229" s="7" t="s">
        <v>3183</v>
      </c>
      <c r="BH229" s="7" t="s">
        <v>165</v>
      </c>
      <c r="BJ229" s="7" t="s">
        <v>808</v>
      </c>
      <c r="BQ229" s="22"/>
      <c r="CH229" s="7" t="str">
        <f t="shared" si="63"/>
        <v/>
      </c>
      <c r="CW229" s="7" t="s">
        <v>361</v>
      </c>
      <c r="CX229" s="7" t="s">
        <v>361</v>
      </c>
    </row>
    <row r="230" spans="1:103">
      <c r="A230" s="7" t="s">
        <v>1681</v>
      </c>
      <c r="B230" s="7">
        <v>59</v>
      </c>
      <c r="I230" s="24" t="str">
        <f t="shared" si="54"/>
        <v/>
      </c>
      <c r="L230" s="7" t="str">
        <f t="shared" si="55"/>
        <v/>
      </c>
      <c r="M230" s="21" t="str">
        <f t="shared" si="56"/>
        <v/>
      </c>
      <c r="N230" s="7" t="s">
        <v>1960</v>
      </c>
      <c r="T230" s="7" t="str">
        <f t="shared" si="57"/>
        <v>Nothing</v>
      </c>
      <c r="U230" s="7" t="s">
        <v>1</v>
      </c>
      <c r="AC230" s="26" t="s">
        <v>3182</v>
      </c>
      <c r="AD230" s="24">
        <v>110225</v>
      </c>
      <c r="AE230" s="7">
        <v>1.9E-2</v>
      </c>
      <c r="AF230" s="7" t="s">
        <v>3181</v>
      </c>
      <c r="AG230" s="7">
        <v>1.0999999999999999E-2</v>
      </c>
      <c r="AH230" s="7" t="s">
        <v>3180</v>
      </c>
      <c r="AI230" s="7">
        <v>415700</v>
      </c>
      <c r="AJ230" s="7">
        <v>3</v>
      </c>
      <c r="AK230" s="7">
        <v>26</v>
      </c>
      <c r="AT230" s="7" t="str">
        <f>IF(OR(BC230="Carbon Neutral",BC230="No - but post-2030 commitment"),IF((OR(BH230="Committed",BH230="Targets Set")),IF(J230="", "CN &amp; SBT","CN, SBT &amp; RE100"),IF(CH230="","CN","CN &amp; RE100")),IF((OR(BH230="Committed",BH230="Targets Set")),IF(CH230="", "SBT","SBT &amp; RE100"),IF(CH230="","None","RE100")))</f>
        <v>None</v>
      </c>
      <c r="AU230" s="7" t="str">
        <f t="shared" si="58"/>
        <v>None</v>
      </c>
      <c r="AV230" s="7" t="str">
        <f t="shared" si="59"/>
        <v/>
      </c>
      <c r="AW230" s="7" t="str">
        <f t="shared" si="60"/>
        <v/>
      </c>
      <c r="AX230" s="7" t="str">
        <f t="shared" si="61"/>
        <v/>
      </c>
      <c r="BB230" s="7" t="str">
        <f t="shared" si="64"/>
        <v/>
      </c>
      <c r="BC230" s="7" t="str">
        <f t="shared" si="62"/>
        <v>No</v>
      </c>
      <c r="BD230" s="7" t="s">
        <v>1</v>
      </c>
      <c r="BF230" s="7" t="s">
        <v>3179</v>
      </c>
      <c r="BQ230" s="22"/>
      <c r="CH230" s="7" t="str">
        <f t="shared" si="63"/>
        <v/>
      </c>
      <c r="CY230" s="7" t="s">
        <v>361</v>
      </c>
    </row>
    <row r="231" spans="1:103">
      <c r="A231" s="7" t="s">
        <v>1806</v>
      </c>
      <c r="B231" s="7">
        <v>26</v>
      </c>
      <c r="F231" s="23"/>
      <c r="H231" s="26" t="s">
        <v>3177</v>
      </c>
      <c r="I231" s="24" t="str">
        <f t="shared" si="54"/>
        <v/>
      </c>
      <c r="L231" s="7" t="str">
        <f t="shared" si="55"/>
        <v/>
      </c>
      <c r="M231" s="21" t="str">
        <f t="shared" si="56"/>
        <v/>
      </c>
      <c r="N231" s="7" t="s">
        <v>1960</v>
      </c>
      <c r="T231" s="7" t="str">
        <f t="shared" si="57"/>
        <v>Nothing</v>
      </c>
      <c r="U231" s="7" t="s">
        <v>1</v>
      </c>
      <c r="X231" s="7" t="s">
        <v>3178</v>
      </c>
      <c r="AC231" s="26" t="s">
        <v>3177</v>
      </c>
      <c r="AD231" s="24">
        <v>172869</v>
      </c>
      <c r="AE231" s="7">
        <v>-1.6E-2</v>
      </c>
      <c r="AF231" s="7" t="s">
        <v>3176</v>
      </c>
      <c r="AG231" s="7">
        <v>-0.129</v>
      </c>
      <c r="AH231" s="7" t="s">
        <v>3175</v>
      </c>
      <c r="AI231" s="7">
        <v>757404</v>
      </c>
      <c r="AJ231" s="7">
        <v>-3</v>
      </c>
      <c r="AK231" s="7">
        <v>16</v>
      </c>
      <c r="AT231" s="7" t="str">
        <f>IF(OR(BC231="Carbon Neutral",BC231="No - but post-2030 commitment"),IF((OR(BH231="Committed",BH231="Targets Set")),IF(J231="", "CN &amp; SBT","CN, SBT &amp; RE100"),IF(CH231="","CN","CN &amp; RE100")),IF((OR(BH231="Committed",BH231="Targets Set")),IF(CH231="", "SBT","SBT &amp; RE100"),IF(CH231="","None","RE100")))</f>
        <v>None</v>
      </c>
      <c r="AU231" s="7" t="str">
        <f t="shared" si="58"/>
        <v>None</v>
      </c>
      <c r="AV231" s="7" t="str">
        <f t="shared" si="59"/>
        <v/>
      </c>
      <c r="AW231" s="7" t="str">
        <f t="shared" si="60"/>
        <v/>
      </c>
      <c r="AX231" s="7" t="str">
        <f t="shared" si="61"/>
        <v/>
      </c>
      <c r="BB231" s="7" t="str">
        <f t="shared" si="64"/>
        <v/>
      </c>
      <c r="BC231" s="7" t="str">
        <f t="shared" si="62"/>
        <v>No</v>
      </c>
      <c r="BD231" s="7" t="s">
        <v>1</v>
      </c>
      <c r="BF231" s="33" t="s">
        <v>3174</v>
      </c>
      <c r="BQ231" s="22"/>
      <c r="CD231" s="7" t="s">
        <v>361</v>
      </c>
      <c r="CH231" s="7" t="str">
        <f t="shared" si="63"/>
        <v/>
      </c>
    </row>
    <row r="232" spans="1:103">
      <c r="A232" s="7" t="s">
        <v>1768</v>
      </c>
      <c r="B232" s="7">
        <v>39</v>
      </c>
      <c r="H232" s="26" t="s">
        <v>3172</v>
      </c>
      <c r="I232" s="24" t="str">
        <f t="shared" si="54"/>
        <v/>
      </c>
      <c r="L232" s="7" t="str">
        <f t="shared" si="55"/>
        <v/>
      </c>
      <c r="M232" s="21" t="str">
        <f t="shared" si="56"/>
        <v/>
      </c>
      <c r="N232" s="7" t="s">
        <v>1960</v>
      </c>
      <c r="T232" s="7" t="str">
        <f t="shared" si="57"/>
        <v>Nothing</v>
      </c>
      <c r="U232" s="25" t="s">
        <v>1</v>
      </c>
      <c r="V232"/>
      <c r="X232" s="7" t="s">
        <v>3173</v>
      </c>
      <c r="AC232" s="26" t="s">
        <v>3172</v>
      </c>
      <c r="AD232" s="24">
        <v>137332</v>
      </c>
      <c r="AE232" s="7">
        <v>-4.2000000000000003E-2</v>
      </c>
      <c r="AF232" s="7" t="s">
        <v>3171</v>
      </c>
      <c r="AG232" s="7">
        <v>-0.23799999999999999</v>
      </c>
      <c r="AH232" s="7" t="s">
        <v>3170</v>
      </c>
      <c r="AI232" s="7">
        <v>218674</v>
      </c>
      <c r="AJ232" s="7">
        <v>-5</v>
      </c>
      <c r="AK232" s="7">
        <v>26</v>
      </c>
      <c r="AT232" s="7" t="str">
        <f>IF(OR(BC232="Carbon Neutral",BC232="No - but post-2030 commitment"),IF((OR(BH232="Committed",BH232="Targets Set")),IF(J232="", "CN &amp; SBT","CN, SBT &amp; RE100"),IF(CH232="","CN","CN &amp; RE100")),IF((OR(BH232="Committed",BH232="Targets Set")),IF(CH232="", "SBT","SBT &amp; RE100"),IF(CH232="","None","RE100")))</f>
        <v>None</v>
      </c>
      <c r="AU232" s="7" t="str">
        <f t="shared" si="58"/>
        <v>None</v>
      </c>
      <c r="AV232" s="7" t="str">
        <f t="shared" si="59"/>
        <v/>
      </c>
      <c r="AW232" s="7" t="str">
        <f t="shared" si="60"/>
        <v/>
      </c>
      <c r="AX232" s="7" t="str">
        <f t="shared" si="61"/>
        <v/>
      </c>
      <c r="BB232" s="7" t="str">
        <f t="shared" si="64"/>
        <v/>
      </c>
      <c r="BC232" s="7" t="str">
        <f t="shared" si="62"/>
        <v>No</v>
      </c>
      <c r="BD232" s="7" t="s">
        <v>1</v>
      </c>
      <c r="BF232" s="23" t="s">
        <v>3169</v>
      </c>
      <c r="BQ232" s="22"/>
      <c r="CD232" s="7" t="s">
        <v>361</v>
      </c>
      <c r="CF232" s="25"/>
      <c r="CH232" s="7" t="str">
        <f t="shared" si="63"/>
        <v/>
      </c>
      <c r="CW232" s="7" t="s">
        <v>361</v>
      </c>
    </row>
    <row r="233" spans="1:103">
      <c r="A233" s="7" t="s">
        <v>875</v>
      </c>
      <c r="B233" s="7">
        <v>347</v>
      </c>
      <c r="I233" s="24" t="str">
        <f t="shared" si="54"/>
        <v/>
      </c>
      <c r="L233" s="7" t="str">
        <f t="shared" si="55"/>
        <v/>
      </c>
      <c r="M233" s="21" t="str">
        <f t="shared" si="56"/>
        <v/>
      </c>
      <c r="N233" s="7" t="s">
        <v>1960</v>
      </c>
      <c r="T233" s="7" t="str">
        <f t="shared" si="57"/>
        <v>Nothing</v>
      </c>
      <c r="U233" s="7" t="s">
        <v>1963</v>
      </c>
      <c r="AD233" s="24">
        <v>36709</v>
      </c>
      <c r="AE233" s="7">
        <v>-0.122</v>
      </c>
      <c r="AF233" s="7" t="s">
        <v>3168</v>
      </c>
      <c r="AG233" s="7">
        <v>-9.1999999999999998E-2</v>
      </c>
      <c r="AH233" s="7" t="s">
        <v>3167</v>
      </c>
      <c r="AI233" s="7">
        <v>113000</v>
      </c>
      <c r="AJ233" s="7">
        <v>-57</v>
      </c>
      <c r="AK233" s="7">
        <v>26</v>
      </c>
      <c r="AT233" s="7" t="str">
        <f>IF(OR(BC233="Carbon Neutral",BC233="No - but post-2030 commitment"),IF((OR(BH233="Committed",BH233="Targets Set")),IF(J233="", "CN &amp; SBT","CN, SBT &amp; RE100"),IF(CH233="","CN","CN &amp; RE100")),IF((OR(BH233="Committed",BH233="Targets Set")),IF(CH233="", "SBT","SBT &amp; RE100"),IF(CH233="","None","RE100")))</f>
        <v>None</v>
      </c>
      <c r="AU233" s="7" t="str">
        <f t="shared" si="58"/>
        <v>None</v>
      </c>
      <c r="AV233" s="7" t="str">
        <f t="shared" si="59"/>
        <v/>
      </c>
      <c r="AW233" s="7" t="str">
        <f t="shared" si="60"/>
        <v/>
      </c>
      <c r="AX233" s="7" t="str">
        <f t="shared" si="61"/>
        <v/>
      </c>
      <c r="BB233" s="7" t="str">
        <f t="shared" si="64"/>
        <v/>
      </c>
      <c r="BC233" s="7" t="str">
        <f t="shared" si="62"/>
        <v>No</v>
      </c>
      <c r="BD233" s="7" t="s">
        <v>1963</v>
      </c>
      <c r="BQ233" s="22"/>
      <c r="CH233" s="7" t="str">
        <f t="shared" si="63"/>
        <v/>
      </c>
      <c r="CY233" s="7" t="s">
        <v>361</v>
      </c>
    </row>
    <row r="234" spans="1:103">
      <c r="A234" s="7" t="s">
        <v>1252</v>
      </c>
      <c r="B234" s="7">
        <v>184</v>
      </c>
      <c r="C234" s="7" t="s">
        <v>127</v>
      </c>
      <c r="I234" s="24" t="str">
        <f t="shared" si="54"/>
        <v>Yes</v>
      </c>
      <c r="J234" s="7">
        <v>2035</v>
      </c>
      <c r="K234" s="7">
        <v>2016</v>
      </c>
      <c r="L234" s="7" t="str">
        <f t="shared" si="55"/>
        <v>T</v>
      </c>
      <c r="M234" s="21">
        <f t="shared" si="56"/>
        <v>2025</v>
      </c>
      <c r="N234" s="7">
        <v>2017</v>
      </c>
      <c r="T234" s="7" t="str">
        <f t="shared" si="57"/>
        <v>Nothing</v>
      </c>
      <c r="U234" s="7" t="s">
        <v>1</v>
      </c>
      <c r="AC234" s="8" t="s">
        <v>3166</v>
      </c>
      <c r="AD234" s="24">
        <v>58756</v>
      </c>
      <c r="AE234" s="7">
        <v>5.0000000000000001E-3</v>
      </c>
      <c r="AF234" s="7" t="s">
        <v>3165</v>
      </c>
      <c r="AG234" s="7">
        <v>-0.40799999999999997</v>
      </c>
      <c r="AH234" s="7" t="s">
        <v>3164</v>
      </c>
      <c r="AI234" s="7">
        <v>56000</v>
      </c>
      <c r="AJ234" s="7">
        <v>-11</v>
      </c>
      <c r="AK234" s="7">
        <v>26</v>
      </c>
      <c r="AL234" s="7" t="s">
        <v>204</v>
      </c>
      <c r="AN234" s="7" t="s">
        <v>2029</v>
      </c>
      <c r="AT234" s="7" t="s">
        <v>2385</v>
      </c>
      <c r="AU234" s="7" t="str">
        <f t="shared" si="58"/>
        <v>SBT</v>
      </c>
      <c r="AV234" s="7" t="str">
        <f t="shared" si="59"/>
        <v/>
      </c>
      <c r="AW234" s="7">
        <f t="shared" si="60"/>
        <v>2017</v>
      </c>
      <c r="AX234" s="7" t="str">
        <f t="shared" si="61"/>
        <v/>
      </c>
      <c r="BB234" s="7" t="str">
        <f t="shared" si="64"/>
        <v>Yes</v>
      </c>
      <c r="BC234" s="7" t="str">
        <f t="shared" si="62"/>
        <v>No</v>
      </c>
      <c r="BD234" s="7" t="s">
        <v>1</v>
      </c>
      <c r="BF234" s="23" t="s">
        <v>3163</v>
      </c>
      <c r="BH234" s="7" t="s">
        <v>22</v>
      </c>
      <c r="BI234" s="7" t="s">
        <v>2156</v>
      </c>
      <c r="BJ234" s="7" t="s">
        <v>627</v>
      </c>
      <c r="BM234" s="7" t="s">
        <v>3162</v>
      </c>
      <c r="BN234" s="7">
        <v>2025</v>
      </c>
      <c r="BO234" s="7">
        <v>2025</v>
      </c>
      <c r="BP234" s="7">
        <v>2025</v>
      </c>
      <c r="BQ234" s="22"/>
      <c r="CG234" s="7" t="s">
        <v>2027</v>
      </c>
      <c r="CH234" s="7" t="str">
        <f t="shared" si="63"/>
        <v/>
      </c>
      <c r="CI234" s="7" t="s">
        <v>3161</v>
      </c>
      <c r="CJ234" s="7">
        <v>0.47</v>
      </c>
      <c r="CK234" s="7">
        <v>0.5</v>
      </c>
      <c r="CL234" s="7">
        <v>0.14000000000000001</v>
      </c>
      <c r="CM234" s="7">
        <v>0.16</v>
      </c>
      <c r="CN234" s="7" t="s">
        <v>13</v>
      </c>
      <c r="CO234" s="7" t="s">
        <v>2174</v>
      </c>
      <c r="CX234" s="7" t="s">
        <v>361</v>
      </c>
      <c r="CY234" s="7" t="s">
        <v>361</v>
      </c>
    </row>
    <row r="235" spans="1:103">
      <c r="A235" s="7" t="s">
        <v>1542</v>
      </c>
      <c r="B235" s="7">
        <v>73</v>
      </c>
      <c r="C235" s="7" t="s">
        <v>2070</v>
      </c>
      <c r="G235" s="7" t="s">
        <v>3160</v>
      </c>
      <c r="H235" s="8" t="s">
        <v>3158</v>
      </c>
      <c r="I235" s="24" t="str">
        <f t="shared" si="54"/>
        <v>Yes</v>
      </c>
      <c r="J235" s="7">
        <v>2030</v>
      </c>
      <c r="K235" s="7">
        <v>2017</v>
      </c>
      <c r="L235" s="7" t="str">
        <f t="shared" si="55"/>
        <v>C</v>
      </c>
      <c r="M235" s="21" t="str">
        <f t="shared" si="56"/>
        <v/>
      </c>
      <c r="N235" s="7">
        <v>2016</v>
      </c>
      <c r="T235" s="7" t="str">
        <f t="shared" si="57"/>
        <v>Nothing</v>
      </c>
      <c r="U235" s="7" t="s">
        <v>3159</v>
      </c>
      <c r="AC235" s="8" t="s">
        <v>3158</v>
      </c>
      <c r="AD235" s="24">
        <v>98673</v>
      </c>
      <c r="AE235" s="7">
        <v>0.14599999999999999</v>
      </c>
      <c r="AF235" s="7" t="s">
        <v>3157</v>
      </c>
      <c r="AG235" s="7">
        <v>-0.46200000000000002</v>
      </c>
      <c r="AH235" s="7" t="s">
        <v>3156</v>
      </c>
      <c r="AI235" s="7">
        <v>235351</v>
      </c>
      <c r="AJ235" s="7">
        <v>26</v>
      </c>
      <c r="AK235" s="7">
        <v>26</v>
      </c>
      <c r="AL235" s="7" t="s">
        <v>93</v>
      </c>
      <c r="AN235" s="7" t="s">
        <v>1951</v>
      </c>
      <c r="AT235" s="7" t="str">
        <f t="shared" ref="AT235:AT263" si="66">IF(OR(BC235="Carbon Neutral",BC235="No - but post-2030 commitment"),IF((OR(BH235="Committed",BH235="Targets Set")),IF(J235="", "CN &amp; SBT","CN, SBT &amp; RE100"),IF(CH235="","CN","CN &amp; RE100")),IF((OR(BH235="Committed",BH235="Targets Set")),IF(CH235="", "SBT","SBT &amp; RE100"),IF(CH235="","None","RE100")))</f>
        <v>SBT &amp; RE100</v>
      </c>
      <c r="AU235" s="7" t="str">
        <f t="shared" si="58"/>
        <v>SBT &amp; RE100</v>
      </c>
      <c r="AV235" s="7" t="str">
        <f t="shared" si="59"/>
        <v/>
      </c>
      <c r="AW235" s="7">
        <f t="shared" si="60"/>
        <v>2016</v>
      </c>
      <c r="AX235" s="7">
        <f t="shared" si="61"/>
        <v>2017</v>
      </c>
      <c r="BB235" s="7" t="str">
        <f t="shared" si="64"/>
        <v>Yes</v>
      </c>
      <c r="BC235" s="7" t="str">
        <f t="shared" si="62"/>
        <v>No</v>
      </c>
      <c r="BD235" s="7" t="s">
        <v>1</v>
      </c>
      <c r="BF235" s="7" t="s">
        <v>3155</v>
      </c>
      <c r="BG235" s="7" t="s">
        <v>3154</v>
      </c>
      <c r="BH235" s="7" t="s">
        <v>165</v>
      </c>
      <c r="BJ235" s="7" t="s">
        <v>1543</v>
      </c>
      <c r="BQ235" s="22"/>
      <c r="CG235" s="7" t="s">
        <v>2070</v>
      </c>
      <c r="CH235" s="7" t="str">
        <f t="shared" si="63"/>
        <v>yes</v>
      </c>
      <c r="CI235" s="7" t="s">
        <v>3153</v>
      </c>
      <c r="CJ235" s="7">
        <v>0.32</v>
      </c>
      <c r="CK235" s="7">
        <v>0.28999999999999998</v>
      </c>
      <c r="CL235" s="7">
        <v>0.08</v>
      </c>
      <c r="CM235" s="7" t="s">
        <v>13</v>
      </c>
      <c r="CN235" s="7" t="s">
        <v>13</v>
      </c>
      <c r="CO235" s="7" t="s">
        <v>3152</v>
      </c>
    </row>
    <row r="236" spans="1:103">
      <c r="A236" s="7" t="s">
        <v>1683</v>
      </c>
      <c r="B236" s="7">
        <v>49</v>
      </c>
      <c r="I236" s="24" t="str">
        <f t="shared" si="54"/>
        <v/>
      </c>
      <c r="L236" s="7" t="str">
        <f t="shared" si="55"/>
        <v/>
      </c>
      <c r="M236" s="21" t="str">
        <f t="shared" si="56"/>
        <v/>
      </c>
      <c r="N236" s="7" t="s">
        <v>1960</v>
      </c>
      <c r="T236" s="7" t="str">
        <f t="shared" si="57"/>
        <v>Nothing</v>
      </c>
      <c r="U236" s="7" t="s">
        <v>1</v>
      </c>
      <c r="AC236" s="26" t="s">
        <v>3151</v>
      </c>
      <c r="AD236" s="24">
        <v>124316</v>
      </c>
      <c r="AE236" s="7">
        <v>0.14000000000000001</v>
      </c>
      <c r="AF236" s="7" t="s">
        <v>3150</v>
      </c>
      <c r="AG236" s="7">
        <v>1.2E-2</v>
      </c>
      <c r="AH236" s="7" t="s">
        <v>3149</v>
      </c>
      <c r="AI236" s="7">
        <v>194000</v>
      </c>
      <c r="AJ236" s="7">
        <v>12</v>
      </c>
      <c r="AK236" s="7">
        <v>11</v>
      </c>
      <c r="AT236" s="7" t="str">
        <f t="shared" si="66"/>
        <v>None</v>
      </c>
      <c r="AU236" s="7" t="str">
        <f t="shared" si="58"/>
        <v>None</v>
      </c>
      <c r="AV236" s="7" t="str">
        <f t="shared" si="59"/>
        <v/>
      </c>
      <c r="AW236" s="7" t="str">
        <f t="shared" si="60"/>
        <v/>
      </c>
      <c r="AX236" s="7" t="str">
        <f t="shared" si="61"/>
        <v/>
      </c>
      <c r="BB236" s="7" t="str">
        <f t="shared" si="64"/>
        <v/>
      </c>
      <c r="BC236" s="7" t="str">
        <f t="shared" si="62"/>
        <v>No</v>
      </c>
      <c r="BD236" s="7" t="s">
        <v>1</v>
      </c>
      <c r="BF236" s="23" t="s">
        <v>3148</v>
      </c>
      <c r="BQ236" s="22"/>
      <c r="CH236" s="7" t="str">
        <f t="shared" si="63"/>
        <v/>
      </c>
    </row>
    <row r="237" spans="1:103">
      <c r="A237" s="7" t="s">
        <v>304</v>
      </c>
      <c r="B237" s="7">
        <v>449</v>
      </c>
      <c r="I237" s="24" t="str">
        <f t="shared" si="54"/>
        <v/>
      </c>
      <c r="L237" s="7" t="str">
        <f t="shared" si="55"/>
        <v/>
      </c>
      <c r="M237" s="21" t="str">
        <f t="shared" si="56"/>
        <v/>
      </c>
      <c r="N237" s="7" t="s">
        <v>1960</v>
      </c>
      <c r="T237" s="7" t="str">
        <f t="shared" si="57"/>
        <v>Nothing</v>
      </c>
      <c r="U237" s="7" t="s">
        <v>1</v>
      </c>
      <c r="AD237" s="24">
        <v>28494</v>
      </c>
      <c r="AE237" s="7" t="s">
        <v>9</v>
      </c>
      <c r="AF237" s="7" t="s">
        <v>3147</v>
      </c>
      <c r="AG237" s="7">
        <v>-0.69399999999999995</v>
      </c>
      <c r="AH237" s="7" t="s">
        <v>3146</v>
      </c>
      <c r="AI237" s="7">
        <v>500000</v>
      </c>
      <c r="AJ237" s="7">
        <v>-7</v>
      </c>
      <c r="AK237" s="7">
        <v>2</v>
      </c>
      <c r="AT237" s="7" t="str">
        <f t="shared" si="66"/>
        <v>None</v>
      </c>
      <c r="AU237" s="7" t="str">
        <f t="shared" si="58"/>
        <v>None</v>
      </c>
      <c r="AV237" s="7" t="str">
        <f t="shared" si="59"/>
        <v/>
      </c>
      <c r="AW237" s="7" t="str">
        <f t="shared" si="60"/>
        <v/>
      </c>
      <c r="AX237" s="7" t="str">
        <f t="shared" si="61"/>
        <v/>
      </c>
      <c r="BB237" s="7" t="str">
        <f t="shared" si="64"/>
        <v/>
      </c>
      <c r="BC237" s="7" t="str">
        <f t="shared" si="62"/>
        <v>No</v>
      </c>
      <c r="BD237" s="7" t="s">
        <v>1</v>
      </c>
      <c r="BQ237" s="22"/>
      <c r="CH237" s="7" t="str">
        <f t="shared" si="63"/>
        <v/>
      </c>
    </row>
    <row r="238" spans="1:103">
      <c r="A238" s="7" t="s">
        <v>1227</v>
      </c>
      <c r="B238" s="7">
        <v>166</v>
      </c>
      <c r="I238" s="24" t="str">
        <f t="shared" si="54"/>
        <v/>
      </c>
      <c r="L238" s="7" t="str">
        <f t="shared" si="55"/>
        <v/>
      </c>
      <c r="M238" s="21" t="str">
        <f t="shared" si="56"/>
        <v/>
      </c>
      <c r="N238" s="7" t="s">
        <v>1960</v>
      </c>
      <c r="T238" s="7" t="str">
        <f t="shared" si="57"/>
        <v>Nothing</v>
      </c>
      <c r="U238" s="7" t="s">
        <v>1</v>
      </c>
      <c r="AC238" s="8" t="s">
        <v>3145</v>
      </c>
      <c r="AD238" s="24">
        <v>64888</v>
      </c>
      <c r="AE238" s="7">
        <v>0.14000000000000001</v>
      </c>
      <c r="AF238" s="7" t="s">
        <v>3144</v>
      </c>
      <c r="AG238" s="7">
        <v>0.60799999999999998</v>
      </c>
      <c r="AH238" s="7" t="s">
        <v>3143</v>
      </c>
      <c r="AI238" s="7">
        <v>46000</v>
      </c>
      <c r="AJ238" s="7">
        <v>13</v>
      </c>
      <c r="AK238" s="7">
        <v>22</v>
      </c>
      <c r="AT238" s="7" t="str">
        <f t="shared" si="66"/>
        <v>None</v>
      </c>
      <c r="AU238" s="7" t="str">
        <f t="shared" si="58"/>
        <v>None</v>
      </c>
      <c r="AV238" s="7" t="str">
        <f t="shared" si="59"/>
        <v/>
      </c>
      <c r="AW238" s="7" t="str">
        <f t="shared" si="60"/>
        <v/>
      </c>
      <c r="AX238" s="7" t="str">
        <f t="shared" si="61"/>
        <v/>
      </c>
      <c r="BB238" s="7" t="str">
        <f t="shared" si="64"/>
        <v/>
      </c>
      <c r="BC238" s="7" t="str">
        <f t="shared" si="62"/>
        <v>No</v>
      </c>
      <c r="BD238" s="7" t="s">
        <v>1</v>
      </c>
      <c r="BF238" s="7" t="s">
        <v>3142</v>
      </c>
      <c r="BQ238" s="22"/>
      <c r="CH238" s="7" t="str">
        <f t="shared" si="63"/>
        <v/>
      </c>
      <c r="CY238" s="7" t="s">
        <v>361</v>
      </c>
    </row>
    <row r="239" spans="1:103">
      <c r="A239" s="7" t="s">
        <v>520</v>
      </c>
      <c r="B239" s="7">
        <v>385</v>
      </c>
      <c r="I239" s="24" t="str">
        <f t="shared" si="54"/>
        <v/>
      </c>
      <c r="L239" s="7" t="str">
        <f t="shared" si="55"/>
        <v/>
      </c>
      <c r="M239" s="21" t="str">
        <f t="shared" si="56"/>
        <v/>
      </c>
      <c r="N239" s="7" t="s">
        <v>1960</v>
      </c>
      <c r="T239" s="7" t="str">
        <f t="shared" si="57"/>
        <v>Nothing</v>
      </c>
      <c r="U239" s="7" t="s">
        <v>1963</v>
      </c>
      <c r="AC239" s="26" t="s">
        <v>3141</v>
      </c>
      <c r="AD239" s="24">
        <v>32649</v>
      </c>
      <c r="AE239" s="7">
        <v>2.1999999999999999E-2</v>
      </c>
      <c r="AF239" s="7" t="s">
        <v>3140</v>
      </c>
      <c r="AG239" s="7">
        <v>0.14499999999999999</v>
      </c>
      <c r="AH239" s="7" t="s">
        <v>3139</v>
      </c>
      <c r="AI239" s="7">
        <v>32065</v>
      </c>
      <c r="AJ239" s="7">
        <v>8</v>
      </c>
      <c r="AK239" s="7">
        <v>9</v>
      </c>
      <c r="AT239" s="7" t="str">
        <f t="shared" si="66"/>
        <v>None</v>
      </c>
      <c r="AU239" s="7" t="str">
        <f t="shared" si="58"/>
        <v>None</v>
      </c>
      <c r="AV239" s="7" t="str">
        <f t="shared" si="59"/>
        <v/>
      </c>
      <c r="AW239" s="7" t="str">
        <f t="shared" si="60"/>
        <v/>
      </c>
      <c r="AX239" s="7" t="str">
        <f t="shared" si="61"/>
        <v/>
      </c>
      <c r="BB239" s="7" t="str">
        <f t="shared" si="64"/>
        <v/>
      </c>
      <c r="BC239" s="7" t="str">
        <f t="shared" si="62"/>
        <v>No</v>
      </c>
      <c r="BD239" s="7" t="s">
        <v>1963</v>
      </c>
      <c r="BF239" s="7" t="s">
        <v>3138</v>
      </c>
      <c r="BQ239" s="22"/>
      <c r="CH239" s="7" t="str">
        <f t="shared" si="63"/>
        <v/>
      </c>
    </row>
    <row r="240" spans="1:103">
      <c r="A240" s="7" t="s">
        <v>1558</v>
      </c>
      <c r="B240" s="7">
        <v>84</v>
      </c>
      <c r="C240" s="7" t="s">
        <v>114</v>
      </c>
      <c r="D240" s="7" t="s">
        <v>1957</v>
      </c>
      <c r="E240" s="7" t="s">
        <v>3137</v>
      </c>
      <c r="F240" s="7">
        <v>2050</v>
      </c>
      <c r="G240" s="7">
        <v>2020</v>
      </c>
      <c r="H240" s="8" t="s">
        <v>3135</v>
      </c>
      <c r="I240" s="24" t="str">
        <f t="shared" si="54"/>
        <v/>
      </c>
      <c r="L240" s="7" t="str">
        <f t="shared" si="55"/>
        <v/>
      </c>
      <c r="M240" s="21" t="str">
        <f t="shared" si="56"/>
        <v/>
      </c>
      <c r="N240" s="7" t="s">
        <v>1960</v>
      </c>
      <c r="T240" s="7" t="str">
        <f t="shared" si="57"/>
        <v/>
      </c>
      <c r="U240" s="7" t="s">
        <v>1969</v>
      </c>
      <c r="V240" s="7" t="s">
        <v>3137</v>
      </c>
      <c r="X240" s="23" t="s">
        <v>3136</v>
      </c>
      <c r="AC240" s="8" t="s">
        <v>3135</v>
      </c>
      <c r="AD240" s="24">
        <v>90740</v>
      </c>
      <c r="AE240" s="7">
        <v>3.1E-2</v>
      </c>
      <c r="AF240" s="7" t="s">
        <v>3134</v>
      </c>
      <c r="AG240" s="7">
        <v>0.86499999999999999</v>
      </c>
      <c r="AH240" s="7" t="s">
        <v>3133</v>
      </c>
      <c r="AI240" s="7">
        <v>114032</v>
      </c>
      <c r="AJ240" s="7">
        <v>10</v>
      </c>
      <c r="AK240" s="7">
        <v>25</v>
      </c>
      <c r="AL240" s="7" t="s">
        <v>166</v>
      </c>
      <c r="AN240" s="7" t="s">
        <v>1994</v>
      </c>
      <c r="AT240" s="7" t="str">
        <f t="shared" si="66"/>
        <v>CN</v>
      </c>
      <c r="AU240" s="7" t="str">
        <f t="shared" si="58"/>
        <v>None</v>
      </c>
      <c r="AV240" s="7" t="str">
        <f t="shared" si="59"/>
        <v/>
      </c>
      <c r="AW240" s="7" t="str">
        <f t="shared" si="60"/>
        <v/>
      </c>
      <c r="AX240" s="7" t="str">
        <f t="shared" si="61"/>
        <v/>
      </c>
      <c r="BC240" s="7" t="str">
        <f t="shared" si="62"/>
        <v>No - but post-2030 commitment</v>
      </c>
      <c r="BD240" s="7" t="s">
        <v>1</v>
      </c>
      <c r="BF240" s="23" t="s">
        <v>3132</v>
      </c>
      <c r="BQ240" s="22"/>
      <c r="CD240" s="7" t="s">
        <v>361</v>
      </c>
      <c r="CH240" s="7" t="str">
        <f t="shared" si="63"/>
        <v/>
      </c>
    </row>
    <row r="241" spans="1:103">
      <c r="A241" s="7" t="s">
        <v>866</v>
      </c>
      <c r="B241" s="7">
        <v>303</v>
      </c>
      <c r="C241" s="7" t="s">
        <v>267</v>
      </c>
      <c r="D241" s="7" t="s">
        <v>1957</v>
      </c>
      <c r="E241" s="7" t="s">
        <v>3131</v>
      </c>
      <c r="F241" s="7">
        <v>2050</v>
      </c>
      <c r="G241" s="7">
        <v>2017</v>
      </c>
      <c r="H241" s="26" t="s">
        <v>3130</v>
      </c>
      <c r="I241" s="24" t="str">
        <f t="shared" si="54"/>
        <v/>
      </c>
      <c r="L241" s="7" t="str">
        <f t="shared" si="55"/>
        <v>T</v>
      </c>
      <c r="M241" s="21">
        <f t="shared" si="56"/>
        <v>2030</v>
      </c>
      <c r="N241" s="7">
        <v>2019</v>
      </c>
      <c r="T241" s="7" t="str">
        <f t="shared" si="57"/>
        <v/>
      </c>
      <c r="U241" s="7" t="s">
        <v>1969</v>
      </c>
      <c r="V241" s="7" t="s">
        <v>3129</v>
      </c>
      <c r="X241" s="7" t="s">
        <v>3128</v>
      </c>
      <c r="AC241" s="26" t="s">
        <v>3127</v>
      </c>
      <c r="AD241" s="24">
        <v>40783</v>
      </c>
      <c r="AE241" s="7">
        <v>-1.4999999999999999E-2</v>
      </c>
      <c r="AF241" s="7" t="s">
        <v>3126</v>
      </c>
      <c r="AG241" s="7">
        <v>7.1999999999999995E-2</v>
      </c>
      <c r="AH241" s="7" t="s">
        <v>3125</v>
      </c>
      <c r="AI241" s="7">
        <v>34306</v>
      </c>
      <c r="AJ241" s="7">
        <v>-11</v>
      </c>
      <c r="AK241" s="7">
        <v>16</v>
      </c>
      <c r="AL241" s="7" t="s">
        <v>869</v>
      </c>
      <c r="AN241" s="7" t="s">
        <v>1951</v>
      </c>
      <c r="AT241" s="7" t="str">
        <f t="shared" si="66"/>
        <v>CN &amp; SBT</v>
      </c>
      <c r="AU241" s="7" t="str">
        <f t="shared" si="58"/>
        <v>SBT</v>
      </c>
      <c r="AV241" s="7" t="str">
        <f t="shared" si="59"/>
        <v/>
      </c>
      <c r="AW241" s="7">
        <f t="shared" si="60"/>
        <v>2019</v>
      </c>
      <c r="AX241" s="7" t="str">
        <f t="shared" si="61"/>
        <v/>
      </c>
      <c r="BB241" s="7" t="str">
        <f t="shared" ref="BB241:BB272" si="67">IF(BH241="","","Yes")</f>
        <v>Yes</v>
      </c>
      <c r="BC241" s="7" t="str">
        <f t="shared" si="62"/>
        <v>No - but post-2030 commitment</v>
      </c>
      <c r="BD241" s="7" t="s">
        <v>1963</v>
      </c>
      <c r="BF241" s="7" t="s">
        <v>3124</v>
      </c>
      <c r="BG241" s="7" t="s">
        <v>2220</v>
      </c>
      <c r="BH241" s="7" t="s">
        <v>22</v>
      </c>
      <c r="BI241" s="7" t="s">
        <v>2040</v>
      </c>
      <c r="BJ241" s="7" t="s">
        <v>868</v>
      </c>
      <c r="BM241" s="7" t="s">
        <v>867</v>
      </c>
      <c r="BN241" s="7">
        <v>2030</v>
      </c>
      <c r="BO241" s="7">
        <v>2030</v>
      </c>
      <c r="BP241" s="7">
        <v>2030</v>
      </c>
      <c r="BQ241" s="22"/>
      <c r="CE241" s="7">
        <v>2050</v>
      </c>
      <c r="CH241" s="7" t="str">
        <f t="shared" si="63"/>
        <v/>
      </c>
      <c r="CT241" s="7" t="s">
        <v>866</v>
      </c>
      <c r="CU241" s="7" t="s">
        <v>2151</v>
      </c>
      <c r="CV241" s="7">
        <v>33</v>
      </c>
      <c r="CW241" s="7" t="s">
        <v>361</v>
      </c>
    </row>
    <row r="242" spans="1:103">
      <c r="A242" s="7" t="s">
        <v>649</v>
      </c>
      <c r="B242" s="7">
        <v>236</v>
      </c>
      <c r="I242" s="24" t="str">
        <f t="shared" si="54"/>
        <v/>
      </c>
      <c r="L242" s="7" t="str">
        <f t="shared" si="55"/>
        <v/>
      </c>
      <c r="M242" s="21" t="str">
        <f t="shared" si="56"/>
        <v/>
      </c>
      <c r="N242" s="7" t="s">
        <v>1960</v>
      </c>
      <c r="T242" s="7" t="str">
        <f t="shared" si="57"/>
        <v>Nothing</v>
      </c>
      <c r="U242" s="7" t="s">
        <v>1</v>
      </c>
      <c r="AC242" s="8" t="s">
        <v>3123</v>
      </c>
      <c r="AD242" s="24">
        <v>48892</v>
      </c>
      <c r="AE242" s="7">
        <v>0.39300000000000002</v>
      </c>
      <c r="AF242" s="7" t="s">
        <v>3122</v>
      </c>
      <c r="AG242" s="7">
        <v>-1.2869999999999999</v>
      </c>
      <c r="AH242" s="7" t="s">
        <v>3121</v>
      </c>
      <c r="AI242" s="7">
        <v>16020</v>
      </c>
      <c r="AJ242" s="7">
        <v>118</v>
      </c>
      <c r="AK242" s="7">
        <v>26</v>
      </c>
      <c r="AT242" s="7" t="str">
        <f t="shared" si="66"/>
        <v>None</v>
      </c>
      <c r="AU242" s="7" t="str">
        <f t="shared" si="58"/>
        <v>None</v>
      </c>
      <c r="AV242" s="7" t="str">
        <f t="shared" si="59"/>
        <v/>
      </c>
      <c r="AW242" s="7" t="str">
        <f t="shared" si="60"/>
        <v/>
      </c>
      <c r="AX242" s="7" t="str">
        <f t="shared" si="61"/>
        <v/>
      </c>
      <c r="BB242" s="7" t="str">
        <f t="shared" si="67"/>
        <v/>
      </c>
      <c r="BC242" s="7" t="str">
        <f t="shared" si="62"/>
        <v>No</v>
      </c>
      <c r="BD242" s="7" t="s">
        <v>1</v>
      </c>
      <c r="BF242" s="7" t="s">
        <v>3120</v>
      </c>
      <c r="BQ242" s="22"/>
      <c r="CH242" s="7" t="str">
        <f t="shared" si="63"/>
        <v/>
      </c>
    </row>
    <row r="243" spans="1:103">
      <c r="A243" s="7" t="s">
        <v>1457</v>
      </c>
      <c r="B243" s="7">
        <v>151</v>
      </c>
      <c r="I243" s="24" t="str">
        <f t="shared" si="54"/>
        <v/>
      </c>
      <c r="L243" s="7" t="str">
        <f t="shared" si="55"/>
        <v/>
      </c>
      <c r="M243" s="21" t="str">
        <f t="shared" si="56"/>
        <v/>
      </c>
      <c r="N243" s="7" t="s">
        <v>1960</v>
      </c>
      <c r="T243" s="7" t="str">
        <f t="shared" si="57"/>
        <v>Nothing</v>
      </c>
      <c r="U243" s="7" t="s">
        <v>1</v>
      </c>
      <c r="AD243" s="24">
        <v>69246</v>
      </c>
      <c r="AE243" s="7">
        <v>-0.108</v>
      </c>
      <c r="AF243" s="7" t="s">
        <v>3119</v>
      </c>
      <c r="AG243" s="7">
        <v>-1.0509999999999999</v>
      </c>
      <c r="AH243" s="7" t="s">
        <v>3118</v>
      </c>
      <c r="AI243" s="7">
        <v>34996</v>
      </c>
      <c r="AJ243" s="7">
        <v>-34</v>
      </c>
      <c r="AK243" s="7">
        <v>26</v>
      </c>
      <c r="AT243" s="7" t="str">
        <f t="shared" si="66"/>
        <v>None</v>
      </c>
      <c r="AU243" s="7" t="str">
        <f t="shared" si="58"/>
        <v>None</v>
      </c>
      <c r="AV243" s="7" t="str">
        <f t="shared" si="59"/>
        <v/>
      </c>
      <c r="AW243" s="7" t="str">
        <f t="shared" si="60"/>
        <v/>
      </c>
      <c r="AX243" s="7" t="str">
        <f t="shared" si="61"/>
        <v/>
      </c>
      <c r="BB243" s="7" t="str">
        <f t="shared" si="67"/>
        <v/>
      </c>
      <c r="BC243" s="7" t="str">
        <f t="shared" si="62"/>
        <v>No</v>
      </c>
      <c r="BD243" s="7" t="s">
        <v>1</v>
      </c>
      <c r="BQ243" s="22"/>
      <c r="CH243" s="7" t="str">
        <f t="shared" si="63"/>
        <v/>
      </c>
    </row>
    <row r="244" spans="1:103">
      <c r="A244" s="7" t="s">
        <v>452</v>
      </c>
      <c r="B244" s="7">
        <v>398</v>
      </c>
      <c r="C244" s="7" t="s">
        <v>267</v>
      </c>
      <c r="I244" s="24" t="str">
        <f t="shared" si="54"/>
        <v/>
      </c>
      <c r="L244" s="7" t="str">
        <f t="shared" si="55"/>
        <v>C</v>
      </c>
      <c r="M244" s="21" t="str">
        <f t="shared" si="56"/>
        <v/>
      </c>
      <c r="N244" s="7">
        <v>2016</v>
      </c>
      <c r="T244" s="7" t="str">
        <f t="shared" si="57"/>
        <v>Nothing</v>
      </c>
      <c r="U244" s="7" t="s">
        <v>1963</v>
      </c>
      <c r="AC244" s="26" t="s">
        <v>3117</v>
      </c>
      <c r="AD244" s="24">
        <v>31584</v>
      </c>
      <c r="AE244" s="7">
        <v>2.9000000000000001E-2</v>
      </c>
      <c r="AF244" s="7" t="s">
        <v>3116</v>
      </c>
      <c r="AG244" s="7">
        <v>5.0000000000000001E-3</v>
      </c>
      <c r="AH244" s="7" t="s">
        <v>3115</v>
      </c>
      <c r="AI244" s="7">
        <v>176611</v>
      </c>
      <c r="AJ244" s="7">
        <v>8</v>
      </c>
      <c r="AK244" s="7">
        <v>5</v>
      </c>
      <c r="AL244" s="7" t="s">
        <v>454</v>
      </c>
      <c r="AN244" s="7" t="s">
        <v>1951</v>
      </c>
      <c r="AT244" s="7" t="str">
        <f t="shared" si="66"/>
        <v>SBT</v>
      </c>
      <c r="AU244" s="7" t="str">
        <f t="shared" si="58"/>
        <v>SBT</v>
      </c>
      <c r="AV244" s="7" t="str">
        <f t="shared" si="59"/>
        <v/>
      </c>
      <c r="AW244" s="7">
        <f t="shared" si="60"/>
        <v>2016</v>
      </c>
      <c r="AX244" s="7" t="str">
        <f t="shared" si="61"/>
        <v/>
      </c>
      <c r="BB244" s="7" t="str">
        <f t="shared" si="67"/>
        <v>Yes</v>
      </c>
      <c r="BC244" s="7" t="str">
        <f t="shared" si="62"/>
        <v>No</v>
      </c>
      <c r="BD244" s="7" t="s">
        <v>1963</v>
      </c>
      <c r="BF244" s="7" t="s">
        <v>3114</v>
      </c>
      <c r="BH244" s="7" t="s">
        <v>165</v>
      </c>
      <c r="BJ244" s="7" t="s">
        <v>453</v>
      </c>
      <c r="BQ244" s="22"/>
      <c r="CH244" s="7" t="str">
        <f t="shared" si="63"/>
        <v/>
      </c>
      <c r="CX244" s="7" t="s">
        <v>361</v>
      </c>
    </row>
    <row r="245" spans="1:103">
      <c r="A245" s="7" t="s">
        <v>1799</v>
      </c>
      <c r="B245" s="7">
        <v>24</v>
      </c>
      <c r="C245" s="7" t="s">
        <v>73</v>
      </c>
      <c r="I245" s="24" t="str">
        <f t="shared" si="54"/>
        <v/>
      </c>
      <c r="L245" s="7" t="str">
        <f t="shared" si="55"/>
        <v/>
      </c>
      <c r="M245" s="21" t="str">
        <f t="shared" si="56"/>
        <v/>
      </c>
      <c r="N245" s="7" t="s">
        <v>1960</v>
      </c>
      <c r="T245" s="7" t="str">
        <f t="shared" si="57"/>
        <v>Nothing</v>
      </c>
      <c r="U245" s="7" t="s">
        <v>1</v>
      </c>
      <c r="AC245" s="26" t="s">
        <v>3113</v>
      </c>
      <c r="AD245" s="24">
        <v>177069</v>
      </c>
      <c r="AE245" s="7">
        <v>4.8000000000000001E-2</v>
      </c>
      <c r="AF245" s="7" t="s">
        <v>3112</v>
      </c>
      <c r="AG245" s="7">
        <v>4.0000000000000001E-3</v>
      </c>
      <c r="AH245" s="7" t="s">
        <v>3111</v>
      </c>
      <c r="AI245" s="7">
        <v>445106</v>
      </c>
      <c r="AJ245" s="7">
        <v>2</v>
      </c>
      <c r="AK245" s="7">
        <v>22</v>
      </c>
      <c r="AN245" s="7" t="s">
        <v>1994</v>
      </c>
      <c r="AT245" s="7" t="str">
        <f t="shared" si="66"/>
        <v>None</v>
      </c>
      <c r="AU245" s="7" t="str">
        <f t="shared" si="58"/>
        <v>None</v>
      </c>
      <c r="AV245" s="7" t="str">
        <f t="shared" si="59"/>
        <v/>
      </c>
      <c r="AW245" s="7" t="str">
        <f t="shared" si="60"/>
        <v/>
      </c>
      <c r="AX245" s="7" t="str">
        <f t="shared" si="61"/>
        <v/>
      </c>
      <c r="BB245" s="7" t="str">
        <f t="shared" si="67"/>
        <v/>
      </c>
      <c r="BC245" s="7" t="str">
        <f t="shared" si="62"/>
        <v>No</v>
      </c>
      <c r="BD245" s="7" t="s">
        <v>1</v>
      </c>
      <c r="BF245" t="s">
        <v>3110</v>
      </c>
      <c r="BQ245" s="22"/>
      <c r="CH245" s="7" t="str">
        <f t="shared" si="63"/>
        <v/>
      </c>
    </row>
    <row r="246" spans="1:103">
      <c r="A246" s="7" t="s">
        <v>1121</v>
      </c>
      <c r="B246" s="7">
        <v>222</v>
      </c>
      <c r="I246" s="24" t="str">
        <f t="shared" si="54"/>
        <v/>
      </c>
      <c r="L246" s="7" t="str">
        <f t="shared" si="55"/>
        <v/>
      </c>
      <c r="M246" s="21" t="str">
        <f t="shared" si="56"/>
        <v/>
      </c>
      <c r="N246" s="7" t="s">
        <v>1960</v>
      </c>
      <c r="T246" s="7" t="str">
        <f t="shared" si="57"/>
        <v>Nothing</v>
      </c>
      <c r="U246" s="7" t="s">
        <v>1</v>
      </c>
      <c r="AD246" s="24">
        <v>50945</v>
      </c>
      <c r="AE246" s="7">
        <v>-1E-3</v>
      </c>
      <c r="AF246" s="7" t="s">
        <v>3109</v>
      </c>
      <c r="AG246" s="7">
        <v>0.04</v>
      </c>
      <c r="AH246" s="7" t="s">
        <v>3108</v>
      </c>
      <c r="AI246" s="7">
        <v>60455</v>
      </c>
      <c r="AJ246" s="7">
        <v>-9</v>
      </c>
      <c r="AK246" s="7">
        <v>8</v>
      </c>
      <c r="AT246" s="7" t="str">
        <f t="shared" si="66"/>
        <v>None</v>
      </c>
      <c r="AU246" s="7" t="str">
        <f t="shared" si="58"/>
        <v>None</v>
      </c>
      <c r="AV246" s="7" t="str">
        <f t="shared" si="59"/>
        <v/>
      </c>
      <c r="AW246" s="7" t="str">
        <f t="shared" si="60"/>
        <v/>
      </c>
      <c r="AX246" s="7" t="str">
        <f t="shared" si="61"/>
        <v/>
      </c>
      <c r="BB246" s="7" t="str">
        <f t="shared" si="67"/>
        <v/>
      </c>
      <c r="BC246" s="7" t="str">
        <f t="shared" si="62"/>
        <v>No</v>
      </c>
      <c r="BD246" s="7" t="s">
        <v>1</v>
      </c>
      <c r="BQ246" s="22"/>
      <c r="CH246" s="7" t="str">
        <f t="shared" si="63"/>
        <v/>
      </c>
    </row>
    <row r="247" spans="1:103">
      <c r="A247" s="7" t="s">
        <v>790</v>
      </c>
      <c r="B247" s="7">
        <v>342</v>
      </c>
      <c r="C247" s="7" t="s">
        <v>96</v>
      </c>
      <c r="D247" s="7" t="s">
        <v>1957</v>
      </c>
      <c r="E247" s="7" t="s">
        <v>3107</v>
      </c>
      <c r="F247" s="7">
        <v>2007</v>
      </c>
      <c r="G247" s="7">
        <v>2007</v>
      </c>
      <c r="H247" s="26" t="s">
        <v>3106</v>
      </c>
      <c r="I247" s="24" t="str">
        <f t="shared" si="54"/>
        <v>Yes</v>
      </c>
      <c r="J247" s="7" t="s">
        <v>2034</v>
      </c>
      <c r="K247" s="7">
        <v>2015</v>
      </c>
      <c r="L247" s="7" t="str">
        <f t="shared" si="55"/>
        <v>C</v>
      </c>
      <c r="M247" s="21" t="str">
        <f t="shared" si="56"/>
        <v/>
      </c>
      <c r="N247" s="7">
        <v>2015</v>
      </c>
      <c r="T247" s="7" t="str">
        <f t="shared" si="57"/>
        <v/>
      </c>
      <c r="U247" s="7" t="s">
        <v>361</v>
      </c>
      <c r="V247" s="7" t="s">
        <v>2347</v>
      </c>
      <c r="X247" s="7" t="s">
        <v>3105</v>
      </c>
      <c r="Z247" s="7" t="s">
        <v>3104</v>
      </c>
      <c r="AB247" s="26" t="s">
        <v>3103</v>
      </c>
      <c r="AC247" s="26" t="s">
        <v>3103</v>
      </c>
      <c r="AD247" s="24">
        <v>36990</v>
      </c>
      <c r="AE247" s="7">
        <v>-6.6000000000000003E-2</v>
      </c>
      <c r="AF247" s="7" t="s">
        <v>3102</v>
      </c>
      <c r="AG247" s="7">
        <v>-0.223</v>
      </c>
      <c r="AH247" s="7" t="s">
        <v>3101</v>
      </c>
      <c r="AI247" s="7">
        <v>55063</v>
      </c>
      <c r="AJ247" s="7">
        <v>-32</v>
      </c>
      <c r="AK247" s="7">
        <v>26</v>
      </c>
      <c r="AL247" s="7" t="s">
        <v>93</v>
      </c>
      <c r="AN247" s="7" t="s">
        <v>1951</v>
      </c>
      <c r="AT247" s="7" t="str">
        <f t="shared" si="66"/>
        <v>CN, SBT &amp; RE100</v>
      </c>
      <c r="AU247" s="7" t="str">
        <f t="shared" si="58"/>
        <v>CN &amp; SBT</v>
      </c>
      <c r="AV247" s="7">
        <f t="shared" si="59"/>
        <v>2007</v>
      </c>
      <c r="AW247" s="7">
        <f t="shared" si="60"/>
        <v>2015</v>
      </c>
      <c r="AX247" s="7" t="str">
        <f t="shared" si="61"/>
        <v/>
      </c>
      <c r="BB247" s="7" t="str">
        <f t="shared" si="67"/>
        <v>Yes</v>
      </c>
      <c r="BC247" s="7" t="str">
        <f t="shared" si="62"/>
        <v>Carbon Neutral</v>
      </c>
      <c r="BD247" s="7" t="s">
        <v>1963</v>
      </c>
      <c r="BF247" s="7" t="s">
        <v>3100</v>
      </c>
      <c r="BG247" s="7" t="s">
        <v>2220</v>
      </c>
      <c r="BH247" s="7" t="s">
        <v>165</v>
      </c>
      <c r="BJ247" s="7" t="s">
        <v>791</v>
      </c>
      <c r="BQ247" s="22"/>
      <c r="CE247" s="7" t="s">
        <v>1947</v>
      </c>
      <c r="CG247" s="7" t="s">
        <v>96</v>
      </c>
      <c r="CH247" s="7" t="str">
        <f t="shared" si="63"/>
        <v/>
      </c>
      <c r="CI247" s="7" t="s">
        <v>13</v>
      </c>
      <c r="CJ247" s="7">
        <v>0.98</v>
      </c>
      <c r="CK247" s="7">
        <v>0.95</v>
      </c>
      <c r="CL247" s="7">
        <v>0.91</v>
      </c>
      <c r="CM247" s="7">
        <v>0.86</v>
      </c>
      <c r="CN247" s="7">
        <v>0.77</v>
      </c>
      <c r="CO247" s="7" t="s">
        <v>2174</v>
      </c>
      <c r="CR247" s="27" t="s">
        <v>3099</v>
      </c>
    </row>
    <row r="248" spans="1:103">
      <c r="A248" s="7" t="s">
        <v>1394</v>
      </c>
      <c r="B248" s="7">
        <v>138</v>
      </c>
      <c r="C248" s="7" t="s">
        <v>127</v>
      </c>
      <c r="D248" s="7" t="s">
        <v>1971</v>
      </c>
      <c r="E248" s="7" t="s">
        <v>3098</v>
      </c>
      <c r="F248" s="7">
        <v>2030</v>
      </c>
      <c r="G248" s="7">
        <v>2020</v>
      </c>
      <c r="H248" s="8" t="s">
        <v>3097</v>
      </c>
      <c r="I248" s="24" t="str">
        <f t="shared" si="54"/>
        <v/>
      </c>
      <c r="L248" s="7" t="str">
        <f t="shared" si="55"/>
        <v/>
      </c>
      <c r="M248" s="21" t="str">
        <f t="shared" si="56"/>
        <v/>
      </c>
      <c r="N248" s="7" t="s">
        <v>1960</v>
      </c>
      <c r="T248" s="7" t="str">
        <f t="shared" si="57"/>
        <v/>
      </c>
      <c r="U248" s="7" t="s">
        <v>1969</v>
      </c>
      <c r="V248" s="7" t="s">
        <v>3096</v>
      </c>
      <c r="X248" s="23" t="s">
        <v>3095</v>
      </c>
      <c r="AC248" s="8" t="s">
        <v>3094</v>
      </c>
      <c r="AD248" s="24">
        <v>71965</v>
      </c>
      <c r="AE248" s="7">
        <v>1.6E-2</v>
      </c>
      <c r="AF248" s="7" t="s">
        <v>3093</v>
      </c>
      <c r="AG248" s="7" t="s">
        <v>9</v>
      </c>
      <c r="AH248" s="7" t="s">
        <v>3092</v>
      </c>
      <c r="AI248" s="7">
        <v>110800</v>
      </c>
      <c r="AJ248" s="7">
        <v>-3</v>
      </c>
      <c r="AK248" s="7">
        <v>26</v>
      </c>
      <c r="AL248" s="7" t="s">
        <v>628</v>
      </c>
      <c r="AN248" s="7" t="s">
        <v>2029</v>
      </c>
      <c r="AT248" s="7" t="str">
        <f t="shared" si="66"/>
        <v>CN</v>
      </c>
      <c r="AU248" s="7" t="str">
        <f t="shared" si="58"/>
        <v>CN</v>
      </c>
      <c r="AV248" s="7">
        <f t="shared" si="59"/>
        <v>2020</v>
      </c>
      <c r="AW248" s="7" t="str">
        <f t="shared" si="60"/>
        <v/>
      </c>
      <c r="AX248" s="7" t="str">
        <f t="shared" si="61"/>
        <v/>
      </c>
      <c r="BB248" s="7" t="str">
        <f t="shared" si="67"/>
        <v/>
      </c>
      <c r="BC248" s="7" t="str">
        <f t="shared" si="62"/>
        <v>Carbon Neutral</v>
      </c>
      <c r="BD248" s="7" t="s">
        <v>1</v>
      </c>
      <c r="BF248" s="7" t="s">
        <v>3091</v>
      </c>
      <c r="BQ248" s="22"/>
      <c r="CD248" s="7" t="s">
        <v>361</v>
      </c>
      <c r="CF248" s="25"/>
      <c r="CH248" s="7" t="str">
        <f t="shared" si="63"/>
        <v/>
      </c>
      <c r="CY248" s="7" t="s">
        <v>361</v>
      </c>
    </row>
    <row r="249" spans="1:103">
      <c r="A249" s="7" t="s">
        <v>320</v>
      </c>
      <c r="B249" s="7">
        <v>446</v>
      </c>
      <c r="C249" s="7" t="s">
        <v>2561</v>
      </c>
      <c r="F249" s="7">
        <v>2050</v>
      </c>
      <c r="G249" s="7">
        <v>2020</v>
      </c>
      <c r="H249" s="26" t="s">
        <v>3086</v>
      </c>
      <c r="I249" s="24" t="str">
        <f t="shared" si="54"/>
        <v/>
      </c>
      <c r="L249" s="7" t="str">
        <f t="shared" si="55"/>
        <v/>
      </c>
      <c r="M249" s="21" t="str">
        <f t="shared" si="56"/>
        <v/>
      </c>
      <c r="N249" s="7" t="s">
        <v>1960</v>
      </c>
      <c r="O249" s="7" t="s">
        <v>1957</v>
      </c>
      <c r="P249" s="7" t="s">
        <v>109</v>
      </c>
      <c r="Q249" s="7">
        <v>2050</v>
      </c>
      <c r="R249" s="7">
        <v>2020</v>
      </c>
      <c r="S249" s="26" t="s">
        <v>3090</v>
      </c>
      <c r="T249" s="7" t="str">
        <f t="shared" si="57"/>
        <v/>
      </c>
      <c r="U249" s="7" t="s">
        <v>2080</v>
      </c>
      <c r="V249" s="7" t="s">
        <v>3089</v>
      </c>
      <c r="X249" s="7" t="s">
        <v>3088</v>
      </c>
      <c r="Z249" s="7" t="s">
        <v>3087</v>
      </c>
      <c r="AA249" s="7" t="s">
        <v>2807</v>
      </c>
      <c r="AB249" s="26" t="s">
        <v>3086</v>
      </c>
      <c r="AC249" s="26" t="s">
        <v>3086</v>
      </c>
      <c r="AD249" s="24">
        <v>28548</v>
      </c>
      <c r="AE249" s="7">
        <v>-8.9999999999999993E-3</v>
      </c>
      <c r="AF249" s="7" t="s">
        <v>3085</v>
      </c>
      <c r="AG249" s="7">
        <v>-0.436</v>
      </c>
      <c r="AH249" s="7" t="s">
        <v>3084</v>
      </c>
      <c r="AI249" s="7">
        <v>66034</v>
      </c>
      <c r="AJ249" s="7">
        <v>-11</v>
      </c>
      <c r="AK249" s="7">
        <v>23</v>
      </c>
      <c r="AL249" s="7" t="s">
        <v>3083</v>
      </c>
      <c r="AN249" s="7" t="s">
        <v>1951</v>
      </c>
      <c r="AT249" s="7" t="str">
        <f t="shared" si="66"/>
        <v>None</v>
      </c>
      <c r="AU249" s="7" t="str">
        <f t="shared" si="58"/>
        <v>None</v>
      </c>
      <c r="AV249" s="7" t="str">
        <f t="shared" si="59"/>
        <v/>
      </c>
      <c r="AW249" s="7" t="str">
        <f t="shared" si="60"/>
        <v/>
      </c>
      <c r="AX249" s="7" t="str">
        <f t="shared" si="61"/>
        <v/>
      </c>
      <c r="BB249" s="7" t="str">
        <f t="shared" si="67"/>
        <v/>
      </c>
      <c r="BC249" s="7" t="str">
        <f t="shared" si="62"/>
        <v>No</v>
      </c>
      <c r="BD249" s="7" t="s">
        <v>2118</v>
      </c>
      <c r="BF249" s="7" t="s">
        <v>3082</v>
      </c>
      <c r="BG249" s="7" t="s">
        <v>2525</v>
      </c>
      <c r="BQ249" s="22"/>
      <c r="CD249" s="7" t="s">
        <v>361</v>
      </c>
      <c r="CF249" s="25"/>
      <c r="CH249" s="7" t="str">
        <f t="shared" si="63"/>
        <v/>
      </c>
    </row>
    <row r="250" spans="1:103">
      <c r="A250" s="7" t="s">
        <v>1477</v>
      </c>
      <c r="B250" s="7">
        <v>118</v>
      </c>
      <c r="I250" s="24" t="str">
        <f t="shared" si="54"/>
        <v/>
      </c>
      <c r="L250" s="7" t="str">
        <f t="shared" si="55"/>
        <v/>
      </c>
      <c r="M250" s="21" t="str">
        <f t="shared" si="56"/>
        <v/>
      </c>
      <c r="N250" s="7" t="s">
        <v>1960</v>
      </c>
      <c r="T250" s="7" t="str">
        <f t="shared" si="57"/>
        <v>Nothing</v>
      </c>
      <c r="U250" s="7" t="s">
        <v>1</v>
      </c>
      <c r="AC250" s="8" t="s">
        <v>3081</v>
      </c>
      <c r="AD250" s="24">
        <v>77147</v>
      </c>
      <c r="AE250" s="7">
        <v>-3.1E-2</v>
      </c>
      <c r="AF250" s="7" t="s">
        <v>3080</v>
      </c>
      <c r="AG250" s="7">
        <v>8.1000000000000003E-2</v>
      </c>
      <c r="AH250" s="7" t="s">
        <v>3079</v>
      </c>
      <c r="AI250" s="7">
        <v>383800</v>
      </c>
      <c r="AJ250" s="7">
        <v>-4</v>
      </c>
      <c r="AK250" s="7">
        <v>26</v>
      </c>
      <c r="AT250" s="7" t="str">
        <f t="shared" si="66"/>
        <v>None</v>
      </c>
      <c r="AU250" s="7" t="str">
        <f t="shared" si="58"/>
        <v>None</v>
      </c>
      <c r="AV250" s="7" t="str">
        <f t="shared" si="59"/>
        <v/>
      </c>
      <c r="AW250" s="7" t="str">
        <f t="shared" si="60"/>
        <v/>
      </c>
      <c r="AX250" s="7" t="str">
        <f t="shared" si="61"/>
        <v/>
      </c>
      <c r="BB250" s="7" t="str">
        <f t="shared" si="67"/>
        <v/>
      </c>
      <c r="BC250" s="7" t="str">
        <f t="shared" si="62"/>
        <v>No</v>
      </c>
      <c r="BD250" s="7" t="s">
        <v>1</v>
      </c>
      <c r="BF250" s="7" t="s">
        <v>3078</v>
      </c>
      <c r="BQ250" s="22"/>
      <c r="CH250" s="7" t="str">
        <f t="shared" si="63"/>
        <v/>
      </c>
    </row>
    <row r="251" spans="1:103">
      <c r="A251" s="7" t="s">
        <v>773</v>
      </c>
      <c r="B251" s="7">
        <v>310</v>
      </c>
      <c r="I251" s="24" t="str">
        <f t="shared" si="54"/>
        <v/>
      </c>
      <c r="L251" s="7" t="str">
        <f t="shared" si="55"/>
        <v/>
      </c>
      <c r="M251" s="21" t="str">
        <f t="shared" si="56"/>
        <v/>
      </c>
      <c r="N251" s="7" t="s">
        <v>1960</v>
      </c>
      <c r="T251" s="7" t="str">
        <f t="shared" si="57"/>
        <v>Nothing</v>
      </c>
      <c r="U251" s="7" t="s">
        <v>1963</v>
      </c>
      <c r="AC251" s="26" t="s">
        <v>3077</v>
      </c>
      <c r="AD251" s="24">
        <v>40359</v>
      </c>
      <c r="AE251" s="7">
        <v>3.4000000000000002E-2</v>
      </c>
      <c r="AF251" s="7" t="s">
        <v>3076</v>
      </c>
      <c r="AG251" s="7">
        <v>-2.1000000000000001E-2</v>
      </c>
      <c r="AH251" s="7" t="s">
        <v>3075</v>
      </c>
      <c r="AI251" s="7">
        <v>89102</v>
      </c>
      <c r="AJ251" s="7">
        <v>5</v>
      </c>
      <c r="AK251" s="7">
        <v>22</v>
      </c>
      <c r="AT251" s="7" t="str">
        <f t="shared" si="66"/>
        <v>None</v>
      </c>
      <c r="AU251" s="7" t="str">
        <f t="shared" si="58"/>
        <v>None</v>
      </c>
      <c r="AV251" s="7" t="str">
        <f t="shared" si="59"/>
        <v/>
      </c>
      <c r="AW251" s="7" t="str">
        <f t="shared" si="60"/>
        <v/>
      </c>
      <c r="AX251" s="7" t="str">
        <f t="shared" si="61"/>
        <v/>
      </c>
      <c r="BB251" s="7" t="str">
        <f t="shared" si="67"/>
        <v/>
      </c>
      <c r="BC251" s="7" t="str">
        <f t="shared" si="62"/>
        <v>No</v>
      </c>
      <c r="BD251" s="7" t="s">
        <v>1963</v>
      </c>
      <c r="BF251" s="7" t="s">
        <v>3074</v>
      </c>
      <c r="BQ251" s="22"/>
      <c r="CH251" s="7" t="str">
        <f t="shared" si="63"/>
        <v/>
      </c>
    </row>
    <row r="252" spans="1:103">
      <c r="A252" s="7" t="s">
        <v>1194</v>
      </c>
      <c r="B252" s="7">
        <v>216</v>
      </c>
      <c r="I252" s="24" t="str">
        <f t="shared" si="54"/>
        <v/>
      </c>
      <c r="L252" s="7" t="str">
        <f t="shared" si="55"/>
        <v/>
      </c>
      <c r="M252" s="21" t="str">
        <f t="shared" si="56"/>
        <v/>
      </c>
      <c r="N252" s="7" t="s">
        <v>1960</v>
      </c>
      <c r="T252" s="7" t="str">
        <f t="shared" si="57"/>
        <v>Nothing</v>
      </c>
      <c r="U252" s="7" t="s">
        <v>1</v>
      </c>
      <c r="AD252" s="24">
        <v>51728</v>
      </c>
      <c r="AE252" s="7">
        <v>-5.3999999999999999E-2</v>
      </c>
      <c r="AF252" s="7" t="s">
        <v>3073</v>
      </c>
      <c r="AG252" s="7">
        <v>8.9999999999999993E-3</v>
      </c>
      <c r="AH252" s="7" t="s">
        <v>3072</v>
      </c>
      <c r="AI252" s="7">
        <v>94881</v>
      </c>
      <c r="AJ252" s="7">
        <v>-25</v>
      </c>
      <c r="AK252" s="7">
        <v>7</v>
      </c>
      <c r="AT252" s="7" t="str">
        <f t="shared" si="66"/>
        <v>None</v>
      </c>
      <c r="AU252" s="7" t="str">
        <f t="shared" si="58"/>
        <v>None</v>
      </c>
      <c r="AV252" s="7" t="str">
        <f t="shared" si="59"/>
        <v/>
      </c>
      <c r="AW252" s="7" t="str">
        <f t="shared" si="60"/>
        <v/>
      </c>
      <c r="AX252" s="7" t="str">
        <f t="shared" si="61"/>
        <v/>
      </c>
      <c r="BB252" s="7" t="str">
        <f t="shared" si="67"/>
        <v/>
      </c>
      <c r="BC252" s="7" t="str">
        <f t="shared" si="62"/>
        <v>No</v>
      </c>
      <c r="BD252" s="7" t="s">
        <v>1</v>
      </c>
      <c r="BQ252" s="22"/>
      <c r="CH252" s="7" t="str">
        <f t="shared" si="63"/>
        <v/>
      </c>
    </row>
    <row r="253" spans="1:103">
      <c r="A253" s="7" t="s">
        <v>1672</v>
      </c>
      <c r="B253" s="7">
        <v>72</v>
      </c>
      <c r="I253" s="24" t="str">
        <f t="shared" si="54"/>
        <v/>
      </c>
      <c r="L253" s="7" t="str">
        <f t="shared" si="55"/>
        <v/>
      </c>
      <c r="M253" s="21" t="str">
        <f t="shared" si="56"/>
        <v/>
      </c>
      <c r="N253" s="7" t="s">
        <v>1960</v>
      </c>
      <c r="T253" s="7" t="str">
        <f t="shared" si="57"/>
        <v>Nothing</v>
      </c>
      <c r="U253" s="7" t="s">
        <v>1</v>
      </c>
      <c r="AC253" s="8" t="s">
        <v>3071</v>
      </c>
      <c r="AD253" s="24">
        <v>100522</v>
      </c>
      <c r="AE253" s="7">
        <v>-3.9E-2</v>
      </c>
      <c r="AF253" s="7" t="s">
        <v>3070</v>
      </c>
      <c r="AG253" s="7">
        <v>2.1000000000000001E-2</v>
      </c>
      <c r="AH253" s="7" t="s">
        <v>3069</v>
      </c>
      <c r="AI253" s="7">
        <v>151430</v>
      </c>
      <c r="AJ253" s="7">
        <v>-7</v>
      </c>
      <c r="AK253" s="7">
        <v>26</v>
      </c>
      <c r="AT253" s="7" t="str">
        <f t="shared" si="66"/>
        <v>None</v>
      </c>
      <c r="AU253" s="7" t="str">
        <f t="shared" si="58"/>
        <v>None</v>
      </c>
      <c r="AV253" s="7" t="str">
        <f t="shared" si="59"/>
        <v/>
      </c>
      <c r="AW253" s="7" t="str">
        <f t="shared" si="60"/>
        <v/>
      </c>
      <c r="AX253" s="7" t="str">
        <f t="shared" si="61"/>
        <v/>
      </c>
      <c r="BB253" s="7" t="str">
        <f t="shared" si="67"/>
        <v/>
      </c>
      <c r="BC253" s="7" t="str">
        <f t="shared" si="62"/>
        <v>No</v>
      </c>
      <c r="BD253" s="7" t="s">
        <v>1</v>
      </c>
      <c r="BF253" s="7" t="s">
        <v>3068</v>
      </c>
      <c r="BQ253" s="22"/>
      <c r="CH253" s="7" t="str">
        <f t="shared" si="63"/>
        <v/>
      </c>
    </row>
    <row r="254" spans="1:103">
      <c r="A254" s="7" t="s">
        <v>753</v>
      </c>
      <c r="B254" s="7">
        <v>344</v>
      </c>
      <c r="C254" s="7" t="s">
        <v>2070</v>
      </c>
      <c r="F254" s="7">
        <v>2040</v>
      </c>
      <c r="G254" s="7">
        <v>2020</v>
      </c>
      <c r="H254" s="26" t="s">
        <v>3063</v>
      </c>
      <c r="I254" s="24" t="str">
        <f t="shared" si="54"/>
        <v/>
      </c>
      <c r="L254" s="7" t="str">
        <f t="shared" si="55"/>
        <v>C</v>
      </c>
      <c r="M254" s="21" t="str">
        <f t="shared" si="56"/>
        <v/>
      </c>
      <c r="N254" s="7">
        <v>2020</v>
      </c>
      <c r="O254" s="7" t="s">
        <v>1957</v>
      </c>
      <c r="P254" s="7" t="s">
        <v>3066</v>
      </c>
      <c r="Q254" s="7">
        <v>2040</v>
      </c>
      <c r="R254" s="7">
        <v>2020</v>
      </c>
      <c r="S254" s="26" t="s">
        <v>3064</v>
      </c>
      <c r="T254" s="7" t="str">
        <f t="shared" si="57"/>
        <v/>
      </c>
      <c r="U254" s="7" t="s">
        <v>2080</v>
      </c>
      <c r="V254" s="7" t="s">
        <v>2227</v>
      </c>
      <c r="X254" s="7" t="s">
        <v>3067</v>
      </c>
      <c r="Y254" s="7" t="s">
        <v>3066</v>
      </c>
      <c r="Z254" s="7" t="s">
        <v>3065</v>
      </c>
      <c r="AA254" s="7" t="s">
        <v>2124</v>
      </c>
      <c r="AB254" s="26" t="s">
        <v>3064</v>
      </c>
      <c r="AC254" s="26" t="s">
        <v>3063</v>
      </c>
      <c r="AD254" s="24">
        <v>36831</v>
      </c>
      <c r="AE254" s="7">
        <v>-3.2000000000000001E-2</v>
      </c>
      <c r="AF254" s="7" t="s">
        <v>3062</v>
      </c>
      <c r="AG254" s="7">
        <v>-0.32800000000000001</v>
      </c>
      <c r="AH254" s="7" t="s">
        <v>3061</v>
      </c>
      <c r="AI254" s="7">
        <v>111900</v>
      </c>
      <c r="AJ254" s="7">
        <v>-23</v>
      </c>
      <c r="AK254" s="7">
        <v>26</v>
      </c>
      <c r="AL254" s="7" t="s">
        <v>942</v>
      </c>
      <c r="AN254" s="7" t="s">
        <v>1951</v>
      </c>
      <c r="AT254" s="7" t="str">
        <f t="shared" si="66"/>
        <v>SBT</v>
      </c>
      <c r="AU254" s="7" t="str">
        <f t="shared" si="58"/>
        <v>SBT</v>
      </c>
      <c r="AV254" s="7" t="str">
        <f t="shared" si="59"/>
        <v/>
      </c>
      <c r="AW254" s="7">
        <f t="shared" si="60"/>
        <v>2020</v>
      </c>
      <c r="AX254" s="7" t="str">
        <f t="shared" si="61"/>
        <v/>
      </c>
      <c r="BB254" s="7" t="str">
        <f t="shared" si="67"/>
        <v>Yes</v>
      </c>
      <c r="BC254" s="7" t="str">
        <f t="shared" si="62"/>
        <v>No</v>
      </c>
      <c r="BD254" s="7" t="s">
        <v>2118</v>
      </c>
      <c r="BF254" s="7" t="s">
        <v>3060</v>
      </c>
      <c r="BG254" s="7" t="s">
        <v>2525</v>
      </c>
      <c r="BH254" s="7" t="s">
        <v>165</v>
      </c>
      <c r="BJ254" s="7" t="s">
        <v>2375</v>
      </c>
      <c r="BQ254" s="22"/>
      <c r="CD254" s="7" t="s">
        <v>361</v>
      </c>
      <c r="CF254" s="25"/>
      <c r="CH254" s="7" t="str">
        <f t="shared" si="63"/>
        <v/>
      </c>
    </row>
    <row r="255" spans="1:103">
      <c r="A255" s="7" t="s">
        <v>1712</v>
      </c>
      <c r="B255" s="7">
        <v>60</v>
      </c>
      <c r="I255" s="24" t="str">
        <f t="shared" si="54"/>
        <v/>
      </c>
      <c r="L255" s="7" t="str">
        <f t="shared" si="55"/>
        <v/>
      </c>
      <c r="M255" s="21" t="str">
        <f t="shared" si="56"/>
        <v/>
      </c>
      <c r="N255" s="7" t="s">
        <v>1960</v>
      </c>
      <c r="T255" s="7" t="str">
        <f t="shared" si="57"/>
        <v>Nothing</v>
      </c>
      <c r="U255" s="7" t="s">
        <v>1</v>
      </c>
      <c r="AC255" s="26" t="s">
        <v>3059</v>
      </c>
      <c r="AD255" s="24">
        <v>109915</v>
      </c>
      <c r="AE255" s="7">
        <v>-4.5999999999999999E-2</v>
      </c>
      <c r="AF255" s="7" t="s">
        <v>3058</v>
      </c>
      <c r="AG255" s="7">
        <v>2.9000000000000001E-2</v>
      </c>
      <c r="AH255" s="7" t="s">
        <v>3057</v>
      </c>
      <c r="AI255" s="7">
        <v>245472</v>
      </c>
      <c r="AJ255" s="7">
        <v>-8</v>
      </c>
      <c r="AK255" s="7">
        <v>24</v>
      </c>
      <c r="AT255" s="7" t="str">
        <f t="shared" si="66"/>
        <v>None</v>
      </c>
      <c r="AU255" s="7" t="str">
        <f t="shared" si="58"/>
        <v>None</v>
      </c>
      <c r="AV255" s="7" t="str">
        <f t="shared" si="59"/>
        <v/>
      </c>
      <c r="AW255" s="7" t="str">
        <f t="shared" si="60"/>
        <v/>
      </c>
      <c r="AX255" s="7" t="str">
        <f t="shared" si="61"/>
        <v/>
      </c>
      <c r="BB255" s="7" t="str">
        <f t="shared" si="67"/>
        <v/>
      </c>
      <c r="BC255" s="7" t="str">
        <f t="shared" si="62"/>
        <v>No</v>
      </c>
      <c r="BD255" s="7" t="s">
        <v>1</v>
      </c>
      <c r="BF255" s="23" t="s">
        <v>3056</v>
      </c>
      <c r="BQ255" s="22"/>
      <c r="CH255" s="7" t="str">
        <f t="shared" si="63"/>
        <v/>
      </c>
    </row>
    <row r="256" spans="1:103">
      <c r="A256" s="7" t="s">
        <v>904</v>
      </c>
      <c r="B256" s="7">
        <v>301</v>
      </c>
      <c r="I256" s="24" t="str">
        <f t="shared" si="54"/>
        <v/>
      </c>
      <c r="L256" s="7" t="str">
        <f t="shared" si="55"/>
        <v/>
      </c>
      <c r="M256" s="21" t="str">
        <f t="shared" si="56"/>
        <v/>
      </c>
      <c r="N256" s="7" t="s">
        <v>1960</v>
      </c>
      <c r="T256" s="7" t="str">
        <f t="shared" si="57"/>
        <v>Nothing</v>
      </c>
      <c r="U256" s="7" t="s">
        <v>1963</v>
      </c>
      <c r="AD256" s="24">
        <v>40922</v>
      </c>
      <c r="AE256" s="7">
        <v>-3.7999999999999999E-2</v>
      </c>
      <c r="AF256" s="7" t="s">
        <v>3055</v>
      </c>
      <c r="AG256" s="7">
        <v>0.63900000000000001</v>
      </c>
      <c r="AH256" s="7" t="s">
        <v>3054</v>
      </c>
      <c r="AI256" s="7">
        <v>464000</v>
      </c>
      <c r="AJ256" s="7">
        <v>-21</v>
      </c>
      <c r="AK256" s="7">
        <v>21</v>
      </c>
      <c r="AT256" s="7" t="str">
        <f t="shared" si="66"/>
        <v>None</v>
      </c>
      <c r="AU256" s="7" t="str">
        <f t="shared" si="58"/>
        <v>None</v>
      </c>
      <c r="AV256" s="7" t="str">
        <f t="shared" si="59"/>
        <v/>
      </c>
      <c r="AW256" s="7" t="str">
        <f t="shared" si="60"/>
        <v/>
      </c>
      <c r="AX256" s="7" t="str">
        <f t="shared" si="61"/>
        <v/>
      </c>
      <c r="BB256" s="7" t="str">
        <f t="shared" si="67"/>
        <v/>
      </c>
      <c r="BC256" s="7" t="str">
        <f t="shared" si="62"/>
        <v>No</v>
      </c>
      <c r="BD256" s="7" t="s">
        <v>1963</v>
      </c>
      <c r="BF256" s="36" t="s">
        <v>3053</v>
      </c>
      <c r="BQ256" s="22"/>
      <c r="CH256" s="7" t="str">
        <f t="shared" si="63"/>
        <v/>
      </c>
    </row>
    <row r="257" spans="1:103">
      <c r="A257" s="7" t="s">
        <v>1104</v>
      </c>
      <c r="B257" s="7">
        <v>213</v>
      </c>
      <c r="I257" s="24" t="str">
        <f t="shared" si="54"/>
        <v/>
      </c>
      <c r="L257" s="7" t="str">
        <f t="shared" si="55"/>
        <v/>
      </c>
      <c r="M257" s="21" t="str">
        <f t="shared" si="56"/>
        <v/>
      </c>
      <c r="N257" s="7" t="s">
        <v>1960</v>
      </c>
      <c r="T257" s="7" t="str">
        <f t="shared" si="57"/>
        <v>Nothing</v>
      </c>
      <c r="U257" s="7" t="s">
        <v>1</v>
      </c>
      <c r="AD257" s="24">
        <v>51859</v>
      </c>
      <c r="AE257" s="7">
        <v>4.2999999999999997E-2</v>
      </c>
      <c r="AF257" s="7" t="s">
        <v>3052</v>
      </c>
      <c r="AG257" s="7">
        <v>222.16800000000001</v>
      </c>
      <c r="AH257" s="7" t="s">
        <v>3051</v>
      </c>
      <c r="AI257" s="7">
        <v>242000</v>
      </c>
      <c r="AJ257" s="7">
        <v>6</v>
      </c>
      <c r="AK257" s="7">
        <v>11</v>
      </c>
      <c r="AT257" s="7" t="str">
        <f t="shared" si="66"/>
        <v>None</v>
      </c>
      <c r="AU257" s="7" t="str">
        <f t="shared" si="58"/>
        <v>None</v>
      </c>
      <c r="AV257" s="7" t="str">
        <f t="shared" si="59"/>
        <v/>
      </c>
      <c r="AW257" s="7" t="str">
        <f t="shared" si="60"/>
        <v/>
      </c>
      <c r="AX257" s="7" t="str">
        <f t="shared" si="61"/>
        <v/>
      </c>
      <c r="BB257" s="7" t="str">
        <f t="shared" si="67"/>
        <v/>
      </c>
      <c r="BC257" s="7" t="str">
        <f t="shared" si="62"/>
        <v>No</v>
      </c>
      <c r="BD257" s="7" t="s">
        <v>1</v>
      </c>
      <c r="BQ257" s="22"/>
      <c r="CH257" s="7" t="str">
        <f t="shared" si="63"/>
        <v/>
      </c>
    </row>
    <row r="258" spans="1:103">
      <c r="A258" s="7" t="s">
        <v>1367</v>
      </c>
      <c r="B258" s="7">
        <v>102</v>
      </c>
      <c r="I258" s="24" t="str">
        <f t="shared" ref="I258:I321" si="68">IF(J258="","","Yes")</f>
        <v/>
      </c>
      <c r="L258" s="7" t="str">
        <f t="shared" ref="L258:L321" si="69">IF(BH258="","",IF(BH258="Targets Set","T","C"))</f>
        <v/>
      </c>
      <c r="M258" s="21" t="str">
        <f t="shared" ref="M258:M321" si="70">IF(BM258="","",AVERAGE(BN258:BP258))</f>
        <v/>
      </c>
      <c r="N258" s="7" t="s">
        <v>1960</v>
      </c>
      <c r="T258" s="7" t="str">
        <f t="shared" ref="T258:T321" si="71">IF(AND(O258="",D258=""),"Nothing","")</f>
        <v>Nothing</v>
      </c>
      <c r="U258" s="7" t="s">
        <v>1</v>
      </c>
      <c r="AD258" s="24">
        <v>83505</v>
      </c>
      <c r="AE258" s="7">
        <v>0.19600000000000001</v>
      </c>
      <c r="AF258" s="7" t="s">
        <v>3050</v>
      </c>
      <c r="AG258" s="7" t="s">
        <v>9</v>
      </c>
      <c r="AH258" s="7" t="s">
        <v>3049</v>
      </c>
      <c r="AI258" s="7">
        <v>227730</v>
      </c>
      <c r="AJ258" s="7">
        <v>37</v>
      </c>
      <c r="AK258" s="7">
        <v>5</v>
      </c>
      <c r="AT258" s="7" t="str">
        <f t="shared" si="66"/>
        <v>None</v>
      </c>
      <c r="AU258" s="7" t="str">
        <f t="shared" ref="AU258:AU321" si="72">IF((BC258="Carbon Neutral"),IF((OR(BH258="Committed",BH258="Targets Set")),IF(CH258="yes", "CN, SBT &amp; RE100", "CN &amp; SBT"),IF(CH258="yes", "CN &amp; RE100", "CN")),IF((OR(BH258="Committed",BH258="Targets Set")),IF(CH258="yes", "SBT &amp; RE100", "SBT"),IF(CH258="yes", "RE100", "None")))</f>
        <v>None</v>
      </c>
      <c r="AV258" s="7" t="str">
        <f t="shared" ref="AV258:AV321" si="73">IF(BC258="Carbon Neutral",G258,"")</f>
        <v/>
      </c>
      <c r="AW258" s="7" t="str">
        <f t="shared" ref="AW258:AW321" si="74">IF(N258="","",N258)</f>
        <v/>
      </c>
      <c r="AX258" s="7" t="str">
        <f t="shared" ref="AX258:AX321" si="75">IF(J258="","",IF(J258="2020 - achieved",K258,IF(J258="2020 - not achieved",K258,IF(J258="2020 - achieved pre-July 2019",K258,IF(J258&gt;2030,"",K258)))))</f>
        <v/>
      </c>
      <c r="BB258" s="7" t="str">
        <f t="shared" si="67"/>
        <v/>
      </c>
      <c r="BC258" s="7" t="str">
        <f t="shared" ref="BC258:BC321" si="76">IF(U258="No","No",IF(AND(OR(U258="No - but future commitment",U258="No - but future commitment and further future commitment across more scopes"),F258&lt;=2030),"Carbon Neutral",IF(OR(U258="No - but future commitment",U258="No - but future commitment and further future commitment across more scopes"),"No - but post-2030 commitment",IF(OR(U258="Yes",U258="Yes and future commitment across more scopes",U258="Yes by virtue of zero net"),"Carbon Neutral","No"))))</f>
        <v>No</v>
      </c>
      <c r="BD258" s="7" t="s">
        <v>1</v>
      </c>
      <c r="BQ258" s="22"/>
      <c r="CH258" s="7" t="str">
        <f t="shared" ref="CH258:CH321" si="77">IF(J258="","",IF(J258&lt;=2030,"yes",IF(J258="2020 - achieved","yes",IF(J258="2020 - not achieved","yes",IF(J258="2020 - achieved pre-July 2019","yes",IF(J258&gt;2030,"",IF(J258="No target date","","unknown error")))))))</f>
        <v/>
      </c>
    </row>
    <row r="259" spans="1:103">
      <c r="A259" s="7" t="s">
        <v>645</v>
      </c>
      <c r="B259" s="7">
        <v>365</v>
      </c>
      <c r="I259" s="24" t="str">
        <f t="shared" si="68"/>
        <v/>
      </c>
      <c r="L259" s="7" t="str">
        <f t="shared" si="69"/>
        <v/>
      </c>
      <c r="M259" s="21" t="str">
        <f t="shared" si="70"/>
        <v/>
      </c>
      <c r="N259" s="7" t="s">
        <v>1960</v>
      </c>
      <c r="T259" s="7" t="str">
        <f t="shared" si="71"/>
        <v>Nothing</v>
      </c>
      <c r="U259" s="7" t="s">
        <v>1963</v>
      </c>
      <c r="AD259" s="24">
        <v>34305</v>
      </c>
      <c r="AE259" s="7">
        <v>-1.7999999999999999E-2</v>
      </c>
      <c r="AF259" s="7" t="s">
        <v>3048</v>
      </c>
      <c r="AG259" s="7">
        <v>-2.2330000000000001</v>
      </c>
      <c r="AH259" s="7" t="s">
        <v>3047</v>
      </c>
      <c r="AI259" s="7">
        <v>64009</v>
      </c>
      <c r="AJ259" s="7">
        <v>-9</v>
      </c>
      <c r="AK259" s="7">
        <v>18</v>
      </c>
      <c r="AT259" s="7" t="str">
        <f t="shared" si="66"/>
        <v>None</v>
      </c>
      <c r="AU259" s="7" t="str">
        <f t="shared" si="72"/>
        <v>None</v>
      </c>
      <c r="AV259" s="7" t="str">
        <f t="shared" si="73"/>
        <v/>
      </c>
      <c r="AW259" s="7" t="str">
        <f t="shared" si="74"/>
        <v/>
      </c>
      <c r="AX259" s="7" t="str">
        <f t="shared" si="75"/>
        <v/>
      </c>
      <c r="BB259" s="7" t="str">
        <f t="shared" si="67"/>
        <v/>
      </c>
      <c r="BC259" s="7" t="str">
        <f t="shared" si="76"/>
        <v>No</v>
      </c>
      <c r="BD259" s="7" t="s">
        <v>1963</v>
      </c>
      <c r="BQ259" s="22"/>
      <c r="CH259" s="7" t="str">
        <f t="shared" si="77"/>
        <v/>
      </c>
    </row>
    <row r="260" spans="1:103">
      <c r="A260" s="7" t="s">
        <v>696</v>
      </c>
      <c r="B260" s="7">
        <v>351</v>
      </c>
      <c r="I260" s="24" t="str">
        <f t="shared" si="68"/>
        <v/>
      </c>
      <c r="L260" s="7" t="str">
        <f t="shared" si="69"/>
        <v/>
      </c>
      <c r="M260" s="21" t="str">
        <f t="shared" si="70"/>
        <v/>
      </c>
      <c r="N260" s="7" t="s">
        <v>1960</v>
      </c>
      <c r="T260" s="7" t="str">
        <f t="shared" si="71"/>
        <v>Nothing</v>
      </c>
      <c r="U260" s="7" t="s">
        <v>1963</v>
      </c>
      <c r="AD260" s="24">
        <v>36488</v>
      </c>
      <c r="AE260" s="7">
        <v>1E-3</v>
      </c>
      <c r="AF260" s="7" t="s">
        <v>3046</v>
      </c>
      <c r="AG260" s="7">
        <v>-0.61599999999999999</v>
      </c>
      <c r="AH260" s="7" t="s">
        <v>3045</v>
      </c>
      <c r="AI260" s="7">
        <v>46581</v>
      </c>
      <c r="AJ260" s="7">
        <v>-11</v>
      </c>
      <c r="AK260" s="7">
        <v>12</v>
      </c>
      <c r="AT260" s="7" t="str">
        <f t="shared" si="66"/>
        <v>None</v>
      </c>
      <c r="AU260" s="7" t="str">
        <f t="shared" si="72"/>
        <v>None</v>
      </c>
      <c r="AV260" s="7" t="str">
        <f t="shared" si="73"/>
        <v/>
      </c>
      <c r="AW260" s="7" t="str">
        <f t="shared" si="74"/>
        <v/>
      </c>
      <c r="AX260" s="7" t="str">
        <f t="shared" si="75"/>
        <v/>
      </c>
      <c r="BB260" s="7" t="str">
        <f t="shared" si="67"/>
        <v/>
      </c>
      <c r="BC260" s="7" t="str">
        <f t="shared" si="76"/>
        <v>No</v>
      </c>
      <c r="BD260" s="7" t="s">
        <v>1963</v>
      </c>
      <c r="BQ260" s="22"/>
      <c r="CH260" s="7" t="str">
        <f t="shared" si="77"/>
        <v/>
      </c>
    </row>
    <row r="261" spans="1:103">
      <c r="A261" s="7" t="s">
        <v>640</v>
      </c>
      <c r="B261" s="7">
        <v>343</v>
      </c>
      <c r="I261" s="24" t="str">
        <f t="shared" si="68"/>
        <v/>
      </c>
      <c r="L261" s="7" t="str">
        <f t="shared" si="69"/>
        <v/>
      </c>
      <c r="M261" s="21" t="str">
        <f t="shared" si="70"/>
        <v/>
      </c>
      <c r="N261" s="7" t="s">
        <v>1960</v>
      </c>
      <c r="T261" s="7" t="str">
        <f t="shared" si="71"/>
        <v>Nothing</v>
      </c>
      <c r="U261" s="7" t="s">
        <v>1963</v>
      </c>
      <c r="AD261" s="24">
        <v>36980</v>
      </c>
      <c r="AE261" s="7">
        <v>6.0999999999999999E-2</v>
      </c>
      <c r="AF261" s="7" t="s">
        <v>3044</v>
      </c>
      <c r="AG261" s="7">
        <v>0.28999999999999998</v>
      </c>
      <c r="AH261" s="7" t="s">
        <v>3043</v>
      </c>
      <c r="AI261" s="7">
        <v>25333</v>
      </c>
      <c r="AJ261" s="7">
        <v>15</v>
      </c>
      <c r="AK261" s="7">
        <v>8</v>
      </c>
      <c r="AT261" s="7" t="str">
        <f t="shared" si="66"/>
        <v>None</v>
      </c>
      <c r="AU261" s="7" t="str">
        <f t="shared" si="72"/>
        <v>None</v>
      </c>
      <c r="AV261" s="7" t="str">
        <f t="shared" si="73"/>
        <v/>
      </c>
      <c r="AW261" s="7" t="str">
        <f t="shared" si="74"/>
        <v/>
      </c>
      <c r="AX261" s="7" t="str">
        <f t="shared" si="75"/>
        <v/>
      </c>
      <c r="BB261" s="7" t="str">
        <f t="shared" si="67"/>
        <v/>
      </c>
      <c r="BC261" s="7" t="str">
        <f t="shared" si="76"/>
        <v>No</v>
      </c>
      <c r="BD261" s="7" t="s">
        <v>1963</v>
      </c>
      <c r="BQ261" s="22"/>
      <c r="CH261" s="7" t="str">
        <f t="shared" si="77"/>
        <v/>
      </c>
    </row>
    <row r="262" spans="1:103">
      <c r="A262" s="7" t="s">
        <v>613</v>
      </c>
      <c r="B262" s="7">
        <v>369</v>
      </c>
      <c r="I262" s="24" t="str">
        <f t="shared" si="68"/>
        <v/>
      </c>
      <c r="L262" s="7" t="str">
        <f t="shared" si="69"/>
        <v/>
      </c>
      <c r="M262" s="21" t="str">
        <f t="shared" si="70"/>
        <v/>
      </c>
      <c r="N262" s="7" t="s">
        <v>1960</v>
      </c>
      <c r="T262" s="7" t="str">
        <f t="shared" si="71"/>
        <v>Nothing</v>
      </c>
      <c r="U262" s="7" t="s">
        <v>1963</v>
      </c>
      <c r="AD262" s="24">
        <v>33824</v>
      </c>
      <c r="AE262" s="7">
        <v>1.2999999999999999E-2</v>
      </c>
      <c r="AF262" s="7" t="s">
        <v>3042</v>
      </c>
      <c r="AG262" s="7">
        <v>0.27300000000000002</v>
      </c>
      <c r="AH262" s="7" t="s">
        <v>3041</v>
      </c>
      <c r="AI262" s="7">
        <v>29291</v>
      </c>
      <c r="AJ262" s="7" t="s">
        <v>9</v>
      </c>
      <c r="AK262" s="7">
        <v>2</v>
      </c>
      <c r="AT262" s="7" t="str">
        <f t="shared" si="66"/>
        <v>None</v>
      </c>
      <c r="AU262" s="7" t="str">
        <f t="shared" si="72"/>
        <v>None</v>
      </c>
      <c r="AV262" s="7" t="str">
        <f t="shared" si="73"/>
        <v/>
      </c>
      <c r="AW262" s="7" t="str">
        <f t="shared" si="74"/>
        <v/>
      </c>
      <c r="AX262" s="7" t="str">
        <f t="shared" si="75"/>
        <v/>
      </c>
      <c r="BB262" s="7" t="str">
        <f t="shared" si="67"/>
        <v/>
      </c>
      <c r="BC262" s="7" t="str">
        <f t="shared" si="76"/>
        <v>No</v>
      </c>
      <c r="BD262" s="7" t="s">
        <v>1963</v>
      </c>
      <c r="BF262" s="7" t="s">
        <v>3040</v>
      </c>
      <c r="BQ262" s="22"/>
      <c r="CH262" s="7" t="str">
        <f t="shared" si="77"/>
        <v/>
      </c>
    </row>
    <row r="263" spans="1:103">
      <c r="A263" s="7" t="s">
        <v>678</v>
      </c>
      <c r="B263" s="7">
        <v>406</v>
      </c>
      <c r="C263" s="7" t="s">
        <v>73</v>
      </c>
      <c r="I263" s="24" t="str">
        <f t="shared" si="68"/>
        <v/>
      </c>
      <c r="L263" s="7" t="str">
        <f t="shared" si="69"/>
        <v/>
      </c>
      <c r="M263" s="21" t="str">
        <f t="shared" si="70"/>
        <v/>
      </c>
      <c r="N263" s="7" t="s">
        <v>1960</v>
      </c>
      <c r="T263" s="7" t="str">
        <f t="shared" si="71"/>
        <v>Nothing</v>
      </c>
      <c r="U263" s="7" t="s">
        <v>1986</v>
      </c>
      <c r="AD263" s="24">
        <v>30666</v>
      </c>
      <c r="AE263" s="7">
        <v>-0.14199999999999999</v>
      </c>
      <c r="AF263" s="7" t="s">
        <v>3039</v>
      </c>
      <c r="AG263" s="7" t="s">
        <v>9</v>
      </c>
      <c r="AH263" s="7" t="s">
        <v>3038</v>
      </c>
      <c r="AI263" s="7">
        <v>107359</v>
      </c>
      <c r="AJ263" s="7">
        <v>-59</v>
      </c>
      <c r="AK263" s="7">
        <v>10</v>
      </c>
      <c r="AT263" s="7" t="str">
        <f t="shared" si="66"/>
        <v>None</v>
      </c>
      <c r="AU263" s="7" t="str">
        <f t="shared" si="72"/>
        <v>None</v>
      </c>
      <c r="AV263" s="7" t="str">
        <f t="shared" si="73"/>
        <v/>
      </c>
      <c r="AW263" s="7" t="str">
        <f t="shared" si="74"/>
        <v/>
      </c>
      <c r="AX263" s="7" t="str">
        <f t="shared" si="75"/>
        <v/>
      </c>
      <c r="BB263" s="7" t="str">
        <f t="shared" si="67"/>
        <v/>
      </c>
      <c r="BC263" s="7" t="str">
        <f t="shared" si="76"/>
        <v>No</v>
      </c>
      <c r="BD263" s="7" t="s">
        <v>1986</v>
      </c>
      <c r="BF263" s="7" t="s">
        <v>3037</v>
      </c>
      <c r="BQ263" s="22"/>
      <c r="CD263" s="7" t="s">
        <v>361</v>
      </c>
      <c r="CH263" s="7" t="str">
        <f t="shared" si="77"/>
        <v/>
      </c>
    </row>
    <row r="264" spans="1:103">
      <c r="A264" s="7" t="s">
        <v>1494</v>
      </c>
      <c r="B264" s="7">
        <v>104</v>
      </c>
      <c r="C264" s="7" t="s">
        <v>127</v>
      </c>
      <c r="I264" s="24" t="str">
        <f t="shared" si="68"/>
        <v>Yes</v>
      </c>
      <c r="J264" s="7">
        <v>2050</v>
      </c>
      <c r="K264" s="7">
        <v>2015</v>
      </c>
      <c r="L264" s="7" t="str">
        <f t="shared" si="69"/>
        <v/>
      </c>
      <c r="M264" s="21" t="str">
        <f t="shared" si="70"/>
        <v/>
      </c>
      <c r="N264" s="7" t="s">
        <v>1960</v>
      </c>
      <c r="T264" s="7" t="str">
        <f t="shared" si="71"/>
        <v>Nothing</v>
      </c>
      <c r="U264" s="7" t="s">
        <v>1</v>
      </c>
      <c r="AC264" s="8" t="s">
        <v>1495</v>
      </c>
      <c r="AD264" s="24">
        <v>82059</v>
      </c>
      <c r="AE264" s="7">
        <v>6.0000000000000001E-3</v>
      </c>
      <c r="AF264" s="7" t="s">
        <v>3036</v>
      </c>
      <c r="AG264" s="7">
        <v>-1.2E-2</v>
      </c>
      <c r="AH264" s="7" t="s">
        <v>3035</v>
      </c>
      <c r="AI264" s="7">
        <v>132200</v>
      </c>
      <c r="AJ264" s="7">
        <v>5</v>
      </c>
      <c r="AK264" s="7">
        <v>20</v>
      </c>
      <c r="AL264" s="7" t="s">
        <v>842</v>
      </c>
      <c r="AN264" s="7" t="s">
        <v>2029</v>
      </c>
      <c r="AT264" s="7" t="s">
        <v>3034</v>
      </c>
      <c r="AU264" s="7" t="str">
        <f t="shared" si="72"/>
        <v>None</v>
      </c>
      <c r="AV264" s="7" t="str">
        <f t="shared" si="73"/>
        <v/>
      </c>
      <c r="AW264" s="7" t="str">
        <f t="shared" si="74"/>
        <v/>
      </c>
      <c r="AX264" s="7" t="str">
        <f t="shared" si="75"/>
        <v/>
      </c>
      <c r="BB264" s="7" t="str">
        <f t="shared" si="67"/>
        <v/>
      </c>
      <c r="BC264" s="7" t="str">
        <f t="shared" si="76"/>
        <v>No</v>
      </c>
      <c r="BD264" s="7" t="s">
        <v>1</v>
      </c>
      <c r="BF264" s="7" t="s">
        <v>3033</v>
      </c>
      <c r="BQ264" s="22"/>
      <c r="CG264" s="7" t="s">
        <v>2027</v>
      </c>
      <c r="CH264" s="7" t="str">
        <f t="shared" si="77"/>
        <v/>
      </c>
      <c r="CI264" s="7" t="s">
        <v>3032</v>
      </c>
      <c r="CJ264" s="7">
        <v>0.31</v>
      </c>
      <c r="CK264" s="7">
        <v>0.25</v>
      </c>
      <c r="CL264" s="7">
        <v>0.02</v>
      </c>
      <c r="CM264" s="7">
        <v>0.02</v>
      </c>
      <c r="CN264" s="7">
        <v>0.03</v>
      </c>
      <c r="CO264" s="7" t="s">
        <v>2039</v>
      </c>
      <c r="CX264" s="7" t="s">
        <v>361</v>
      </c>
      <c r="CY264" s="7" t="s">
        <v>361</v>
      </c>
    </row>
    <row r="265" spans="1:103">
      <c r="A265" s="7" t="s">
        <v>490</v>
      </c>
      <c r="B265" s="7">
        <v>439</v>
      </c>
      <c r="C265" s="7" t="s">
        <v>400</v>
      </c>
      <c r="I265" s="24" t="str">
        <f t="shared" si="68"/>
        <v/>
      </c>
      <c r="L265" s="7" t="str">
        <f t="shared" si="69"/>
        <v>C</v>
      </c>
      <c r="M265" s="21" t="str">
        <f t="shared" si="70"/>
        <v/>
      </c>
      <c r="N265" s="7">
        <v>2018</v>
      </c>
      <c r="T265" s="7" t="str">
        <f t="shared" si="71"/>
        <v>Nothing</v>
      </c>
      <c r="U265" s="7" t="s">
        <v>1963</v>
      </c>
      <c r="AC265" s="26" t="s">
        <v>3031</v>
      </c>
      <c r="AD265" s="24">
        <v>28969</v>
      </c>
      <c r="AE265" s="7">
        <v>-7.6999999999999999E-2</v>
      </c>
      <c r="AF265" s="7" t="s">
        <v>3030</v>
      </c>
      <c r="AG265" s="7">
        <v>1.6240000000000001</v>
      </c>
      <c r="AH265" s="7" t="s">
        <v>3029</v>
      </c>
      <c r="AI265" s="7">
        <v>104000</v>
      </c>
      <c r="AJ265" s="7">
        <v>-40</v>
      </c>
      <c r="AK265" s="7">
        <v>16</v>
      </c>
      <c r="AL265" s="7" t="s">
        <v>204</v>
      </c>
      <c r="AN265" s="7" t="s">
        <v>1951</v>
      </c>
      <c r="AT265" s="7" t="str">
        <f t="shared" ref="AT265:AT296" si="78">IF(OR(BC265="Carbon Neutral",BC265="No - but post-2030 commitment"),IF((OR(BH265="Committed",BH265="Targets Set")),IF(J265="", "CN &amp; SBT","CN, SBT &amp; RE100"),IF(CH265="","CN","CN &amp; RE100")),IF((OR(BH265="Committed",BH265="Targets Set")),IF(CH265="", "SBT","SBT &amp; RE100"),IF(CH265="","None","RE100")))</f>
        <v>SBT</v>
      </c>
      <c r="AU265" s="7" t="str">
        <f t="shared" si="72"/>
        <v>SBT</v>
      </c>
      <c r="AV265" s="7" t="str">
        <f t="shared" si="73"/>
        <v/>
      </c>
      <c r="AW265" s="7">
        <f t="shared" si="74"/>
        <v>2018</v>
      </c>
      <c r="AX265" s="7" t="str">
        <f t="shared" si="75"/>
        <v/>
      </c>
      <c r="BB265" s="7" t="str">
        <f t="shared" si="67"/>
        <v>Yes</v>
      </c>
      <c r="BC265" s="7" t="str">
        <f t="shared" si="76"/>
        <v>No</v>
      </c>
      <c r="BD265" s="7" t="s">
        <v>1963</v>
      </c>
      <c r="BF265" t="s">
        <v>3028</v>
      </c>
      <c r="BH265" s="7" t="s">
        <v>165</v>
      </c>
      <c r="BJ265" s="7" t="s">
        <v>731</v>
      </c>
      <c r="BQ265" s="22"/>
      <c r="CH265" s="7" t="str">
        <f t="shared" si="77"/>
        <v/>
      </c>
    </row>
    <row r="266" spans="1:103">
      <c r="A266" s="7" t="s">
        <v>3027</v>
      </c>
      <c r="B266" s="7">
        <v>38</v>
      </c>
      <c r="C266" s="7" t="s">
        <v>127</v>
      </c>
      <c r="H266" s="26"/>
      <c r="I266" s="24" t="str">
        <f t="shared" si="68"/>
        <v>Yes</v>
      </c>
      <c r="J266" s="7">
        <v>2020</v>
      </c>
      <c r="K266" s="7">
        <v>2017</v>
      </c>
      <c r="L266" s="7" t="str">
        <f t="shared" si="69"/>
        <v/>
      </c>
      <c r="M266" s="21" t="str">
        <f t="shared" si="70"/>
        <v/>
      </c>
      <c r="N266" s="7" t="s">
        <v>1960</v>
      </c>
      <c r="T266" s="7" t="str">
        <f t="shared" si="71"/>
        <v>Nothing</v>
      </c>
      <c r="U266" s="7" t="s">
        <v>1</v>
      </c>
      <c r="AC266" s="26" t="s">
        <v>3026</v>
      </c>
      <c r="AD266" s="24">
        <v>142422</v>
      </c>
      <c r="AE266" s="7">
        <v>8.4000000000000005E-2</v>
      </c>
      <c r="AF266" s="7" t="s">
        <v>3025</v>
      </c>
      <c r="AG266" s="7">
        <v>0.122</v>
      </c>
      <c r="AH266" s="7" t="s">
        <v>3024</v>
      </c>
      <c r="AI266" s="7">
        <v>256981</v>
      </c>
      <c r="AJ266" s="7">
        <v>3</v>
      </c>
      <c r="AK266" s="7">
        <v>26</v>
      </c>
      <c r="AL266" s="7" t="s">
        <v>93</v>
      </c>
      <c r="AN266" s="7" t="s">
        <v>2029</v>
      </c>
      <c r="AT266" s="7" t="str">
        <f t="shared" si="78"/>
        <v>RE100</v>
      </c>
      <c r="AU266" s="7" t="str">
        <f t="shared" si="72"/>
        <v>RE100</v>
      </c>
      <c r="AV266" s="7" t="str">
        <f t="shared" si="73"/>
        <v/>
      </c>
      <c r="AW266" s="7" t="str">
        <f t="shared" si="74"/>
        <v/>
      </c>
      <c r="AX266" s="7">
        <f t="shared" si="75"/>
        <v>2017</v>
      </c>
      <c r="BB266" s="7" t="str">
        <f t="shared" si="67"/>
        <v/>
      </c>
      <c r="BC266" s="7" t="str">
        <f t="shared" si="76"/>
        <v>No</v>
      </c>
      <c r="BD266" s="7" t="s">
        <v>1</v>
      </c>
      <c r="BF266" s="7" t="s">
        <v>3023</v>
      </c>
      <c r="BQ266" s="22"/>
      <c r="CG266" s="7" t="s">
        <v>2027</v>
      </c>
      <c r="CH266" s="7" t="str">
        <f t="shared" si="77"/>
        <v>yes</v>
      </c>
      <c r="CI266" s="7" t="s">
        <v>13</v>
      </c>
      <c r="CJ266" s="7">
        <v>0.22</v>
      </c>
      <c r="CK266" s="7">
        <v>0.11</v>
      </c>
      <c r="CL266" s="7">
        <v>0.11</v>
      </c>
      <c r="CM266" s="7" t="s">
        <v>13</v>
      </c>
      <c r="CN266" s="7" t="s">
        <v>13</v>
      </c>
      <c r="CO266" s="7" t="s">
        <v>3022</v>
      </c>
      <c r="CR266" s="27" t="s">
        <v>3021</v>
      </c>
      <c r="CY266" s="7" t="s">
        <v>361</v>
      </c>
    </row>
    <row r="267" spans="1:103">
      <c r="A267" s="7" t="s">
        <v>396</v>
      </c>
      <c r="B267" s="7">
        <v>428</v>
      </c>
      <c r="I267" s="24" t="str">
        <f t="shared" si="68"/>
        <v/>
      </c>
      <c r="L267" s="7" t="str">
        <f t="shared" si="69"/>
        <v/>
      </c>
      <c r="M267" s="21" t="str">
        <f t="shared" si="70"/>
        <v/>
      </c>
      <c r="N267" s="7" t="s">
        <v>1960</v>
      </c>
      <c r="T267" s="7" t="str">
        <f t="shared" si="71"/>
        <v>Nothing</v>
      </c>
      <c r="U267" s="7" t="s">
        <v>1963</v>
      </c>
      <c r="AD267" s="24">
        <v>29288</v>
      </c>
      <c r="AE267" s="7">
        <v>-1.7999999999999999E-2</v>
      </c>
      <c r="AF267" s="7" t="s">
        <v>3020</v>
      </c>
      <c r="AG267" s="7">
        <v>0.152</v>
      </c>
      <c r="AH267" s="7" t="s">
        <v>3019</v>
      </c>
      <c r="AI267" s="7">
        <v>31850</v>
      </c>
      <c r="AJ267" s="7">
        <v>-8</v>
      </c>
      <c r="AK267" s="7">
        <v>26</v>
      </c>
      <c r="AT267" s="7" t="str">
        <f t="shared" si="78"/>
        <v>None</v>
      </c>
      <c r="AU267" s="7" t="str">
        <f t="shared" si="72"/>
        <v>None</v>
      </c>
      <c r="AV267" s="7" t="str">
        <f t="shared" si="73"/>
        <v/>
      </c>
      <c r="AW267" s="7" t="str">
        <f t="shared" si="74"/>
        <v/>
      </c>
      <c r="AX267" s="7" t="str">
        <f t="shared" si="75"/>
        <v/>
      </c>
      <c r="BB267" s="7" t="str">
        <f t="shared" si="67"/>
        <v/>
      </c>
      <c r="BC267" s="7" t="str">
        <f t="shared" si="76"/>
        <v>No</v>
      </c>
      <c r="BD267" s="7" t="s">
        <v>1963</v>
      </c>
      <c r="BQ267" s="22"/>
      <c r="CH267" s="7" t="str">
        <f t="shared" si="77"/>
        <v/>
      </c>
    </row>
    <row r="268" spans="1:103">
      <c r="A268" s="7" t="s">
        <v>322</v>
      </c>
      <c r="B268" s="7">
        <v>426</v>
      </c>
      <c r="I268" s="24" t="str">
        <f t="shared" si="68"/>
        <v/>
      </c>
      <c r="L268" s="7" t="str">
        <f t="shared" si="69"/>
        <v/>
      </c>
      <c r="M268" s="21" t="str">
        <f t="shared" si="70"/>
        <v/>
      </c>
      <c r="N268" s="7" t="s">
        <v>1960</v>
      </c>
      <c r="T268" s="7" t="str">
        <f t="shared" si="71"/>
        <v>Nothing</v>
      </c>
      <c r="U268" s="7" t="s">
        <v>1963</v>
      </c>
      <c r="AC268" s="26" t="s">
        <v>3018</v>
      </c>
      <c r="AD268" s="24">
        <v>29470</v>
      </c>
      <c r="AE268" s="7">
        <v>1.6E-2</v>
      </c>
      <c r="AF268" s="7" t="s">
        <v>3017</v>
      </c>
      <c r="AG268" s="7">
        <v>2.1000000000000001E-2</v>
      </c>
      <c r="AH268" s="7" t="s">
        <v>3016</v>
      </c>
      <c r="AI268" s="7">
        <v>26702</v>
      </c>
      <c r="AJ268" s="7">
        <v>8</v>
      </c>
      <c r="AK268" s="7">
        <v>8</v>
      </c>
      <c r="AT268" s="7" t="str">
        <f t="shared" si="78"/>
        <v>None</v>
      </c>
      <c r="AU268" s="7" t="str">
        <f t="shared" si="72"/>
        <v>None</v>
      </c>
      <c r="AV268" s="7" t="str">
        <f t="shared" si="73"/>
        <v/>
      </c>
      <c r="AW268" s="7" t="str">
        <f t="shared" si="74"/>
        <v/>
      </c>
      <c r="AX268" s="7" t="str">
        <f t="shared" si="75"/>
        <v/>
      </c>
      <c r="BB268" s="7" t="str">
        <f t="shared" si="67"/>
        <v/>
      </c>
      <c r="BC268" s="7" t="str">
        <f t="shared" si="76"/>
        <v>No</v>
      </c>
      <c r="BD268" s="7" t="s">
        <v>1963</v>
      </c>
      <c r="BF268" t="s">
        <v>3015</v>
      </c>
      <c r="BQ268" s="22"/>
      <c r="CH268" s="7" t="str">
        <f t="shared" si="77"/>
        <v/>
      </c>
    </row>
    <row r="269" spans="1:103">
      <c r="A269" s="7" t="s">
        <v>1006</v>
      </c>
      <c r="B269" s="7">
        <v>241</v>
      </c>
      <c r="I269" s="24" t="str">
        <f t="shared" si="68"/>
        <v/>
      </c>
      <c r="L269" s="7" t="str">
        <f t="shared" si="69"/>
        <v/>
      </c>
      <c r="M269" s="21" t="str">
        <f t="shared" si="70"/>
        <v/>
      </c>
      <c r="N269" s="7" t="s">
        <v>1960</v>
      </c>
      <c r="T269" s="7" t="str">
        <f t="shared" si="71"/>
        <v>Nothing</v>
      </c>
      <c r="U269" s="7" t="s">
        <v>1</v>
      </c>
      <c r="AD269" s="24">
        <v>48171</v>
      </c>
      <c r="AE269" s="7">
        <v>5.0999999999999997E-2</v>
      </c>
      <c r="AF269" s="7" t="s">
        <v>3014</v>
      </c>
      <c r="AG269" s="7">
        <v>5.6000000000000001E-2</v>
      </c>
      <c r="AH269" s="7" t="s">
        <v>3013</v>
      </c>
      <c r="AI269" s="7">
        <v>44952</v>
      </c>
      <c r="AJ269" s="7">
        <v>4</v>
      </c>
      <c r="AK269" s="7">
        <v>23</v>
      </c>
      <c r="AT269" s="7" t="str">
        <f t="shared" si="78"/>
        <v>None</v>
      </c>
      <c r="AU269" s="7" t="str">
        <f t="shared" si="72"/>
        <v>None</v>
      </c>
      <c r="AV269" s="7" t="str">
        <f t="shared" si="73"/>
        <v/>
      </c>
      <c r="AW269" s="7" t="str">
        <f t="shared" si="74"/>
        <v/>
      </c>
      <c r="AX269" s="7" t="str">
        <f t="shared" si="75"/>
        <v/>
      </c>
      <c r="BB269" s="7" t="str">
        <f t="shared" si="67"/>
        <v/>
      </c>
      <c r="BC269" s="7" t="str">
        <f t="shared" si="76"/>
        <v>No</v>
      </c>
      <c r="BD269" s="7" t="s">
        <v>1</v>
      </c>
      <c r="BQ269" s="22"/>
      <c r="CH269" s="7" t="str">
        <f t="shared" si="77"/>
        <v/>
      </c>
      <c r="CX269" s="7" t="s">
        <v>361</v>
      </c>
    </row>
    <row r="270" spans="1:103">
      <c r="A270" s="7" t="s">
        <v>1072</v>
      </c>
      <c r="B270" s="7">
        <v>229</v>
      </c>
      <c r="I270" s="24" t="str">
        <f t="shared" si="68"/>
        <v/>
      </c>
      <c r="L270" s="7" t="str">
        <f t="shared" si="69"/>
        <v/>
      </c>
      <c r="M270" s="21" t="str">
        <f t="shared" si="70"/>
        <v/>
      </c>
      <c r="N270" s="7" t="s">
        <v>1960</v>
      </c>
      <c r="T270" s="7" t="str">
        <f t="shared" si="71"/>
        <v>Nothing</v>
      </c>
      <c r="U270" s="7" t="s">
        <v>1</v>
      </c>
      <c r="AC270" s="8" t="s">
        <v>3012</v>
      </c>
      <c r="AD270" s="24">
        <v>49894</v>
      </c>
      <c r="AE270" s="7">
        <v>1.2999999999999999E-2</v>
      </c>
      <c r="AF270" s="7" t="s">
        <v>3011</v>
      </c>
      <c r="AG270" s="7">
        <v>0.49199999999999999</v>
      </c>
      <c r="AH270" s="7" t="s">
        <v>3010</v>
      </c>
      <c r="AI270" s="7">
        <v>52448</v>
      </c>
      <c r="AJ270" s="7">
        <v>-2</v>
      </c>
      <c r="AK270" s="7">
        <v>9</v>
      </c>
      <c r="AT270" s="7" t="str">
        <f t="shared" si="78"/>
        <v>None</v>
      </c>
      <c r="AU270" s="7" t="str">
        <f t="shared" si="72"/>
        <v>None</v>
      </c>
      <c r="AV270" s="7" t="str">
        <f t="shared" si="73"/>
        <v/>
      </c>
      <c r="AW270" s="7" t="str">
        <f t="shared" si="74"/>
        <v/>
      </c>
      <c r="AX270" s="7" t="str">
        <f t="shared" si="75"/>
        <v/>
      </c>
      <c r="BB270" s="7" t="str">
        <f t="shared" si="67"/>
        <v/>
      </c>
      <c r="BC270" s="7" t="str">
        <f t="shared" si="76"/>
        <v>No</v>
      </c>
      <c r="BD270" s="7" t="s">
        <v>1</v>
      </c>
      <c r="BF270" s="23" t="s">
        <v>3009</v>
      </c>
      <c r="BQ270" s="22"/>
      <c r="CH270" s="7" t="str">
        <f t="shared" si="77"/>
        <v/>
      </c>
    </row>
    <row r="271" spans="1:103">
      <c r="A271" s="7" t="s">
        <v>385</v>
      </c>
      <c r="B271" s="7">
        <v>471</v>
      </c>
      <c r="I271" s="24" t="str">
        <f t="shared" si="68"/>
        <v/>
      </c>
      <c r="L271" s="7" t="str">
        <f t="shared" si="69"/>
        <v/>
      </c>
      <c r="M271" s="21" t="str">
        <f t="shared" si="70"/>
        <v/>
      </c>
      <c r="N271" s="7" t="s">
        <v>1960</v>
      </c>
      <c r="T271" s="7" t="str">
        <f t="shared" si="71"/>
        <v>Nothing</v>
      </c>
      <c r="U271" s="7" t="s">
        <v>1</v>
      </c>
      <c r="AD271" s="24">
        <v>27053</v>
      </c>
      <c r="AE271" s="7">
        <v>-8.5999999999999993E-2</v>
      </c>
      <c r="AF271" s="7" t="s">
        <v>3008</v>
      </c>
      <c r="AG271" s="7">
        <v>-0.32300000000000001</v>
      </c>
      <c r="AH271" s="7" t="s">
        <v>3007</v>
      </c>
      <c r="AI271" s="7">
        <v>92990</v>
      </c>
      <c r="AJ271" s="7">
        <v>-48</v>
      </c>
      <c r="AK271" s="7">
        <v>19</v>
      </c>
      <c r="AT271" s="7" t="str">
        <f t="shared" si="78"/>
        <v>None</v>
      </c>
      <c r="AU271" s="7" t="str">
        <f t="shared" si="72"/>
        <v>None</v>
      </c>
      <c r="AV271" s="7" t="str">
        <f t="shared" si="73"/>
        <v/>
      </c>
      <c r="AW271" s="7" t="str">
        <f t="shared" si="74"/>
        <v/>
      </c>
      <c r="AX271" s="7" t="str">
        <f t="shared" si="75"/>
        <v/>
      </c>
      <c r="BB271" s="7" t="str">
        <f t="shared" si="67"/>
        <v/>
      </c>
      <c r="BC271" s="7" t="str">
        <f t="shared" si="76"/>
        <v>No</v>
      </c>
      <c r="BD271" s="7" t="s">
        <v>1</v>
      </c>
      <c r="BQ271" s="22"/>
      <c r="CH271" s="7" t="str">
        <f t="shared" si="77"/>
        <v/>
      </c>
    </row>
    <row r="272" spans="1:103">
      <c r="A272" s="7" t="s">
        <v>1186</v>
      </c>
      <c r="B272" s="7">
        <v>227</v>
      </c>
      <c r="I272" s="24" t="str">
        <f t="shared" si="68"/>
        <v/>
      </c>
      <c r="L272" s="7" t="str">
        <f t="shared" si="69"/>
        <v/>
      </c>
      <c r="M272" s="21" t="str">
        <f t="shared" si="70"/>
        <v/>
      </c>
      <c r="N272" s="7" t="s">
        <v>1960</v>
      </c>
      <c r="T272" s="7" t="str">
        <f t="shared" si="71"/>
        <v>Nothing</v>
      </c>
      <c r="U272" s="7" t="s">
        <v>1</v>
      </c>
      <c r="AD272" s="24">
        <v>50257</v>
      </c>
      <c r="AE272" s="7">
        <v>-7.9000000000000001E-2</v>
      </c>
      <c r="AF272" s="7" t="s">
        <v>3006</v>
      </c>
      <c r="AG272" s="7" t="s">
        <v>9</v>
      </c>
      <c r="AH272" s="7" t="s">
        <v>3005</v>
      </c>
      <c r="AI272" s="7">
        <v>47452</v>
      </c>
      <c r="AJ272" s="7">
        <v>-34</v>
      </c>
      <c r="AK272" s="7">
        <v>26</v>
      </c>
      <c r="AT272" s="7" t="str">
        <f t="shared" si="78"/>
        <v>None</v>
      </c>
      <c r="AU272" s="7" t="str">
        <f t="shared" si="72"/>
        <v>None</v>
      </c>
      <c r="AV272" s="7" t="str">
        <f t="shared" si="73"/>
        <v/>
      </c>
      <c r="AW272" s="7" t="str">
        <f t="shared" si="74"/>
        <v/>
      </c>
      <c r="AX272" s="7" t="str">
        <f t="shared" si="75"/>
        <v/>
      </c>
      <c r="BB272" s="7" t="str">
        <f t="shared" si="67"/>
        <v/>
      </c>
      <c r="BC272" s="7" t="str">
        <f t="shared" si="76"/>
        <v>No</v>
      </c>
      <c r="BD272" s="7" t="s">
        <v>1</v>
      </c>
      <c r="BQ272" s="22"/>
      <c r="CH272" s="7" t="str">
        <f t="shared" si="77"/>
        <v/>
      </c>
    </row>
    <row r="273" spans="1:103">
      <c r="A273" s="7" t="s">
        <v>1722</v>
      </c>
      <c r="B273" s="7">
        <v>51</v>
      </c>
      <c r="H273" s="26"/>
      <c r="I273" s="24" t="str">
        <f t="shared" si="68"/>
        <v/>
      </c>
      <c r="L273" s="7" t="str">
        <f t="shared" si="69"/>
        <v/>
      </c>
      <c r="M273" s="21" t="str">
        <f t="shared" si="70"/>
        <v/>
      </c>
      <c r="N273" s="7" t="s">
        <v>1960</v>
      </c>
      <c r="T273" s="7" t="str">
        <f t="shared" si="71"/>
        <v>Nothing</v>
      </c>
      <c r="U273" s="7" t="s">
        <v>1</v>
      </c>
      <c r="AC273" s="26" t="s">
        <v>3004</v>
      </c>
      <c r="AD273" s="24">
        <v>122286</v>
      </c>
      <c r="AE273" s="7">
        <v>8.9999999999999993E-3</v>
      </c>
      <c r="AF273" s="7" t="s">
        <v>3003</v>
      </c>
      <c r="AG273" s="7">
        <v>-0.46700000000000003</v>
      </c>
      <c r="AH273" s="7" t="s">
        <v>3002</v>
      </c>
      <c r="AI273" s="7">
        <v>435000</v>
      </c>
      <c r="AJ273" s="7">
        <v>-4</v>
      </c>
      <c r="AK273" s="7">
        <v>26</v>
      </c>
      <c r="AT273" s="7" t="str">
        <f t="shared" si="78"/>
        <v>None</v>
      </c>
      <c r="AU273" s="7" t="str">
        <f t="shared" si="72"/>
        <v>None</v>
      </c>
      <c r="AV273" s="7" t="str">
        <f t="shared" si="73"/>
        <v/>
      </c>
      <c r="AW273" s="7" t="str">
        <f t="shared" si="74"/>
        <v/>
      </c>
      <c r="AX273" s="7" t="str">
        <f t="shared" si="75"/>
        <v/>
      </c>
      <c r="BB273" s="7" t="str">
        <f t="shared" ref="BB273:BB304" si="79">IF(BH273="","","Yes")</f>
        <v/>
      </c>
      <c r="BC273" s="7" t="str">
        <f t="shared" si="76"/>
        <v>No</v>
      </c>
      <c r="BD273" s="7" t="s">
        <v>1</v>
      </c>
      <c r="BF273" s="23" t="s">
        <v>3001</v>
      </c>
      <c r="BQ273" s="22"/>
      <c r="CH273" s="7" t="str">
        <f t="shared" si="77"/>
        <v/>
      </c>
    </row>
    <row r="274" spans="1:103">
      <c r="A274" s="7" t="s">
        <v>353</v>
      </c>
      <c r="B274" s="7">
        <v>433</v>
      </c>
      <c r="C274" s="7" t="s">
        <v>63</v>
      </c>
      <c r="D274" s="7" t="s">
        <v>1971</v>
      </c>
      <c r="E274" s="7" t="s">
        <v>3000</v>
      </c>
      <c r="F274" s="7">
        <v>2012</v>
      </c>
      <c r="G274" s="7">
        <v>2012</v>
      </c>
      <c r="H274" s="26" t="s">
        <v>2993</v>
      </c>
      <c r="I274" s="24" t="str">
        <f t="shared" si="68"/>
        <v>Yes</v>
      </c>
      <c r="J274" s="7" t="s">
        <v>2034</v>
      </c>
      <c r="K274" s="7">
        <v>2015</v>
      </c>
      <c r="L274" s="7" t="str">
        <f t="shared" si="69"/>
        <v>T</v>
      </c>
      <c r="M274" s="21">
        <f t="shared" si="70"/>
        <v>2025</v>
      </c>
      <c r="N274" s="7">
        <v>2019</v>
      </c>
      <c r="T274" s="7" t="str">
        <f t="shared" si="71"/>
        <v/>
      </c>
      <c r="U274" s="7" t="s">
        <v>361</v>
      </c>
      <c r="X274" s="7" t="s">
        <v>2999</v>
      </c>
      <c r="AC274" s="26" t="s">
        <v>2993</v>
      </c>
      <c r="AD274" s="24">
        <v>29082</v>
      </c>
      <c r="AE274" s="7">
        <v>-2E-3</v>
      </c>
      <c r="AF274" s="7" t="s">
        <v>2998</v>
      </c>
      <c r="AG274" s="7">
        <v>-2.3E-2</v>
      </c>
      <c r="AH274" s="7" t="s">
        <v>2997</v>
      </c>
      <c r="AI274" s="7">
        <v>225693</v>
      </c>
      <c r="AJ274" s="7">
        <v>-5</v>
      </c>
      <c r="AK274" s="7">
        <v>25</v>
      </c>
      <c r="AL274" s="7" t="s">
        <v>355</v>
      </c>
      <c r="AN274" s="7" t="s">
        <v>1951</v>
      </c>
      <c r="AT274" s="7" t="str">
        <f t="shared" si="78"/>
        <v>CN, SBT &amp; RE100</v>
      </c>
      <c r="AU274" s="7" t="str">
        <f t="shared" si="72"/>
        <v>CN &amp; SBT</v>
      </c>
      <c r="AV274" s="7">
        <f t="shared" si="73"/>
        <v>2012</v>
      </c>
      <c r="AW274" s="7">
        <f t="shared" si="74"/>
        <v>2019</v>
      </c>
      <c r="AX274" s="7" t="str">
        <f t="shared" si="75"/>
        <v/>
      </c>
      <c r="BB274" s="7" t="str">
        <f t="shared" si="79"/>
        <v>Yes</v>
      </c>
      <c r="BC274" s="7" t="str">
        <f t="shared" si="76"/>
        <v>Carbon Neutral</v>
      </c>
      <c r="BD274" s="7" t="s">
        <v>1963</v>
      </c>
      <c r="BF274" s="7" t="s">
        <v>2996</v>
      </c>
      <c r="BH274" s="7" t="s">
        <v>22</v>
      </c>
      <c r="BI274" s="7" t="s">
        <v>2156</v>
      </c>
      <c r="BJ274" s="7" t="s">
        <v>2244</v>
      </c>
      <c r="BM274" s="7" t="s">
        <v>2995</v>
      </c>
      <c r="BN274" s="7">
        <v>2025</v>
      </c>
      <c r="BO274" s="7">
        <v>2025</v>
      </c>
      <c r="BP274" s="7">
        <v>2025</v>
      </c>
      <c r="BQ274" s="22"/>
      <c r="CD274" s="7" t="s">
        <v>361</v>
      </c>
      <c r="CE274" s="7" t="s">
        <v>1947</v>
      </c>
      <c r="CG274" s="7" t="s">
        <v>63</v>
      </c>
      <c r="CH274" s="7" t="str">
        <f t="shared" si="77"/>
        <v/>
      </c>
      <c r="CI274" s="7" t="s">
        <v>13</v>
      </c>
      <c r="CJ274" s="7">
        <v>0.86</v>
      </c>
      <c r="CK274" s="7">
        <v>0.81</v>
      </c>
      <c r="CL274" s="7">
        <v>0.76</v>
      </c>
      <c r="CM274" s="7">
        <v>0</v>
      </c>
      <c r="CN274" s="7" t="s">
        <v>13</v>
      </c>
      <c r="CO274" s="7" t="s">
        <v>2251</v>
      </c>
      <c r="CQ274" s="7" t="s">
        <v>2994</v>
      </c>
      <c r="CR274" s="27" t="s">
        <v>2993</v>
      </c>
    </row>
    <row r="275" spans="1:103">
      <c r="A275" s="7" t="s">
        <v>285</v>
      </c>
      <c r="B275" s="7">
        <v>476</v>
      </c>
      <c r="C275" s="7" t="s">
        <v>287</v>
      </c>
      <c r="I275" s="24" t="str">
        <f t="shared" si="68"/>
        <v/>
      </c>
      <c r="L275" s="7" t="str">
        <f t="shared" si="69"/>
        <v>T</v>
      </c>
      <c r="M275" s="21">
        <f t="shared" si="70"/>
        <v>2030</v>
      </c>
      <c r="N275" s="7">
        <v>2019</v>
      </c>
      <c r="T275" s="7" t="str">
        <f t="shared" si="71"/>
        <v>Nothing</v>
      </c>
      <c r="U275" s="7" t="s">
        <v>1</v>
      </c>
      <c r="AC275" s="8" t="s">
        <v>2992</v>
      </c>
      <c r="AD275" s="24">
        <v>26589</v>
      </c>
      <c r="AE275" s="7">
        <v>-5.2999999999999999E-2</v>
      </c>
      <c r="AF275" s="7" t="s">
        <v>2991</v>
      </c>
      <c r="AG275" s="7">
        <v>0.45500000000000002</v>
      </c>
      <c r="AH275" s="7" t="s">
        <v>2990</v>
      </c>
      <c r="AI275" s="7">
        <v>72452</v>
      </c>
      <c r="AJ275" s="7">
        <v>-29</v>
      </c>
      <c r="AK275" s="7">
        <v>12</v>
      </c>
      <c r="AL275" s="7" t="s">
        <v>500</v>
      </c>
      <c r="AN275" s="7" t="s">
        <v>1951</v>
      </c>
      <c r="AT275" s="7" t="str">
        <f t="shared" si="78"/>
        <v>SBT</v>
      </c>
      <c r="AU275" s="7" t="str">
        <f t="shared" si="72"/>
        <v>SBT</v>
      </c>
      <c r="AV275" s="7" t="str">
        <f t="shared" si="73"/>
        <v/>
      </c>
      <c r="AW275" s="7">
        <f t="shared" si="74"/>
        <v>2019</v>
      </c>
      <c r="AX275" s="7" t="str">
        <f t="shared" si="75"/>
        <v/>
      </c>
      <c r="BB275" s="7" t="str">
        <f t="shared" si="79"/>
        <v>Yes</v>
      </c>
      <c r="BC275" s="7" t="str">
        <f t="shared" si="76"/>
        <v>No</v>
      </c>
      <c r="BD275" s="7" t="s">
        <v>1</v>
      </c>
      <c r="BF275" s="7" t="s">
        <v>2989</v>
      </c>
      <c r="BH275" s="7" t="s">
        <v>22</v>
      </c>
      <c r="BI275" s="7" t="s">
        <v>2040</v>
      </c>
      <c r="BJ275" s="7" t="s">
        <v>2115</v>
      </c>
      <c r="BM275" s="7" t="s">
        <v>2988</v>
      </c>
      <c r="BN275" s="7">
        <v>2030</v>
      </c>
      <c r="BO275" s="7">
        <v>2030</v>
      </c>
      <c r="BQ275" s="22"/>
      <c r="CH275" s="7" t="str">
        <f t="shared" si="77"/>
        <v/>
      </c>
      <c r="CW275" s="7" t="s">
        <v>361</v>
      </c>
    </row>
    <row r="276" spans="1:103">
      <c r="A276" s="7" t="s">
        <v>2987</v>
      </c>
      <c r="B276" s="7">
        <v>85</v>
      </c>
      <c r="C276" s="7" t="s">
        <v>2070</v>
      </c>
      <c r="F276" s="7">
        <v>2030</v>
      </c>
      <c r="G276" s="7">
        <v>2020</v>
      </c>
      <c r="H276" s="8" t="s">
        <v>2986</v>
      </c>
      <c r="I276" s="24" t="str">
        <f t="shared" si="68"/>
        <v/>
      </c>
      <c r="L276" s="7" t="str">
        <f t="shared" si="69"/>
        <v/>
      </c>
      <c r="M276" s="21" t="str">
        <f t="shared" si="70"/>
        <v/>
      </c>
      <c r="N276" s="7" t="s">
        <v>1960</v>
      </c>
      <c r="O276" s="7" t="s">
        <v>2985</v>
      </c>
      <c r="P276" s="7" t="s">
        <v>2984</v>
      </c>
      <c r="Q276" s="7">
        <v>2050</v>
      </c>
      <c r="R276" s="7">
        <v>2020</v>
      </c>
      <c r="S276" s="27" t="s">
        <v>2983</v>
      </c>
      <c r="T276" s="7" t="str">
        <f t="shared" si="71"/>
        <v/>
      </c>
      <c r="U276" s="7" t="s">
        <v>2080</v>
      </c>
      <c r="V276" s="7" t="s">
        <v>2982</v>
      </c>
      <c r="Z276" s="46" t="s">
        <v>2981</v>
      </c>
      <c r="AB276" s="27" t="s">
        <v>2980</v>
      </c>
      <c r="AC276" s="8"/>
      <c r="AD276" s="24">
        <v>90615</v>
      </c>
      <c r="AE276" s="7" t="s">
        <v>9</v>
      </c>
      <c r="AF276" s="7" t="s">
        <v>2979</v>
      </c>
      <c r="AG276" s="7">
        <v>-0.04</v>
      </c>
      <c r="AH276" s="7" t="s">
        <v>2978</v>
      </c>
      <c r="AI276" s="7">
        <v>8542</v>
      </c>
      <c r="AJ276" s="7" t="s">
        <v>9</v>
      </c>
      <c r="AK276" s="7">
        <v>19</v>
      </c>
      <c r="AL276" s="7" t="s">
        <v>93</v>
      </c>
      <c r="AN276" s="7" t="s">
        <v>1951</v>
      </c>
      <c r="AT276" s="7" t="str">
        <f t="shared" si="78"/>
        <v>None</v>
      </c>
      <c r="AU276" s="7" t="str">
        <f t="shared" si="72"/>
        <v>None</v>
      </c>
      <c r="AV276" s="7" t="str">
        <f t="shared" si="73"/>
        <v/>
      </c>
      <c r="AW276" s="7" t="str">
        <f t="shared" si="74"/>
        <v/>
      </c>
      <c r="AX276" s="7" t="str">
        <f t="shared" si="75"/>
        <v/>
      </c>
      <c r="BB276" s="7" t="str">
        <f t="shared" si="79"/>
        <v/>
      </c>
      <c r="BC276" s="7" t="str">
        <f t="shared" si="76"/>
        <v>No</v>
      </c>
      <c r="BD276" s="7" t="s">
        <v>1969</v>
      </c>
      <c r="BG276" s="7" t="s">
        <v>2072</v>
      </c>
      <c r="BQ276" s="22"/>
      <c r="CD276" s="7" t="s">
        <v>361</v>
      </c>
      <c r="CF276" s="25"/>
      <c r="CH276" s="7" t="str">
        <f t="shared" si="77"/>
        <v/>
      </c>
    </row>
    <row r="277" spans="1:103">
      <c r="A277" s="7" t="s">
        <v>1123</v>
      </c>
      <c r="B277" s="7">
        <v>224</v>
      </c>
      <c r="C277" s="7" t="s">
        <v>73</v>
      </c>
      <c r="I277" s="24" t="str">
        <f t="shared" si="68"/>
        <v/>
      </c>
      <c r="L277" s="7" t="str">
        <f t="shared" si="69"/>
        <v>T</v>
      </c>
      <c r="M277" s="21">
        <f t="shared" si="70"/>
        <v>2030</v>
      </c>
      <c r="N277" s="7">
        <v>2020</v>
      </c>
      <c r="T277" s="7" t="str">
        <f t="shared" si="71"/>
        <v>Nothing</v>
      </c>
      <c r="U277" s="7" t="s">
        <v>1</v>
      </c>
      <c r="AD277" s="24">
        <v>50716</v>
      </c>
      <c r="AE277" s="7">
        <v>-6.0000000000000001E-3</v>
      </c>
      <c r="AF277" s="7" t="s">
        <v>2977</v>
      </c>
      <c r="AG277" s="7">
        <v>0.115</v>
      </c>
      <c r="AH277" s="7" t="s">
        <v>2976</v>
      </c>
      <c r="AI277" s="7">
        <v>63000</v>
      </c>
      <c r="AJ277" s="7">
        <v>-12</v>
      </c>
      <c r="AK277" s="7">
        <v>11</v>
      </c>
      <c r="AL277" s="7" t="s">
        <v>204</v>
      </c>
      <c r="AN277" s="7" t="s">
        <v>1994</v>
      </c>
      <c r="AT277" s="7" t="str">
        <f t="shared" si="78"/>
        <v>SBT</v>
      </c>
      <c r="AU277" s="7" t="str">
        <f t="shared" si="72"/>
        <v>SBT</v>
      </c>
      <c r="AV277" s="7" t="str">
        <f t="shared" si="73"/>
        <v/>
      </c>
      <c r="AW277" s="7">
        <f t="shared" si="74"/>
        <v>2020</v>
      </c>
      <c r="AX277" s="7" t="str">
        <f t="shared" si="75"/>
        <v/>
      </c>
      <c r="BB277" s="7" t="str">
        <f t="shared" si="79"/>
        <v>Yes</v>
      </c>
      <c r="BC277" s="7" t="str">
        <f t="shared" si="76"/>
        <v>No</v>
      </c>
      <c r="BD277" s="7" t="s">
        <v>1</v>
      </c>
      <c r="BH277" s="7" t="s">
        <v>22</v>
      </c>
      <c r="BI277" s="7" t="s">
        <v>2499</v>
      </c>
      <c r="BJ277" s="7" t="s">
        <v>2498</v>
      </c>
      <c r="BM277" s="7" t="s">
        <v>2975</v>
      </c>
      <c r="BN277" s="7">
        <v>2030</v>
      </c>
      <c r="BO277" s="7">
        <v>2030</v>
      </c>
      <c r="BP277" s="7">
        <v>2030</v>
      </c>
      <c r="BQ277" s="22"/>
      <c r="CH277" s="7" t="str">
        <f t="shared" si="77"/>
        <v/>
      </c>
    </row>
    <row r="278" spans="1:103">
      <c r="A278" s="7" t="s">
        <v>1208</v>
      </c>
      <c r="B278" s="7">
        <v>207</v>
      </c>
      <c r="C278" s="7" t="s">
        <v>114</v>
      </c>
      <c r="D278" s="7" t="s">
        <v>1957</v>
      </c>
      <c r="E278" s="7" t="s">
        <v>1659</v>
      </c>
      <c r="F278" s="7">
        <v>2030</v>
      </c>
      <c r="G278" s="7">
        <v>2019</v>
      </c>
      <c r="H278" s="8" t="s">
        <v>2974</v>
      </c>
      <c r="I278" s="24" t="str">
        <f t="shared" si="68"/>
        <v/>
      </c>
      <c r="L278" s="7" t="str">
        <f t="shared" si="69"/>
        <v/>
      </c>
      <c r="M278" s="21" t="str">
        <f t="shared" si="70"/>
        <v/>
      </c>
      <c r="N278" s="7" t="s">
        <v>1960</v>
      </c>
      <c r="O278" s="7" t="s">
        <v>1957</v>
      </c>
      <c r="P278" s="7" t="s">
        <v>1659</v>
      </c>
      <c r="Q278" s="7">
        <v>2030</v>
      </c>
      <c r="R278" s="7">
        <v>2019</v>
      </c>
      <c r="S278" s="8" t="s">
        <v>2970</v>
      </c>
      <c r="T278" s="7" t="str">
        <f t="shared" si="71"/>
        <v/>
      </c>
      <c r="U278" s="7" t="s">
        <v>1969</v>
      </c>
      <c r="V278" s="7" t="s">
        <v>2973</v>
      </c>
      <c r="X278" s="23" t="s">
        <v>2972</v>
      </c>
      <c r="Z278" s="23" t="s">
        <v>2971</v>
      </c>
      <c r="AA278" s="7" t="s">
        <v>2807</v>
      </c>
      <c r="AB278" s="8" t="s">
        <v>2970</v>
      </c>
      <c r="AD278" s="24">
        <v>53464</v>
      </c>
      <c r="AE278" s="7">
        <v>-4.1000000000000002E-2</v>
      </c>
      <c r="AF278" s="7" t="s">
        <v>2969</v>
      </c>
      <c r="AG278" s="7">
        <v>-0.97599999999999998</v>
      </c>
      <c r="AH278" s="7" t="s">
        <v>2968</v>
      </c>
      <c r="AI278" s="7">
        <v>74000</v>
      </c>
      <c r="AJ278" s="7">
        <v>-22</v>
      </c>
      <c r="AK278" s="7">
        <v>20</v>
      </c>
      <c r="AL278" s="7" t="s">
        <v>39</v>
      </c>
      <c r="AN278" s="7" t="s">
        <v>1994</v>
      </c>
      <c r="AT278" s="7" t="str">
        <f t="shared" si="78"/>
        <v>CN</v>
      </c>
      <c r="AU278" s="7" t="str">
        <f t="shared" si="72"/>
        <v>CN</v>
      </c>
      <c r="AV278" s="7">
        <f t="shared" si="73"/>
        <v>2019</v>
      </c>
      <c r="AW278" s="7" t="str">
        <f t="shared" si="74"/>
        <v/>
      </c>
      <c r="AX278" s="7" t="str">
        <f t="shared" si="75"/>
        <v/>
      </c>
      <c r="BB278" s="7" t="str">
        <f t="shared" si="79"/>
        <v/>
      </c>
      <c r="BC278" s="7" t="str">
        <f t="shared" si="76"/>
        <v>Carbon Neutral</v>
      </c>
      <c r="BD278" s="7" t="s">
        <v>2118</v>
      </c>
      <c r="BG278" s="7" t="s">
        <v>2471</v>
      </c>
      <c r="BQ278" s="22"/>
      <c r="CD278" s="7" t="s">
        <v>361</v>
      </c>
      <c r="CE278" s="7">
        <v>2030</v>
      </c>
      <c r="CF278" s="7" t="s">
        <v>2092</v>
      </c>
      <c r="CH278" s="7" t="str">
        <f t="shared" si="77"/>
        <v/>
      </c>
    </row>
    <row r="279" spans="1:103">
      <c r="A279" s="7" t="s">
        <v>908</v>
      </c>
      <c r="B279" s="7">
        <v>278</v>
      </c>
      <c r="I279" s="24" t="str">
        <f t="shared" si="68"/>
        <v/>
      </c>
      <c r="L279" s="7" t="str">
        <f t="shared" si="69"/>
        <v/>
      </c>
      <c r="M279" s="21" t="str">
        <f t="shared" si="70"/>
        <v/>
      </c>
      <c r="N279" s="7" t="s">
        <v>1960</v>
      </c>
      <c r="T279" s="7" t="str">
        <f t="shared" si="71"/>
        <v>Nothing</v>
      </c>
      <c r="U279" s="7" t="s">
        <v>1963</v>
      </c>
      <c r="AC279" s="26" t="s">
        <v>2967</v>
      </c>
      <c r="AD279" s="24">
        <v>43228</v>
      </c>
      <c r="AE279" s="7">
        <v>1.2999999999999999E-2</v>
      </c>
      <c r="AF279" s="7" t="s">
        <v>2966</v>
      </c>
      <c r="AG279" s="7">
        <v>-0.51700000000000002</v>
      </c>
      <c r="AH279" s="7" t="s">
        <v>2965</v>
      </c>
      <c r="AI279" s="7">
        <v>45000</v>
      </c>
      <c r="AJ279" s="7" t="s">
        <v>9</v>
      </c>
      <c r="AK279" s="7">
        <v>26</v>
      </c>
      <c r="AT279" s="7" t="str">
        <f t="shared" si="78"/>
        <v>None</v>
      </c>
      <c r="AU279" s="7" t="str">
        <f t="shared" si="72"/>
        <v>None</v>
      </c>
      <c r="AV279" s="7" t="str">
        <f t="shared" si="73"/>
        <v/>
      </c>
      <c r="AW279" s="7" t="str">
        <f t="shared" si="74"/>
        <v/>
      </c>
      <c r="AX279" s="7" t="str">
        <f t="shared" si="75"/>
        <v/>
      </c>
      <c r="BB279" s="7" t="str">
        <f t="shared" si="79"/>
        <v/>
      </c>
      <c r="BC279" s="7" t="str">
        <f t="shared" si="76"/>
        <v>No</v>
      </c>
      <c r="BD279" s="7" t="s">
        <v>1963</v>
      </c>
      <c r="BF279" s="7" t="s">
        <v>2964</v>
      </c>
      <c r="BQ279" s="22"/>
      <c r="CH279" s="7" t="str">
        <f t="shared" si="77"/>
        <v/>
      </c>
    </row>
    <row r="280" spans="1:103">
      <c r="A280" s="7" t="s">
        <v>2963</v>
      </c>
      <c r="B280" s="7">
        <v>444</v>
      </c>
      <c r="C280" s="7" t="s">
        <v>2070</v>
      </c>
      <c r="I280" s="24" t="str">
        <f t="shared" si="68"/>
        <v/>
      </c>
      <c r="L280" s="7" t="str">
        <f t="shared" si="69"/>
        <v>C</v>
      </c>
      <c r="M280" s="21" t="str">
        <f t="shared" si="70"/>
        <v/>
      </c>
      <c r="N280" s="7">
        <v>2020</v>
      </c>
      <c r="T280" s="7" t="str">
        <f t="shared" si="71"/>
        <v>Nothing</v>
      </c>
      <c r="U280" s="7" t="s">
        <v>1963</v>
      </c>
      <c r="AD280" s="24">
        <v>28677</v>
      </c>
      <c r="AE280" s="7">
        <v>0.876</v>
      </c>
      <c r="AF280" s="7" t="s">
        <v>2962</v>
      </c>
      <c r="AG280" s="7">
        <v>-0.47799999999999998</v>
      </c>
      <c r="AH280" s="7" t="s">
        <v>2961</v>
      </c>
      <c r="AI280" s="7">
        <v>79886</v>
      </c>
      <c r="AJ280" s="7" t="s">
        <v>9</v>
      </c>
      <c r="AK280" s="7">
        <v>1</v>
      </c>
      <c r="AL280" s="7" t="s">
        <v>66</v>
      </c>
      <c r="AN280" s="7" t="s">
        <v>1951</v>
      </c>
      <c r="AT280" s="7" t="str">
        <f t="shared" si="78"/>
        <v>SBT</v>
      </c>
      <c r="AU280" s="7" t="str">
        <f t="shared" si="72"/>
        <v>SBT</v>
      </c>
      <c r="AV280" s="7" t="str">
        <f t="shared" si="73"/>
        <v/>
      </c>
      <c r="AW280" s="7">
        <f t="shared" si="74"/>
        <v>2020</v>
      </c>
      <c r="AX280" s="7" t="str">
        <f t="shared" si="75"/>
        <v/>
      </c>
      <c r="BB280" s="7" t="str">
        <f t="shared" si="79"/>
        <v>Yes</v>
      </c>
      <c r="BC280" s="7" t="str">
        <f t="shared" si="76"/>
        <v>No</v>
      </c>
      <c r="BD280" s="7" t="s">
        <v>1963</v>
      </c>
      <c r="BH280" s="7" t="s">
        <v>165</v>
      </c>
      <c r="BJ280" s="7" t="s">
        <v>2960</v>
      </c>
      <c r="BQ280" s="22"/>
      <c r="CH280" s="7" t="str">
        <f t="shared" si="77"/>
        <v/>
      </c>
    </row>
    <row r="281" spans="1:103">
      <c r="A281" s="7" t="s">
        <v>651</v>
      </c>
      <c r="B281" s="7">
        <v>170</v>
      </c>
      <c r="C281" s="7" t="s">
        <v>2070</v>
      </c>
      <c r="I281" s="24" t="str">
        <f t="shared" si="68"/>
        <v>Yes</v>
      </c>
      <c r="J281" s="7" t="s">
        <v>2034</v>
      </c>
      <c r="K281" s="7">
        <v>2019</v>
      </c>
      <c r="L281" s="7" t="str">
        <f t="shared" si="69"/>
        <v/>
      </c>
      <c r="M281" s="21" t="str">
        <f t="shared" si="70"/>
        <v/>
      </c>
      <c r="N281" s="7" t="s">
        <v>1960</v>
      </c>
      <c r="T281" s="7" t="str">
        <f t="shared" si="71"/>
        <v>Nothing</v>
      </c>
      <c r="U281" s="7" t="s">
        <v>1</v>
      </c>
      <c r="AC281" s="8" t="s">
        <v>2953</v>
      </c>
      <c r="AD281" s="24">
        <v>64297</v>
      </c>
      <c r="AE281" s="7">
        <v>0.82399999999999995</v>
      </c>
      <c r="AF281" s="7" t="s">
        <v>2959</v>
      </c>
      <c r="AG281" s="7">
        <v>-0.35</v>
      </c>
      <c r="AH281" s="7" t="s">
        <v>2958</v>
      </c>
      <c r="AI281" s="7">
        <v>63069</v>
      </c>
      <c r="AJ281" s="7">
        <v>183</v>
      </c>
      <c r="AK281" s="7">
        <v>26</v>
      </c>
      <c r="AL281" s="7" t="s">
        <v>93</v>
      </c>
      <c r="AN281" s="7" t="s">
        <v>1951</v>
      </c>
      <c r="AT281" s="7" t="str">
        <f t="shared" si="78"/>
        <v>None</v>
      </c>
      <c r="AU281" s="7" t="str">
        <f t="shared" si="72"/>
        <v>None</v>
      </c>
      <c r="AV281" s="7" t="str">
        <f t="shared" si="73"/>
        <v/>
      </c>
      <c r="AW281" s="7" t="str">
        <f t="shared" si="74"/>
        <v/>
      </c>
      <c r="AX281" s="7" t="str">
        <f t="shared" si="75"/>
        <v/>
      </c>
      <c r="BB281" s="7" t="str">
        <f t="shared" si="79"/>
        <v/>
      </c>
      <c r="BC281" s="7" t="str">
        <f t="shared" si="76"/>
        <v>No</v>
      </c>
      <c r="BD281" s="7" t="s">
        <v>1</v>
      </c>
      <c r="BF281" s="46" t="s">
        <v>2957</v>
      </c>
      <c r="BQ281" s="22"/>
      <c r="CG281" s="7" t="s">
        <v>2070</v>
      </c>
      <c r="CH281" s="7" t="str">
        <f t="shared" si="77"/>
        <v/>
      </c>
      <c r="CI281" s="7" t="s">
        <v>2956</v>
      </c>
      <c r="CJ281" s="7">
        <v>0.99</v>
      </c>
      <c r="CK281" s="7" t="s">
        <v>13</v>
      </c>
      <c r="CL281" s="7" t="s">
        <v>13</v>
      </c>
      <c r="CM281" s="7" t="s">
        <v>13</v>
      </c>
      <c r="CN281" s="7" t="s">
        <v>13</v>
      </c>
      <c r="CO281" s="7" t="s">
        <v>2955</v>
      </c>
      <c r="CP281" s="7" t="s">
        <v>1945</v>
      </c>
      <c r="CQ281" s="7" t="s">
        <v>2954</v>
      </c>
      <c r="CR281" s="8" t="s">
        <v>2953</v>
      </c>
    </row>
    <row r="282" spans="1:103">
      <c r="A282" s="7" t="s">
        <v>1176</v>
      </c>
      <c r="B282" s="7">
        <v>182</v>
      </c>
      <c r="I282" s="24" t="str">
        <f t="shared" si="68"/>
        <v/>
      </c>
      <c r="L282" s="7" t="str">
        <f t="shared" si="69"/>
        <v/>
      </c>
      <c r="M282" s="21" t="str">
        <f t="shared" si="70"/>
        <v/>
      </c>
      <c r="N282" s="7" t="s">
        <v>1960</v>
      </c>
      <c r="T282" s="7" t="str">
        <f t="shared" si="71"/>
        <v>Nothing</v>
      </c>
      <c r="U282" s="7" t="s">
        <v>1</v>
      </c>
      <c r="AC282" s="8" t="s">
        <v>2952</v>
      </c>
      <c r="AD282" s="24">
        <v>59812</v>
      </c>
      <c r="AE282" s="7">
        <v>0.113</v>
      </c>
      <c r="AF282" s="7" t="s">
        <v>2951</v>
      </c>
      <c r="AG282" s="7">
        <v>0.23499999999999999</v>
      </c>
      <c r="AH282" s="7" t="s">
        <v>2950</v>
      </c>
      <c r="AI282" s="7">
        <v>110000</v>
      </c>
      <c r="AJ282" s="7">
        <v>15</v>
      </c>
      <c r="AK282" s="7">
        <v>26</v>
      </c>
      <c r="AT282" s="7" t="str">
        <f t="shared" si="78"/>
        <v>None</v>
      </c>
      <c r="AU282" s="7" t="str">
        <f t="shared" si="72"/>
        <v>None</v>
      </c>
      <c r="AV282" s="7" t="str">
        <f t="shared" si="73"/>
        <v/>
      </c>
      <c r="AW282" s="7" t="str">
        <f t="shared" si="74"/>
        <v/>
      </c>
      <c r="AX282" s="7" t="str">
        <f t="shared" si="75"/>
        <v/>
      </c>
      <c r="BB282" s="7" t="str">
        <f t="shared" si="79"/>
        <v/>
      </c>
      <c r="BC282" s="7" t="str">
        <f t="shared" si="76"/>
        <v>No</v>
      </c>
      <c r="BD282" s="7" t="s">
        <v>1</v>
      </c>
      <c r="BF282" s="46" t="s">
        <v>2949</v>
      </c>
      <c r="BQ282" s="22"/>
      <c r="CH282" s="7" t="str">
        <f t="shared" si="77"/>
        <v/>
      </c>
      <c r="CX282" s="7" t="s">
        <v>361</v>
      </c>
      <c r="CY282" s="7" t="s">
        <v>361</v>
      </c>
    </row>
    <row r="283" spans="1:103">
      <c r="A283" s="7" t="s">
        <v>512</v>
      </c>
      <c r="B283" s="7">
        <v>375</v>
      </c>
      <c r="C283" s="7" t="s">
        <v>63</v>
      </c>
      <c r="D283" s="7" t="s">
        <v>1957</v>
      </c>
      <c r="E283" s="7" t="s">
        <v>2948</v>
      </c>
      <c r="F283" s="7">
        <v>2020</v>
      </c>
      <c r="G283" s="7">
        <v>2019</v>
      </c>
      <c r="H283" s="26" t="s">
        <v>2947</v>
      </c>
      <c r="I283" s="24" t="str">
        <f t="shared" si="68"/>
        <v/>
      </c>
      <c r="L283" s="7" t="str">
        <f t="shared" si="69"/>
        <v>T</v>
      </c>
      <c r="M283" s="21">
        <f t="shared" si="70"/>
        <v>2026.6666666666667</v>
      </c>
      <c r="N283" s="7">
        <v>2018</v>
      </c>
      <c r="O283" s="7" t="s">
        <v>1971</v>
      </c>
      <c r="P283" s="7" t="s">
        <v>2946</v>
      </c>
      <c r="Q283" s="7">
        <v>2050</v>
      </c>
      <c r="R283" s="7">
        <v>2019</v>
      </c>
      <c r="S283" s="26" t="s">
        <v>2941</v>
      </c>
      <c r="T283" s="7" t="str">
        <f t="shared" si="71"/>
        <v/>
      </c>
      <c r="U283" s="7" t="s">
        <v>1969</v>
      </c>
      <c r="V283" s="7" t="s">
        <v>2945</v>
      </c>
      <c r="X283" s="7" t="s">
        <v>2944</v>
      </c>
      <c r="Y283" s="7" t="s">
        <v>2943</v>
      </c>
      <c r="Z283" s="7" t="s">
        <v>2942</v>
      </c>
      <c r="AB283" s="26" t="s">
        <v>2941</v>
      </c>
      <c r="AD283" s="24">
        <v>33436</v>
      </c>
      <c r="AE283" s="7">
        <v>5.1999999999999998E-2</v>
      </c>
      <c r="AF283" s="7" t="s">
        <v>2940</v>
      </c>
      <c r="AG283" s="7">
        <v>-8.6999999999999994E-2</v>
      </c>
      <c r="AH283" s="7" t="s">
        <v>2939</v>
      </c>
      <c r="AI283" s="7">
        <v>87974</v>
      </c>
      <c r="AJ283" s="7">
        <v>21</v>
      </c>
      <c r="AK283" s="7">
        <v>26</v>
      </c>
      <c r="AL283" s="7" t="s">
        <v>39</v>
      </c>
      <c r="AN283" s="7" t="s">
        <v>1951</v>
      </c>
      <c r="AT283" s="7" t="str">
        <f t="shared" si="78"/>
        <v>CN &amp; SBT</v>
      </c>
      <c r="AU283" s="7" t="str">
        <f t="shared" si="72"/>
        <v>CN &amp; SBT</v>
      </c>
      <c r="AV283" s="7">
        <f t="shared" si="73"/>
        <v>2019</v>
      </c>
      <c r="AW283" s="7">
        <f t="shared" si="74"/>
        <v>2018</v>
      </c>
      <c r="AX283" s="7" t="str">
        <f t="shared" si="75"/>
        <v/>
      </c>
      <c r="BB283" s="7" t="str">
        <f t="shared" si="79"/>
        <v>Yes</v>
      </c>
      <c r="BC283" s="7" t="str">
        <f t="shared" si="76"/>
        <v>Carbon Neutral</v>
      </c>
      <c r="BD283" s="7" t="s">
        <v>1969</v>
      </c>
      <c r="BF283" s="7" t="s">
        <v>2938</v>
      </c>
      <c r="BG283" s="7" t="s">
        <v>2471</v>
      </c>
      <c r="BH283" s="7" t="s">
        <v>22</v>
      </c>
      <c r="BI283" s="7" t="s">
        <v>2156</v>
      </c>
      <c r="BJ283" s="7" t="s">
        <v>499</v>
      </c>
      <c r="BM283" s="7" t="s">
        <v>2937</v>
      </c>
      <c r="BN283" s="7">
        <v>2025</v>
      </c>
      <c r="BO283" s="7">
        <v>2025</v>
      </c>
      <c r="BP283" s="7">
        <v>2030</v>
      </c>
      <c r="BQ283" s="22"/>
      <c r="CD283" s="7" t="s">
        <v>361</v>
      </c>
      <c r="CE283" s="7">
        <v>2020</v>
      </c>
      <c r="CH283" s="7" t="str">
        <f t="shared" si="77"/>
        <v/>
      </c>
      <c r="CX283" s="7" t="s">
        <v>361</v>
      </c>
    </row>
    <row r="284" spans="1:103">
      <c r="A284" s="7" t="s">
        <v>823</v>
      </c>
      <c r="B284" s="7">
        <v>371</v>
      </c>
      <c r="I284" s="24" t="str">
        <f t="shared" si="68"/>
        <v/>
      </c>
      <c r="L284" s="7" t="str">
        <f t="shared" si="69"/>
        <v/>
      </c>
      <c r="M284" s="21" t="str">
        <f t="shared" si="70"/>
        <v/>
      </c>
      <c r="N284" s="7" t="s">
        <v>1960</v>
      </c>
      <c r="T284" s="7" t="str">
        <f t="shared" si="71"/>
        <v>Nothing</v>
      </c>
      <c r="U284" s="7" t="s">
        <v>1963</v>
      </c>
      <c r="AC284" s="26" t="s">
        <v>2936</v>
      </c>
      <c r="AD284" s="24">
        <v>33786</v>
      </c>
      <c r="AE284" s="7">
        <v>-0.16700000000000001</v>
      </c>
      <c r="AF284" s="7" t="s">
        <v>2935</v>
      </c>
      <c r="AG284" s="7">
        <v>-0.35199999999999998</v>
      </c>
      <c r="AH284" s="7" t="s">
        <v>2934</v>
      </c>
      <c r="AI284" s="7">
        <v>16509</v>
      </c>
      <c r="AJ284" s="7">
        <v>-69</v>
      </c>
      <c r="AK284" s="7">
        <v>7</v>
      </c>
      <c r="AT284" s="7" t="str">
        <f t="shared" si="78"/>
        <v>None</v>
      </c>
      <c r="AU284" s="7" t="str">
        <f t="shared" si="72"/>
        <v>None</v>
      </c>
      <c r="AV284" s="7" t="str">
        <f t="shared" si="73"/>
        <v/>
      </c>
      <c r="AW284" s="7" t="str">
        <f t="shared" si="74"/>
        <v/>
      </c>
      <c r="AX284" s="7" t="str">
        <f t="shared" si="75"/>
        <v/>
      </c>
      <c r="BB284" s="7" t="str">
        <f t="shared" si="79"/>
        <v/>
      </c>
      <c r="BC284" s="7" t="str">
        <f t="shared" si="76"/>
        <v>No</v>
      </c>
      <c r="BD284" s="7" t="s">
        <v>1963</v>
      </c>
      <c r="BF284" s="7" t="s">
        <v>2933</v>
      </c>
      <c r="BQ284" s="22"/>
      <c r="CH284" s="7" t="str">
        <f t="shared" si="77"/>
        <v/>
      </c>
    </row>
    <row r="285" spans="1:103">
      <c r="A285" s="7" t="s">
        <v>1389</v>
      </c>
      <c r="B285" s="7">
        <v>137</v>
      </c>
      <c r="C285" s="7" t="s">
        <v>127</v>
      </c>
      <c r="I285" s="24" t="str">
        <f t="shared" si="68"/>
        <v>Yes</v>
      </c>
      <c r="J285" s="25">
        <v>2025</v>
      </c>
      <c r="K285" s="25">
        <v>2018</v>
      </c>
      <c r="L285" s="7" t="str">
        <f t="shared" si="69"/>
        <v/>
      </c>
      <c r="M285" s="21" t="str">
        <f t="shared" si="70"/>
        <v/>
      </c>
      <c r="N285" s="7" t="s">
        <v>1960</v>
      </c>
      <c r="T285" s="7" t="str">
        <f t="shared" si="71"/>
        <v>Nothing</v>
      </c>
      <c r="U285" s="7" t="s">
        <v>1</v>
      </c>
      <c r="AD285" s="24">
        <v>72148</v>
      </c>
      <c r="AE285" s="7">
        <v>1.2E-2</v>
      </c>
      <c r="AF285" s="7" t="s">
        <v>2932</v>
      </c>
      <c r="AG285" s="7">
        <v>0.85</v>
      </c>
      <c r="AH285" s="7" t="s">
        <v>2931</v>
      </c>
      <c r="AI285" s="7">
        <v>260000</v>
      </c>
      <c r="AJ285" s="7">
        <v>-4</v>
      </c>
      <c r="AK285" s="7">
        <v>23</v>
      </c>
      <c r="AL285" s="7" t="s">
        <v>454</v>
      </c>
      <c r="AN285" s="7" t="s">
        <v>2029</v>
      </c>
      <c r="AT285" s="7" t="str">
        <f t="shared" si="78"/>
        <v>RE100</v>
      </c>
      <c r="AU285" s="7" t="str">
        <f t="shared" si="72"/>
        <v>RE100</v>
      </c>
      <c r="AV285" s="7" t="str">
        <f t="shared" si="73"/>
        <v/>
      </c>
      <c r="AW285" s="7" t="str">
        <f t="shared" si="74"/>
        <v/>
      </c>
      <c r="AX285" s="7">
        <f t="shared" si="75"/>
        <v>2018</v>
      </c>
      <c r="BB285" s="7" t="str">
        <f t="shared" si="79"/>
        <v/>
      </c>
      <c r="BC285" s="7" t="str">
        <f t="shared" si="76"/>
        <v>No</v>
      </c>
      <c r="BD285" s="7" t="s">
        <v>1</v>
      </c>
      <c r="BQ285" s="22"/>
      <c r="CG285" s="25" t="s">
        <v>2070</v>
      </c>
      <c r="CH285" s="7" t="str">
        <f t="shared" si="77"/>
        <v>yes</v>
      </c>
      <c r="CI285" s="25" t="s">
        <v>13</v>
      </c>
      <c r="CJ285" s="25">
        <v>0.26</v>
      </c>
      <c r="CK285" s="25" t="s">
        <v>13</v>
      </c>
      <c r="CL285" s="25" t="s">
        <v>13</v>
      </c>
      <c r="CM285" s="25" t="s">
        <v>13</v>
      </c>
      <c r="CN285" s="25" t="s">
        <v>13</v>
      </c>
      <c r="CO285" s="25" t="s">
        <v>2930</v>
      </c>
    </row>
    <row r="286" spans="1:103">
      <c r="A286" s="7" t="s">
        <v>892</v>
      </c>
      <c r="B286" s="7">
        <v>304</v>
      </c>
      <c r="I286" s="24" t="str">
        <f t="shared" si="68"/>
        <v/>
      </c>
      <c r="J286" s="25"/>
      <c r="K286" s="25"/>
      <c r="L286" s="7" t="str">
        <f t="shared" si="69"/>
        <v/>
      </c>
      <c r="M286" s="21" t="str">
        <f t="shared" si="70"/>
        <v/>
      </c>
      <c r="N286" s="7" t="s">
        <v>1960</v>
      </c>
      <c r="T286" s="7" t="str">
        <f t="shared" si="71"/>
        <v>Nothing</v>
      </c>
      <c r="U286" s="7" t="s">
        <v>1963</v>
      </c>
      <c r="AC286" s="26" t="s">
        <v>2929</v>
      </c>
      <c r="AD286" s="24">
        <v>40768</v>
      </c>
      <c r="AE286" s="7">
        <v>-3.5999999999999997E-2</v>
      </c>
      <c r="AF286" s="7" t="s">
        <v>2928</v>
      </c>
      <c r="AG286" s="7">
        <v>-0.46800000000000003</v>
      </c>
      <c r="AH286" s="7" t="s">
        <v>2927</v>
      </c>
      <c r="AI286" s="7">
        <v>118292</v>
      </c>
      <c r="AJ286" s="7">
        <v>-20</v>
      </c>
      <c r="AK286" s="7">
        <v>26</v>
      </c>
      <c r="AT286" s="7" t="str">
        <f t="shared" si="78"/>
        <v>None</v>
      </c>
      <c r="AU286" s="7" t="str">
        <f t="shared" si="72"/>
        <v>None</v>
      </c>
      <c r="AV286" s="7" t="str">
        <f t="shared" si="73"/>
        <v/>
      </c>
      <c r="AW286" s="7" t="str">
        <f t="shared" si="74"/>
        <v/>
      </c>
      <c r="AX286" s="7" t="str">
        <f t="shared" si="75"/>
        <v/>
      </c>
      <c r="BB286" s="7" t="str">
        <f t="shared" si="79"/>
        <v/>
      </c>
      <c r="BC286" s="7" t="str">
        <f t="shared" si="76"/>
        <v>No</v>
      </c>
      <c r="BD286" s="7" t="s">
        <v>1963</v>
      </c>
      <c r="BF286" s="7" t="s">
        <v>2926</v>
      </c>
      <c r="BQ286" s="22"/>
      <c r="CG286" s="25"/>
      <c r="CH286" s="7" t="str">
        <f t="shared" si="77"/>
        <v/>
      </c>
      <c r="CI286" s="25"/>
      <c r="CJ286" s="25"/>
      <c r="CK286" s="25"/>
      <c r="CL286" s="25"/>
      <c r="CM286" s="25"/>
      <c r="CN286" s="25"/>
      <c r="CO286" s="25"/>
    </row>
    <row r="287" spans="1:103">
      <c r="A287" s="7" t="s">
        <v>1716</v>
      </c>
      <c r="B287" s="7">
        <v>57</v>
      </c>
      <c r="I287" s="24" t="str">
        <f t="shared" si="68"/>
        <v/>
      </c>
      <c r="J287" s="25"/>
      <c r="K287" s="25"/>
      <c r="L287" s="7" t="str">
        <f t="shared" si="69"/>
        <v/>
      </c>
      <c r="M287" s="21" t="str">
        <f t="shared" si="70"/>
        <v/>
      </c>
      <c r="N287" s="7" t="s">
        <v>1960</v>
      </c>
      <c r="T287" s="7" t="str">
        <f t="shared" si="71"/>
        <v>Nothing</v>
      </c>
      <c r="U287" s="7" t="s">
        <v>1</v>
      </c>
      <c r="AC287" s="26" t="s">
        <v>2925</v>
      </c>
      <c r="AD287" s="24">
        <v>114621</v>
      </c>
      <c r="AE287" s="7">
        <v>-3.7999999999999999E-2</v>
      </c>
      <c r="AF287" s="7" t="s">
        <v>2924</v>
      </c>
      <c r="AG287" s="7">
        <v>3.0000000000000001E-3</v>
      </c>
      <c r="AH287" s="7" t="s">
        <v>2923</v>
      </c>
      <c r="AI287" s="7">
        <v>101000</v>
      </c>
      <c r="AJ287" s="7">
        <v>-7</v>
      </c>
      <c r="AK287" s="7">
        <v>21</v>
      </c>
      <c r="AT287" s="7" t="str">
        <f t="shared" si="78"/>
        <v>None</v>
      </c>
      <c r="AU287" s="7" t="str">
        <f t="shared" si="72"/>
        <v>None</v>
      </c>
      <c r="AV287" s="7" t="str">
        <f t="shared" si="73"/>
        <v/>
      </c>
      <c r="AW287" s="7" t="str">
        <f t="shared" si="74"/>
        <v/>
      </c>
      <c r="AX287" s="7" t="str">
        <f t="shared" si="75"/>
        <v/>
      </c>
      <c r="BB287" s="7" t="str">
        <f t="shared" si="79"/>
        <v/>
      </c>
      <c r="BC287" s="7" t="str">
        <f t="shared" si="76"/>
        <v>No</v>
      </c>
      <c r="BD287" s="7" t="s">
        <v>1</v>
      </c>
      <c r="BF287" s="7" t="s">
        <v>2922</v>
      </c>
      <c r="BQ287" s="22"/>
      <c r="CG287" s="25"/>
      <c r="CH287" s="7" t="str">
        <f t="shared" si="77"/>
        <v/>
      </c>
      <c r="CI287" s="25"/>
      <c r="CJ287" s="25"/>
      <c r="CK287" s="25"/>
      <c r="CL287" s="25"/>
      <c r="CM287" s="25"/>
      <c r="CN287" s="25"/>
      <c r="CO287" s="25"/>
    </row>
    <row r="288" spans="1:103">
      <c r="A288" s="7" t="s">
        <v>771</v>
      </c>
      <c r="B288" s="7">
        <v>360</v>
      </c>
      <c r="I288" s="24" t="str">
        <f t="shared" si="68"/>
        <v/>
      </c>
      <c r="J288" s="25"/>
      <c r="K288" s="25"/>
      <c r="L288" s="7" t="str">
        <f t="shared" si="69"/>
        <v/>
      </c>
      <c r="M288" s="21" t="str">
        <f t="shared" si="70"/>
        <v/>
      </c>
      <c r="N288" s="7" t="s">
        <v>1960</v>
      </c>
      <c r="T288" s="7" t="str">
        <f t="shared" si="71"/>
        <v>Nothing</v>
      </c>
      <c r="U288" s="7" t="s">
        <v>1963</v>
      </c>
      <c r="AC288" s="26" t="s">
        <v>2921</v>
      </c>
      <c r="AD288" s="24">
        <v>34727</v>
      </c>
      <c r="AE288" s="7">
        <v>-0.11</v>
      </c>
      <c r="AF288" s="7" t="s">
        <v>2920</v>
      </c>
      <c r="AG288" s="7">
        <v>-0.27700000000000002</v>
      </c>
      <c r="AH288" s="7" t="s">
        <v>2919</v>
      </c>
      <c r="AI288" s="7">
        <v>19100</v>
      </c>
      <c r="AJ288" s="7">
        <v>-44</v>
      </c>
      <c r="AK288" s="7">
        <v>13</v>
      </c>
      <c r="AT288" s="7" t="str">
        <f t="shared" si="78"/>
        <v>None</v>
      </c>
      <c r="AU288" s="7" t="str">
        <f t="shared" si="72"/>
        <v>None</v>
      </c>
      <c r="AV288" s="7" t="str">
        <f t="shared" si="73"/>
        <v/>
      </c>
      <c r="AW288" s="7" t="str">
        <f t="shared" si="74"/>
        <v/>
      </c>
      <c r="AX288" s="7" t="str">
        <f t="shared" si="75"/>
        <v/>
      </c>
      <c r="BB288" s="7" t="str">
        <f t="shared" si="79"/>
        <v/>
      </c>
      <c r="BC288" s="7" t="str">
        <f t="shared" si="76"/>
        <v>No</v>
      </c>
      <c r="BD288" s="7" t="s">
        <v>1963</v>
      </c>
      <c r="BF288" s="7" t="s">
        <v>2918</v>
      </c>
      <c r="BQ288" s="22"/>
      <c r="CG288" s="25"/>
      <c r="CH288" s="7" t="str">
        <f t="shared" si="77"/>
        <v/>
      </c>
      <c r="CI288" s="25"/>
      <c r="CJ288" s="25"/>
      <c r="CK288" s="25"/>
      <c r="CL288" s="25"/>
      <c r="CM288" s="25"/>
      <c r="CN288" s="25"/>
      <c r="CO288" s="25"/>
    </row>
    <row r="289" spans="1:103">
      <c r="A289" s="7" t="s">
        <v>2917</v>
      </c>
      <c r="B289" s="7">
        <v>299</v>
      </c>
      <c r="C289" s="7" t="s">
        <v>2561</v>
      </c>
      <c r="F289" s="7">
        <v>2030</v>
      </c>
      <c r="G289" s="7">
        <v>2020</v>
      </c>
      <c r="I289" s="24" t="str">
        <f t="shared" si="68"/>
        <v/>
      </c>
      <c r="J289" s="25"/>
      <c r="K289" s="25"/>
      <c r="L289" s="7" t="str">
        <f t="shared" si="69"/>
        <v/>
      </c>
      <c r="M289" s="21" t="str">
        <f t="shared" si="70"/>
        <v/>
      </c>
      <c r="N289" s="7" t="s">
        <v>1960</v>
      </c>
      <c r="O289" s="7" t="s">
        <v>1971</v>
      </c>
      <c r="P289" s="7" t="s">
        <v>2916</v>
      </c>
      <c r="Q289" s="29">
        <v>2050</v>
      </c>
      <c r="R289" s="7">
        <v>2020</v>
      </c>
      <c r="S289" s="26" t="s">
        <v>2912</v>
      </c>
      <c r="T289" s="7" t="str">
        <f t="shared" si="71"/>
        <v/>
      </c>
      <c r="U289" s="7" t="s">
        <v>2080</v>
      </c>
      <c r="V289" s="29" t="s">
        <v>2915</v>
      </c>
      <c r="X289" s="7" t="s">
        <v>2914</v>
      </c>
      <c r="Y289" s="7" t="s">
        <v>2913</v>
      </c>
      <c r="AA289" s="7" t="s">
        <v>2807</v>
      </c>
      <c r="AB289" s="26" t="s">
        <v>2912</v>
      </c>
      <c r="AD289" s="24">
        <v>41076</v>
      </c>
      <c r="AE289" s="7" t="s">
        <v>9</v>
      </c>
      <c r="AF289" s="7" t="s">
        <v>2911</v>
      </c>
      <c r="AG289" s="7" t="s">
        <v>9</v>
      </c>
      <c r="AH289" s="7" t="s">
        <v>2910</v>
      </c>
      <c r="AI289" s="7">
        <v>8021</v>
      </c>
      <c r="AJ289" s="7" t="s">
        <v>9</v>
      </c>
      <c r="AK289" s="7">
        <v>1</v>
      </c>
      <c r="AL289" s="7" t="s">
        <v>93</v>
      </c>
      <c r="AN289" s="7" t="s">
        <v>1951</v>
      </c>
      <c r="AT289" s="7" t="str">
        <f t="shared" si="78"/>
        <v>None</v>
      </c>
      <c r="AU289" s="7" t="str">
        <f t="shared" si="72"/>
        <v>None</v>
      </c>
      <c r="AV289" s="7" t="str">
        <f t="shared" si="73"/>
        <v/>
      </c>
      <c r="AW289" s="7" t="str">
        <f t="shared" si="74"/>
        <v/>
      </c>
      <c r="AX289" s="7" t="str">
        <f t="shared" si="75"/>
        <v/>
      </c>
      <c r="BB289" s="7" t="str">
        <f t="shared" si="79"/>
        <v/>
      </c>
      <c r="BC289" s="7" t="str">
        <f t="shared" si="76"/>
        <v>No</v>
      </c>
      <c r="BD289" s="7" t="s">
        <v>2118</v>
      </c>
      <c r="BG289" s="7" t="s">
        <v>2909</v>
      </c>
      <c r="BQ289" s="22"/>
      <c r="CD289" s="7" t="s">
        <v>361</v>
      </c>
      <c r="CF289" s="25"/>
      <c r="CG289" s="25"/>
      <c r="CH289" s="7" t="str">
        <f t="shared" si="77"/>
        <v/>
      </c>
      <c r="CI289" s="25"/>
      <c r="CJ289" s="25"/>
      <c r="CK289" s="25"/>
      <c r="CL289" s="25"/>
      <c r="CM289" s="25"/>
      <c r="CN289" s="25"/>
      <c r="CO289" s="25"/>
    </row>
    <row r="290" spans="1:103">
      <c r="A290" s="7" t="s">
        <v>854</v>
      </c>
      <c r="B290" s="7">
        <v>320</v>
      </c>
      <c r="C290" s="7" t="s">
        <v>858</v>
      </c>
      <c r="F290" s="7">
        <v>2050</v>
      </c>
      <c r="G290" s="7">
        <v>2018</v>
      </c>
      <c r="H290" s="26" t="s">
        <v>2906</v>
      </c>
      <c r="I290" s="24" t="str">
        <f t="shared" si="68"/>
        <v/>
      </c>
      <c r="J290" s="25"/>
      <c r="K290" s="25"/>
      <c r="L290" s="7" t="str">
        <f t="shared" si="69"/>
        <v>C</v>
      </c>
      <c r="M290" s="21" t="str">
        <f t="shared" si="70"/>
        <v/>
      </c>
      <c r="N290" s="7">
        <v>2019</v>
      </c>
      <c r="O290" s="7" t="s">
        <v>1957</v>
      </c>
      <c r="P290" s="7" t="s">
        <v>2908</v>
      </c>
      <c r="Q290" s="7">
        <v>2050</v>
      </c>
      <c r="R290" s="7">
        <v>2018</v>
      </c>
      <c r="S290" s="27" t="s">
        <v>856</v>
      </c>
      <c r="T290" s="7" t="str">
        <f t="shared" si="71"/>
        <v/>
      </c>
      <c r="U290" s="7" t="s">
        <v>2080</v>
      </c>
      <c r="V290" s="7" t="s">
        <v>2227</v>
      </c>
      <c r="X290" s="7" t="s">
        <v>2560</v>
      </c>
      <c r="Y290" s="7" t="s">
        <v>2227</v>
      </c>
      <c r="AA290" s="7" t="s">
        <v>2124</v>
      </c>
      <c r="AB290" s="26" t="s">
        <v>2907</v>
      </c>
      <c r="AC290" s="26" t="s">
        <v>2906</v>
      </c>
      <c r="AD290" s="24">
        <v>39198</v>
      </c>
      <c r="AE290" s="7">
        <v>-0.05</v>
      </c>
      <c r="AF290" s="7" t="s">
        <v>2905</v>
      </c>
      <c r="AG290" s="7">
        <v>-1.0269999999999999</v>
      </c>
      <c r="AH290" s="7" t="s">
        <v>2904</v>
      </c>
      <c r="AI290" s="7">
        <v>83512</v>
      </c>
      <c r="AJ290" s="7">
        <v>-26</v>
      </c>
      <c r="AK290" s="7">
        <v>17</v>
      </c>
      <c r="AL290" s="7" t="s">
        <v>355</v>
      </c>
      <c r="AN290" s="7" t="s">
        <v>1951</v>
      </c>
      <c r="AT290" s="7" t="str">
        <f t="shared" si="78"/>
        <v>SBT</v>
      </c>
      <c r="AU290" s="7" t="str">
        <f t="shared" si="72"/>
        <v>SBT</v>
      </c>
      <c r="AV290" s="7" t="str">
        <f t="shared" si="73"/>
        <v/>
      </c>
      <c r="AW290" s="7">
        <f t="shared" si="74"/>
        <v>2019</v>
      </c>
      <c r="AX290" s="7" t="str">
        <f t="shared" si="75"/>
        <v/>
      </c>
      <c r="BB290" s="7" t="str">
        <f t="shared" si="79"/>
        <v>Yes</v>
      </c>
      <c r="BC290" s="7" t="str">
        <f t="shared" si="76"/>
        <v>No</v>
      </c>
      <c r="BD290" s="7" t="s">
        <v>2118</v>
      </c>
      <c r="BF290" s="7" t="s">
        <v>2903</v>
      </c>
      <c r="BG290" s="7" t="s">
        <v>2471</v>
      </c>
      <c r="BH290" s="7" t="s">
        <v>165</v>
      </c>
      <c r="BJ290" s="7" t="s">
        <v>855</v>
      </c>
      <c r="BQ290" s="22"/>
      <c r="CD290" s="7" t="s">
        <v>361</v>
      </c>
      <c r="CE290" s="7">
        <v>2050</v>
      </c>
      <c r="CG290" s="25"/>
      <c r="CH290" s="7" t="str">
        <f t="shared" si="77"/>
        <v/>
      </c>
      <c r="CI290" s="25"/>
      <c r="CJ290" s="25"/>
      <c r="CK290" s="25"/>
      <c r="CL290" s="25"/>
      <c r="CM290" s="25"/>
      <c r="CN290" s="25"/>
      <c r="CO290" s="25"/>
      <c r="CX290" s="7" t="s">
        <v>361</v>
      </c>
    </row>
    <row r="291" spans="1:103">
      <c r="A291" s="7" t="s">
        <v>828</v>
      </c>
      <c r="B291" s="7">
        <v>315</v>
      </c>
      <c r="I291" s="24" t="str">
        <f t="shared" si="68"/>
        <v/>
      </c>
      <c r="J291" s="25"/>
      <c r="K291" s="25"/>
      <c r="L291" s="7" t="str">
        <f t="shared" si="69"/>
        <v/>
      </c>
      <c r="M291" s="21" t="str">
        <f t="shared" si="70"/>
        <v/>
      </c>
      <c r="N291" s="7" t="s">
        <v>1960</v>
      </c>
      <c r="T291" s="7" t="str">
        <f t="shared" si="71"/>
        <v>Nothing</v>
      </c>
      <c r="U291" s="7" t="s">
        <v>1963</v>
      </c>
      <c r="AC291" s="26" t="s">
        <v>2902</v>
      </c>
      <c r="AD291" s="24">
        <v>39431</v>
      </c>
      <c r="AE291" s="7">
        <v>-3.4000000000000002E-2</v>
      </c>
      <c r="AF291" s="7" t="s">
        <v>2901</v>
      </c>
      <c r="AG291" s="7">
        <v>-0.23100000000000001</v>
      </c>
      <c r="AH291" s="7" t="s">
        <v>2900</v>
      </c>
      <c r="AI291" s="7">
        <v>165000</v>
      </c>
      <c r="AJ291" s="7">
        <v>-16</v>
      </c>
      <c r="AK291" s="7">
        <v>20</v>
      </c>
      <c r="AT291" s="7" t="str">
        <f t="shared" si="78"/>
        <v>None</v>
      </c>
      <c r="AU291" s="7" t="str">
        <f t="shared" si="72"/>
        <v>None</v>
      </c>
      <c r="AV291" s="7" t="str">
        <f t="shared" si="73"/>
        <v/>
      </c>
      <c r="AW291" s="7" t="str">
        <f t="shared" si="74"/>
        <v/>
      </c>
      <c r="AX291" s="7" t="str">
        <f t="shared" si="75"/>
        <v/>
      </c>
      <c r="BB291" s="7" t="str">
        <f t="shared" si="79"/>
        <v/>
      </c>
      <c r="BC291" s="7" t="str">
        <f t="shared" si="76"/>
        <v>No</v>
      </c>
      <c r="BD291" s="7" t="s">
        <v>1963</v>
      </c>
      <c r="BF291" s="7" t="s">
        <v>2899</v>
      </c>
      <c r="BQ291" s="22"/>
      <c r="CG291" s="25"/>
      <c r="CH291" s="7" t="str">
        <f t="shared" si="77"/>
        <v/>
      </c>
      <c r="CI291" s="25"/>
      <c r="CJ291" s="25"/>
      <c r="CK291" s="25"/>
      <c r="CL291" s="25"/>
      <c r="CM291" s="25"/>
      <c r="CN291" s="25"/>
      <c r="CO291" s="25"/>
    </row>
    <row r="292" spans="1:103">
      <c r="A292" s="7" t="s">
        <v>403</v>
      </c>
      <c r="B292" s="7">
        <v>181</v>
      </c>
      <c r="I292" s="24" t="str">
        <f t="shared" si="68"/>
        <v/>
      </c>
      <c r="J292" s="25"/>
      <c r="K292" s="25"/>
      <c r="L292" s="7" t="str">
        <f t="shared" si="69"/>
        <v/>
      </c>
      <c r="M292" s="21" t="str">
        <f t="shared" si="70"/>
        <v/>
      </c>
      <c r="N292" s="7" t="s">
        <v>1960</v>
      </c>
      <c r="T292" s="7" t="str">
        <f t="shared" si="71"/>
        <v>Nothing</v>
      </c>
      <c r="U292" s="7" t="s">
        <v>1</v>
      </c>
      <c r="AD292" s="24">
        <v>59969</v>
      </c>
      <c r="AE292" s="7">
        <v>0.99399999999999999</v>
      </c>
      <c r="AF292" s="7" t="s">
        <v>2898</v>
      </c>
      <c r="AG292" s="7">
        <v>0.14000000000000001</v>
      </c>
      <c r="AH292" s="7" t="s">
        <v>2897</v>
      </c>
      <c r="AI292" s="7">
        <v>35000</v>
      </c>
      <c r="AJ292" s="7">
        <v>237</v>
      </c>
      <c r="AK292" s="7">
        <v>18</v>
      </c>
      <c r="AT292" s="7" t="str">
        <f t="shared" si="78"/>
        <v>None</v>
      </c>
      <c r="AU292" s="7" t="str">
        <f t="shared" si="72"/>
        <v>None</v>
      </c>
      <c r="AV292" s="7" t="str">
        <f t="shared" si="73"/>
        <v/>
      </c>
      <c r="AW292" s="7" t="str">
        <f t="shared" si="74"/>
        <v/>
      </c>
      <c r="AX292" s="7" t="str">
        <f t="shared" si="75"/>
        <v/>
      </c>
      <c r="BB292" s="7" t="str">
        <f t="shared" si="79"/>
        <v/>
      </c>
      <c r="BC292" s="7" t="str">
        <f t="shared" si="76"/>
        <v>No</v>
      </c>
      <c r="BD292" s="7" t="s">
        <v>1</v>
      </c>
      <c r="BQ292" s="22"/>
      <c r="CG292" s="25"/>
      <c r="CH292" s="7" t="str">
        <f t="shared" si="77"/>
        <v/>
      </c>
      <c r="CI292" s="25"/>
      <c r="CJ292" s="25"/>
      <c r="CK292" s="25"/>
      <c r="CL292" s="25"/>
      <c r="CM292" s="25"/>
      <c r="CN292" s="25"/>
      <c r="CO292" s="25"/>
    </row>
    <row r="293" spans="1:103">
      <c r="A293" s="7" t="s">
        <v>266</v>
      </c>
      <c r="B293" s="7">
        <v>464</v>
      </c>
      <c r="C293" s="7" t="s">
        <v>267</v>
      </c>
      <c r="D293" s="7" t="s">
        <v>1957</v>
      </c>
      <c r="E293" s="7" t="s">
        <v>2896</v>
      </c>
      <c r="F293" s="7">
        <v>2030</v>
      </c>
      <c r="G293" s="7">
        <v>2019</v>
      </c>
      <c r="H293" s="8" t="s">
        <v>2895</v>
      </c>
      <c r="I293" s="24" t="str">
        <f t="shared" si="68"/>
        <v/>
      </c>
      <c r="J293" s="25"/>
      <c r="K293" s="25"/>
      <c r="L293" s="7" t="str">
        <f t="shared" si="69"/>
        <v/>
      </c>
      <c r="M293" s="21" t="str">
        <f t="shared" si="70"/>
        <v/>
      </c>
      <c r="N293" s="7" t="s">
        <v>1960</v>
      </c>
      <c r="T293" s="7" t="str">
        <f t="shared" si="71"/>
        <v/>
      </c>
      <c r="U293" s="7" t="s">
        <v>1969</v>
      </c>
      <c r="V293" s="7" t="s">
        <v>2894</v>
      </c>
      <c r="AD293" s="24">
        <v>27520</v>
      </c>
      <c r="AE293" s="7">
        <v>4.0000000000000001E-3</v>
      </c>
      <c r="AF293" s="7" t="s">
        <v>2893</v>
      </c>
      <c r="AG293" s="7">
        <v>9.2999999999999999E-2</v>
      </c>
      <c r="AH293" s="7" t="s">
        <v>2892</v>
      </c>
      <c r="AI293" s="7">
        <v>34324</v>
      </c>
      <c r="AJ293" s="7">
        <v>-12</v>
      </c>
      <c r="AK293" s="7">
        <v>13</v>
      </c>
      <c r="AL293" s="7" t="s">
        <v>93</v>
      </c>
      <c r="AN293" s="7" t="s">
        <v>1951</v>
      </c>
      <c r="AT293" s="7" t="str">
        <f t="shared" si="78"/>
        <v>CN</v>
      </c>
      <c r="AU293" s="7" t="str">
        <f t="shared" si="72"/>
        <v>CN</v>
      </c>
      <c r="AV293" s="7">
        <f t="shared" si="73"/>
        <v>2019</v>
      </c>
      <c r="AW293" s="7" t="str">
        <f t="shared" si="74"/>
        <v/>
      </c>
      <c r="AX293" s="7" t="str">
        <f t="shared" si="75"/>
        <v/>
      </c>
      <c r="BB293" s="7" t="str">
        <f t="shared" si="79"/>
        <v/>
      </c>
      <c r="BC293" s="7" t="str">
        <f t="shared" si="76"/>
        <v>Carbon Neutral</v>
      </c>
      <c r="BD293" s="7" t="s">
        <v>1</v>
      </c>
      <c r="BG293" s="7" t="s">
        <v>32</v>
      </c>
      <c r="BQ293" s="22"/>
      <c r="CD293" s="7" t="s">
        <v>361</v>
      </c>
      <c r="CF293" s="7" t="s">
        <v>2092</v>
      </c>
      <c r="CG293" s="25"/>
      <c r="CH293" s="7" t="str">
        <f t="shared" si="77"/>
        <v/>
      </c>
      <c r="CI293" s="25"/>
      <c r="CJ293" s="25"/>
      <c r="CK293" s="25"/>
      <c r="CL293" s="25"/>
      <c r="CM293" s="25"/>
      <c r="CN293" s="25"/>
      <c r="CO293" s="25"/>
    </row>
    <row r="294" spans="1:103">
      <c r="A294" s="7" t="s">
        <v>1649</v>
      </c>
      <c r="B294" s="7">
        <v>48</v>
      </c>
      <c r="C294" s="7" t="s">
        <v>127</v>
      </c>
      <c r="I294" s="24" t="str">
        <f t="shared" si="68"/>
        <v/>
      </c>
      <c r="J294" s="25"/>
      <c r="K294" s="25"/>
      <c r="L294" s="7" t="str">
        <f t="shared" si="69"/>
        <v/>
      </c>
      <c r="M294" s="21" t="str">
        <f t="shared" si="70"/>
        <v/>
      </c>
      <c r="N294" s="7" t="s">
        <v>1960</v>
      </c>
      <c r="T294" s="7" t="str">
        <f t="shared" si="71"/>
        <v>Nothing</v>
      </c>
      <c r="U294" s="7" t="s">
        <v>1</v>
      </c>
      <c r="AC294" s="26" t="s">
        <v>2891</v>
      </c>
      <c r="AD294" s="24">
        <v>124813</v>
      </c>
      <c r="AE294" s="7">
        <v>0.28499999999999998</v>
      </c>
      <c r="AF294" s="7" t="s">
        <v>2890</v>
      </c>
      <c r="AG294" s="7">
        <v>-5.0999999999999997E-2</v>
      </c>
      <c r="AH294" s="7" t="s">
        <v>2889</v>
      </c>
      <c r="AI294" s="7">
        <v>60910</v>
      </c>
      <c r="AJ294" s="7">
        <v>24</v>
      </c>
      <c r="AK294" s="7">
        <v>9</v>
      </c>
      <c r="AL294" t="s">
        <v>2111</v>
      </c>
      <c r="AT294" s="7" t="str">
        <f t="shared" si="78"/>
        <v>None</v>
      </c>
      <c r="AU294" s="7" t="str">
        <f t="shared" si="72"/>
        <v>None</v>
      </c>
      <c r="AV294" s="7" t="str">
        <f t="shared" si="73"/>
        <v/>
      </c>
      <c r="AW294" s="7" t="str">
        <f t="shared" si="74"/>
        <v/>
      </c>
      <c r="AX294" s="7" t="str">
        <f t="shared" si="75"/>
        <v/>
      </c>
      <c r="BB294" s="7" t="str">
        <f t="shared" si="79"/>
        <v/>
      </c>
      <c r="BC294" s="7" t="str">
        <f t="shared" si="76"/>
        <v>No</v>
      </c>
      <c r="BD294" s="7" t="s">
        <v>1</v>
      </c>
      <c r="BF294" s="23" t="s">
        <v>2888</v>
      </c>
      <c r="BQ294" s="22"/>
      <c r="CG294" s="25"/>
      <c r="CH294" s="7" t="str">
        <f t="shared" si="77"/>
        <v/>
      </c>
      <c r="CI294" s="25"/>
      <c r="CJ294" s="25"/>
      <c r="CK294" s="25"/>
      <c r="CL294" s="25"/>
      <c r="CM294" s="25"/>
      <c r="CN294" s="25"/>
      <c r="CO294" s="25"/>
      <c r="CT294" s="7" t="s">
        <v>1649</v>
      </c>
      <c r="CU294" s="7" t="s">
        <v>2109</v>
      </c>
      <c r="CV294" s="7">
        <v>-31</v>
      </c>
      <c r="CY294" s="7" t="s">
        <v>361</v>
      </c>
    </row>
    <row r="295" spans="1:103">
      <c r="A295" s="7" t="s">
        <v>1335</v>
      </c>
      <c r="B295" s="7">
        <v>173</v>
      </c>
      <c r="I295" s="24" t="str">
        <f t="shared" si="68"/>
        <v/>
      </c>
      <c r="J295" s="25"/>
      <c r="K295" s="25"/>
      <c r="L295" s="7" t="str">
        <f t="shared" si="69"/>
        <v/>
      </c>
      <c r="M295" s="21" t="str">
        <f t="shared" si="70"/>
        <v/>
      </c>
      <c r="N295" s="7" t="s">
        <v>1960</v>
      </c>
      <c r="T295" s="7" t="str">
        <f t="shared" si="71"/>
        <v>Nothing</v>
      </c>
      <c r="U295" s="7" t="s">
        <v>1</v>
      </c>
      <c r="AD295" s="24">
        <v>62799</v>
      </c>
      <c r="AE295" s="7">
        <v>-5.8999999999999997E-2</v>
      </c>
      <c r="AF295" s="7" t="s">
        <v>2887</v>
      </c>
      <c r="AG295" s="7">
        <v>-1.8720000000000001</v>
      </c>
      <c r="AH295" s="7" t="s">
        <v>2886</v>
      </c>
      <c r="AI295" s="7">
        <v>49515</v>
      </c>
      <c r="AJ295" s="7">
        <v>-26</v>
      </c>
      <c r="AK295" s="7">
        <v>26</v>
      </c>
      <c r="AT295" s="7" t="str">
        <f t="shared" si="78"/>
        <v>None</v>
      </c>
      <c r="AU295" s="7" t="str">
        <f t="shared" si="72"/>
        <v>None</v>
      </c>
      <c r="AV295" s="7" t="str">
        <f t="shared" si="73"/>
        <v/>
      </c>
      <c r="AW295" s="7" t="str">
        <f t="shared" si="74"/>
        <v/>
      </c>
      <c r="AX295" s="7" t="str">
        <f t="shared" si="75"/>
        <v/>
      </c>
      <c r="BB295" s="7" t="str">
        <f t="shared" si="79"/>
        <v/>
      </c>
      <c r="BC295" s="7" t="str">
        <f t="shared" si="76"/>
        <v>No</v>
      </c>
      <c r="BD295" s="7" t="s">
        <v>1</v>
      </c>
      <c r="BQ295" s="22"/>
      <c r="CG295" s="25"/>
      <c r="CH295" s="7" t="str">
        <f t="shared" si="77"/>
        <v/>
      </c>
      <c r="CI295" s="25"/>
      <c r="CJ295" s="25"/>
      <c r="CK295" s="25"/>
      <c r="CL295" s="25"/>
      <c r="CM295" s="25"/>
      <c r="CN295" s="25"/>
      <c r="CO295" s="25"/>
    </row>
    <row r="296" spans="1:103">
      <c r="A296" s="7" t="s">
        <v>775</v>
      </c>
      <c r="B296" s="7">
        <v>336</v>
      </c>
      <c r="I296" s="24" t="str">
        <f t="shared" si="68"/>
        <v/>
      </c>
      <c r="J296" s="25"/>
      <c r="K296" s="25"/>
      <c r="L296" s="7" t="str">
        <f t="shared" si="69"/>
        <v/>
      </c>
      <c r="M296" s="21" t="str">
        <f t="shared" si="70"/>
        <v/>
      </c>
      <c r="N296" s="7" t="s">
        <v>1960</v>
      </c>
      <c r="T296" s="7" t="str">
        <f t="shared" si="71"/>
        <v>Nothing</v>
      </c>
      <c r="U296" s="7" t="s">
        <v>1963</v>
      </c>
      <c r="AD296" s="24">
        <v>37253</v>
      </c>
      <c r="AE296" s="7">
        <v>-5.0999999999999997E-2</v>
      </c>
      <c r="AF296" s="7" t="s">
        <v>2885</v>
      </c>
      <c r="AG296" s="7">
        <v>8.3010000000000002</v>
      </c>
      <c r="AH296" s="7" t="s">
        <v>2884</v>
      </c>
      <c r="AI296" s="7">
        <v>9896</v>
      </c>
      <c r="AJ296" s="7">
        <v>-22</v>
      </c>
      <c r="AK296" s="7">
        <v>24</v>
      </c>
      <c r="AT296" s="7" t="str">
        <f t="shared" si="78"/>
        <v>None</v>
      </c>
      <c r="AU296" s="7" t="str">
        <f t="shared" si="72"/>
        <v>None</v>
      </c>
      <c r="AV296" s="7" t="str">
        <f t="shared" si="73"/>
        <v/>
      </c>
      <c r="AW296" s="7" t="str">
        <f t="shared" si="74"/>
        <v/>
      </c>
      <c r="AX296" s="7" t="str">
        <f t="shared" si="75"/>
        <v/>
      </c>
      <c r="BB296" s="7" t="str">
        <f t="shared" si="79"/>
        <v/>
      </c>
      <c r="BC296" s="7" t="str">
        <f t="shared" si="76"/>
        <v>No</v>
      </c>
      <c r="BD296" s="7" t="s">
        <v>1963</v>
      </c>
      <c r="BQ296" s="22"/>
      <c r="CG296" s="25"/>
      <c r="CH296" s="7" t="str">
        <f t="shared" si="77"/>
        <v/>
      </c>
      <c r="CI296" s="25"/>
      <c r="CJ296" s="25"/>
      <c r="CK296" s="25"/>
      <c r="CL296" s="25"/>
      <c r="CM296" s="25"/>
      <c r="CN296" s="25"/>
      <c r="CO296" s="25"/>
    </row>
    <row r="297" spans="1:103">
      <c r="A297" s="7" t="s">
        <v>537</v>
      </c>
      <c r="B297" s="7">
        <v>400</v>
      </c>
      <c r="I297" s="24" t="str">
        <f t="shared" si="68"/>
        <v/>
      </c>
      <c r="J297" s="25"/>
      <c r="K297" s="25"/>
      <c r="L297" s="7" t="str">
        <f t="shared" si="69"/>
        <v/>
      </c>
      <c r="M297" s="21" t="str">
        <f t="shared" si="70"/>
        <v/>
      </c>
      <c r="N297" s="7" t="s">
        <v>1960</v>
      </c>
      <c r="T297" s="7" t="str">
        <f t="shared" si="71"/>
        <v>Nothing</v>
      </c>
      <c r="U297" s="7" t="s">
        <v>1963</v>
      </c>
      <c r="AC297" s="26" t="s">
        <v>2883</v>
      </c>
      <c r="AD297" s="24">
        <v>31551</v>
      </c>
      <c r="AE297" s="7">
        <v>-1.9E-2</v>
      </c>
      <c r="AF297" s="7" t="s">
        <v>2882</v>
      </c>
      <c r="AG297" s="7">
        <v>-0.80500000000000005</v>
      </c>
      <c r="AH297" s="7" t="s">
        <v>2881</v>
      </c>
      <c r="AI297" s="7">
        <v>50479</v>
      </c>
      <c r="AJ297" s="7">
        <v>-11</v>
      </c>
      <c r="AK297" s="7">
        <v>26</v>
      </c>
      <c r="AT297" s="7" t="str">
        <f t="shared" ref="AT297:AT318" si="80">IF(OR(BC297="Carbon Neutral",BC297="No - but post-2030 commitment"),IF((OR(BH297="Committed",BH297="Targets Set")),IF(J297="", "CN &amp; SBT","CN, SBT &amp; RE100"),IF(CH297="","CN","CN &amp; RE100")),IF((OR(BH297="Committed",BH297="Targets Set")),IF(CH297="", "SBT","SBT &amp; RE100"),IF(CH297="","None","RE100")))</f>
        <v>None</v>
      </c>
      <c r="AU297" s="7" t="str">
        <f t="shared" si="72"/>
        <v>None</v>
      </c>
      <c r="AV297" s="7" t="str">
        <f t="shared" si="73"/>
        <v/>
      </c>
      <c r="AW297" s="7" t="str">
        <f t="shared" si="74"/>
        <v/>
      </c>
      <c r="AX297" s="7" t="str">
        <f t="shared" si="75"/>
        <v/>
      </c>
      <c r="BB297" s="7" t="str">
        <f t="shared" si="79"/>
        <v/>
      </c>
      <c r="BC297" s="7" t="str">
        <f t="shared" si="76"/>
        <v>No</v>
      </c>
      <c r="BD297" s="7" t="s">
        <v>1963</v>
      </c>
      <c r="BF297" s="7" t="s">
        <v>2880</v>
      </c>
      <c r="BQ297" s="22"/>
      <c r="CG297" s="25"/>
      <c r="CH297" s="7" t="str">
        <f t="shared" si="77"/>
        <v/>
      </c>
      <c r="CI297" s="25"/>
      <c r="CJ297" s="25"/>
      <c r="CK297" s="25"/>
      <c r="CL297" s="25"/>
      <c r="CM297" s="25"/>
      <c r="CN297" s="25"/>
      <c r="CO297" s="25"/>
    </row>
    <row r="298" spans="1:103">
      <c r="A298" s="7" t="s">
        <v>1826</v>
      </c>
      <c r="B298" s="7">
        <v>16</v>
      </c>
      <c r="I298" s="24" t="str">
        <f t="shared" si="68"/>
        <v/>
      </c>
      <c r="J298" s="25"/>
      <c r="K298" s="25"/>
      <c r="L298" s="7" t="str">
        <f t="shared" si="69"/>
        <v/>
      </c>
      <c r="M298" s="21" t="str">
        <f t="shared" si="70"/>
        <v/>
      </c>
      <c r="N298" s="7" t="s">
        <v>1960</v>
      </c>
      <c r="T298" s="7" t="str">
        <f t="shared" si="71"/>
        <v>Nothing</v>
      </c>
      <c r="U298" s="7" t="s">
        <v>1</v>
      </c>
      <c r="AC298" s="26" t="s">
        <v>2879</v>
      </c>
      <c r="AD298" s="24">
        <v>231051</v>
      </c>
      <c r="AE298" s="7">
        <v>7.8E-2</v>
      </c>
      <c r="AF298" s="7" t="s">
        <v>2878</v>
      </c>
      <c r="AG298" s="7">
        <v>25.471</v>
      </c>
      <c r="AH298" s="7" t="s">
        <v>2877</v>
      </c>
      <c r="AI298" s="7">
        <v>70000</v>
      </c>
      <c r="AJ298" s="7">
        <v>1</v>
      </c>
      <c r="AK298" s="7">
        <v>26</v>
      </c>
      <c r="AT298" s="7" t="str">
        <f t="shared" si="80"/>
        <v>None</v>
      </c>
      <c r="AU298" s="7" t="str">
        <f t="shared" si="72"/>
        <v>None</v>
      </c>
      <c r="AV298" s="7" t="str">
        <f t="shared" si="73"/>
        <v/>
      </c>
      <c r="AW298" s="7" t="str">
        <f t="shared" si="74"/>
        <v/>
      </c>
      <c r="AX298" s="7" t="str">
        <f t="shared" si="75"/>
        <v/>
      </c>
      <c r="BB298" s="7" t="str">
        <f t="shared" si="79"/>
        <v/>
      </c>
      <c r="BC298" s="7" t="str">
        <f t="shared" si="76"/>
        <v>No</v>
      </c>
      <c r="BD298" s="29" t="s">
        <v>1</v>
      </c>
      <c r="BQ298" s="22"/>
      <c r="CG298" s="25"/>
      <c r="CH298" s="7" t="str">
        <f t="shared" si="77"/>
        <v/>
      </c>
      <c r="CI298" s="25"/>
      <c r="CJ298" s="25"/>
      <c r="CK298" s="25"/>
      <c r="CL298" s="25"/>
      <c r="CM298" s="25"/>
      <c r="CN298" s="25"/>
      <c r="CO298" s="25"/>
      <c r="CY298" s="7" t="s">
        <v>361</v>
      </c>
    </row>
    <row r="299" spans="1:103">
      <c r="A299" s="7" t="s">
        <v>316</v>
      </c>
      <c r="B299" s="7">
        <v>417</v>
      </c>
      <c r="I299" s="24" t="str">
        <f t="shared" si="68"/>
        <v/>
      </c>
      <c r="J299" s="25"/>
      <c r="K299" s="25"/>
      <c r="L299" s="7" t="str">
        <f t="shared" si="69"/>
        <v/>
      </c>
      <c r="M299" s="21" t="str">
        <f t="shared" si="70"/>
        <v/>
      </c>
      <c r="N299" s="7" t="s">
        <v>1960</v>
      </c>
      <c r="T299" s="7" t="str">
        <f t="shared" si="71"/>
        <v>Nothing</v>
      </c>
      <c r="U299" s="7" t="s">
        <v>1963</v>
      </c>
      <c r="AD299" s="24">
        <v>29921</v>
      </c>
      <c r="AE299" s="7">
        <v>4.2999999999999997E-2</v>
      </c>
      <c r="AF299" s="7" t="s">
        <v>2876</v>
      </c>
      <c r="AG299" s="7">
        <v>0.127</v>
      </c>
      <c r="AH299" s="7" t="s">
        <v>2875</v>
      </c>
      <c r="AI299" s="7">
        <v>15422</v>
      </c>
      <c r="AJ299" s="7">
        <v>19</v>
      </c>
      <c r="AK299" s="7">
        <v>18</v>
      </c>
      <c r="AT299" s="7" t="str">
        <f t="shared" si="80"/>
        <v>None</v>
      </c>
      <c r="AU299" s="7" t="str">
        <f t="shared" si="72"/>
        <v>None</v>
      </c>
      <c r="AV299" s="7" t="str">
        <f t="shared" si="73"/>
        <v/>
      </c>
      <c r="AW299" s="7" t="str">
        <f t="shared" si="74"/>
        <v/>
      </c>
      <c r="AX299" s="7" t="str">
        <f t="shared" si="75"/>
        <v/>
      </c>
      <c r="BB299" s="7" t="str">
        <f t="shared" si="79"/>
        <v/>
      </c>
      <c r="BC299" s="7" t="str">
        <f t="shared" si="76"/>
        <v>No</v>
      </c>
      <c r="BD299" s="7" t="s">
        <v>1963</v>
      </c>
      <c r="BQ299" s="22"/>
      <c r="CG299" s="25"/>
      <c r="CH299" s="7" t="str">
        <f t="shared" si="77"/>
        <v/>
      </c>
      <c r="CI299" s="25"/>
      <c r="CJ299" s="25"/>
      <c r="CK299" s="25"/>
      <c r="CL299" s="25"/>
      <c r="CM299" s="25"/>
      <c r="CN299" s="25"/>
      <c r="CO299" s="25"/>
    </row>
    <row r="300" spans="1:103">
      <c r="A300" s="7" t="s">
        <v>399</v>
      </c>
      <c r="B300" s="7">
        <v>408</v>
      </c>
      <c r="I300" s="24" t="str">
        <f t="shared" si="68"/>
        <v/>
      </c>
      <c r="L300" s="7" t="str">
        <f t="shared" si="69"/>
        <v/>
      </c>
      <c r="M300" s="21" t="str">
        <f t="shared" si="70"/>
        <v/>
      </c>
      <c r="N300" s="7" t="s">
        <v>1960</v>
      </c>
      <c r="T300" s="7" t="str">
        <f t="shared" si="71"/>
        <v>Nothing</v>
      </c>
      <c r="U300" s="7" t="s">
        <v>1963</v>
      </c>
      <c r="AC300" s="26" t="s">
        <v>2874</v>
      </c>
      <c r="AD300" s="24">
        <v>30557</v>
      </c>
      <c r="AE300" s="7">
        <v>0.02</v>
      </c>
      <c r="AF300" s="7" t="s">
        <v>2873</v>
      </c>
      <c r="AG300" s="7">
        <v>0.49199999999999999</v>
      </c>
      <c r="AH300" s="7" t="s">
        <v>2872</v>
      </c>
      <c r="AI300" s="7">
        <v>101013</v>
      </c>
      <c r="AJ300" s="7">
        <v>11</v>
      </c>
      <c r="AK300" s="7">
        <v>4</v>
      </c>
      <c r="AT300" s="7" t="str">
        <f t="shared" si="80"/>
        <v>None</v>
      </c>
      <c r="AU300" s="7" t="str">
        <f t="shared" si="72"/>
        <v>None</v>
      </c>
      <c r="AV300" s="7" t="str">
        <f t="shared" si="73"/>
        <v/>
      </c>
      <c r="AW300" s="7" t="str">
        <f t="shared" si="74"/>
        <v/>
      </c>
      <c r="AX300" s="7" t="str">
        <f t="shared" si="75"/>
        <v/>
      </c>
      <c r="BB300" s="7" t="str">
        <f t="shared" si="79"/>
        <v/>
      </c>
      <c r="BC300" s="7" t="str">
        <f t="shared" si="76"/>
        <v>No</v>
      </c>
      <c r="BD300" s="7" t="s">
        <v>1963</v>
      </c>
      <c r="BF300" s="7" t="s">
        <v>2871</v>
      </c>
      <c r="BQ300" s="22"/>
      <c r="CH300" s="7" t="str">
        <f t="shared" si="77"/>
        <v/>
      </c>
      <c r="CY300" s="7" t="s">
        <v>361</v>
      </c>
    </row>
    <row r="301" spans="1:103">
      <c r="A301" s="7" t="s">
        <v>747</v>
      </c>
      <c r="B301" s="7">
        <v>334</v>
      </c>
      <c r="I301" s="24" t="str">
        <f t="shared" si="68"/>
        <v/>
      </c>
      <c r="L301" s="7" t="str">
        <f t="shared" si="69"/>
        <v/>
      </c>
      <c r="M301" s="21" t="str">
        <f t="shared" si="70"/>
        <v/>
      </c>
      <c r="N301" s="7" t="s">
        <v>1960</v>
      </c>
      <c r="T301" s="7" t="str">
        <f t="shared" si="71"/>
        <v>Nothing</v>
      </c>
      <c r="U301" s="7" t="s">
        <v>1963</v>
      </c>
      <c r="AC301" s="26" t="s">
        <v>2870</v>
      </c>
      <c r="AD301" s="24">
        <v>37466</v>
      </c>
      <c r="AE301" s="7">
        <v>-7.0000000000000001E-3</v>
      </c>
      <c r="AF301" s="7" t="s">
        <v>2869</v>
      </c>
      <c r="AG301" s="7">
        <v>-7.6999999999999999E-2</v>
      </c>
      <c r="AH301" s="7" t="s">
        <v>2868</v>
      </c>
      <c r="AI301" s="7">
        <v>43676</v>
      </c>
      <c r="AJ301" s="7">
        <v>-10</v>
      </c>
      <c r="AK301" s="7">
        <v>26</v>
      </c>
      <c r="AT301" s="7" t="str">
        <f t="shared" si="80"/>
        <v>None</v>
      </c>
      <c r="AU301" s="7" t="str">
        <f t="shared" si="72"/>
        <v>None</v>
      </c>
      <c r="AV301" s="7" t="str">
        <f t="shared" si="73"/>
        <v/>
      </c>
      <c r="AW301" s="7" t="str">
        <f t="shared" si="74"/>
        <v/>
      </c>
      <c r="AX301" s="7" t="str">
        <f t="shared" si="75"/>
        <v/>
      </c>
      <c r="BB301" s="7" t="str">
        <f t="shared" si="79"/>
        <v/>
      </c>
      <c r="BC301" s="7" t="str">
        <f t="shared" si="76"/>
        <v>No</v>
      </c>
      <c r="BD301" s="7" t="s">
        <v>1963</v>
      </c>
      <c r="BF301" s="7" t="s">
        <v>2867</v>
      </c>
      <c r="BQ301" s="22"/>
      <c r="CH301" s="7" t="str">
        <f t="shared" si="77"/>
        <v/>
      </c>
    </row>
    <row r="302" spans="1:103">
      <c r="A302" s="7" t="s">
        <v>887</v>
      </c>
      <c r="B302" s="7">
        <v>256</v>
      </c>
      <c r="F302" s="1"/>
      <c r="G302" s="1"/>
      <c r="H302" s="1"/>
      <c r="I302" s="24" t="str">
        <f t="shared" si="68"/>
        <v/>
      </c>
      <c r="L302" s="7" t="str">
        <f t="shared" si="69"/>
        <v/>
      </c>
      <c r="M302" s="21" t="str">
        <f t="shared" si="70"/>
        <v/>
      </c>
      <c r="N302" s="7" t="s">
        <v>1960</v>
      </c>
      <c r="Q302" s="1"/>
      <c r="R302" s="1"/>
      <c r="T302" s="7" t="str">
        <f t="shared" si="71"/>
        <v>Nothing</v>
      </c>
      <c r="U302" s="1" t="s">
        <v>1</v>
      </c>
      <c r="V302" s="1"/>
      <c r="W302" s="1"/>
      <c r="X302" s="1"/>
      <c r="Y302" s="1"/>
      <c r="AB302" s="1"/>
      <c r="AC302" s="1" t="s">
        <v>2866</v>
      </c>
      <c r="AD302" s="24">
        <v>46840</v>
      </c>
      <c r="AE302" s="7">
        <v>0.107</v>
      </c>
      <c r="AF302" s="7" t="s">
        <v>2865</v>
      </c>
      <c r="AG302" s="7">
        <v>0.58199999999999996</v>
      </c>
      <c r="AH302" s="7" t="s">
        <v>2864</v>
      </c>
      <c r="AI302" s="7">
        <v>71000</v>
      </c>
      <c r="AJ302" s="7">
        <v>29</v>
      </c>
      <c r="AK302" s="7">
        <v>26</v>
      </c>
      <c r="AT302" s="7" t="str">
        <f t="shared" si="80"/>
        <v>None</v>
      </c>
      <c r="AU302" s="7" t="str">
        <f t="shared" si="72"/>
        <v>None</v>
      </c>
      <c r="AV302" s="7" t="str">
        <f t="shared" si="73"/>
        <v/>
      </c>
      <c r="AW302" s="7" t="str">
        <f t="shared" si="74"/>
        <v/>
      </c>
      <c r="AX302" s="7" t="str">
        <f t="shared" si="75"/>
        <v/>
      </c>
      <c r="BB302" s="7" t="str">
        <f t="shared" si="79"/>
        <v/>
      </c>
      <c r="BC302" s="7" t="str">
        <f t="shared" si="76"/>
        <v>No</v>
      </c>
      <c r="BD302" s="1" t="s">
        <v>1963</v>
      </c>
      <c r="BE302" s="1"/>
      <c r="BF302" s="1" t="s">
        <v>2863</v>
      </c>
      <c r="BG302" s="1"/>
      <c r="BQ302" s="22"/>
      <c r="CH302" s="7" t="str">
        <f t="shared" si="77"/>
        <v/>
      </c>
      <c r="CX302" s="7" t="s">
        <v>361</v>
      </c>
    </row>
    <row r="303" spans="1:103">
      <c r="A303" s="7" t="s">
        <v>1358</v>
      </c>
      <c r="B303" s="7">
        <v>149</v>
      </c>
      <c r="C303" s="7" t="s">
        <v>127</v>
      </c>
      <c r="D303" s="7" t="s">
        <v>1957</v>
      </c>
      <c r="E303" s="7" t="s">
        <v>1659</v>
      </c>
      <c r="F303" s="7">
        <v>2016</v>
      </c>
      <c r="G303" s="7">
        <v>2016</v>
      </c>
      <c r="H303" s="8" t="s">
        <v>2862</v>
      </c>
      <c r="I303" s="24" t="str">
        <f t="shared" si="68"/>
        <v/>
      </c>
      <c r="L303" s="7" t="str">
        <f t="shared" si="69"/>
        <v>C</v>
      </c>
      <c r="M303" s="21" t="str">
        <f t="shared" si="70"/>
        <v/>
      </c>
      <c r="N303" s="7">
        <v>2016</v>
      </c>
      <c r="T303" s="7" t="str">
        <f t="shared" si="71"/>
        <v/>
      </c>
      <c r="U303" s="7" t="s">
        <v>361</v>
      </c>
      <c r="V303" s="7" t="s">
        <v>2861</v>
      </c>
      <c r="AC303" s="8" t="s">
        <v>2860</v>
      </c>
      <c r="AD303" s="24">
        <v>69620</v>
      </c>
      <c r="AE303" s="7">
        <v>2.5000000000000001E-2</v>
      </c>
      <c r="AF303" s="7" t="s">
        <v>2859</v>
      </c>
      <c r="AG303" s="7">
        <v>0.151</v>
      </c>
      <c r="AH303" s="7" t="s">
        <v>2858</v>
      </c>
      <c r="AI303" s="7">
        <v>49000</v>
      </c>
      <c r="AJ303" s="7">
        <v>-7</v>
      </c>
      <c r="AK303" s="7">
        <v>26</v>
      </c>
      <c r="AL303" s="7" t="s">
        <v>93</v>
      </c>
      <c r="AN303" s="7" t="s">
        <v>2029</v>
      </c>
      <c r="AT303" s="7" t="str">
        <f t="shared" si="80"/>
        <v>CN &amp; SBT</v>
      </c>
      <c r="AU303" s="7" t="str">
        <f t="shared" si="72"/>
        <v>CN &amp; SBT</v>
      </c>
      <c r="AV303" s="7">
        <f t="shared" si="73"/>
        <v>2016</v>
      </c>
      <c r="AW303" s="7">
        <f t="shared" si="74"/>
        <v>2016</v>
      </c>
      <c r="AX303" s="7" t="str">
        <f t="shared" si="75"/>
        <v/>
      </c>
      <c r="BB303" s="7" t="str">
        <f t="shared" si="79"/>
        <v>Yes</v>
      </c>
      <c r="BC303" s="7" t="str">
        <f t="shared" si="76"/>
        <v>Carbon Neutral</v>
      </c>
      <c r="BD303" s="7" t="s">
        <v>1</v>
      </c>
      <c r="BF303" s="7" t="s">
        <v>2857</v>
      </c>
      <c r="BG303" s="7" t="s">
        <v>32</v>
      </c>
      <c r="BH303" s="7" t="s">
        <v>165</v>
      </c>
      <c r="BJ303" s="7" t="s">
        <v>941</v>
      </c>
      <c r="BQ303" s="22"/>
      <c r="CE303" s="7" t="s">
        <v>1947</v>
      </c>
      <c r="CH303" s="7" t="str">
        <f t="shared" si="77"/>
        <v/>
      </c>
      <c r="CY303" s="7" t="s">
        <v>361</v>
      </c>
    </row>
    <row r="304" spans="1:103">
      <c r="A304" s="7" t="s">
        <v>940</v>
      </c>
      <c r="B304" s="7">
        <v>294</v>
      </c>
      <c r="C304" s="7" t="s">
        <v>146</v>
      </c>
      <c r="I304" s="24" t="str">
        <f t="shared" si="68"/>
        <v/>
      </c>
      <c r="L304" s="7" t="str">
        <f t="shared" si="69"/>
        <v>T</v>
      </c>
      <c r="M304" s="21">
        <f t="shared" si="70"/>
        <v>2030</v>
      </c>
      <c r="N304" s="7">
        <v>2019</v>
      </c>
      <c r="T304" s="7" t="str">
        <f t="shared" si="71"/>
        <v>Nothing</v>
      </c>
      <c r="U304" s="7" t="s">
        <v>1963</v>
      </c>
      <c r="AC304" s="26" t="s">
        <v>2856</v>
      </c>
      <c r="AD304" s="24">
        <v>41371</v>
      </c>
      <c r="AE304" s="7">
        <v>-4.8000000000000001E-2</v>
      </c>
      <c r="AF304" s="7" t="s">
        <v>2855</v>
      </c>
      <c r="AG304" s="7">
        <v>-1.347</v>
      </c>
      <c r="AH304" s="7" t="s">
        <v>2854</v>
      </c>
      <c r="AI304" s="7">
        <v>97606</v>
      </c>
      <c r="AJ304" s="7">
        <v>-27</v>
      </c>
      <c r="AK304" s="7">
        <v>3</v>
      </c>
      <c r="AL304" s="7" t="s">
        <v>942</v>
      </c>
      <c r="AN304" s="7" t="s">
        <v>1951</v>
      </c>
      <c r="AT304" s="7" t="str">
        <f t="shared" si="80"/>
        <v>SBT</v>
      </c>
      <c r="AU304" s="7" t="str">
        <f t="shared" si="72"/>
        <v>SBT</v>
      </c>
      <c r="AV304" s="7" t="str">
        <f t="shared" si="73"/>
        <v/>
      </c>
      <c r="AW304" s="7">
        <f t="shared" si="74"/>
        <v>2019</v>
      </c>
      <c r="AX304" s="7" t="str">
        <f t="shared" si="75"/>
        <v/>
      </c>
      <c r="BB304" s="7" t="str">
        <f t="shared" si="79"/>
        <v>Yes</v>
      </c>
      <c r="BC304" s="7" t="str">
        <f t="shared" si="76"/>
        <v>No</v>
      </c>
      <c r="BD304" s="7" t="s">
        <v>1963</v>
      </c>
      <c r="BF304" s="7" t="s">
        <v>2853</v>
      </c>
      <c r="BH304" s="7" t="s">
        <v>22</v>
      </c>
      <c r="BI304" s="7" t="s">
        <v>2245</v>
      </c>
      <c r="BJ304" s="7" t="s">
        <v>2244</v>
      </c>
      <c r="BM304" s="7" t="s">
        <v>2852</v>
      </c>
      <c r="BN304" s="7">
        <v>2030</v>
      </c>
      <c r="BO304" s="7">
        <v>2030</v>
      </c>
      <c r="BP304" s="7">
        <v>2030</v>
      </c>
      <c r="BQ304" s="22"/>
      <c r="CH304" s="7" t="str">
        <f t="shared" si="77"/>
        <v/>
      </c>
    </row>
    <row r="305" spans="1:103">
      <c r="A305" s="7" t="s">
        <v>163</v>
      </c>
      <c r="B305" s="7">
        <v>472</v>
      </c>
      <c r="C305" s="7" t="s">
        <v>63</v>
      </c>
      <c r="I305" s="24" t="str">
        <f t="shared" si="68"/>
        <v/>
      </c>
      <c r="L305" s="7" t="str">
        <f t="shared" si="69"/>
        <v>T</v>
      </c>
      <c r="M305" s="21">
        <f t="shared" si="70"/>
        <v>2030</v>
      </c>
      <c r="N305" s="7">
        <v>2020</v>
      </c>
      <c r="T305" s="7" t="str">
        <f t="shared" si="71"/>
        <v>Nothing</v>
      </c>
      <c r="U305" s="7" t="s">
        <v>1</v>
      </c>
      <c r="AC305" s="8" t="s">
        <v>2851</v>
      </c>
      <c r="AD305" s="24">
        <v>27013</v>
      </c>
      <c r="AE305" s="7">
        <v>3.9E-2</v>
      </c>
      <c r="AF305" s="7" t="s">
        <v>2850</v>
      </c>
      <c r="AG305" s="7">
        <v>-0.01</v>
      </c>
      <c r="AH305" s="7" t="s">
        <v>2849</v>
      </c>
      <c r="AI305" s="7">
        <v>121339</v>
      </c>
      <c r="AJ305" s="7">
        <v>6</v>
      </c>
      <c r="AK305" s="7">
        <v>26</v>
      </c>
      <c r="AL305" s="7" t="s">
        <v>593</v>
      </c>
      <c r="AN305" s="7" t="s">
        <v>1951</v>
      </c>
      <c r="AT305" s="7" t="str">
        <f t="shared" si="80"/>
        <v>SBT</v>
      </c>
      <c r="AU305" s="7" t="str">
        <f t="shared" si="72"/>
        <v>SBT</v>
      </c>
      <c r="AV305" s="7" t="str">
        <f t="shared" si="73"/>
        <v/>
      </c>
      <c r="AW305" s="7">
        <f t="shared" si="74"/>
        <v>2020</v>
      </c>
      <c r="AX305" s="7" t="str">
        <f t="shared" si="75"/>
        <v/>
      </c>
      <c r="BB305" s="7" t="str">
        <f t="shared" ref="BB305:BB338" si="81">IF(BH305="","","Yes")</f>
        <v>Yes</v>
      </c>
      <c r="BC305" s="7" t="str">
        <f t="shared" si="76"/>
        <v>No</v>
      </c>
      <c r="BD305" s="7" t="s">
        <v>1</v>
      </c>
      <c r="BF305" s="7" t="s">
        <v>2848</v>
      </c>
      <c r="BH305" s="7" t="s">
        <v>22</v>
      </c>
      <c r="BI305" s="7" t="s">
        <v>2040</v>
      </c>
      <c r="BJ305" s="7" t="s">
        <v>2847</v>
      </c>
      <c r="BM305" s="7" t="s">
        <v>2846</v>
      </c>
      <c r="BN305" s="7">
        <v>2030</v>
      </c>
      <c r="BO305" s="7">
        <v>2030</v>
      </c>
      <c r="BP305" s="7">
        <v>2030</v>
      </c>
      <c r="BQ305" s="22"/>
      <c r="CH305" s="7" t="str">
        <f t="shared" si="77"/>
        <v/>
      </c>
      <c r="CW305" s="7" t="s">
        <v>361</v>
      </c>
    </row>
    <row r="306" spans="1:103">
      <c r="A306" s="7" t="s">
        <v>1686</v>
      </c>
      <c r="B306" s="7">
        <v>47</v>
      </c>
      <c r="C306" s="7" t="s">
        <v>127</v>
      </c>
      <c r="D306" s="7" t="s">
        <v>1957</v>
      </c>
      <c r="E306" s="7" t="s">
        <v>2845</v>
      </c>
      <c r="F306" s="7">
        <v>2012</v>
      </c>
      <c r="G306" s="7">
        <v>2012</v>
      </c>
      <c r="H306" s="26" t="s">
        <v>2839</v>
      </c>
      <c r="I306" s="24" t="str">
        <f t="shared" si="68"/>
        <v>Yes</v>
      </c>
      <c r="J306" s="7">
        <v>2017</v>
      </c>
      <c r="K306" s="7">
        <v>2015</v>
      </c>
      <c r="L306" s="7" t="str">
        <f t="shared" si="69"/>
        <v>T</v>
      </c>
      <c r="M306" s="21">
        <f t="shared" si="70"/>
        <v>2030</v>
      </c>
      <c r="N306" s="7">
        <v>2019</v>
      </c>
      <c r="O306" s="7" t="s">
        <v>1971</v>
      </c>
      <c r="P306" s="7" t="s">
        <v>2844</v>
      </c>
      <c r="Q306" s="7">
        <v>2030</v>
      </c>
      <c r="R306" s="7">
        <v>2020</v>
      </c>
      <c r="S306" s="26" t="s">
        <v>2839</v>
      </c>
      <c r="T306" s="7" t="str">
        <f t="shared" si="71"/>
        <v/>
      </c>
      <c r="U306" s="7" t="s">
        <v>2843</v>
      </c>
      <c r="V306" s="23" t="s">
        <v>2842</v>
      </c>
      <c r="Y306" s="23" t="s">
        <v>2841</v>
      </c>
      <c r="Z306" s="7" t="s">
        <v>2840</v>
      </c>
      <c r="AB306" s="26" t="s">
        <v>2839</v>
      </c>
      <c r="AC306" s="26" t="s">
        <v>2839</v>
      </c>
      <c r="AD306" s="24">
        <v>125843</v>
      </c>
      <c r="AE306" s="7">
        <v>0.14000000000000001</v>
      </c>
      <c r="AF306" s="7" t="s">
        <v>2838</v>
      </c>
      <c r="AG306" s="7">
        <v>1.3680000000000001</v>
      </c>
      <c r="AH306" s="7" t="s">
        <v>2837</v>
      </c>
      <c r="AI306" s="7">
        <v>144000</v>
      </c>
      <c r="AJ306" s="7">
        <v>13</v>
      </c>
      <c r="AK306" s="7">
        <v>23</v>
      </c>
      <c r="AL306" s="7" t="s">
        <v>364</v>
      </c>
      <c r="AN306" s="7" t="s">
        <v>2029</v>
      </c>
      <c r="AT306" s="7" t="str">
        <f t="shared" si="80"/>
        <v>CN, SBT &amp; RE100</v>
      </c>
      <c r="AU306" s="7" t="str">
        <f t="shared" si="72"/>
        <v>CN, SBT &amp; RE100</v>
      </c>
      <c r="AV306" s="7">
        <f t="shared" si="73"/>
        <v>2012</v>
      </c>
      <c r="AW306" s="7">
        <f t="shared" si="74"/>
        <v>2019</v>
      </c>
      <c r="AX306" s="7">
        <f t="shared" si="75"/>
        <v>2015</v>
      </c>
      <c r="BB306" s="7" t="str">
        <f t="shared" si="81"/>
        <v>Yes</v>
      </c>
      <c r="BC306" s="7" t="str">
        <f t="shared" si="76"/>
        <v>Carbon Neutral</v>
      </c>
      <c r="BD306" s="7" t="s">
        <v>1969</v>
      </c>
      <c r="BE306" s="7" t="s">
        <v>2835</v>
      </c>
      <c r="BF306" s="23" t="s">
        <v>2836</v>
      </c>
      <c r="BG306" s="7" t="s">
        <v>2835</v>
      </c>
      <c r="BH306" s="7" t="s">
        <v>22</v>
      </c>
      <c r="BI306" s="7" t="s">
        <v>2156</v>
      </c>
      <c r="BJ306" s="7" t="s">
        <v>2008</v>
      </c>
      <c r="BM306" s="7" t="s">
        <v>2834</v>
      </c>
      <c r="BN306" s="7">
        <v>2030</v>
      </c>
      <c r="BO306" s="7">
        <v>2030</v>
      </c>
      <c r="BP306" s="7">
        <v>2030</v>
      </c>
      <c r="BQ306" s="22"/>
      <c r="CD306" s="7" t="s">
        <v>361</v>
      </c>
      <c r="CE306" s="7" t="s">
        <v>1947</v>
      </c>
      <c r="CG306" s="7" t="s">
        <v>2027</v>
      </c>
      <c r="CH306" s="7" t="str">
        <f t="shared" si="77"/>
        <v>yes</v>
      </c>
      <c r="CI306" s="7" t="s">
        <v>13</v>
      </c>
      <c r="CJ306" s="7">
        <v>1</v>
      </c>
      <c r="CK306" s="7">
        <v>0.96</v>
      </c>
      <c r="CL306" s="7">
        <v>1</v>
      </c>
      <c r="CM306" s="7">
        <v>1</v>
      </c>
      <c r="CN306" s="7">
        <v>1</v>
      </c>
      <c r="CO306" s="7" t="s">
        <v>2833</v>
      </c>
      <c r="CW306" s="7" t="s">
        <v>361</v>
      </c>
      <c r="CX306" s="7" t="s">
        <v>361</v>
      </c>
      <c r="CY306" s="7" t="s">
        <v>361</v>
      </c>
    </row>
    <row r="307" spans="1:103">
      <c r="A307" s="7" t="s">
        <v>780</v>
      </c>
      <c r="B307" s="7">
        <v>307</v>
      </c>
      <c r="I307" s="24" t="str">
        <f t="shared" si="68"/>
        <v/>
      </c>
      <c r="L307" s="7" t="str">
        <f t="shared" si="69"/>
        <v/>
      </c>
      <c r="M307" s="21" t="str">
        <f t="shared" si="70"/>
        <v/>
      </c>
      <c r="N307" s="7" t="s">
        <v>1960</v>
      </c>
      <c r="T307" s="7" t="str">
        <f t="shared" si="71"/>
        <v>Nothing</v>
      </c>
      <c r="U307" s="7" t="s">
        <v>1963</v>
      </c>
      <c r="AC307" s="26" t="s">
        <v>2832</v>
      </c>
      <c r="AD307" s="24">
        <v>40440</v>
      </c>
      <c r="AE307" s="7">
        <v>2.1999999999999999E-2</v>
      </c>
      <c r="AF307" s="7" t="s">
        <v>2831</v>
      </c>
      <c r="AG307" s="7">
        <v>0.14599999999999999</v>
      </c>
      <c r="AH307" s="7" t="s">
        <v>2830</v>
      </c>
      <c r="AI307" s="7">
        <v>134897</v>
      </c>
      <c r="AJ307" s="7">
        <v>5</v>
      </c>
      <c r="AK307" s="7">
        <v>5</v>
      </c>
      <c r="AT307" s="7" t="str">
        <f t="shared" si="80"/>
        <v>None</v>
      </c>
      <c r="AU307" s="7" t="str">
        <f t="shared" si="72"/>
        <v>None</v>
      </c>
      <c r="AV307" s="7" t="str">
        <f t="shared" si="73"/>
        <v/>
      </c>
      <c r="AW307" s="7" t="str">
        <f t="shared" si="74"/>
        <v/>
      </c>
      <c r="AX307" s="7" t="str">
        <f t="shared" si="75"/>
        <v/>
      </c>
      <c r="BB307" s="7" t="str">
        <f t="shared" si="81"/>
        <v/>
      </c>
      <c r="BC307" s="7" t="str">
        <f t="shared" si="76"/>
        <v>No</v>
      </c>
      <c r="BD307" s="7" t="s">
        <v>1963</v>
      </c>
      <c r="BF307" s="7" t="s">
        <v>2829</v>
      </c>
      <c r="BQ307" s="22"/>
      <c r="CH307" s="7" t="str">
        <f t="shared" si="77"/>
        <v/>
      </c>
    </row>
    <row r="308" spans="1:103">
      <c r="A308" s="7" t="s">
        <v>340</v>
      </c>
      <c r="B308" s="7">
        <v>448</v>
      </c>
      <c r="C308" s="7" t="s">
        <v>287</v>
      </c>
      <c r="I308" s="24" t="str">
        <f t="shared" si="68"/>
        <v/>
      </c>
      <c r="L308" s="7" t="str">
        <f t="shared" si="69"/>
        <v>C</v>
      </c>
      <c r="M308" s="21" t="str">
        <f t="shared" si="70"/>
        <v/>
      </c>
      <c r="N308" s="7">
        <v>2020</v>
      </c>
      <c r="T308" s="7" t="str">
        <f t="shared" si="71"/>
        <v>Nothing</v>
      </c>
      <c r="U308" s="7" t="s">
        <v>1963</v>
      </c>
      <c r="AD308" s="24">
        <v>28540</v>
      </c>
      <c r="AE308" s="7">
        <v>-1.9E-2</v>
      </c>
      <c r="AF308" s="7" t="s">
        <v>2828</v>
      </c>
      <c r="AG308" s="7">
        <v>-0.31900000000000001</v>
      </c>
      <c r="AH308" s="7" t="s">
        <v>2827</v>
      </c>
      <c r="AI308" s="7">
        <v>90863</v>
      </c>
      <c r="AJ308" s="7">
        <v>-17</v>
      </c>
      <c r="AK308" s="7">
        <v>26</v>
      </c>
      <c r="AL308" s="7" t="s">
        <v>454</v>
      </c>
      <c r="AN308" s="7" t="s">
        <v>1951</v>
      </c>
      <c r="AT308" s="7" t="str">
        <f t="shared" si="80"/>
        <v>SBT</v>
      </c>
      <c r="AU308" s="7" t="str">
        <f t="shared" si="72"/>
        <v>SBT</v>
      </c>
      <c r="AV308" s="7" t="str">
        <f t="shared" si="73"/>
        <v/>
      </c>
      <c r="AW308" s="7">
        <f t="shared" si="74"/>
        <v>2020</v>
      </c>
      <c r="AX308" s="7" t="str">
        <f t="shared" si="75"/>
        <v/>
      </c>
      <c r="BB308" s="7" t="str">
        <f t="shared" si="81"/>
        <v>Yes</v>
      </c>
      <c r="BC308" s="7" t="str">
        <f t="shared" si="76"/>
        <v>No</v>
      </c>
      <c r="BD308" s="7" t="s">
        <v>1963</v>
      </c>
      <c r="BH308" s="7" t="s">
        <v>165</v>
      </c>
      <c r="BJ308" s="7" t="s">
        <v>1992</v>
      </c>
      <c r="BQ308" s="22"/>
      <c r="CH308" s="7" t="str">
        <f t="shared" si="77"/>
        <v/>
      </c>
    </row>
    <row r="309" spans="1:103">
      <c r="A309" s="7" t="s">
        <v>1779</v>
      </c>
      <c r="B309" s="7">
        <v>42</v>
      </c>
      <c r="I309" s="24" t="str">
        <f t="shared" si="68"/>
        <v/>
      </c>
      <c r="L309" s="7" t="str">
        <f t="shared" si="69"/>
        <v/>
      </c>
      <c r="M309" s="21" t="str">
        <f t="shared" si="70"/>
        <v/>
      </c>
      <c r="N309" s="7" t="s">
        <v>1960</v>
      </c>
      <c r="T309" s="7" t="str">
        <f t="shared" si="71"/>
        <v>Nothing</v>
      </c>
      <c r="U309" s="7" t="s">
        <v>1</v>
      </c>
      <c r="AC309" s="26" t="s">
        <v>1775</v>
      </c>
      <c r="AD309" s="24">
        <v>135940</v>
      </c>
      <c r="AE309" s="7">
        <v>-6.4000000000000001E-2</v>
      </c>
      <c r="AF309" s="7" t="s">
        <v>2826</v>
      </c>
      <c r="AG309" s="7">
        <v>-7.5999999999999998E-2</v>
      </c>
      <c r="AH309" s="7" t="s">
        <v>2825</v>
      </c>
      <c r="AI309" s="7">
        <v>86098</v>
      </c>
      <c r="AJ309" s="7">
        <v>-9</v>
      </c>
      <c r="AK309" s="7">
        <v>26</v>
      </c>
      <c r="AT309" s="7" t="str">
        <f t="shared" si="80"/>
        <v>None</v>
      </c>
      <c r="AU309" s="7" t="str">
        <f t="shared" si="72"/>
        <v>None</v>
      </c>
      <c r="AV309" s="7" t="str">
        <f t="shared" si="73"/>
        <v/>
      </c>
      <c r="AW309" s="7" t="str">
        <f t="shared" si="74"/>
        <v/>
      </c>
      <c r="AX309" s="7" t="str">
        <f t="shared" si="75"/>
        <v/>
      </c>
      <c r="BB309" s="7" t="str">
        <f t="shared" si="81"/>
        <v/>
      </c>
      <c r="BC309" s="7" t="str">
        <f t="shared" si="76"/>
        <v>No</v>
      </c>
      <c r="BD309" s="7" t="s">
        <v>1</v>
      </c>
      <c r="BF309" s="7" t="s">
        <v>2824</v>
      </c>
      <c r="BQ309" s="22"/>
      <c r="CH309" s="7" t="str">
        <f t="shared" si="77"/>
        <v/>
      </c>
      <c r="CW309" s="7" t="s">
        <v>361</v>
      </c>
    </row>
    <row r="310" spans="1:103">
      <c r="A310" s="7" t="s">
        <v>658</v>
      </c>
      <c r="B310" s="7">
        <v>376</v>
      </c>
      <c r="I310" s="24" t="str">
        <f t="shared" si="68"/>
        <v/>
      </c>
      <c r="L310" s="7" t="str">
        <f t="shared" si="69"/>
        <v/>
      </c>
      <c r="M310" s="21" t="str">
        <f t="shared" si="70"/>
        <v/>
      </c>
      <c r="N310" s="7" t="s">
        <v>1960</v>
      </c>
      <c r="T310" s="7" t="str">
        <f t="shared" si="71"/>
        <v>Nothing</v>
      </c>
      <c r="U310" s="7" t="s">
        <v>1963</v>
      </c>
      <c r="AD310" s="24">
        <v>33418</v>
      </c>
      <c r="AE310" s="7">
        <v>-5.6000000000000001E-2</v>
      </c>
      <c r="AF310" s="7" t="s">
        <v>2823</v>
      </c>
      <c r="AG310" s="7">
        <v>-0.67500000000000004</v>
      </c>
      <c r="AH310" s="7" t="s">
        <v>2822</v>
      </c>
      <c r="AI310" s="7">
        <v>69609</v>
      </c>
      <c r="AJ310" s="7">
        <v>-25</v>
      </c>
      <c r="AK310" s="7">
        <v>26</v>
      </c>
      <c r="AT310" s="7" t="str">
        <f t="shared" si="80"/>
        <v>None</v>
      </c>
      <c r="AU310" s="7" t="str">
        <f t="shared" si="72"/>
        <v>None</v>
      </c>
      <c r="AV310" s="7" t="str">
        <f t="shared" si="73"/>
        <v/>
      </c>
      <c r="AW310" s="7" t="str">
        <f t="shared" si="74"/>
        <v/>
      </c>
      <c r="AX310" s="7" t="str">
        <f t="shared" si="75"/>
        <v/>
      </c>
      <c r="BB310" s="7" t="str">
        <f t="shared" si="81"/>
        <v/>
      </c>
      <c r="BC310" s="7" t="str">
        <f t="shared" si="76"/>
        <v>No</v>
      </c>
      <c r="BD310" s="7" t="s">
        <v>1963</v>
      </c>
      <c r="BQ310" s="22"/>
      <c r="CH310" s="7" t="str">
        <f t="shared" si="77"/>
        <v/>
      </c>
      <c r="CW310" s="7" t="s">
        <v>361</v>
      </c>
    </row>
    <row r="311" spans="1:103">
      <c r="A311" s="7" t="s">
        <v>826</v>
      </c>
      <c r="B311" s="7">
        <v>300</v>
      </c>
      <c r="C311" s="7" t="s">
        <v>207</v>
      </c>
      <c r="I311" s="24" t="str">
        <f t="shared" si="68"/>
        <v/>
      </c>
      <c r="L311" s="7" t="str">
        <f t="shared" si="69"/>
        <v>T</v>
      </c>
      <c r="M311" s="21">
        <f t="shared" si="70"/>
        <v>2030</v>
      </c>
      <c r="N311" s="7">
        <v>2020</v>
      </c>
      <c r="T311" s="7" t="str">
        <f t="shared" si="71"/>
        <v>Nothing</v>
      </c>
      <c r="U311" s="7" t="s">
        <v>1963</v>
      </c>
      <c r="AC311" s="26" t="s">
        <v>2821</v>
      </c>
      <c r="AD311" s="24">
        <v>41045</v>
      </c>
      <c r="AE311" s="7">
        <v>7.0000000000000001E-3</v>
      </c>
      <c r="AF311" s="7" t="s">
        <v>2820</v>
      </c>
      <c r="AG311" s="7">
        <v>-2E-3</v>
      </c>
      <c r="AH311" s="7" t="s">
        <v>2819</v>
      </c>
      <c r="AI311" s="7">
        <v>146518</v>
      </c>
      <c r="AJ311" s="7" t="s">
        <v>9</v>
      </c>
      <c r="AK311" s="7">
        <v>26</v>
      </c>
      <c r="AL311" s="7" t="s">
        <v>431</v>
      </c>
      <c r="AN311" s="7" t="s">
        <v>1994</v>
      </c>
      <c r="AT311" s="7" t="str">
        <f t="shared" si="80"/>
        <v>SBT</v>
      </c>
      <c r="AU311" s="7" t="str">
        <f t="shared" si="72"/>
        <v>SBT</v>
      </c>
      <c r="AV311" s="7" t="str">
        <f t="shared" si="73"/>
        <v/>
      </c>
      <c r="AW311" s="7">
        <f t="shared" si="74"/>
        <v>2020</v>
      </c>
      <c r="AX311" s="7" t="str">
        <f t="shared" si="75"/>
        <v/>
      </c>
      <c r="BB311" s="7" t="str">
        <f t="shared" si="81"/>
        <v>Yes</v>
      </c>
      <c r="BC311" s="7" t="str">
        <f t="shared" si="76"/>
        <v>No</v>
      </c>
      <c r="BD311" s="7" t="s">
        <v>1963</v>
      </c>
      <c r="BF311" s="7" t="s">
        <v>2818</v>
      </c>
      <c r="BH311" s="7" t="s">
        <v>22</v>
      </c>
      <c r="BI311" s="7" t="s">
        <v>2817</v>
      </c>
      <c r="BJ311" s="7" t="s">
        <v>2375</v>
      </c>
      <c r="BM311" s="7" t="s">
        <v>2816</v>
      </c>
      <c r="BN311" s="7">
        <v>2030</v>
      </c>
      <c r="BO311" s="7">
        <v>2030</v>
      </c>
      <c r="BP311" s="7">
        <v>2030</v>
      </c>
      <c r="BQ311" s="22"/>
      <c r="CH311" s="7" t="str">
        <f t="shared" si="77"/>
        <v/>
      </c>
    </row>
    <row r="312" spans="1:103">
      <c r="A312" s="7" t="s">
        <v>711</v>
      </c>
      <c r="B312" s="7">
        <v>339</v>
      </c>
      <c r="I312" s="24" t="str">
        <f t="shared" si="68"/>
        <v/>
      </c>
      <c r="L312" s="7" t="str">
        <f t="shared" si="69"/>
        <v/>
      </c>
      <c r="M312" s="21" t="str">
        <f t="shared" si="70"/>
        <v/>
      </c>
      <c r="N312" s="7" t="s">
        <v>1960</v>
      </c>
      <c r="T312" s="7" t="str">
        <f t="shared" si="71"/>
        <v>Nothing</v>
      </c>
      <c r="U312" s="7" t="s">
        <v>1963</v>
      </c>
      <c r="AC312" s="26" t="s">
        <v>2815</v>
      </c>
      <c r="AD312" s="24">
        <v>37172</v>
      </c>
      <c r="AE312" s="7">
        <v>1.0999999999999999E-2</v>
      </c>
      <c r="AF312" s="7" t="s">
        <v>2814</v>
      </c>
      <c r="AG312" s="7">
        <v>-0.123</v>
      </c>
      <c r="AH312" s="7" t="s">
        <v>2813</v>
      </c>
      <c r="AI312" s="7">
        <v>81631</v>
      </c>
      <c r="AJ312" s="7">
        <v>-5</v>
      </c>
      <c r="AK312" s="7">
        <v>26</v>
      </c>
      <c r="AT312" s="7" t="str">
        <f t="shared" si="80"/>
        <v>None</v>
      </c>
      <c r="AU312" s="7" t="str">
        <f t="shared" si="72"/>
        <v>None</v>
      </c>
      <c r="AV312" s="7" t="str">
        <f t="shared" si="73"/>
        <v/>
      </c>
      <c r="AW312" s="7" t="str">
        <f t="shared" si="74"/>
        <v/>
      </c>
      <c r="AX312" s="7" t="str">
        <f t="shared" si="75"/>
        <v/>
      </c>
      <c r="BB312" s="7" t="str">
        <f t="shared" si="81"/>
        <v/>
      </c>
      <c r="BC312" s="7" t="str">
        <f t="shared" si="76"/>
        <v>No</v>
      </c>
      <c r="BD312" s="7" t="s">
        <v>1963</v>
      </c>
      <c r="BF312" s="7" t="s">
        <v>2812</v>
      </c>
      <c r="BQ312" s="22"/>
      <c r="CH312" s="7" t="str">
        <f t="shared" si="77"/>
        <v/>
      </c>
      <c r="CW312" s="7" t="s">
        <v>361</v>
      </c>
    </row>
    <row r="313" spans="1:103">
      <c r="A313" s="7" t="s">
        <v>1279</v>
      </c>
      <c r="B313" s="7">
        <v>161</v>
      </c>
      <c r="I313" s="24" t="str">
        <f t="shared" si="68"/>
        <v/>
      </c>
      <c r="L313" s="7" t="str">
        <f t="shared" si="69"/>
        <v/>
      </c>
      <c r="M313" s="21" t="str">
        <f t="shared" si="70"/>
        <v/>
      </c>
      <c r="N313" s="7" t="s">
        <v>1960</v>
      </c>
      <c r="T313" s="7" t="str">
        <f t="shared" si="71"/>
        <v>Nothing</v>
      </c>
      <c r="U313" s="7" t="s">
        <v>1</v>
      </c>
      <c r="AD313" s="24">
        <v>67135</v>
      </c>
      <c r="AE313" s="7">
        <v>0.111</v>
      </c>
      <c r="AF313" s="7" t="s">
        <v>2811</v>
      </c>
      <c r="AG313" s="7">
        <v>-0.38300000000000001</v>
      </c>
      <c r="AH313" s="7" t="s">
        <v>2810</v>
      </c>
      <c r="AI313" s="7">
        <v>138570</v>
      </c>
      <c r="AJ313" s="7">
        <v>5</v>
      </c>
      <c r="AK313" s="7">
        <v>19</v>
      </c>
      <c r="AT313" s="7" t="str">
        <f t="shared" si="80"/>
        <v>None</v>
      </c>
      <c r="AU313" s="7" t="str">
        <f t="shared" si="72"/>
        <v>None</v>
      </c>
      <c r="AV313" s="7" t="str">
        <f t="shared" si="73"/>
        <v/>
      </c>
      <c r="AW313" s="7" t="str">
        <f t="shared" si="74"/>
        <v/>
      </c>
      <c r="AX313" s="7" t="str">
        <f t="shared" si="75"/>
        <v/>
      </c>
      <c r="BB313" s="7" t="str">
        <f t="shared" si="81"/>
        <v/>
      </c>
      <c r="BC313" s="7" t="str">
        <f t="shared" si="76"/>
        <v>No</v>
      </c>
      <c r="BD313" s="7" t="s">
        <v>1</v>
      </c>
      <c r="BQ313" s="22"/>
      <c r="CH313" s="7" t="str">
        <f t="shared" si="77"/>
        <v/>
      </c>
    </row>
    <row r="314" spans="1:103">
      <c r="A314" s="7" t="s">
        <v>1303</v>
      </c>
      <c r="B314" s="7">
        <v>172</v>
      </c>
      <c r="C314" s="7" t="s">
        <v>207</v>
      </c>
      <c r="F314" s="7">
        <v>2050</v>
      </c>
      <c r="G314" s="7">
        <v>2020</v>
      </c>
      <c r="H314" s="8" t="s">
        <v>2806</v>
      </c>
      <c r="I314" s="24" t="str">
        <f t="shared" si="68"/>
        <v/>
      </c>
      <c r="L314" s="7" t="str">
        <f t="shared" si="69"/>
        <v/>
      </c>
      <c r="M314" s="21" t="str">
        <f t="shared" si="70"/>
        <v/>
      </c>
      <c r="N314" s="7" t="s">
        <v>1960</v>
      </c>
      <c r="O314" s="7" t="s">
        <v>2082</v>
      </c>
      <c r="P314" s="7" t="s">
        <v>2081</v>
      </c>
      <c r="Q314" s="7">
        <v>2050</v>
      </c>
      <c r="R314" s="7">
        <v>2020</v>
      </c>
      <c r="S314" s="8" t="s">
        <v>2806</v>
      </c>
      <c r="T314" s="7" t="str">
        <f t="shared" si="71"/>
        <v/>
      </c>
      <c r="U314" s="7" t="s">
        <v>2080</v>
      </c>
      <c r="X314" s="7" t="s">
        <v>2809</v>
      </c>
      <c r="Z314" s="7" t="s">
        <v>2808</v>
      </c>
      <c r="AA314" s="7" t="s">
        <v>2807</v>
      </c>
      <c r="AB314" s="8" t="s">
        <v>2806</v>
      </c>
      <c r="AC314" s="48" t="s">
        <v>2805</v>
      </c>
      <c r="AD314" s="24">
        <v>63327</v>
      </c>
      <c r="AE314" s="7">
        <v>8.9999999999999993E-3</v>
      </c>
      <c r="AF314" s="7" t="s">
        <v>2804</v>
      </c>
      <c r="AG314" s="7">
        <v>-3.5999999999999997E-2</v>
      </c>
      <c r="AH314" s="7" t="s">
        <v>2803</v>
      </c>
      <c r="AI314" s="7">
        <v>45624</v>
      </c>
      <c r="AJ314" s="7">
        <v>-15</v>
      </c>
      <c r="AK314" s="7">
        <v>26</v>
      </c>
      <c r="AL314" s="25" t="s">
        <v>2120</v>
      </c>
      <c r="AN314" s="7" t="s">
        <v>1994</v>
      </c>
      <c r="AT314" s="7" t="str">
        <f t="shared" si="80"/>
        <v>None</v>
      </c>
      <c r="AU314" s="7" t="str">
        <f t="shared" si="72"/>
        <v>None</v>
      </c>
      <c r="AV314" s="7" t="str">
        <f t="shared" si="73"/>
        <v/>
      </c>
      <c r="AW314" s="7" t="str">
        <f t="shared" si="74"/>
        <v/>
      </c>
      <c r="AX314" s="7" t="str">
        <f t="shared" si="75"/>
        <v/>
      </c>
      <c r="BB314" s="7" t="str">
        <f t="shared" si="81"/>
        <v/>
      </c>
      <c r="BC314" s="7" t="str">
        <f t="shared" si="76"/>
        <v>No</v>
      </c>
      <c r="BD314" s="7" t="s">
        <v>2118</v>
      </c>
      <c r="BF314" s="25" t="s">
        <v>2802</v>
      </c>
      <c r="BG314" s="7" t="s">
        <v>2072</v>
      </c>
      <c r="BQ314" s="22"/>
      <c r="CD314" s="7" t="s">
        <v>361</v>
      </c>
      <c r="CF314" s="25"/>
      <c r="CH314" s="7" t="str">
        <f t="shared" si="77"/>
        <v/>
      </c>
    </row>
    <row r="315" spans="1:103">
      <c r="A315" s="7" t="s">
        <v>660</v>
      </c>
      <c r="B315" s="7">
        <v>349</v>
      </c>
      <c r="I315" s="24" t="str">
        <f t="shared" si="68"/>
        <v/>
      </c>
      <c r="L315" s="7" t="str">
        <f t="shared" si="69"/>
        <v/>
      </c>
      <c r="M315" s="21" t="str">
        <f t="shared" si="70"/>
        <v/>
      </c>
      <c r="N315" s="7" t="s">
        <v>1960</v>
      </c>
      <c r="T315" s="7" t="str">
        <f t="shared" si="71"/>
        <v>Nothing</v>
      </c>
      <c r="U315" s="7" t="s">
        <v>1963</v>
      </c>
      <c r="AD315" s="24">
        <v>36669</v>
      </c>
      <c r="AE315" s="7">
        <v>3.5999999999999997E-2</v>
      </c>
      <c r="AF315" s="7" t="s">
        <v>2801</v>
      </c>
      <c r="AG315" s="7">
        <v>3.7370000000000001</v>
      </c>
      <c r="AH315" s="7" t="s">
        <v>2800</v>
      </c>
      <c r="AI315" s="7">
        <v>57264</v>
      </c>
      <c r="AJ315" s="7">
        <v>1</v>
      </c>
      <c r="AK315" s="7">
        <v>20</v>
      </c>
      <c r="AT315" s="7" t="str">
        <f t="shared" si="80"/>
        <v>None</v>
      </c>
      <c r="AU315" s="7" t="str">
        <f t="shared" si="72"/>
        <v>None</v>
      </c>
      <c r="AV315" s="7" t="str">
        <f t="shared" si="73"/>
        <v/>
      </c>
      <c r="AW315" s="7" t="str">
        <f t="shared" si="74"/>
        <v/>
      </c>
      <c r="AX315" s="7" t="str">
        <f t="shared" si="75"/>
        <v/>
      </c>
      <c r="BB315" s="7" t="str">
        <f t="shared" si="81"/>
        <v/>
      </c>
      <c r="BC315" s="7" t="str">
        <f t="shared" si="76"/>
        <v>No</v>
      </c>
      <c r="BD315" s="7" t="s">
        <v>1963</v>
      </c>
      <c r="BQ315" s="22"/>
      <c r="CH315" s="7" t="str">
        <f t="shared" si="77"/>
        <v/>
      </c>
      <c r="CX315" s="7" t="s">
        <v>361</v>
      </c>
    </row>
    <row r="316" spans="1:103">
      <c r="A316" s="7" t="s">
        <v>150</v>
      </c>
      <c r="B316" s="7">
        <v>495</v>
      </c>
      <c r="C316" s="7" t="s">
        <v>127</v>
      </c>
      <c r="I316" s="24" t="str">
        <f t="shared" si="68"/>
        <v/>
      </c>
      <c r="L316" s="7" t="str">
        <f t="shared" si="69"/>
        <v>T</v>
      </c>
      <c r="M316" s="21">
        <f t="shared" si="70"/>
        <v>2025</v>
      </c>
      <c r="N316" s="7">
        <v>2020</v>
      </c>
      <c r="T316" s="7" t="str">
        <f t="shared" si="71"/>
        <v>Nothing</v>
      </c>
      <c r="U316" s="7" t="s">
        <v>1</v>
      </c>
      <c r="AD316" s="24">
        <v>25868</v>
      </c>
      <c r="AE316" s="7">
        <v>-3.0000000000000001E-3</v>
      </c>
      <c r="AF316" s="7" t="s">
        <v>2799</v>
      </c>
      <c r="AG316" s="7">
        <v>0.14499999999999999</v>
      </c>
      <c r="AH316" s="7" t="s">
        <v>2798</v>
      </c>
      <c r="AI316" s="7">
        <v>80000</v>
      </c>
      <c r="AJ316" s="7">
        <v>-15</v>
      </c>
      <c r="AK316" s="7">
        <v>13</v>
      </c>
      <c r="AL316" s="7" t="s">
        <v>23</v>
      </c>
      <c r="AN316" s="7" t="s">
        <v>2029</v>
      </c>
      <c r="AT316" s="7" t="str">
        <f t="shared" si="80"/>
        <v>SBT</v>
      </c>
      <c r="AU316" s="7" t="str">
        <f t="shared" si="72"/>
        <v>SBT</v>
      </c>
      <c r="AV316" s="7" t="str">
        <f t="shared" si="73"/>
        <v/>
      </c>
      <c r="AW316" s="7">
        <f t="shared" si="74"/>
        <v>2020</v>
      </c>
      <c r="AX316" s="7" t="str">
        <f t="shared" si="75"/>
        <v/>
      </c>
      <c r="BB316" s="7" t="str">
        <f t="shared" si="81"/>
        <v>Yes</v>
      </c>
      <c r="BC316" s="7" t="str">
        <f t="shared" si="76"/>
        <v>No</v>
      </c>
      <c r="BD316" s="7" t="s">
        <v>1</v>
      </c>
      <c r="BH316" s="7" t="s">
        <v>22</v>
      </c>
      <c r="BI316" s="7" t="s">
        <v>2245</v>
      </c>
      <c r="BJ316" s="7" t="s">
        <v>2375</v>
      </c>
      <c r="BM316" s="7" t="s">
        <v>2797</v>
      </c>
      <c r="BN316" s="7">
        <v>2025</v>
      </c>
      <c r="BO316" s="7">
        <v>2025</v>
      </c>
      <c r="BP316" s="7">
        <v>2025</v>
      </c>
      <c r="BQ316" s="22"/>
      <c r="CH316" s="7" t="str">
        <f t="shared" si="77"/>
        <v/>
      </c>
    </row>
    <row r="317" spans="1:103">
      <c r="A317" s="7" t="s">
        <v>1106</v>
      </c>
      <c r="B317" s="7">
        <v>203</v>
      </c>
      <c r="C317" s="7" t="s">
        <v>127</v>
      </c>
      <c r="D317" s="7" t="s">
        <v>1957</v>
      </c>
      <c r="E317" s="7" t="s">
        <v>1659</v>
      </c>
      <c r="F317" s="7">
        <v>2022</v>
      </c>
      <c r="G317" s="7">
        <v>2017</v>
      </c>
      <c r="H317" s="8" t="s">
        <v>2796</v>
      </c>
      <c r="I317" s="24" t="str">
        <f t="shared" si="68"/>
        <v>Yes</v>
      </c>
      <c r="J317" s="7">
        <v>2022</v>
      </c>
      <c r="K317" s="7">
        <v>2017</v>
      </c>
      <c r="L317" s="7" t="str">
        <f t="shared" si="69"/>
        <v/>
      </c>
      <c r="M317" s="21" t="str">
        <f t="shared" si="70"/>
        <v/>
      </c>
      <c r="N317" s="7" t="s">
        <v>1960</v>
      </c>
      <c r="T317" s="7" t="str">
        <f t="shared" si="71"/>
        <v/>
      </c>
      <c r="U317" s="7" t="s">
        <v>1969</v>
      </c>
      <c r="V317" s="7" t="s">
        <v>2610</v>
      </c>
      <c r="X317" s="23" t="s">
        <v>2795</v>
      </c>
      <c r="AC317" s="8" t="s">
        <v>2794</v>
      </c>
      <c r="AD317" s="24">
        <v>53823</v>
      </c>
      <c r="AE317" s="7">
        <v>7.1999999999999995E-2</v>
      </c>
      <c r="AF317" s="7" t="s">
        <v>2793</v>
      </c>
      <c r="AG317" s="7">
        <v>3.4000000000000002E-2</v>
      </c>
      <c r="AH317" s="7" t="s">
        <v>2792</v>
      </c>
      <c r="AI317" s="7">
        <v>60431</v>
      </c>
      <c r="AJ317" s="7">
        <v>15</v>
      </c>
      <c r="AK317" s="7">
        <v>23</v>
      </c>
      <c r="AL317" s="7" t="s">
        <v>93</v>
      </c>
      <c r="AN317" s="7" t="s">
        <v>2029</v>
      </c>
      <c r="AT317" s="7" t="str">
        <f t="shared" si="80"/>
        <v>CN &amp; RE100</v>
      </c>
      <c r="AU317" s="7" t="str">
        <f t="shared" si="72"/>
        <v>CN &amp; RE100</v>
      </c>
      <c r="AV317" s="7">
        <f t="shared" si="73"/>
        <v>2017</v>
      </c>
      <c r="AW317" s="7" t="str">
        <f t="shared" si="74"/>
        <v/>
      </c>
      <c r="AX317" s="7">
        <f t="shared" si="75"/>
        <v>2017</v>
      </c>
      <c r="BB317" s="7" t="str">
        <f t="shared" si="81"/>
        <v/>
      </c>
      <c r="BC317" s="7" t="str">
        <f t="shared" si="76"/>
        <v>Carbon Neutral</v>
      </c>
      <c r="BD317" s="7" t="s">
        <v>1</v>
      </c>
      <c r="BF317" s="23" t="s">
        <v>2791</v>
      </c>
      <c r="BG317" s="7" t="s">
        <v>2790</v>
      </c>
      <c r="BQ317" s="22"/>
      <c r="CE317" s="7" t="s">
        <v>2492</v>
      </c>
      <c r="CG317" s="7" t="s">
        <v>2789</v>
      </c>
      <c r="CH317" s="7" t="str">
        <f t="shared" si="77"/>
        <v>yes</v>
      </c>
      <c r="CI317" s="7" t="s">
        <v>13</v>
      </c>
      <c r="CJ317" s="7">
        <v>0.17</v>
      </c>
      <c r="CK317" s="7">
        <v>0.17</v>
      </c>
      <c r="CL317" s="7">
        <v>0.05</v>
      </c>
      <c r="CM317" s="7" t="s">
        <v>2788</v>
      </c>
      <c r="CN317" s="7" t="s">
        <v>2788</v>
      </c>
      <c r="CO317" s="7" t="s">
        <v>2069</v>
      </c>
      <c r="CX317" s="7" t="s">
        <v>361</v>
      </c>
      <c r="CY317" s="7" t="s">
        <v>361</v>
      </c>
    </row>
    <row r="318" spans="1:103">
      <c r="A318" s="7" t="s">
        <v>1098</v>
      </c>
      <c r="B318" s="7">
        <v>246</v>
      </c>
      <c r="I318" s="24" t="str">
        <f t="shared" si="68"/>
        <v/>
      </c>
      <c r="L318" s="7" t="str">
        <f t="shared" si="69"/>
        <v/>
      </c>
      <c r="M318" s="21" t="str">
        <f t="shared" si="70"/>
        <v/>
      </c>
      <c r="N318" s="7" t="s">
        <v>1960</v>
      </c>
      <c r="T318" s="7" t="str">
        <f t="shared" si="71"/>
        <v>Nothing</v>
      </c>
      <c r="U318" s="7" t="s">
        <v>1</v>
      </c>
      <c r="AC318" s="8" t="s">
        <v>2787</v>
      </c>
      <c r="AD318" s="24">
        <v>47537</v>
      </c>
      <c r="AE318" s="7">
        <v>-4.2000000000000003E-2</v>
      </c>
      <c r="AF318" s="7" t="s">
        <v>2786</v>
      </c>
      <c r="AG318" s="7">
        <v>-0.24299999999999999</v>
      </c>
      <c r="AH318" s="7" t="s">
        <v>2785</v>
      </c>
      <c r="AI318" s="7">
        <v>41942</v>
      </c>
      <c r="AJ318" s="7">
        <v>-24</v>
      </c>
      <c r="AK318" s="7">
        <v>22</v>
      </c>
      <c r="AT318" s="7" t="str">
        <f t="shared" si="80"/>
        <v>None</v>
      </c>
      <c r="AU318" s="7" t="str">
        <f t="shared" si="72"/>
        <v>None</v>
      </c>
      <c r="AV318" s="7" t="str">
        <f t="shared" si="73"/>
        <v/>
      </c>
      <c r="AW318" s="7" t="str">
        <f t="shared" si="74"/>
        <v/>
      </c>
      <c r="AX318" s="7" t="str">
        <f t="shared" si="75"/>
        <v/>
      </c>
      <c r="BB318" s="7" t="str">
        <f t="shared" si="81"/>
        <v/>
      </c>
      <c r="BC318" s="7" t="str">
        <f t="shared" si="76"/>
        <v>No</v>
      </c>
      <c r="BD318" s="7" t="s">
        <v>1</v>
      </c>
      <c r="BF318" s="7" t="s">
        <v>2784</v>
      </c>
      <c r="BQ318" s="22"/>
      <c r="CH318" s="7" t="str">
        <f t="shared" si="77"/>
        <v/>
      </c>
    </row>
    <row r="319" spans="1:103">
      <c r="A319" s="7" t="s">
        <v>1351</v>
      </c>
      <c r="B319" s="7">
        <v>135</v>
      </c>
      <c r="C319" s="7" t="s">
        <v>146</v>
      </c>
      <c r="D319" s="7" t="s">
        <v>1957</v>
      </c>
      <c r="E319" s="7" t="s">
        <v>2782</v>
      </c>
      <c r="F319" s="7">
        <v>2015</v>
      </c>
      <c r="G319" s="7">
        <v>2015</v>
      </c>
      <c r="H319" s="8" t="s">
        <v>2783</v>
      </c>
      <c r="I319" s="24" t="str">
        <f t="shared" si="68"/>
        <v>Yes</v>
      </c>
      <c r="J319" s="7" t="s">
        <v>1251</v>
      </c>
      <c r="K319" s="7">
        <v>2014</v>
      </c>
      <c r="L319" s="7" t="str">
        <f t="shared" si="69"/>
        <v/>
      </c>
      <c r="M319" s="21" t="str">
        <f t="shared" si="70"/>
        <v/>
      </c>
      <c r="N319" s="7" t="s">
        <v>1960</v>
      </c>
      <c r="T319" s="7" t="str">
        <f t="shared" si="71"/>
        <v/>
      </c>
      <c r="U319" s="7" t="s">
        <v>361</v>
      </c>
      <c r="V319" s="7" t="s">
        <v>2782</v>
      </c>
      <c r="AC319" s="8" t="s">
        <v>2781</v>
      </c>
      <c r="AD319" s="24">
        <v>72537</v>
      </c>
      <c r="AE319" s="7">
        <v>7.9000000000000001E-2</v>
      </c>
      <c r="AF319" s="7" t="s">
        <v>2780</v>
      </c>
      <c r="AG319" s="7">
        <v>0.11799999999999999</v>
      </c>
      <c r="AH319" s="7" t="s">
        <v>2779</v>
      </c>
      <c r="AI319" s="7">
        <v>39662</v>
      </c>
      <c r="AJ319" s="7">
        <v>10</v>
      </c>
      <c r="AK319" s="7">
        <v>26</v>
      </c>
      <c r="AL319" s="7" t="s">
        <v>93</v>
      </c>
      <c r="AN319" s="7" t="s">
        <v>1951</v>
      </c>
      <c r="AT319" s="7" t="s">
        <v>2778</v>
      </c>
      <c r="AU319" s="7" t="str">
        <f t="shared" si="72"/>
        <v>CN</v>
      </c>
      <c r="AV319" s="7">
        <f t="shared" si="73"/>
        <v>2015</v>
      </c>
      <c r="AW319" s="7" t="str">
        <f t="shared" si="74"/>
        <v/>
      </c>
      <c r="AX319" s="7" t="str">
        <f t="shared" si="75"/>
        <v/>
      </c>
      <c r="BB319" s="7" t="str">
        <f t="shared" si="81"/>
        <v/>
      </c>
      <c r="BC319" s="7" t="str">
        <f t="shared" si="76"/>
        <v>Carbon Neutral</v>
      </c>
      <c r="BD319" s="7" t="s">
        <v>1</v>
      </c>
      <c r="BF319" s="7" t="s">
        <v>2777</v>
      </c>
      <c r="BQ319" s="22"/>
      <c r="CE319" s="7" t="s">
        <v>1947</v>
      </c>
      <c r="CG319" s="7" t="s">
        <v>287</v>
      </c>
      <c r="CH319" s="7" t="str">
        <f t="shared" si="77"/>
        <v/>
      </c>
      <c r="CI319" s="7" t="s">
        <v>13</v>
      </c>
      <c r="CJ319" s="7">
        <v>0.34</v>
      </c>
      <c r="CK319" s="7">
        <v>0.26</v>
      </c>
      <c r="CL319" s="7">
        <v>0.13</v>
      </c>
      <c r="CM319" s="7">
        <v>0.08</v>
      </c>
      <c r="CN319" s="7">
        <v>0.05</v>
      </c>
      <c r="CO319" s="7" t="s">
        <v>2603</v>
      </c>
    </row>
    <row r="320" spans="1:103">
      <c r="A320" s="7" t="s">
        <v>929</v>
      </c>
      <c r="B320" s="7">
        <v>272</v>
      </c>
      <c r="C320" s="7" t="s">
        <v>127</v>
      </c>
      <c r="H320" s="28"/>
      <c r="I320" s="24" t="str">
        <f t="shared" si="68"/>
        <v/>
      </c>
      <c r="L320" s="7" t="str">
        <f t="shared" si="69"/>
        <v/>
      </c>
      <c r="M320" s="21" t="str">
        <f t="shared" si="70"/>
        <v/>
      </c>
      <c r="N320" s="7" t="s">
        <v>1960</v>
      </c>
      <c r="T320" s="7" t="str">
        <f t="shared" si="71"/>
        <v>Nothing</v>
      </c>
      <c r="U320" s="7" t="s">
        <v>1</v>
      </c>
      <c r="V320" s="25"/>
      <c r="AC320" s="26" t="s">
        <v>2776</v>
      </c>
      <c r="AD320" s="24">
        <v>43982</v>
      </c>
      <c r="AE320" s="7">
        <v>1.6E-2</v>
      </c>
      <c r="AF320" s="7" t="s">
        <v>2775</v>
      </c>
      <c r="AG320" s="7">
        <v>0.61899999999999999</v>
      </c>
      <c r="AH320" s="7" t="s">
        <v>2774</v>
      </c>
      <c r="AI320" s="7">
        <v>28114</v>
      </c>
      <c r="AJ320" s="7">
        <v>-1</v>
      </c>
      <c r="AK320" s="7">
        <v>26</v>
      </c>
      <c r="AL320" s="7" t="s">
        <v>93</v>
      </c>
      <c r="AN320" s="7" t="s">
        <v>2029</v>
      </c>
      <c r="AT320" s="7" t="str">
        <f t="shared" ref="AT320:AT351" si="82">IF(OR(BC320="Carbon Neutral",BC320="No - but post-2030 commitment"),IF((OR(BH320="Committed",BH320="Targets Set")),IF(J320="", "CN &amp; SBT","CN, SBT &amp; RE100"),IF(CH320="","CN","CN &amp; RE100")),IF((OR(BH320="Committed",BH320="Targets Set")),IF(CH320="", "SBT","SBT &amp; RE100"),IF(CH320="","None","RE100")))</f>
        <v>None</v>
      </c>
      <c r="AU320" s="7" t="str">
        <f t="shared" si="72"/>
        <v>None</v>
      </c>
      <c r="AV320" s="7" t="str">
        <f t="shared" si="73"/>
        <v/>
      </c>
      <c r="AW320" s="7" t="str">
        <f t="shared" si="74"/>
        <v/>
      </c>
      <c r="AX320" s="7" t="str">
        <f t="shared" si="75"/>
        <v/>
      </c>
      <c r="BB320" s="7" t="str">
        <f t="shared" si="81"/>
        <v/>
      </c>
      <c r="BC320" s="7" t="str">
        <f t="shared" si="76"/>
        <v>No</v>
      </c>
      <c r="BF320" s="7" t="s">
        <v>2773</v>
      </c>
      <c r="BQ320" s="22"/>
      <c r="CD320" s="7" t="s">
        <v>361</v>
      </c>
      <c r="CF320" s="25"/>
      <c r="CH320" s="7" t="str">
        <f t="shared" si="77"/>
        <v/>
      </c>
    </row>
    <row r="321" spans="1:103">
      <c r="A321" s="7" t="s">
        <v>348</v>
      </c>
      <c r="B321" s="7">
        <v>492</v>
      </c>
      <c r="C321" s="7" t="s">
        <v>267</v>
      </c>
      <c r="I321" s="24" t="str">
        <f t="shared" si="68"/>
        <v/>
      </c>
      <c r="L321" s="7" t="str">
        <f t="shared" si="69"/>
        <v>C</v>
      </c>
      <c r="M321" s="21" t="str">
        <f t="shared" si="70"/>
        <v/>
      </c>
      <c r="N321" s="7">
        <v>2015</v>
      </c>
      <c r="T321" s="7" t="str">
        <f t="shared" si="71"/>
        <v>Nothing</v>
      </c>
      <c r="U321" s="7" t="s">
        <v>1</v>
      </c>
      <c r="AC321" s="8" t="s">
        <v>2772</v>
      </c>
      <c r="AD321" s="24">
        <v>25991</v>
      </c>
      <c r="AE321" s="7">
        <v>-0.108</v>
      </c>
      <c r="AF321" s="7" t="s">
        <v>2771</v>
      </c>
      <c r="AG321" s="7" t="s">
        <v>9</v>
      </c>
      <c r="AH321" s="7" t="s">
        <v>2770</v>
      </c>
      <c r="AI321" s="7">
        <v>12138</v>
      </c>
      <c r="AJ321" s="7">
        <v>-62</v>
      </c>
      <c r="AK321" s="7">
        <v>12</v>
      </c>
      <c r="AL321" s="7" t="s">
        <v>2769</v>
      </c>
      <c r="AN321" s="7" t="s">
        <v>1951</v>
      </c>
      <c r="AT321" s="7" t="str">
        <f t="shared" si="82"/>
        <v>SBT</v>
      </c>
      <c r="AU321" s="7" t="str">
        <f t="shared" si="72"/>
        <v>SBT</v>
      </c>
      <c r="AV321" s="7" t="str">
        <f t="shared" si="73"/>
        <v/>
      </c>
      <c r="AW321" s="7">
        <f t="shared" si="74"/>
        <v>2015</v>
      </c>
      <c r="AX321" s="7" t="str">
        <f t="shared" si="75"/>
        <v/>
      </c>
      <c r="BB321" s="7" t="str">
        <f t="shared" si="81"/>
        <v>Yes</v>
      </c>
      <c r="BC321" s="7" t="str">
        <f t="shared" si="76"/>
        <v>No</v>
      </c>
      <c r="BD321" s="7" t="s">
        <v>1</v>
      </c>
      <c r="BF321" s="7" t="s">
        <v>2768</v>
      </c>
      <c r="BH321" s="7" t="s">
        <v>165</v>
      </c>
      <c r="BJ321" s="7" t="s">
        <v>1049</v>
      </c>
      <c r="BQ321" s="22"/>
      <c r="CH321" s="7" t="str">
        <f t="shared" si="77"/>
        <v/>
      </c>
    </row>
    <row r="322" spans="1:103">
      <c r="A322" s="7" t="s">
        <v>200</v>
      </c>
      <c r="B322" s="7">
        <v>450</v>
      </c>
      <c r="C322" s="7" t="s">
        <v>207</v>
      </c>
      <c r="D322" s="7" t="s">
        <v>1957</v>
      </c>
      <c r="E322" s="7" t="s">
        <v>2271</v>
      </c>
      <c r="F322" s="7">
        <v>2050</v>
      </c>
      <c r="G322" s="7">
        <v>2017</v>
      </c>
      <c r="H322" s="8" t="s">
        <v>2767</v>
      </c>
      <c r="I322" s="24" t="str">
        <f t="shared" ref="I322:I385" si="83">IF(J322="","","Yes")</f>
        <v/>
      </c>
      <c r="L322" s="7" t="str">
        <f t="shared" ref="L322:L385" si="84">IF(BH322="","",IF(BH322="Targets Set","T","C"))</f>
        <v>T</v>
      </c>
      <c r="M322" s="21">
        <f t="shared" ref="M322:M385" si="85">IF(BM322="","",AVERAGE(BN322:BP322))</f>
        <v>2030</v>
      </c>
      <c r="N322" s="7">
        <v>2018</v>
      </c>
      <c r="T322" s="7" t="str">
        <f t="shared" ref="T322:T385" si="86">IF(AND(O322="",D322=""),"Nothing","")</f>
        <v/>
      </c>
      <c r="U322" s="7" t="s">
        <v>1969</v>
      </c>
      <c r="V322" t="s">
        <v>2766</v>
      </c>
      <c r="X322" s="7" t="s">
        <v>2765</v>
      </c>
      <c r="AD322" s="24">
        <v>28469</v>
      </c>
      <c r="AE322" s="7">
        <v>8.3000000000000004E-2</v>
      </c>
      <c r="AF322" s="7" t="s">
        <v>2764</v>
      </c>
      <c r="AG322" s="7">
        <v>1.536</v>
      </c>
      <c r="AH322" s="7" t="s">
        <v>2763</v>
      </c>
      <c r="AI322" s="7">
        <v>112638</v>
      </c>
      <c r="AJ322" s="7">
        <v>20</v>
      </c>
      <c r="AK322" s="7">
        <v>26</v>
      </c>
      <c r="AL322" s="7" t="s">
        <v>204</v>
      </c>
      <c r="AN322" s="7" t="s">
        <v>1994</v>
      </c>
      <c r="AT322" s="7" t="str">
        <f t="shared" si="82"/>
        <v>CN &amp; SBT</v>
      </c>
      <c r="AU322" s="7" t="str">
        <f t="shared" ref="AU322:AU385" si="87">IF((BC322="Carbon Neutral"),IF((OR(BH322="Committed",BH322="Targets Set")),IF(CH322="yes", "CN, SBT &amp; RE100", "CN &amp; SBT"),IF(CH322="yes", "CN &amp; RE100", "CN")),IF((OR(BH322="Committed",BH322="Targets Set")),IF(CH322="yes", "SBT &amp; RE100", "SBT"),IF(CH322="yes", "RE100", "None")))</f>
        <v>SBT</v>
      </c>
      <c r="AV322" s="7" t="str">
        <f t="shared" ref="AV322:AV385" si="88">IF(BC322="Carbon Neutral",G322,"")</f>
        <v/>
      </c>
      <c r="AW322" s="7">
        <f t="shared" ref="AW322:AW385" si="89">IF(N322="","",N322)</f>
        <v>2018</v>
      </c>
      <c r="AX322" s="7" t="str">
        <f t="shared" ref="AX322:AX385" si="90">IF(J322="","",IF(J322="2020 - achieved",K322,IF(J322="2020 - not achieved",K322,IF(J322="2020 - achieved pre-July 2019",K322,IF(J322&gt;2030,"",K322)))))</f>
        <v/>
      </c>
      <c r="BB322" s="7" t="str">
        <f t="shared" si="81"/>
        <v>Yes</v>
      </c>
      <c r="BC322" s="7" t="str">
        <f t="shared" ref="BC322:BC385" si="91">IF(U322="No","No",IF(AND(OR(U322="No - but future commitment",U322="No - but future commitment and further future commitment across more scopes"),F322&lt;=2030),"Carbon Neutral",IF(OR(U322="No - but future commitment",U322="No - but future commitment and further future commitment across more scopes"),"No - but post-2030 commitment",IF(OR(U322="Yes",U322="Yes and future commitment across more scopes",U322="Yes by virtue of zero net"),"Carbon Neutral","No"))))</f>
        <v>No - but post-2030 commitment</v>
      </c>
      <c r="BD322" s="7" t="s">
        <v>1</v>
      </c>
      <c r="BG322" s="7" t="s">
        <v>2762</v>
      </c>
      <c r="BH322" s="7" t="s">
        <v>22</v>
      </c>
      <c r="BI322" s="7" t="s">
        <v>2245</v>
      </c>
      <c r="BJ322" s="7" t="s">
        <v>203</v>
      </c>
      <c r="BM322" s="7" t="s">
        <v>201</v>
      </c>
      <c r="BN322" s="7">
        <v>2030</v>
      </c>
      <c r="BO322" s="7">
        <v>2030</v>
      </c>
      <c r="BP322" s="7">
        <v>2030</v>
      </c>
      <c r="BQ322" s="22"/>
      <c r="CD322" s="7" t="s">
        <v>361</v>
      </c>
      <c r="CH322" s="7" t="str">
        <f t="shared" ref="CH322:CH385" si="92">IF(J322="","",IF(J322&lt;=2030,"yes",IF(J322="2020 - achieved","yes",IF(J322="2020 - not achieved","yes",IF(J322="2020 - achieved pre-July 2019","yes",IF(J322&gt;2030,"",IF(J322="No target date","","unknown error")))))))</f>
        <v/>
      </c>
      <c r="CX322" s="7" t="s">
        <v>361</v>
      </c>
    </row>
    <row r="323" spans="1:103">
      <c r="A323" s="7" t="s">
        <v>1636</v>
      </c>
      <c r="B323" s="7">
        <v>82</v>
      </c>
      <c r="C323" s="7" t="s">
        <v>287</v>
      </c>
      <c r="F323" s="7">
        <v>2050</v>
      </c>
      <c r="G323" s="7">
        <v>2019</v>
      </c>
      <c r="H323" s="8" t="s">
        <v>2761</v>
      </c>
      <c r="I323" s="24" t="str">
        <f t="shared" si="83"/>
        <v/>
      </c>
      <c r="L323" s="7" t="str">
        <f t="shared" si="84"/>
        <v>T</v>
      </c>
      <c r="M323" s="21">
        <f t="shared" si="85"/>
        <v>2020</v>
      </c>
      <c r="N323" s="7">
        <v>2017</v>
      </c>
      <c r="O323" s="7" t="s">
        <v>1971</v>
      </c>
      <c r="P323" s="7" t="s">
        <v>2760</v>
      </c>
      <c r="Q323" s="7">
        <v>2050</v>
      </c>
      <c r="R323" s="7">
        <v>2019</v>
      </c>
      <c r="S323" s="8" t="s">
        <v>2757</v>
      </c>
      <c r="T323" s="7" t="str">
        <f t="shared" si="86"/>
        <v/>
      </c>
      <c r="U323" s="7" t="s">
        <v>2080</v>
      </c>
      <c r="V323" s="7" t="s">
        <v>2759</v>
      </c>
      <c r="Y323" s="7" t="s">
        <v>2758</v>
      </c>
      <c r="AB323" s="8" t="s">
        <v>2757</v>
      </c>
      <c r="AD323" s="24">
        <v>92107</v>
      </c>
      <c r="AE323" s="7">
        <v>-1.4999999999999999E-2</v>
      </c>
      <c r="AF323" s="7" t="s">
        <v>2756</v>
      </c>
      <c r="AG323" s="7">
        <v>0.21</v>
      </c>
      <c r="AH323" s="7" t="s">
        <v>2755</v>
      </c>
      <c r="AI323" s="7">
        <v>291000</v>
      </c>
      <c r="AJ323" s="7">
        <v>-6</v>
      </c>
      <c r="AK323" s="7">
        <v>26</v>
      </c>
      <c r="AL323" s="7" t="s">
        <v>23</v>
      </c>
      <c r="AN323" s="7" t="s">
        <v>1951</v>
      </c>
      <c r="AT323" s="7" t="str">
        <f t="shared" si="82"/>
        <v>SBT</v>
      </c>
      <c r="AU323" s="7" t="str">
        <f t="shared" si="87"/>
        <v>SBT</v>
      </c>
      <c r="AV323" s="7" t="str">
        <f t="shared" si="88"/>
        <v/>
      </c>
      <c r="AW323" s="7">
        <f t="shared" si="89"/>
        <v>2017</v>
      </c>
      <c r="AX323" s="7" t="str">
        <f t="shared" si="90"/>
        <v/>
      </c>
      <c r="BB323" s="7" t="str">
        <f t="shared" si="81"/>
        <v>Yes</v>
      </c>
      <c r="BC323" s="7" t="str">
        <f t="shared" si="91"/>
        <v>No</v>
      </c>
      <c r="BD323" s="7" t="s">
        <v>1969</v>
      </c>
      <c r="BG323" s="7" t="s">
        <v>2754</v>
      </c>
      <c r="BH323" s="7" t="s">
        <v>22</v>
      </c>
      <c r="BI323" s="7" t="s">
        <v>2040</v>
      </c>
      <c r="BJ323" s="7" t="s">
        <v>1638</v>
      </c>
      <c r="BM323" s="7" t="s">
        <v>1637</v>
      </c>
      <c r="BN323" s="7">
        <v>2020</v>
      </c>
      <c r="BO323" s="7">
        <v>2020</v>
      </c>
      <c r="BP323" s="7">
        <v>2020</v>
      </c>
      <c r="BQ323" s="22"/>
      <c r="CD323" s="7" t="s">
        <v>361</v>
      </c>
      <c r="CF323" s="25" t="s">
        <v>2050</v>
      </c>
      <c r="CH323" s="7" t="str">
        <f t="shared" si="92"/>
        <v/>
      </c>
      <c r="CT323" s="7" t="s">
        <v>2753</v>
      </c>
      <c r="CU323" s="7" t="s">
        <v>2151</v>
      </c>
      <c r="CV323" s="7">
        <v>27</v>
      </c>
      <c r="CW323" s="7" t="s">
        <v>361</v>
      </c>
    </row>
    <row r="324" spans="1:103">
      <c r="A324" s="7" t="s">
        <v>938</v>
      </c>
      <c r="B324" s="7">
        <v>270</v>
      </c>
      <c r="H324" s="26" t="s">
        <v>2752</v>
      </c>
      <c r="I324" s="24" t="str">
        <f t="shared" si="83"/>
        <v/>
      </c>
      <c r="L324" s="7" t="str">
        <f t="shared" si="84"/>
        <v/>
      </c>
      <c r="M324" s="21" t="str">
        <f t="shared" si="85"/>
        <v/>
      </c>
      <c r="N324" s="7" t="s">
        <v>1960</v>
      </c>
      <c r="T324" s="7" t="str">
        <f t="shared" si="86"/>
        <v>Nothing</v>
      </c>
      <c r="U324" s="7" t="s">
        <v>1</v>
      </c>
      <c r="X324" s="7" t="s">
        <v>2751</v>
      </c>
      <c r="AD324" s="24">
        <v>44117</v>
      </c>
      <c r="AE324" s="7">
        <v>1.6E-2</v>
      </c>
      <c r="AF324" s="7" t="s">
        <v>2750</v>
      </c>
      <c r="AG324" s="7">
        <v>0.14099999999999999</v>
      </c>
      <c r="AH324" s="7" t="s">
        <v>2749</v>
      </c>
      <c r="AI324" s="7">
        <v>11519</v>
      </c>
      <c r="AJ324" s="7">
        <v>-2</v>
      </c>
      <c r="AK324" s="7">
        <v>26</v>
      </c>
      <c r="AT324" s="7" t="str">
        <f t="shared" si="82"/>
        <v>None</v>
      </c>
      <c r="AU324" s="7" t="str">
        <f t="shared" si="87"/>
        <v>None</v>
      </c>
      <c r="AV324" s="7" t="str">
        <f t="shared" si="88"/>
        <v/>
      </c>
      <c r="AW324" s="7" t="str">
        <f t="shared" si="89"/>
        <v/>
      </c>
      <c r="AX324" s="7" t="str">
        <f t="shared" si="90"/>
        <v/>
      </c>
      <c r="BB324" s="7" t="str">
        <f t="shared" si="81"/>
        <v/>
      </c>
      <c r="BC324" s="7" t="str">
        <f t="shared" si="91"/>
        <v>No</v>
      </c>
      <c r="BD324" s="7" t="s">
        <v>1</v>
      </c>
      <c r="BQ324" s="22"/>
      <c r="CD324" s="7" t="s">
        <v>361</v>
      </c>
      <c r="CH324" s="7" t="str">
        <f t="shared" si="92"/>
        <v/>
      </c>
      <c r="CY324" s="7" t="s">
        <v>361</v>
      </c>
    </row>
    <row r="325" spans="1:103">
      <c r="A325" s="7" t="s">
        <v>693</v>
      </c>
      <c r="B325" s="7">
        <v>322</v>
      </c>
      <c r="C325" s="7" t="s">
        <v>127</v>
      </c>
      <c r="I325" s="24" t="str">
        <f t="shared" si="83"/>
        <v>Yes</v>
      </c>
      <c r="J325" s="7">
        <v>2025</v>
      </c>
      <c r="K325" s="7">
        <v>2015</v>
      </c>
      <c r="L325" s="7" t="str">
        <f t="shared" si="84"/>
        <v>T</v>
      </c>
      <c r="M325" s="21">
        <f t="shared" si="85"/>
        <v>2030</v>
      </c>
      <c r="N325" s="7">
        <v>2019</v>
      </c>
      <c r="T325" s="7" t="str">
        <f t="shared" si="86"/>
        <v>Nothing</v>
      </c>
      <c r="U325" s="7" t="s">
        <v>1</v>
      </c>
      <c r="X325" s="25"/>
      <c r="AC325" s="26" t="s">
        <v>2748</v>
      </c>
      <c r="AD325" s="24">
        <v>39117</v>
      </c>
      <c r="AE325" s="7">
        <v>7.4999999999999997E-2</v>
      </c>
      <c r="AF325" s="7" t="s">
        <v>2747</v>
      </c>
      <c r="AG325" s="7">
        <v>1.0840000000000001</v>
      </c>
      <c r="AH325" s="7" t="s">
        <v>2746</v>
      </c>
      <c r="AI325" s="7">
        <v>76700</v>
      </c>
      <c r="AJ325" s="7">
        <v>19</v>
      </c>
      <c r="AK325" s="7">
        <v>14</v>
      </c>
      <c r="AL325" s="7" t="s">
        <v>694</v>
      </c>
      <c r="AN325" s="7" t="s">
        <v>2029</v>
      </c>
      <c r="AT325" s="7" t="str">
        <f t="shared" si="82"/>
        <v>SBT &amp; RE100</v>
      </c>
      <c r="AU325" s="7" t="str">
        <f t="shared" si="87"/>
        <v>SBT &amp; RE100</v>
      </c>
      <c r="AV325" s="7" t="str">
        <f t="shared" si="88"/>
        <v/>
      </c>
      <c r="AW325" s="7">
        <f t="shared" si="89"/>
        <v>2019</v>
      </c>
      <c r="AX325" s="7">
        <f t="shared" si="90"/>
        <v>2015</v>
      </c>
      <c r="BB325" s="7" t="str">
        <f t="shared" si="81"/>
        <v>Yes</v>
      </c>
      <c r="BC325" s="7" t="str">
        <f t="shared" si="91"/>
        <v>No</v>
      </c>
      <c r="BD325" s="7" t="s">
        <v>1</v>
      </c>
      <c r="BF325" s="7" t="s">
        <v>2745</v>
      </c>
      <c r="BG325" s="7" t="s">
        <v>2555</v>
      </c>
      <c r="BH325" s="7" t="s">
        <v>22</v>
      </c>
      <c r="BI325" s="7" t="s">
        <v>2156</v>
      </c>
      <c r="BJ325" s="7" t="s">
        <v>2008</v>
      </c>
      <c r="BM325" s="7" t="s">
        <v>2744</v>
      </c>
      <c r="BN325" s="7">
        <v>2030</v>
      </c>
      <c r="BO325" s="7">
        <v>2030</v>
      </c>
      <c r="BP325" s="7">
        <v>2030</v>
      </c>
      <c r="BQ325" s="22"/>
      <c r="CD325" s="7" t="s">
        <v>361</v>
      </c>
      <c r="CG325" s="7" t="s">
        <v>2743</v>
      </c>
      <c r="CH325" s="7" t="str">
        <f t="shared" si="92"/>
        <v>yes</v>
      </c>
      <c r="CI325" s="7" t="s">
        <v>13</v>
      </c>
      <c r="CJ325" s="7">
        <v>0.19</v>
      </c>
      <c r="CK325" s="7">
        <v>0.22</v>
      </c>
      <c r="CL325" s="7">
        <v>0.2</v>
      </c>
      <c r="CM325" s="7">
        <v>0.14000000000000001</v>
      </c>
      <c r="CN325" s="7" t="s">
        <v>13</v>
      </c>
      <c r="CO325" s="7" t="s">
        <v>2742</v>
      </c>
      <c r="CX325" s="7" t="s">
        <v>361</v>
      </c>
    </row>
    <row r="326" spans="1:103">
      <c r="A326" s="7" t="s">
        <v>1421</v>
      </c>
      <c r="B326" s="7">
        <v>130</v>
      </c>
      <c r="I326" s="24" t="str">
        <f t="shared" si="83"/>
        <v/>
      </c>
      <c r="L326" s="7" t="str">
        <f t="shared" si="84"/>
        <v/>
      </c>
      <c r="M326" s="21" t="str">
        <f t="shared" si="85"/>
        <v/>
      </c>
      <c r="N326" s="7" t="s">
        <v>1960</v>
      </c>
      <c r="T326" s="7" t="str">
        <f t="shared" si="86"/>
        <v>Nothing</v>
      </c>
      <c r="U326" s="7" t="s">
        <v>1</v>
      </c>
      <c r="AD326" s="24">
        <v>74048</v>
      </c>
      <c r="AE326" s="7">
        <v>-2E-3</v>
      </c>
      <c r="AF326" s="7" t="s">
        <v>2741</v>
      </c>
      <c r="AG326" s="7">
        <v>-0.29699999999999999</v>
      </c>
      <c r="AH326" s="7" t="s">
        <v>2740</v>
      </c>
      <c r="AI326" s="7">
        <v>92122</v>
      </c>
      <c r="AJ326" s="7">
        <v>-5</v>
      </c>
      <c r="AK326" s="7">
        <v>26</v>
      </c>
      <c r="AT326" s="7" t="str">
        <f t="shared" si="82"/>
        <v>None</v>
      </c>
      <c r="AU326" s="7" t="str">
        <f t="shared" si="87"/>
        <v>None</v>
      </c>
      <c r="AV326" s="7" t="str">
        <f t="shared" si="88"/>
        <v/>
      </c>
      <c r="AW326" s="7" t="str">
        <f t="shared" si="89"/>
        <v/>
      </c>
      <c r="AX326" s="7" t="str">
        <f t="shared" si="90"/>
        <v/>
      </c>
      <c r="BB326" s="7" t="str">
        <f t="shared" si="81"/>
        <v/>
      </c>
      <c r="BC326" s="7" t="str">
        <f t="shared" si="91"/>
        <v>No</v>
      </c>
      <c r="BD326" s="7" t="s">
        <v>1</v>
      </c>
      <c r="BQ326" s="22"/>
      <c r="CH326" s="7" t="str">
        <f t="shared" si="92"/>
        <v/>
      </c>
    </row>
    <row r="327" spans="1:103">
      <c r="A327" s="7" t="s">
        <v>1207</v>
      </c>
      <c r="B327" s="7">
        <v>198</v>
      </c>
      <c r="I327" s="24" t="str">
        <f t="shared" si="83"/>
        <v/>
      </c>
      <c r="L327" s="7" t="str">
        <f t="shared" si="84"/>
        <v/>
      </c>
      <c r="M327" s="21" t="str">
        <f t="shared" si="85"/>
        <v/>
      </c>
      <c r="N327" s="7" t="s">
        <v>1960</v>
      </c>
      <c r="T327" s="7" t="str">
        <f t="shared" si="86"/>
        <v>Nothing</v>
      </c>
      <c r="U327" s="7" t="s">
        <v>1</v>
      </c>
      <c r="AD327" s="24">
        <v>54465</v>
      </c>
      <c r="AE327" s="7">
        <v>-2.3E-2</v>
      </c>
      <c r="AF327" s="7" t="s">
        <v>2739</v>
      </c>
      <c r="AG327" s="7">
        <v>-2.7519999999999998</v>
      </c>
      <c r="AH327" s="7" t="s">
        <v>2738</v>
      </c>
      <c r="AI327" s="7">
        <v>116462</v>
      </c>
      <c r="AJ327" s="7">
        <v>-12</v>
      </c>
      <c r="AK327" s="7">
        <v>26</v>
      </c>
      <c r="AT327" s="7" t="str">
        <f t="shared" si="82"/>
        <v>None</v>
      </c>
      <c r="AU327" s="7" t="str">
        <f t="shared" si="87"/>
        <v>None</v>
      </c>
      <c r="AV327" s="7" t="str">
        <f t="shared" si="88"/>
        <v/>
      </c>
      <c r="AW327" s="7" t="str">
        <f t="shared" si="89"/>
        <v/>
      </c>
      <c r="AX327" s="7" t="str">
        <f t="shared" si="90"/>
        <v/>
      </c>
      <c r="BB327" s="7" t="str">
        <f t="shared" si="81"/>
        <v/>
      </c>
      <c r="BC327" s="7" t="str">
        <f t="shared" si="91"/>
        <v>No</v>
      </c>
      <c r="BD327" s="7" t="s">
        <v>1</v>
      </c>
      <c r="BQ327" s="22"/>
      <c r="CH327" s="7" t="str">
        <f t="shared" si="92"/>
        <v/>
      </c>
    </row>
    <row r="328" spans="1:103">
      <c r="A328" s="7" t="s">
        <v>2737</v>
      </c>
      <c r="B328" s="7">
        <v>62</v>
      </c>
      <c r="I328" s="24" t="str">
        <f t="shared" si="83"/>
        <v/>
      </c>
      <c r="L328" s="7" t="str">
        <f t="shared" si="84"/>
        <v/>
      </c>
      <c r="M328" s="21" t="str">
        <f t="shared" si="85"/>
        <v/>
      </c>
      <c r="N328" s="7" t="s">
        <v>1960</v>
      </c>
      <c r="T328" s="7" t="str">
        <f t="shared" si="86"/>
        <v>Nothing</v>
      </c>
      <c r="U328" s="7" t="s">
        <v>1</v>
      </c>
      <c r="AC328" s="26" t="s">
        <v>2736</v>
      </c>
      <c r="AD328" s="24">
        <v>109448</v>
      </c>
      <c r="AE328" s="7">
        <v>2.1000000000000001E-2</v>
      </c>
      <c r="AF328" s="7" t="s">
        <v>2735</v>
      </c>
      <c r="AG328" s="7">
        <v>2.1000000000000001E-2</v>
      </c>
      <c r="AH328" s="7" t="s">
        <v>2734</v>
      </c>
      <c r="AI328" s="7">
        <v>319039</v>
      </c>
      <c r="AJ328" s="7">
        <v>2</v>
      </c>
      <c r="AK328" s="7">
        <v>26</v>
      </c>
      <c r="AT328" s="7" t="str">
        <f t="shared" si="82"/>
        <v>None</v>
      </c>
      <c r="AU328" s="7" t="str">
        <f t="shared" si="87"/>
        <v>None</v>
      </c>
      <c r="AV328" s="7" t="str">
        <f t="shared" si="88"/>
        <v/>
      </c>
      <c r="AW328" s="7" t="str">
        <f t="shared" si="89"/>
        <v/>
      </c>
      <c r="AX328" s="7" t="str">
        <f t="shared" si="90"/>
        <v/>
      </c>
      <c r="BB328" s="7" t="str">
        <f t="shared" si="81"/>
        <v/>
      </c>
      <c r="BC328" s="7" t="str">
        <f t="shared" si="91"/>
        <v>No</v>
      </c>
      <c r="BD328" s="7" t="s">
        <v>1</v>
      </c>
      <c r="BF328" s="7" t="s">
        <v>2733</v>
      </c>
      <c r="BQ328" s="22"/>
      <c r="CH328" s="7" t="str">
        <f t="shared" si="92"/>
        <v/>
      </c>
    </row>
    <row r="329" spans="1:103">
      <c r="A329" s="7" t="s">
        <v>1671</v>
      </c>
      <c r="B329" s="7">
        <v>83</v>
      </c>
      <c r="C329" s="7" t="s">
        <v>207</v>
      </c>
      <c r="D329" s="7" t="s">
        <v>1971</v>
      </c>
      <c r="E329" s="7" t="s">
        <v>2732</v>
      </c>
      <c r="F329" s="7">
        <v>2050</v>
      </c>
      <c r="G329" s="7">
        <v>2015</v>
      </c>
      <c r="H329" s="8" t="s">
        <v>2731</v>
      </c>
      <c r="I329" s="24" t="str">
        <f t="shared" si="83"/>
        <v/>
      </c>
      <c r="L329" s="7" t="str">
        <f t="shared" si="84"/>
        <v>C</v>
      </c>
      <c r="M329" s="21" t="str">
        <f t="shared" si="85"/>
        <v/>
      </c>
      <c r="N329" s="7">
        <v>2015</v>
      </c>
      <c r="T329" s="7" t="str">
        <f t="shared" si="86"/>
        <v/>
      </c>
      <c r="U329" s="7" t="s">
        <v>1969</v>
      </c>
      <c r="V329" t="s">
        <v>2730</v>
      </c>
      <c r="AD329" s="24">
        <v>90863</v>
      </c>
      <c r="AE329" s="7">
        <v>-0.13</v>
      </c>
      <c r="AF329" s="7" t="s">
        <v>2729</v>
      </c>
      <c r="AG329" s="7">
        <v>-3.145</v>
      </c>
      <c r="AH329" s="7" t="s">
        <v>2728</v>
      </c>
      <c r="AI329" s="7">
        <v>144933</v>
      </c>
      <c r="AJ329" s="7">
        <v>-17</v>
      </c>
      <c r="AK329" s="7">
        <v>26</v>
      </c>
      <c r="AL329" s="7" t="s">
        <v>166</v>
      </c>
      <c r="AN329" s="7" t="s">
        <v>1994</v>
      </c>
      <c r="AT329" s="7" t="str">
        <f t="shared" si="82"/>
        <v>CN &amp; SBT</v>
      </c>
      <c r="AU329" s="7" t="str">
        <f t="shared" si="87"/>
        <v>SBT</v>
      </c>
      <c r="AV329" s="7" t="str">
        <f t="shared" si="88"/>
        <v/>
      </c>
      <c r="AW329" s="7">
        <f t="shared" si="89"/>
        <v>2015</v>
      </c>
      <c r="AX329" s="7" t="str">
        <f t="shared" si="90"/>
        <v/>
      </c>
      <c r="BB329" s="7" t="str">
        <f t="shared" si="81"/>
        <v>Yes</v>
      </c>
      <c r="BC329" s="7" t="str">
        <f t="shared" si="91"/>
        <v>No - but post-2030 commitment</v>
      </c>
      <c r="BD329" s="7" t="s">
        <v>1</v>
      </c>
      <c r="BH329" s="7" t="s">
        <v>165</v>
      </c>
      <c r="BJ329" s="7" t="s">
        <v>791</v>
      </c>
      <c r="BQ329" s="22"/>
      <c r="CD329" s="7" t="s">
        <v>361</v>
      </c>
      <c r="CF329" s="25"/>
      <c r="CH329" s="7" t="str">
        <f t="shared" si="92"/>
        <v/>
      </c>
      <c r="CX329" s="7" t="s">
        <v>361</v>
      </c>
    </row>
    <row r="330" spans="1:103">
      <c r="A330" s="7" t="s">
        <v>222</v>
      </c>
      <c r="B330" s="7">
        <v>488</v>
      </c>
      <c r="C330" s="7" t="s">
        <v>228</v>
      </c>
      <c r="I330" s="24" t="str">
        <f t="shared" si="83"/>
        <v/>
      </c>
      <c r="L330" s="7" t="str">
        <f t="shared" si="84"/>
        <v>T</v>
      </c>
      <c r="M330" s="21">
        <f t="shared" si="85"/>
        <v>2030</v>
      </c>
      <c r="N330" s="7">
        <v>2017</v>
      </c>
      <c r="T330" s="7" t="str">
        <f t="shared" si="86"/>
        <v>Nothing</v>
      </c>
      <c r="U330" s="7" t="s">
        <v>1</v>
      </c>
      <c r="AC330" s="8" t="s">
        <v>2727</v>
      </c>
      <c r="AD330" s="24">
        <v>26096</v>
      </c>
      <c r="AE330" s="7">
        <v>-0.02</v>
      </c>
      <c r="AF330" s="7" t="s">
        <v>2726</v>
      </c>
      <c r="AG330" s="7" t="s">
        <v>9</v>
      </c>
      <c r="AH330" s="7" t="s">
        <v>2725</v>
      </c>
      <c r="AI330" s="7">
        <v>98322</v>
      </c>
      <c r="AJ330" s="7">
        <v>-22</v>
      </c>
      <c r="AK330" s="7">
        <v>22</v>
      </c>
      <c r="AL330" s="7" t="s">
        <v>204</v>
      </c>
      <c r="AN330" s="7" t="s">
        <v>1951</v>
      </c>
      <c r="AT330" s="7" t="str">
        <f t="shared" si="82"/>
        <v>SBT</v>
      </c>
      <c r="AU330" s="7" t="str">
        <f t="shared" si="87"/>
        <v>SBT</v>
      </c>
      <c r="AV330" s="7" t="str">
        <f t="shared" si="88"/>
        <v/>
      </c>
      <c r="AW330" s="7">
        <f t="shared" si="89"/>
        <v>2017</v>
      </c>
      <c r="AX330" s="7" t="str">
        <f t="shared" si="90"/>
        <v/>
      </c>
      <c r="BB330" s="7" t="str">
        <f t="shared" si="81"/>
        <v>Yes</v>
      </c>
      <c r="BC330" s="7" t="str">
        <f t="shared" si="91"/>
        <v>No</v>
      </c>
      <c r="BD330" s="7" t="s">
        <v>1</v>
      </c>
      <c r="BF330" s="23" t="s">
        <v>2724</v>
      </c>
      <c r="BH330" s="7" t="s">
        <v>22</v>
      </c>
      <c r="BI330" s="7" t="s">
        <v>2245</v>
      </c>
      <c r="BJ330" s="7" t="s">
        <v>224</v>
      </c>
      <c r="BM330" s="7" t="s">
        <v>223</v>
      </c>
      <c r="BN330" s="7">
        <v>2030</v>
      </c>
      <c r="BO330" s="7">
        <v>2030</v>
      </c>
      <c r="BP330" s="7">
        <v>2030</v>
      </c>
      <c r="BQ330" s="22"/>
      <c r="CH330" s="7" t="str">
        <f t="shared" si="92"/>
        <v/>
      </c>
    </row>
    <row r="331" spans="1:103">
      <c r="A331" s="7" t="s">
        <v>411</v>
      </c>
      <c r="B331" s="7">
        <v>368</v>
      </c>
      <c r="I331" s="24" t="str">
        <f t="shared" si="83"/>
        <v/>
      </c>
      <c r="L331" s="7" t="str">
        <f t="shared" si="84"/>
        <v/>
      </c>
      <c r="M331" s="21" t="str">
        <f t="shared" si="85"/>
        <v/>
      </c>
      <c r="N331" s="7" t="s">
        <v>1960</v>
      </c>
      <c r="T331" s="7" t="str">
        <f t="shared" si="86"/>
        <v>Nothing</v>
      </c>
      <c r="U331" s="7" t="s">
        <v>1963</v>
      </c>
      <c r="AD331" s="24">
        <v>33841</v>
      </c>
      <c r="AE331" s="7">
        <v>0.124</v>
      </c>
      <c r="AF331" s="7" t="s">
        <v>2723</v>
      </c>
      <c r="AG331" s="7">
        <v>-0.30399999999999999</v>
      </c>
      <c r="AH331" s="7" t="s">
        <v>2722</v>
      </c>
      <c r="AI331" s="7">
        <v>90000</v>
      </c>
      <c r="AJ331" s="7">
        <v>48</v>
      </c>
      <c r="AK331" s="7">
        <v>21</v>
      </c>
      <c r="AT331" s="7" t="str">
        <f t="shared" si="82"/>
        <v>None</v>
      </c>
      <c r="AU331" s="7" t="str">
        <f t="shared" si="87"/>
        <v>None</v>
      </c>
      <c r="AV331" s="7" t="str">
        <f t="shared" si="88"/>
        <v/>
      </c>
      <c r="AW331" s="7" t="str">
        <f t="shared" si="89"/>
        <v/>
      </c>
      <c r="AX331" s="7" t="str">
        <f t="shared" si="90"/>
        <v/>
      </c>
      <c r="BB331" s="7" t="str">
        <f t="shared" si="81"/>
        <v/>
      </c>
      <c r="BC331" s="7" t="str">
        <f t="shared" si="91"/>
        <v>No</v>
      </c>
      <c r="BD331" s="7" t="s">
        <v>1963</v>
      </c>
      <c r="BQ331" s="22"/>
      <c r="CH331" s="7" t="str">
        <f t="shared" si="92"/>
        <v/>
      </c>
      <c r="CY331" s="7" t="s">
        <v>361</v>
      </c>
    </row>
    <row r="332" spans="1:103">
      <c r="A332" s="7" t="s">
        <v>349</v>
      </c>
      <c r="B332" s="7">
        <v>388</v>
      </c>
      <c r="I332" s="24" t="str">
        <f t="shared" si="83"/>
        <v/>
      </c>
      <c r="L332" s="7" t="str">
        <f t="shared" si="84"/>
        <v/>
      </c>
      <c r="M332" s="21" t="str">
        <f t="shared" si="85"/>
        <v/>
      </c>
      <c r="N332" s="7" t="s">
        <v>1960</v>
      </c>
      <c r="T332" s="7" t="str">
        <f t="shared" si="86"/>
        <v>Nothing</v>
      </c>
      <c r="U332" s="7" t="s">
        <v>1963</v>
      </c>
      <c r="AD332" s="24">
        <v>32294</v>
      </c>
      <c r="AE332" s="7">
        <v>0.109</v>
      </c>
      <c r="AF332" s="7" t="s">
        <v>2721</v>
      </c>
      <c r="AG332" s="7">
        <v>0.61899999999999999</v>
      </c>
      <c r="AH332" s="7" t="s">
        <v>2720</v>
      </c>
      <c r="AI332" s="7">
        <v>5964</v>
      </c>
      <c r="AJ332" s="7">
        <v>41</v>
      </c>
      <c r="AK332" s="7">
        <v>26</v>
      </c>
      <c r="AT332" s="7" t="str">
        <f t="shared" si="82"/>
        <v>None</v>
      </c>
      <c r="AU332" s="7" t="str">
        <f t="shared" si="87"/>
        <v>None</v>
      </c>
      <c r="AV332" s="7" t="str">
        <f t="shared" si="88"/>
        <v/>
      </c>
      <c r="AW332" s="7" t="str">
        <f t="shared" si="89"/>
        <v/>
      </c>
      <c r="AX332" s="7" t="str">
        <f t="shared" si="90"/>
        <v/>
      </c>
      <c r="BB332" s="7" t="str">
        <f t="shared" si="81"/>
        <v/>
      </c>
      <c r="BC332" s="7" t="str">
        <f t="shared" si="91"/>
        <v>No</v>
      </c>
      <c r="BD332" s="7" t="s">
        <v>1963</v>
      </c>
      <c r="BF332" s="7" t="s">
        <v>2719</v>
      </c>
      <c r="BQ332" s="22"/>
      <c r="CH332" s="7" t="str">
        <f t="shared" si="92"/>
        <v/>
      </c>
    </row>
    <row r="333" spans="1:103">
      <c r="A333" s="7" t="s">
        <v>1155</v>
      </c>
      <c r="B333" s="7">
        <v>225</v>
      </c>
      <c r="C333" s="7" t="s">
        <v>287</v>
      </c>
      <c r="D333" s="7" t="s">
        <v>1957</v>
      </c>
      <c r="E333" s="7" t="s">
        <v>109</v>
      </c>
      <c r="F333" s="7">
        <v>2025</v>
      </c>
      <c r="G333" s="7">
        <v>2018</v>
      </c>
      <c r="H333" s="8" t="s">
        <v>1157</v>
      </c>
      <c r="I333" s="24" t="str">
        <f t="shared" si="83"/>
        <v/>
      </c>
      <c r="L333" s="7" t="str">
        <f t="shared" si="84"/>
        <v>T</v>
      </c>
      <c r="M333" s="21">
        <f t="shared" si="85"/>
        <v>2030</v>
      </c>
      <c r="N333" s="7">
        <v>2019</v>
      </c>
      <c r="T333" s="7" t="str">
        <f t="shared" si="86"/>
        <v/>
      </c>
      <c r="U333" s="7" t="s">
        <v>2060</v>
      </c>
      <c r="V333" s="7" t="s">
        <v>2718</v>
      </c>
      <c r="AC333" s="8" t="s">
        <v>1157</v>
      </c>
      <c r="AD333" s="24">
        <v>50486</v>
      </c>
      <c r="AE333" s="7">
        <v>-0.05</v>
      </c>
      <c r="AF333" s="7" t="s">
        <v>2717</v>
      </c>
      <c r="AG333" s="7">
        <v>-7.0000000000000007E-2</v>
      </c>
      <c r="AH333" s="7" t="s">
        <v>2716</v>
      </c>
      <c r="AI333" s="7">
        <v>103914</v>
      </c>
      <c r="AJ333" s="7">
        <v>-24</v>
      </c>
      <c r="AK333" s="7">
        <v>26</v>
      </c>
      <c r="AL333" s="7" t="s">
        <v>842</v>
      </c>
      <c r="AN333" s="7" t="s">
        <v>1951</v>
      </c>
      <c r="AT333" s="7" t="str">
        <f t="shared" si="82"/>
        <v>CN &amp; SBT</v>
      </c>
      <c r="AU333" s="7" t="str">
        <f t="shared" si="87"/>
        <v>CN &amp; SBT</v>
      </c>
      <c r="AV333" s="7">
        <f t="shared" si="88"/>
        <v>2018</v>
      </c>
      <c r="AW333" s="7">
        <f t="shared" si="89"/>
        <v>2019</v>
      </c>
      <c r="AX333" s="7" t="str">
        <f t="shared" si="90"/>
        <v/>
      </c>
      <c r="BB333" s="7" t="str">
        <f t="shared" si="81"/>
        <v>Yes</v>
      </c>
      <c r="BC333" s="7" t="str">
        <f t="shared" si="91"/>
        <v>Carbon Neutral</v>
      </c>
      <c r="BD333" s="7" t="s">
        <v>1</v>
      </c>
      <c r="BF333" s="7" t="s">
        <v>2715</v>
      </c>
      <c r="BH333" s="7" t="s">
        <v>22</v>
      </c>
      <c r="BI333" s="7" t="s">
        <v>2156</v>
      </c>
      <c r="BJ333" s="7" t="s">
        <v>1948</v>
      </c>
      <c r="BM333" s="7" t="s">
        <v>2714</v>
      </c>
      <c r="BN333" s="7">
        <v>2030</v>
      </c>
      <c r="BO333" s="7">
        <v>2030</v>
      </c>
      <c r="BP333" s="7">
        <v>2030</v>
      </c>
      <c r="BQ333" s="22"/>
      <c r="CE333" s="7" t="s">
        <v>2492</v>
      </c>
      <c r="CH333" s="7" t="str">
        <f t="shared" si="92"/>
        <v/>
      </c>
      <c r="CW333" s="7" t="s">
        <v>361</v>
      </c>
      <c r="CX333" s="7" t="s">
        <v>361</v>
      </c>
    </row>
    <row r="334" spans="1:103">
      <c r="A334" s="7" t="s">
        <v>1296</v>
      </c>
      <c r="B334" s="7">
        <v>190</v>
      </c>
      <c r="H334" s="7" t="s">
        <v>2713</v>
      </c>
      <c r="I334" s="24" t="str">
        <f t="shared" si="83"/>
        <v/>
      </c>
      <c r="L334" s="7" t="str">
        <f t="shared" si="84"/>
        <v/>
      </c>
      <c r="M334" s="21" t="str">
        <f t="shared" si="85"/>
        <v/>
      </c>
      <c r="N334" s="7" t="s">
        <v>1960</v>
      </c>
      <c r="T334" s="7" t="str">
        <f t="shared" si="86"/>
        <v>Nothing</v>
      </c>
      <c r="U334" s="7" t="s">
        <v>1</v>
      </c>
      <c r="X334" s="7" t="s">
        <v>2712</v>
      </c>
      <c r="AD334" s="24">
        <v>57171</v>
      </c>
      <c r="AE334" s="7">
        <v>-6.9000000000000006E-2</v>
      </c>
      <c r="AF334" s="7" t="s">
        <v>2711</v>
      </c>
      <c r="AG334" s="7">
        <v>-0.64700000000000002</v>
      </c>
      <c r="AH334" s="7" t="s">
        <v>2710</v>
      </c>
      <c r="AI334" s="7">
        <v>30105</v>
      </c>
      <c r="AJ334" s="7">
        <v>-30</v>
      </c>
      <c r="AK334" s="7">
        <v>14</v>
      </c>
      <c r="AT334" s="7" t="str">
        <f t="shared" si="82"/>
        <v>None</v>
      </c>
      <c r="AU334" s="7" t="str">
        <f t="shared" si="87"/>
        <v>None</v>
      </c>
      <c r="AV334" s="7" t="str">
        <f t="shared" si="88"/>
        <v/>
      </c>
      <c r="AW334" s="7" t="str">
        <f t="shared" si="89"/>
        <v/>
      </c>
      <c r="AX334" s="7" t="str">
        <f t="shared" si="90"/>
        <v/>
      </c>
      <c r="BB334" s="7" t="str">
        <f t="shared" si="81"/>
        <v/>
      </c>
      <c r="BC334" s="7" t="str">
        <f t="shared" si="91"/>
        <v>No</v>
      </c>
      <c r="BD334" s="7" t="s">
        <v>1</v>
      </c>
      <c r="BQ334" s="22"/>
      <c r="CD334" s="7" t="s">
        <v>361</v>
      </c>
      <c r="CH334" s="7" t="str">
        <f t="shared" si="92"/>
        <v/>
      </c>
    </row>
    <row r="335" spans="1:103">
      <c r="A335" s="7" t="s">
        <v>245</v>
      </c>
      <c r="B335" s="7">
        <v>483</v>
      </c>
      <c r="C335" s="7" t="s">
        <v>246</v>
      </c>
      <c r="F335" s="7">
        <v>2050</v>
      </c>
      <c r="G335" s="7">
        <v>2020</v>
      </c>
      <c r="H335" s="8" t="s">
        <v>2707</v>
      </c>
      <c r="I335" s="24" t="str">
        <f t="shared" si="83"/>
        <v/>
      </c>
      <c r="L335" s="7" t="str">
        <f t="shared" si="84"/>
        <v/>
      </c>
      <c r="M335" s="21" t="str">
        <f t="shared" si="85"/>
        <v/>
      </c>
      <c r="N335" s="7" t="s">
        <v>1960</v>
      </c>
      <c r="O335" s="7" t="s">
        <v>1957</v>
      </c>
      <c r="P335" s="7" t="s">
        <v>109</v>
      </c>
      <c r="Q335" s="7">
        <v>2050</v>
      </c>
      <c r="R335" s="7">
        <v>2020</v>
      </c>
      <c r="S335" s="8" t="s">
        <v>2707</v>
      </c>
      <c r="T335" s="7" t="str">
        <f t="shared" si="86"/>
        <v/>
      </c>
      <c r="U335" s="7" t="s">
        <v>2080</v>
      </c>
      <c r="V335" s="7" t="s">
        <v>2709</v>
      </c>
      <c r="Z335" s="7" t="s">
        <v>2708</v>
      </c>
      <c r="AA335" s="7" t="s">
        <v>2211</v>
      </c>
      <c r="AB335" s="8" t="s">
        <v>2707</v>
      </c>
      <c r="AD335" s="24">
        <v>26259</v>
      </c>
      <c r="AE335" s="7">
        <v>-0.03</v>
      </c>
      <c r="AF335" s="7" t="s">
        <v>2706</v>
      </c>
      <c r="AG335" s="7">
        <v>9.7000000000000003E-2</v>
      </c>
      <c r="AH335" s="7" t="s">
        <v>2705</v>
      </c>
      <c r="AI335" s="7">
        <v>19845</v>
      </c>
      <c r="AJ335" s="7">
        <v>-24</v>
      </c>
      <c r="AK335" s="7">
        <v>13</v>
      </c>
      <c r="AL335" s="7" t="s">
        <v>2111</v>
      </c>
      <c r="AN335" s="7" t="s">
        <v>1951</v>
      </c>
      <c r="AT335" s="7" t="str">
        <f t="shared" si="82"/>
        <v>None</v>
      </c>
      <c r="AU335" s="7" t="str">
        <f t="shared" si="87"/>
        <v>None</v>
      </c>
      <c r="AV335" s="7" t="str">
        <f t="shared" si="88"/>
        <v/>
      </c>
      <c r="AW335" s="7" t="str">
        <f t="shared" si="89"/>
        <v/>
      </c>
      <c r="AX335" s="7" t="str">
        <f t="shared" si="90"/>
        <v/>
      </c>
      <c r="BB335" s="7" t="str">
        <f t="shared" si="81"/>
        <v/>
      </c>
      <c r="BC335" s="7" t="str">
        <f t="shared" si="91"/>
        <v>No</v>
      </c>
      <c r="BD335" s="7" t="s">
        <v>2118</v>
      </c>
      <c r="BG335" s="7" t="s">
        <v>2704</v>
      </c>
      <c r="BQ335" s="22"/>
      <c r="CD335" s="7" t="s">
        <v>361</v>
      </c>
      <c r="CH335" s="7" t="str">
        <f t="shared" si="92"/>
        <v/>
      </c>
    </row>
    <row r="336" spans="1:103">
      <c r="A336" s="7" t="s">
        <v>802</v>
      </c>
      <c r="B336" s="7">
        <v>314</v>
      </c>
      <c r="I336" s="24" t="str">
        <f t="shared" si="83"/>
        <v/>
      </c>
      <c r="L336" s="7" t="str">
        <f t="shared" si="84"/>
        <v/>
      </c>
      <c r="M336" s="21" t="str">
        <f t="shared" si="85"/>
        <v/>
      </c>
      <c r="N336" s="7" t="s">
        <v>1960</v>
      </c>
      <c r="T336" s="7" t="str">
        <f t="shared" si="86"/>
        <v>Nothing</v>
      </c>
      <c r="U336" s="7" t="s">
        <v>1963</v>
      </c>
      <c r="AC336" s="26" t="s">
        <v>2703</v>
      </c>
      <c r="AD336" s="24">
        <v>39506</v>
      </c>
      <c r="AE336" s="7">
        <v>-8.0000000000000002E-3</v>
      </c>
      <c r="AF336" s="7" t="s">
        <v>2702</v>
      </c>
      <c r="AG336" s="7">
        <v>1.8979999999999999</v>
      </c>
      <c r="AH336" s="7" t="s">
        <v>2701</v>
      </c>
      <c r="AI336" s="7">
        <v>136000</v>
      </c>
      <c r="AJ336" s="7">
        <v>-7</v>
      </c>
      <c r="AK336" s="7">
        <v>14</v>
      </c>
      <c r="AT336" s="7" t="str">
        <f t="shared" si="82"/>
        <v>None</v>
      </c>
      <c r="AU336" s="7" t="str">
        <f t="shared" si="87"/>
        <v>None</v>
      </c>
      <c r="AV336" s="7" t="str">
        <f t="shared" si="88"/>
        <v/>
      </c>
      <c r="AW336" s="7" t="str">
        <f t="shared" si="89"/>
        <v/>
      </c>
      <c r="AX336" s="7" t="str">
        <f t="shared" si="90"/>
        <v/>
      </c>
      <c r="BB336" s="7" t="str">
        <f t="shared" si="81"/>
        <v/>
      </c>
      <c r="BC336" s="7" t="str">
        <f t="shared" si="91"/>
        <v>No</v>
      </c>
      <c r="BD336" s="7" t="s">
        <v>1963</v>
      </c>
      <c r="BF336" s="7" t="s">
        <v>2700</v>
      </c>
      <c r="BQ336" s="22"/>
      <c r="CH336" s="7" t="str">
        <f t="shared" si="92"/>
        <v/>
      </c>
      <c r="CY336" s="7" t="s">
        <v>361</v>
      </c>
    </row>
    <row r="337" spans="1:103">
      <c r="A337" s="7" t="s">
        <v>1069</v>
      </c>
      <c r="B337" s="7">
        <v>249</v>
      </c>
      <c r="C337" s="7" t="s">
        <v>63</v>
      </c>
      <c r="F337" s="7">
        <v>2040</v>
      </c>
      <c r="G337" s="7">
        <v>2019</v>
      </c>
      <c r="H337" s="8" t="s">
        <v>2699</v>
      </c>
      <c r="I337" s="24" t="str">
        <f t="shared" si="83"/>
        <v/>
      </c>
      <c r="L337" s="7" t="str">
        <f t="shared" si="84"/>
        <v>C</v>
      </c>
      <c r="M337" s="21" t="str">
        <f t="shared" si="85"/>
        <v/>
      </c>
      <c r="N337" s="7">
        <v>2018</v>
      </c>
      <c r="O337" s="7" t="s">
        <v>1971</v>
      </c>
      <c r="P337" s="7" t="s">
        <v>2698</v>
      </c>
      <c r="Q337" s="7">
        <v>2040</v>
      </c>
      <c r="R337" s="7">
        <v>2019</v>
      </c>
      <c r="S337" s="27" t="s">
        <v>2697</v>
      </c>
      <c r="T337" s="7" t="str">
        <f t="shared" si="86"/>
        <v/>
      </c>
      <c r="U337" s="7" t="s">
        <v>2080</v>
      </c>
      <c r="X337" s="7" t="s">
        <v>2696</v>
      </c>
      <c r="Z337" s="7" t="s">
        <v>2695</v>
      </c>
      <c r="AB337" s="8" t="s">
        <v>2694</v>
      </c>
      <c r="AC337" s="8" t="s">
        <v>2694</v>
      </c>
      <c r="AD337" s="24">
        <v>47275</v>
      </c>
      <c r="AE337" s="7">
        <v>-3.2000000000000001E-2</v>
      </c>
      <c r="AF337" s="7" t="s">
        <v>2693</v>
      </c>
      <c r="AG337" s="7">
        <v>0.45900000000000002</v>
      </c>
      <c r="AH337" s="7" t="s">
        <v>2692</v>
      </c>
      <c r="AI337" s="7">
        <v>146768</v>
      </c>
      <c r="AJ337" s="7">
        <v>-21</v>
      </c>
      <c r="AK337" s="7">
        <v>26</v>
      </c>
      <c r="AL337" s="7" t="s">
        <v>461</v>
      </c>
      <c r="AN337" s="7" t="s">
        <v>1951</v>
      </c>
      <c r="AT337" s="7" t="str">
        <f t="shared" si="82"/>
        <v>SBT</v>
      </c>
      <c r="AU337" s="7" t="str">
        <f t="shared" si="87"/>
        <v>SBT</v>
      </c>
      <c r="AV337" s="7" t="str">
        <f t="shared" si="88"/>
        <v/>
      </c>
      <c r="AW337" s="7">
        <f t="shared" si="89"/>
        <v>2018</v>
      </c>
      <c r="AX337" s="7" t="str">
        <f t="shared" si="90"/>
        <v/>
      </c>
      <c r="BB337" s="7" t="str">
        <f t="shared" si="81"/>
        <v>Yes</v>
      </c>
      <c r="BC337" s="7" t="str">
        <f t="shared" si="91"/>
        <v>No</v>
      </c>
      <c r="BD337" s="7" t="s">
        <v>1969</v>
      </c>
      <c r="BF337" s="23" t="s">
        <v>2691</v>
      </c>
      <c r="BG337" s="7" t="s">
        <v>2072</v>
      </c>
      <c r="BH337" s="7" t="s">
        <v>165</v>
      </c>
      <c r="BJ337" s="7" t="s">
        <v>38</v>
      </c>
      <c r="BQ337" s="22"/>
      <c r="CD337" s="7" t="s">
        <v>361</v>
      </c>
      <c r="CF337" s="7" t="s">
        <v>2071</v>
      </c>
      <c r="CH337" s="7" t="str">
        <f t="shared" si="92"/>
        <v/>
      </c>
    </row>
    <row r="338" spans="1:103">
      <c r="A338" s="7" t="s">
        <v>2690</v>
      </c>
      <c r="B338" s="7">
        <v>497</v>
      </c>
      <c r="I338" s="24" t="str">
        <f t="shared" si="83"/>
        <v/>
      </c>
      <c r="L338" s="7" t="str">
        <f t="shared" si="84"/>
        <v/>
      </c>
      <c r="M338" s="21" t="str">
        <f t="shared" si="85"/>
        <v/>
      </c>
      <c r="N338" s="7" t="s">
        <v>1960</v>
      </c>
      <c r="T338" s="7" t="str">
        <f t="shared" si="86"/>
        <v>Nothing</v>
      </c>
      <c r="U338" s="7" t="s">
        <v>1</v>
      </c>
      <c r="AD338" s="24">
        <v>25600</v>
      </c>
      <c r="AE338" s="7">
        <v>0.09</v>
      </c>
      <c r="AF338" s="7" t="s">
        <v>2689</v>
      </c>
      <c r="AG338" s="7">
        <v>8.7999999999999995E-2</v>
      </c>
      <c r="AH338" s="7" t="s">
        <v>2688</v>
      </c>
      <c r="AI338" s="7">
        <v>27000</v>
      </c>
      <c r="AJ338" s="7" t="s">
        <v>9</v>
      </c>
      <c r="AK338" s="7">
        <v>3</v>
      </c>
      <c r="AT338" s="7" t="str">
        <f t="shared" si="82"/>
        <v>None</v>
      </c>
      <c r="AU338" s="7" t="str">
        <f t="shared" si="87"/>
        <v>None</v>
      </c>
      <c r="AV338" s="7" t="str">
        <f t="shared" si="88"/>
        <v/>
      </c>
      <c r="AW338" s="7" t="str">
        <f t="shared" si="89"/>
        <v/>
      </c>
      <c r="AX338" s="7" t="str">
        <f t="shared" si="90"/>
        <v/>
      </c>
      <c r="BB338" s="7" t="str">
        <f t="shared" si="81"/>
        <v/>
      </c>
      <c r="BC338" s="7" t="str">
        <f t="shared" si="91"/>
        <v>No</v>
      </c>
      <c r="BD338" s="7" t="s">
        <v>1</v>
      </c>
      <c r="BQ338" s="22"/>
      <c r="CH338" s="7" t="str">
        <f t="shared" si="92"/>
        <v/>
      </c>
    </row>
    <row r="339" spans="1:103">
      <c r="A339" s="7" t="s">
        <v>1550</v>
      </c>
      <c r="B339" s="7">
        <v>75</v>
      </c>
      <c r="I339" s="24" t="str">
        <f t="shared" si="83"/>
        <v/>
      </c>
      <c r="L339" s="7" t="str">
        <f t="shared" si="84"/>
        <v/>
      </c>
      <c r="M339" s="21" t="str">
        <f t="shared" si="85"/>
        <v/>
      </c>
      <c r="N339" s="7" t="s">
        <v>1960</v>
      </c>
      <c r="T339" s="7" t="str">
        <f t="shared" si="86"/>
        <v>Nothing</v>
      </c>
      <c r="U339" s="7" t="s">
        <v>1</v>
      </c>
      <c r="AD339" s="24">
        <v>97536</v>
      </c>
      <c r="AE339" s="7">
        <v>0.126</v>
      </c>
      <c r="AF339" s="7" t="s">
        <v>2687</v>
      </c>
      <c r="AG339" s="7">
        <v>1.9E-2</v>
      </c>
      <c r="AH339" s="7" t="s">
        <v>2686</v>
      </c>
      <c r="AI339" s="7">
        <v>453635</v>
      </c>
      <c r="AJ339" s="7">
        <v>22</v>
      </c>
      <c r="AK339" s="7">
        <v>7</v>
      </c>
      <c r="AT339" s="7" t="str">
        <f t="shared" si="82"/>
        <v>None</v>
      </c>
      <c r="AU339" s="7" t="str">
        <f t="shared" si="87"/>
        <v>None</v>
      </c>
      <c r="AV339" s="7" t="str">
        <f t="shared" si="88"/>
        <v/>
      </c>
      <c r="AW339" s="7" t="str">
        <f t="shared" si="89"/>
        <v/>
      </c>
      <c r="AX339" s="7" t="str">
        <f t="shared" si="90"/>
        <v/>
      </c>
      <c r="BC339" s="7" t="str">
        <f t="shared" si="91"/>
        <v>No</v>
      </c>
      <c r="BD339" s="7" t="s">
        <v>1</v>
      </c>
      <c r="BQ339" s="22"/>
      <c r="CH339" s="7" t="str">
        <f t="shared" si="92"/>
        <v/>
      </c>
    </row>
    <row r="340" spans="1:103">
      <c r="A340" s="36" t="s">
        <v>1400</v>
      </c>
      <c r="B340" s="36">
        <v>153</v>
      </c>
      <c r="C340" s="36" t="s">
        <v>207</v>
      </c>
      <c r="D340" s="36"/>
      <c r="E340" s="36"/>
      <c r="F340" s="37"/>
      <c r="G340" s="37"/>
      <c r="H340" s="47"/>
      <c r="I340" s="41" t="str">
        <f t="shared" si="83"/>
        <v>Yes</v>
      </c>
      <c r="J340" s="36">
        <v>2050</v>
      </c>
      <c r="K340" s="36">
        <v>2019</v>
      </c>
      <c r="L340" s="36" t="str">
        <f t="shared" si="84"/>
        <v>T</v>
      </c>
      <c r="M340" s="40">
        <f t="shared" si="85"/>
        <v>2030</v>
      </c>
      <c r="N340" s="36">
        <v>2017</v>
      </c>
      <c r="O340" s="36" t="s">
        <v>1957</v>
      </c>
      <c r="P340" s="36" t="s">
        <v>2685</v>
      </c>
      <c r="Q340" s="36">
        <v>2050</v>
      </c>
      <c r="R340" s="36">
        <v>2017</v>
      </c>
      <c r="S340" s="39" t="s">
        <v>2684</v>
      </c>
      <c r="T340" s="7" t="str">
        <f t="shared" si="86"/>
        <v/>
      </c>
      <c r="U340" s="37" t="s">
        <v>1969</v>
      </c>
      <c r="V340" s="37"/>
      <c r="W340" s="36"/>
      <c r="X340" s="36"/>
      <c r="Y340" s="36"/>
      <c r="Z340" s="36"/>
      <c r="AA340" s="36"/>
      <c r="AB340" s="36"/>
      <c r="AC340" s="39" t="s">
        <v>2683</v>
      </c>
      <c r="AD340" s="24">
        <v>68897</v>
      </c>
      <c r="AE340" s="7">
        <v>-4.4999999999999998E-2</v>
      </c>
      <c r="AF340" s="7" t="s">
        <v>2682</v>
      </c>
      <c r="AG340" s="7">
        <v>-0.19</v>
      </c>
      <c r="AH340" s="7" t="s">
        <v>2681</v>
      </c>
      <c r="AI340" s="7">
        <v>259385</v>
      </c>
      <c r="AJ340" s="7">
        <v>-22</v>
      </c>
      <c r="AK340" s="7">
        <v>26</v>
      </c>
      <c r="AL340" s="7" t="s">
        <v>39</v>
      </c>
      <c r="AN340" s="7" t="s">
        <v>1994</v>
      </c>
      <c r="AT340" s="36" t="str">
        <f t="shared" si="82"/>
        <v>CN, SBT &amp; RE100</v>
      </c>
      <c r="AU340" s="36" t="str">
        <f t="shared" si="87"/>
        <v>CN &amp; SBT</v>
      </c>
      <c r="AV340" s="36">
        <f t="shared" si="88"/>
        <v>0</v>
      </c>
      <c r="AW340" s="36">
        <f t="shared" si="89"/>
        <v>2017</v>
      </c>
      <c r="AX340" s="36" t="str">
        <f t="shared" si="90"/>
        <v/>
      </c>
      <c r="AY340" s="36"/>
      <c r="AZ340" s="36"/>
      <c r="BA340" s="36"/>
      <c r="BB340" s="36" t="str">
        <f t="shared" ref="BB340:BB374" si="93">IF(BH340="","","Yes")</f>
        <v>Yes</v>
      </c>
      <c r="BC340" s="36" t="str">
        <f t="shared" si="91"/>
        <v>Carbon Neutral</v>
      </c>
      <c r="BD340" s="36" t="s">
        <v>1</v>
      </c>
      <c r="BE340" s="36"/>
      <c r="BF340" s="38" t="s">
        <v>2680</v>
      </c>
      <c r="BG340" s="36" t="s">
        <v>2198</v>
      </c>
      <c r="BH340" s="36" t="s">
        <v>22</v>
      </c>
      <c r="BI340" s="36" t="s">
        <v>2040</v>
      </c>
      <c r="BJ340" s="36" t="s">
        <v>354</v>
      </c>
      <c r="BK340" s="36"/>
      <c r="BL340" s="36"/>
      <c r="BM340" s="36" t="s">
        <v>1401</v>
      </c>
      <c r="BN340" s="36">
        <v>2030</v>
      </c>
      <c r="BO340" s="36">
        <v>2030</v>
      </c>
      <c r="BP340" s="36">
        <v>2030</v>
      </c>
      <c r="BQ340" s="22"/>
      <c r="BR340" s="36"/>
      <c r="BS340" s="36"/>
      <c r="BT340" s="36"/>
      <c r="BU340" s="36"/>
      <c r="BV340" s="36"/>
      <c r="BW340" s="36"/>
      <c r="BX340" s="36"/>
      <c r="BY340" s="36"/>
      <c r="BZ340" s="36"/>
      <c r="CA340" s="36"/>
      <c r="CB340" s="36"/>
      <c r="CC340" s="36"/>
      <c r="CD340" s="36"/>
      <c r="CE340" s="36">
        <v>2050</v>
      </c>
      <c r="CF340" s="36"/>
      <c r="CG340" s="36" t="s">
        <v>207</v>
      </c>
      <c r="CH340" s="36" t="str">
        <f t="shared" si="92"/>
        <v/>
      </c>
      <c r="CI340" s="36" t="s">
        <v>13</v>
      </c>
      <c r="CJ340" s="36">
        <v>0.01</v>
      </c>
      <c r="CK340" s="36" t="s">
        <v>13</v>
      </c>
      <c r="CL340" s="36" t="s">
        <v>13</v>
      </c>
      <c r="CM340" s="36" t="s">
        <v>13</v>
      </c>
      <c r="CN340" s="36" t="s">
        <v>13</v>
      </c>
      <c r="CO340" s="36" t="s">
        <v>9</v>
      </c>
      <c r="CP340" s="36" t="s">
        <v>1945</v>
      </c>
      <c r="CQ340" s="36"/>
      <c r="CR340" s="36"/>
      <c r="CS340" s="36"/>
      <c r="CT340" s="36"/>
      <c r="CU340" s="36"/>
      <c r="CV340" s="36"/>
      <c r="CW340" s="36"/>
      <c r="CX340" s="36"/>
      <c r="CY340" s="36"/>
    </row>
    <row r="341" spans="1:103">
      <c r="A341" s="7" t="s">
        <v>960</v>
      </c>
      <c r="B341" s="7">
        <v>269</v>
      </c>
      <c r="E341" s="7" t="s">
        <v>1659</v>
      </c>
      <c r="H341" s="26" t="s">
        <v>2678</v>
      </c>
      <c r="I341" s="24" t="str">
        <f t="shared" si="83"/>
        <v/>
      </c>
      <c r="L341" s="7" t="str">
        <f t="shared" si="84"/>
        <v/>
      </c>
      <c r="M341" s="21" t="str">
        <f t="shared" si="85"/>
        <v/>
      </c>
      <c r="N341" s="7" t="s">
        <v>1960</v>
      </c>
      <c r="T341" s="7" t="str">
        <f t="shared" si="86"/>
        <v>Nothing</v>
      </c>
      <c r="U341" s="7" t="s">
        <v>1963</v>
      </c>
      <c r="X341" s="7" t="s">
        <v>2679</v>
      </c>
      <c r="AC341" s="26" t="s">
        <v>2678</v>
      </c>
      <c r="AD341" s="24">
        <v>44207</v>
      </c>
      <c r="AE341" s="7">
        <v>-6.0000000000000001E-3</v>
      </c>
      <c r="AF341" s="7" t="s">
        <v>2677</v>
      </c>
      <c r="AG341" s="7">
        <v>0.69499999999999995</v>
      </c>
      <c r="AH341" s="7" t="s">
        <v>2676</v>
      </c>
      <c r="AI341" s="7">
        <v>172995</v>
      </c>
      <c r="AJ341" s="7">
        <v>-10</v>
      </c>
      <c r="AK341" s="7">
        <v>8</v>
      </c>
      <c r="AT341" s="7" t="str">
        <f t="shared" si="82"/>
        <v>None</v>
      </c>
      <c r="AU341" s="7" t="str">
        <f t="shared" si="87"/>
        <v>None</v>
      </c>
      <c r="AV341" s="7" t="str">
        <f t="shared" si="88"/>
        <v/>
      </c>
      <c r="AW341" s="7" t="str">
        <f t="shared" si="89"/>
        <v/>
      </c>
      <c r="AX341" s="7" t="str">
        <f t="shared" si="90"/>
        <v/>
      </c>
      <c r="BB341" s="7" t="str">
        <f t="shared" si="93"/>
        <v/>
      </c>
      <c r="BC341" s="7" t="str">
        <f t="shared" si="91"/>
        <v>No</v>
      </c>
      <c r="BD341" s="7" t="s">
        <v>1963</v>
      </c>
      <c r="BE341" s="1"/>
      <c r="BF341" t="s">
        <v>2675</v>
      </c>
      <c r="BG341" s="7" t="s">
        <v>2674</v>
      </c>
      <c r="BQ341" s="22"/>
      <c r="CH341" s="7" t="str">
        <f t="shared" si="92"/>
        <v/>
      </c>
    </row>
    <row r="342" spans="1:103">
      <c r="A342" s="7" t="s">
        <v>1556</v>
      </c>
      <c r="B342" s="7">
        <v>133</v>
      </c>
      <c r="I342" s="24" t="str">
        <f t="shared" si="83"/>
        <v/>
      </c>
      <c r="L342" s="7" t="str">
        <f t="shared" si="84"/>
        <v/>
      </c>
      <c r="M342" s="21" t="str">
        <f t="shared" si="85"/>
        <v/>
      </c>
      <c r="N342" s="7" t="s">
        <v>1960</v>
      </c>
      <c r="T342" s="7" t="str">
        <f t="shared" si="86"/>
        <v>Nothing</v>
      </c>
      <c r="U342" s="7" t="s">
        <v>1</v>
      </c>
      <c r="X342" s="7" t="s">
        <v>2673</v>
      </c>
      <c r="AC342" s="8" t="s">
        <v>2672</v>
      </c>
      <c r="AD342" s="24">
        <v>72820</v>
      </c>
      <c r="AE342" s="7">
        <v>-0.16700000000000001</v>
      </c>
      <c r="AF342" s="7" t="s">
        <v>2671</v>
      </c>
      <c r="AG342" s="7" t="s">
        <v>9</v>
      </c>
      <c r="AH342" s="7" t="s">
        <v>2670</v>
      </c>
      <c r="AI342" s="7">
        <v>125735</v>
      </c>
      <c r="AJ342" s="7">
        <v>-38</v>
      </c>
      <c r="AK342" s="7">
        <v>26</v>
      </c>
      <c r="AT342" s="7" t="str">
        <f t="shared" si="82"/>
        <v>None</v>
      </c>
      <c r="AU342" s="7" t="str">
        <f t="shared" si="87"/>
        <v>None</v>
      </c>
      <c r="AV342" s="7" t="str">
        <f t="shared" si="88"/>
        <v/>
      </c>
      <c r="AW342" s="7" t="str">
        <f t="shared" si="89"/>
        <v/>
      </c>
      <c r="AX342" s="7" t="str">
        <f t="shared" si="90"/>
        <v/>
      </c>
      <c r="BB342" s="7" t="str">
        <f t="shared" si="93"/>
        <v/>
      </c>
      <c r="BC342" s="7" t="str">
        <f t="shared" si="91"/>
        <v>No</v>
      </c>
      <c r="BD342" s="7" t="s">
        <v>1</v>
      </c>
      <c r="BF342" s="7" t="s">
        <v>2669</v>
      </c>
      <c r="BQ342" s="22"/>
      <c r="CH342" s="7" t="str">
        <f t="shared" si="92"/>
        <v/>
      </c>
    </row>
    <row r="343" spans="1:103">
      <c r="A343" s="7" t="s">
        <v>1437</v>
      </c>
      <c r="B343" s="7">
        <v>112</v>
      </c>
      <c r="C343" s="7" t="s">
        <v>73</v>
      </c>
      <c r="I343" s="24" t="str">
        <f t="shared" si="83"/>
        <v/>
      </c>
      <c r="L343" s="7" t="str">
        <f t="shared" si="84"/>
        <v/>
      </c>
      <c r="M343" s="21" t="str">
        <f t="shared" si="85"/>
        <v/>
      </c>
      <c r="N343" s="7" t="s">
        <v>1960</v>
      </c>
      <c r="T343" s="7" t="str">
        <f t="shared" si="86"/>
        <v>Nothing</v>
      </c>
      <c r="U343" s="7" t="s">
        <v>1</v>
      </c>
      <c r="AD343" s="24">
        <v>79788</v>
      </c>
      <c r="AE343" s="7">
        <v>5.8999999999999997E-2</v>
      </c>
      <c r="AF343" s="7" t="s">
        <v>2668</v>
      </c>
      <c r="AG343" s="7">
        <v>0.64100000000000001</v>
      </c>
      <c r="AH343" s="7" t="s">
        <v>2667</v>
      </c>
      <c r="AI343" s="7">
        <v>198951</v>
      </c>
      <c r="AJ343" s="7">
        <v>9</v>
      </c>
      <c r="AK343" s="7">
        <v>11</v>
      </c>
      <c r="AN343" s="7" t="s">
        <v>1994</v>
      </c>
      <c r="AT343" s="7" t="str">
        <f t="shared" si="82"/>
        <v>None</v>
      </c>
      <c r="AU343" s="7" t="str">
        <f t="shared" si="87"/>
        <v>None</v>
      </c>
      <c r="AV343" s="7" t="str">
        <f t="shared" si="88"/>
        <v/>
      </c>
      <c r="AW343" s="7" t="str">
        <f t="shared" si="89"/>
        <v/>
      </c>
      <c r="AX343" s="7" t="str">
        <f t="shared" si="90"/>
        <v/>
      </c>
      <c r="BB343" s="7" t="str">
        <f t="shared" si="93"/>
        <v/>
      </c>
      <c r="BC343" s="7" t="str">
        <f t="shared" si="91"/>
        <v>No</v>
      </c>
      <c r="BD343" s="7" t="s">
        <v>1</v>
      </c>
      <c r="BQ343" s="22"/>
      <c r="CH343" s="7" t="str">
        <f t="shared" si="92"/>
        <v/>
      </c>
    </row>
    <row r="344" spans="1:103">
      <c r="A344" s="7" t="s">
        <v>1312</v>
      </c>
      <c r="B344" s="7">
        <v>160</v>
      </c>
      <c r="C344" s="7" t="s">
        <v>127</v>
      </c>
      <c r="I344" s="24" t="str">
        <f t="shared" si="83"/>
        <v/>
      </c>
      <c r="L344" s="7" t="str">
        <f t="shared" si="84"/>
        <v>T</v>
      </c>
      <c r="M344" s="21">
        <f t="shared" si="85"/>
        <v>2030</v>
      </c>
      <c r="N344" s="7">
        <v>2016</v>
      </c>
      <c r="T344" s="7" t="str">
        <f t="shared" si="86"/>
        <v>Nothing</v>
      </c>
      <c r="U344" s="7" t="s">
        <v>1</v>
      </c>
      <c r="AC344" s="8" t="s">
        <v>2666</v>
      </c>
      <c r="AD344" s="24">
        <v>67161</v>
      </c>
      <c r="AE344" s="7">
        <v>3.9E-2</v>
      </c>
      <c r="AF344" s="7" t="s">
        <v>2665</v>
      </c>
      <c r="AG344" s="7">
        <v>-0.41599999999999998</v>
      </c>
      <c r="AH344" s="7" t="s">
        <v>2664</v>
      </c>
      <c r="AI344" s="7">
        <v>267000</v>
      </c>
      <c r="AJ344" s="7">
        <v>-6</v>
      </c>
      <c r="AK344" s="7">
        <v>26</v>
      </c>
      <c r="AL344" s="7" t="s">
        <v>23</v>
      </c>
      <c r="AN344" s="7" t="s">
        <v>2029</v>
      </c>
      <c r="AT344" s="7" t="str">
        <f t="shared" si="82"/>
        <v>SBT</v>
      </c>
      <c r="AU344" s="7" t="str">
        <f t="shared" si="87"/>
        <v>SBT</v>
      </c>
      <c r="AV344" s="7" t="str">
        <f t="shared" si="88"/>
        <v/>
      </c>
      <c r="AW344" s="7">
        <f t="shared" si="89"/>
        <v>2016</v>
      </c>
      <c r="AX344" s="7" t="str">
        <f t="shared" si="90"/>
        <v/>
      </c>
      <c r="BB344" s="7" t="str">
        <f t="shared" si="93"/>
        <v>Yes</v>
      </c>
      <c r="BC344" s="7" t="str">
        <f t="shared" si="91"/>
        <v>No</v>
      </c>
      <c r="BD344" s="7" t="s">
        <v>1</v>
      </c>
      <c r="BF344" s="7" t="s">
        <v>2663</v>
      </c>
      <c r="BH344" s="7" t="s">
        <v>22</v>
      </c>
      <c r="BI344" s="7" t="s">
        <v>2040</v>
      </c>
      <c r="BJ344" s="7" t="s">
        <v>430</v>
      </c>
      <c r="BM344" s="7" t="s">
        <v>1313</v>
      </c>
      <c r="BN344" s="7">
        <v>2030</v>
      </c>
      <c r="BO344" s="7">
        <v>2030</v>
      </c>
      <c r="BP344" s="7">
        <v>2030</v>
      </c>
      <c r="BQ344" s="22"/>
      <c r="CH344" s="7" t="str">
        <f t="shared" si="92"/>
        <v/>
      </c>
    </row>
    <row r="345" spans="1:103">
      <c r="A345" s="7" t="s">
        <v>1645</v>
      </c>
      <c r="B345" s="7">
        <v>120</v>
      </c>
      <c r="H345" s="8" t="s">
        <v>2662</v>
      </c>
      <c r="I345" s="24" t="str">
        <f t="shared" si="83"/>
        <v/>
      </c>
      <c r="L345" s="7" t="str">
        <f t="shared" si="84"/>
        <v/>
      </c>
      <c r="M345" s="21" t="str">
        <f t="shared" si="85"/>
        <v/>
      </c>
      <c r="N345" s="7" t="s">
        <v>1960</v>
      </c>
      <c r="T345" s="7" t="str">
        <f t="shared" si="86"/>
        <v>Nothing</v>
      </c>
      <c r="U345" s="7" t="s">
        <v>1</v>
      </c>
      <c r="X345" s="23" t="s">
        <v>2661</v>
      </c>
      <c r="AD345" s="24">
        <v>76589</v>
      </c>
      <c r="AE345" s="7">
        <v>-0.19900000000000001</v>
      </c>
      <c r="AF345" s="7" t="s">
        <v>2660</v>
      </c>
      <c r="AG345" s="7">
        <v>0.41499999999999998</v>
      </c>
      <c r="AH345" s="7" t="s">
        <v>2659</v>
      </c>
      <c r="AI345" s="7">
        <v>57983</v>
      </c>
      <c r="AJ345" s="7">
        <v>-46</v>
      </c>
      <c r="AK345" s="7">
        <v>26</v>
      </c>
      <c r="AT345" s="7" t="str">
        <f t="shared" si="82"/>
        <v>None</v>
      </c>
      <c r="AU345" s="7" t="str">
        <f t="shared" si="87"/>
        <v>None</v>
      </c>
      <c r="AV345" s="7" t="str">
        <f t="shared" si="88"/>
        <v/>
      </c>
      <c r="AW345" s="7" t="str">
        <f t="shared" si="89"/>
        <v/>
      </c>
      <c r="AX345" s="7" t="str">
        <f t="shared" si="90"/>
        <v/>
      </c>
      <c r="BB345" s="7" t="str">
        <f t="shared" si="93"/>
        <v/>
      </c>
      <c r="BC345" s="7" t="str">
        <f t="shared" si="91"/>
        <v>No</v>
      </c>
      <c r="BD345" s="7" t="s">
        <v>1</v>
      </c>
      <c r="BQ345" s="22"/>
      <c r="CH345" s="7" t="str">
        <f t="shared" si="92"/>
        <v/>
      </c>
    </row>
    <row r="346" spans="1:103">
      <c r="A346" s="7" t="s">
        <v>1300</v>
      </c>
      <c r="B346" s="7">
        <v>186</v>
      </c>
      <c r="C346" s="7" t="s">
        <v>1301</v>
      </c>
      <c r="I346" s="24" t="str">
        <f t="shared" si="83"/>
        <v/>
      </c>
      <c r="L346" s="7" t="str">
        <f t="shared" si="84"/>
        <v/>
      </c>
      <c r="M346" s="21" t="str">
        <f t="shared" si="85"/>
        <v/>
      </c>
      <c r="N346" s="7" t="s">
        <v>1960</v>
      </c>
      <c r="T346" s="7" t="str">
        <f t="shared" si="86"/>
        <v>Nothing</v>
      </c>
      <c r="U346" s="7" t="s">
        <v>1986</v>
      </c>
      <c r="AD346" s="24">
        <v>58027</v>
      </c>
      <c r="AE346" s="7">
        <v>-6.8000000000000005E-2</v>
      </c>
      <c r="AF346" s="7" t="s">
        <v>2658</v>
      </c>
      <c r="AG346" s="7">
        <v>-0.32800000000000001</v>
      </c>
      <c r="AH346" s="7" t="s">
        <v>2657</v>
      </c>
      <c r="AI346" s="7">
        <v>47669</v>
      </c>
      <c r="AJ346" s="7">
        <v>-28</v>
      </c>
      <c r="AK346" s="7">
        <v>24</v>
      </c>
      <c r="AT346" s="7" t="str">
        <f t="shared" si="82"/>
        <v>None</v>
      </c>
      <c r="AU346" s="7" t="str">
        <f t="shared" si="87"/>
        <v>None</v>
      </c>
      <c r="AV346" s="7" t="str">
        <f t="shared" si="88"/>
        <v/>
      </c>
      <c r="AW346" s="7" t="str">
        <f t="shared" si="89"/>
        <v/>
      </c>
      <c r="AX346" s="7" t="str">
        <f t="shared" si="90"/>
        <v/>
      </c>
      <c r="BB346" s="7" t="str">
        <f t="shared" si="93"/>
        <v/>
      </c>
      <c r="BC346" s="7" t="str">
        <f t="shared" si="91"/>
        <v>No</v>
      </c>
      <c r="BD346" s="7" t="s">
        <v>1</v>
      </c>
      <c r="BQ346" s="22"/>
      <c r="CH346" s="7" t="str">
        <f t="shared" si="92"/>
        <v/>
      </c>
      <c r="CW346" s="7" t="s">
        <v>361</v>
      </c>
    </row>
    <row r="347" spans="1:103">
      <c r="A347" s="7" t="s">
        <v>1554</v>
      </c>
      <c r="B347" s="7">
        <v>101</v>
      </c>
      <c r="I347" s="24" t="str">
        <f t="shared" si="83"/>
        <v/>
      </c>
      <c r="L347" s="7" t="str">
        <f t="shared" si="84"/>
        <v/>
      </c>
      <c r="M347" s="21" t="str">
        <f t="shared" si="85"/>
        <v/>
      </c>
      <c r="N347" s="7" t="s">
        <v>1960</v>
      </c>
      <c r="T347" s="7" t="str">
        <f t="shared" si="86"/>
        <v>Nothing</v>
      </c>
      <c r="U347" s="7" t="s">
        <v>1</v>
      </c>
      <c r="AC347" s="8" t="s">
        <v>2656</v>
      </c>
      <c r="AD347" s="24">
        <v>83643</v>
      </c>
      <c r="AE347" s="7">
        <v>-4.2999999999999997E-2</v>
      </c>
      <c r="AF347" s="7" t="s">
        <v>2655</v>
      </c>
      <c r="AG347" s="7">
        <v>7.3999999999999996E-2</v>
      </c>
      <c r="AH347" s="7" t="s">
        <v>2654</v>
      </c>
      <c r="AI347" s="7">
        <v>214478</v>
      </c>
      <c r="AJ347" s="7">
        <v>-5</v>
      </c>
      <c r="AK347" s="7">
        <v>26</v>
      </c>
      <c r="AT347" s="7" t="str">
        <f t="shared" si="82"/>
        <v>None</v>
      </c>
      <c r="AU347" s="7" t="str">
        <f t="shared" si="87"/>
        <v>None</v>
      </c>
      <c r="AV347" s="7" t="str">
        <f t="shared" si="88"/>
        <v/>
      </c>
      <c r="AW347" s="7" t="str">
        <f t="shared" si="89"/>
        <v/>
      </c>
      <c r="AX347" s="7" t="str">
        <f t="shared" si="90"/>
        <v/>
      </c>
      <c r="BB347" s="7" t="str">
        <f t="shared" si="93"/>
        <v/>
      </c>
      <c r="BC347" s="7" t="str">
        <f t="shared" si="91"/>
        <v>No</v>
      </c>
      <c r="BD347" s="7" t="s">
        <v>1</v>
      </c>
      <c r="BF347" s="7" t="s">
        <v>2653</v>
      </c>
      <c r="BQ347" s="22"/>
      <c r="CH347" s="7" t="str">
        <f t="shared" si="92"/>
        <v/>
      </c>
    </row>
    <row r="348" spans="1:103">
      <c r="A348" s="7" t="s">
        <v>1171</v>
      </c>
      <c r="B348" s="7">
        <v>215</v>
      </c>
      <c r="C348" s="7" t="s">
        <v>127</v>
      </c>
      <c r="I348" s="24" t="str">
        <f t="shared" si="83"/>
        <v/>
      </c>
      <c r="L348" s="7" t="str">
        <f t="shared" si="84"/>
        <v>T</v>
      </c>
      <c r="M348" s="21">
        <f t="shared" si="85"/>
        <v>2020</v>
      </c>
      <c r="N348" s="7">
        <v>2015</v>
      </c>
      <c r="T348" s="7" t="str">
        <f t="shared" si="86"/>
        <v>Nothing</v>
      </c>
      <c r="U348" s="7" t="s">
        <v>1</v>
      </c>
      <c r="AC348" s="8" t="s">
        <v>2652</v>
      </c>
      <c r="AD348" s="24">
        <v>51750</v>
      </c>
      <c r="AE348" s="7">
        <v>-3.5000000000000003E-2</v>
      </c>
      <c r="AF348" s="7" t="s">
        <v>2651</v>
      </c>
      <c r="AG348" s="7">
        <v>0.45900000000000002</v>
      </c>
      <c r="AH348" s="7" t="s">
        <v>2650</v>
      </c>
      <c r="AI348" s="7">
        <v>88300</v>
      </c>
      <c r="AJ348" s="7">
        <v>-17</v>
      </c>
      <c r="AK348" s="7">
        <v>26</v>
      </c>
      <c r="AL348" s="7" t="s">
        <v>842</v>
      </c>
      <c r="AN348" s="7" t="s">
        <v>2029</v>
      </c>
      <c r="AT348" s="7" t="str">
        <f t="shared" si="82"/>
        <v>SBT</v>
      </c>
      <c r="AU348" s="7" t="str">
        <f t="shared" si="87"/>
        <v>SBT</v>
      </c>
      <c r="AV348" s="7" t="str">
        <f t="shared" si="88"/>
        <v/>
      </c>
      <c r="AW348" s="7">
        <f t="shared" si="89"/>
        <v>2015</v>
      </c>
      <c r="AX348" s="7" t="str">
        <f t="shared" si="90"/>
        <v/>
      </c>
      <c r="BB348" s="7" t="str">
        <f t="shared" si="93"/>
        <v>Yes</v>
      </c>
      <c r="BC348" s="7" t="str">
        <f t="shared" si="91"/>
        <v>No</v>
      </c>
      <c r="BD348" s="7" t="s">
        <v>1</v>
      </c>
      <c r="BF348" s="7" t="s">
        <v>2649</v>
      </c>
      <c r="BH348" s="7" t="s">
        <v>22</v>
      </c>
      <c r="BI348" s="7" t="s">
        <v>2245</v>
      </c>
      <c r="BJ348" s="7" t="s">
        <v>841</v>
      </c>
      <c r="BM348" s="7" t="s">
        <v>1172</v>
      </c>
      <c r="BN348" s="7">
        <v>2020</v>
      </c>
      <c r="BO348" s="7">
        <v>2020</v>
      </c>
      <c r="BP348" s="7">
        <v>2020</v>
      </c>
      <c r="BQ348" s="22"/>
      <c r="CH348" s="7" t="str">
        <f t="shared" si="92"/>
        <v/>
      </c>
      <c r="CX348" s="7" t="s">
        <v>361</v>
      </c>
      <c r="CY348" s="7" t="s">
        <v>361</v>
      </c>
    </row>
    <row r="349" spans="1:103">
      <c r="A349" s="7" t="s">
        <v>386</v>
      </c>
      <c r="B349" s="7">
        <v>421</v>
      </c>
      <c r="C349" s="7" t="s">
        <v>127</v>
      </c>
      <c r="D349" s="7" t="s">
        <v>1971</v>
      </c>
      <c r="E349" s="7" t="s">
        <v>2348</v>
      </c>
      <c r="F349" s="7">
        <v>2050</v>
      </c>
      <c r="G349" s="7">
        <v>2019</v>
      </c>
      <c r="H349" s="26" t="s">
        <v>2646</v>
      </c>
      <c r="I349" s="24" t="str">
        <f t="shared" si="83"/>
        <v/>
      </c>
      <c r="L349" s="7" t="str">
        <f t="shared" si="84"/>
        <v>T</v>
      </c>
      <c r="M349" s="21">
        <f t="shared" si="85"/>
        <v>2030</v>
      </c>
      <c r="N349" s="7">
        <v>2017</v>
      </c>
      <c r="T349" s="7" t="str">
        <f t="shared" si="86"/>
        <v/>
      </c>
      <c r="U349" s="7" t="s">
        <v>1969</v>
      </c>
      <c r="V349" s="7" t="s">
        <v>2648</v>
      </c>
      <c r="X349" s="7" t="s">
        <v>2647</v>
      </c>
      <c r="AC349" s="26" t="s">
        <v>2646</v>
      </c>
      <c r="AD349" s="24">
        <v>29805</v>
      </c>
      <c r="AE349" s="7">
        <v>6.0000000000000001E-3</v>
      </c>
      <c r="AF349" s="7" t="s">
        <v>2645</v>
      </c>
      <c r="AG349" s="7">
        <v>-9.1999999999999998E-2</v>
      </c>
      <c r="AH349" s="7" t="s">
        <v>2644</v>
      </c>
      <c r="AI349" s="7">
        <v>73500</v>
      </c>
      <c r="AJ349" s="7">
        <v>1</v>
      </c>
      <c r="AK349" s="7">
        <v>12</v>
      </c>
      <c r="AL349" s="7" t="s">
        <v>388</v>
      </c>
      <c r="AN349" s="7" t="s">
        <v>2029</v>
      </c>
      <c r="AT349" s="7" t="str">
        <f t="shared" si="82"/>
        <v>CN &amp; SBT</v>
      </c>
      <c r="AU349" s="7" t="str">
        <f t="shared" si="87"/>
        <v>SBT</v>
      </c>
      <c r="AV349" s="7" t="str">
        <f t="shared" si="88"/>
        <v/>
      </c>
      <c r="AW349" s="7">
        <f t="shared" si="89"/>
        <v>2017</v>
      </c>
      <c r="AX349" s="7" t="str">
        <f t="shared" si="90"/>
        <v/>
      </c>
      <c r="BB349" s="7" t="str">
        <f t="shared" si="93"/>
        <v>Yes</v>
      </c>
      <c r="BC349" s="7" t="str">
        <f t="shared" si="91"/>
        <v>No - but post-2030 commitment</v>
      </c>
      <c r="BD349" s="7" t="s">
        <v>1963</v>
      </c>
      <c r="BF349" s="23" t="s">
        <v>2643</v>
      </c>
      <c r="BH349" s="7" t="s">
        <v>22</v>
      </c>
      <c r="BI349" s="7" t="s">
        <v>2040</v>
      </c>
      <c r="BJ349" s="7" t="s">
        <v>224</v>
      </c>
      <c r="BM349" s="7" t="s">
        <v>387</v>
      </c>
      <c r="BN349" s="7">
        <v>2030</v>
      </c>
      <c r="BO349" s="7">
        <v>2030</v>
      </c>
      <c r="BP349" s="7">
        <v>2030</v>
      </c>
      <c r="BQ349" s="22"/>
      <c r="CD349" s="7" t="s">
        <v>361</v>
      </c>
      <c r="CF349" s="25"/>
      <c r="CH349" s="7" t="str">
        <f t="shared" si="92"/>
        <v/>
      </c>
      <c r="CW349" s="7" t="s">
        <v>361</v>
      </c>
      <c r="CX349" s="7" t="s">
        <v>361</v>
      </c>
    </row>
    <row r="350" spans="1:103">
      <c r="A350" s="7" t="s">
        <v>1705</v>
      </c>
      <c r="B350" s="7">
        <v>61</v>
      </c>
      <c r="I350" s="24" t="str">
        <f t="shared" si="83"/>
        <v/>
      </c>
      <c r="L350" s="7" t="str">
        <f t="shared" si="84"/>
        <v/>
      </c>
      <c r="M350" s="21" t="str">
        <f t="shared" si="85"/>
        <v/>
      </c>
      <c r="N350" s="7" t="s">
        <v>1960</v>
      </c>
      <c r="T350" s="7" t="str">
        <f t="shared" si="86"/>
        <v>Nothing</v>
      </c>
      <c r="U350" s="7" t="s">
        <v>1</v>
      </c>
      <c r="AC350" s="26" t="s">
        <v>2642</v>
      </c>
      <c r="AD350" s="24">
        <v>109559</v>
      </c>
      <c r="AE350" s="7">
        <v>-4.1000000000000002E-2</v>
      </c>
      <c r="AF350" s="7" t="s">
        <v>2641</v>
      </c>
      <c r="AG350" s="7">
        <v>-0.45</v>
      </c>
      <c r="AH350" s="7" t="s">
        <v>2640</v>
      </c>
      <c r="AI350" s="7">
        <v>14500</v>
      </c>
      <c r="AJ350" s="7">
        <v>-7</v>
      </c>
      <c r="AK350" s="7">
        <v>8</v>
      </c>
      <c r="AT350" s="7" t="str">
        <f t="shared" si="82"/>
        <v>None</v>
      </c>
      <c r="AU350" s="7" t="str">
        <f t="shared" si="87"/>
        <v>None</v>
      </c>
      <c r="AV350" s="7" t="str">
        <f t="shared" si="88"/>
        <v/>
      </c>
      <c r="AW350" s="7" t="str">
        <f t="shared" si="89"/>
        <v/>
      </c>
      <c r="AX350" s="7" t="str">
        <f t="shared" si="90"/>
        <v/>
      </c>
      <c r="BB350" s="7" t="str">
        <f t="shared" si="93"/>
        <v/>
      </c>
      <c r="BC350" s="7" t="str">
        <f t="shared" si="91"/>
        <v>No</v>
      </c>
      <c r="BD350" s="7" t="s">
        <v>1</v>
      </c>
      <c r="BF350" s="7" t="s">
        <v>2639</v>
      </c>
      <c r="BQ350" s="22"/>
      <c r="CH350" s="7" t="str">
        <f t="shared" si="92"/>
        <v/>
      </c>
      <c r="CY350" s="7" t="s">
        <v>361</v>
      </c>
    </row>
    <row r="351" spans="1:103">
      <c r="A351" s="7" t="s">
        <v>2638</v>
      </c>
      <c r="B351" s="7">
        <v>338</v>
      </c>
      <c r="C351" s="7" t="s">
        <v>2070</v>
      </c>
      <c r="D351" s="7" t="s">
        <v>2082</v>
      </c>
      <c r="E351" s="7" t="s">
        <v>2637</v>
      </c>
      <c r="F351" s="7">
        <v>2030</v>
      </c>
      <c r="G351" s="7">
        <v>2020</v>
      </c>
      <c r="H351" s="26" t="s">
        <v>2636</v>
      </c>
      <c r="I351" s="24" t="str">
        <f t="shared" si="83"/>
        <v/>
      </c>
      <c r="L351" s="7" t="str">
        <f t="shared" si="84"/>
        <v/>
      </c>
      <c r="M351" s="21" t="str">
        <f t="shared" si="85"/>
        <v/>
      </c>
      <c r="N351" s="7" t="s">
        <v>1960</v>
      </c>
      <c r="T351" s="7" t="str">
        <f t="shared" si="86"/>
        <v/>
      </c>
      <c r="U351" s="7" t="s">
        <v>1969</v>
      </c>
      <c r="X351" s="7" t="s">
        <v>2635</v>
      </c>
      <c r="AD351" s="24">
        <v>37215</v>
      </c>
      <c r="AE351" s="7" t="s">
        <v>9</v>
      </c>
      <c r="AF351" s="7" t="s">
        <v>2634</v>
      </c>
      <c r="AG351" s="7">
        <v>-0.78500000000000003</v>
      </c>
      <c r="AH351" s="7" t="s">
        <v>2633</v>
      </c>
      <c r="AI351" s="7">
        <v>4417</v>
      </c>
      <c r="AJ351" s="7" t="s">
        <v>9</v>
      </c>
      <c r="AK351" s="7">
        <v>1</v>
      </c>
      <c r="AL351" s="7" t="s">
        <v>93</v>
      </c>
      <c r="AN351" s="7" t="s">
        <v>1951</v>
      </c>
      <c r="AT351" s="7" t="str">
        <f t="shared" si="82"/>
        <v>CN</v>
      </c>
      <c r="AU351" s="7" t="str">
        <f t="shared" si="87"/>
        <v>CN</v>
      </c>
      <c r="AV351" s="7">
        <f t="shared" si="88"/>
        <v>2020</v>
      </c>
      <c r="AW351" s="7" t="str">
        <f t="shared" si="89"/>
        <v/>
      </c>
      <c r="AX351" s="7" t="str">
        <f t="shared" si="90"/>
        <v/>
      </c>
      <c r="BB351" s="7" t="str">
        <f t="shared" si="93"/>
        <v/>
      </c>
      <c r="BC351" s="7" t="str">
        <f t="shared" si="91"/>
        <v>Carbon Neutral</v>
      </c>
      <c r="BD351" s="7" t="s">
        <v>1963</v>
      </c>
      <c r="BQ351" s="22"/>
      <c r="CD351" s="7" t="s">
        <v>361</v>
      </c>
      <c r="CF351" s="25"/>
      <c r="CH351" s="7" t="str">
        <f t="shared" si="92"/>
        <v/>
      </c>
      <c r="CW351" s="7" t="s">
        <v>361</v>
      </c>
    </row>
    <row r="352" spans="1:103">
      <c r="A352" s="7" t="s">
        <v>425</v>
      </c>
      <c r="B352" s="7">
        <v>410</v>
      </c>
      <c r="I352" s="24" t="str">
        <f t="shared" si="83"/>
        <v/>
      </c>
      <c r="L352" s="7" t="str">
        <f t="shared" si="84"/>
        <v/>
      </c>
      <c r="M352" s="21" t="str">
        <f t="shared" si="85"/>
        <v/>
      </c>
      <c r="N352" s="7" t="s">
        <v>1960</v>
      </c>
      <c r="T352" s="7" t="str">
        <f t="shared" si="86"/>
        <v>Nothing</v>
      </c>
      <c r="U352" s="7" t="s">
        <v>1963</v>
      </c>
      <c r="AD352" s="24">
        <v>30509</v>
      </c>
      <c r="AE352" s="7">
        <v>7.0000000000000001E-3</v>
      </c>
      <c r="AF352" s="7" t="s">
        <v>2632</v>
      </c>
      <c r="AG352" s="7" t="s">
        <v>9</v>
      </c>
      <c r="AH352" s="7" t="s">
        <v>2631</v>
      </c>
      <c r="AI352" s="7">
        <v>32009</v>
      </c>
      <c r="AJ352" s="7">
        <v>2</v>
      </c>
      <c r="AK352" s="7">
        <v>10</v>
      </c>
      <c r="AT352" s="7" t="str">
        <f t="shared" ref="AT352:AT383" si="94">IF(OR(BC352="Carbon Neutral",BC352="No - but post-2030 commitment"),IF((OR(BH352="Committed",BH352="Targets Set")),IF(J352="", "CN &amp; SBT","CN, SBT &amp; RE100"),IF(CH352="","CN","CN &amp; RE100")),IF((OR(BH352="Committed",BH352="Targets Set")),IF(CH352="", "SBT","SBT &amp; RE100"),IF(CH352="","None","RE100")))</f>
        <v>None</v>
      </c>
      <c r="AU352" s="7" t="str">
        <f t="shared" si="87"/>
        <v>None</v>
      </c>
      <c r="AV352" s="7" t="str">
        <f t="shared" si="88"/>
        <v/>
      </c>
      <c r="AW352" s="7" t="str">
        <f t="shared" si="89"/>
        <v/>
      </c>
      <c r="AX352" s="7" t="str">
        <f t="shared" si="90"/>
        <v/>
      </c>
      <c r="BB352" s="7" t="str">
        <f t="shared" si="93"/>
        <v/>
      </c>
      <c r="BC352" s="7" t="str">
        <f t="shared" si="91"/>
        <v>No</v>
      </c>
      <c r="BD352" s="7" t="s">
        <v>1963</v>
      </c>
      <c r="BQ352" s="22"/>
      <c r="CH352" s="7" t="str">
        <f t="shared" si="92"/>
        <v/>
      </c>
    </row>
    <row r="353" spans="1:103">
      <c r="A353" s="7" t="s">
        <v>1791</v>
      </c>
      <c r="B353" s="7">
        <v>21</v>
      </c>
      <c r="I353" s="24" t="str">
        <f t="shared" si="83"/>
        <v/>
      </c>
      <c r="L353" s="7" t="str">
        <f t="shared" si="84"/>
        <v/>
      </c>
      <c r="M353" s="21" t="str">
        <f t="shared" si="85"/>
        <v/>
      </c>
      <c r="N353" s="7" t="s">
        <v>1960</v>
      </c>
      <c r="T353" s="7" t="str">
        <f t="shared" si="86"/>
        <v>Nothing</v>
      </c>
      <c r="U353" s="7" t="s">
        <v>1</v>
      </c>
      <c r="AC353" s="26" t="s">
        <v>2630</v>
      </c>
      <c r="AD353" s="24">
        <v>184280</v>
      </c>
      <c r="AE353" s="7">
        <v>0.126</v>
      </c>
      <c r="AF353" s="7" t="s">
        <v>2629</v>
      </c>
      <c r="AG353" s="7">
        <v>0.33200000000000002</v>
      </c>
      <c r="AH353" s="7" t="s">
        <v>2628</v>
      </c>
      <c r="AI353" s="7">
        <v>372194</v>
      </c>
      <c r="AJ353" s="7">
        <v>8</v>
      </c>
      <c r="AK353" s="7">
        <v>11</v>
      </c>
      <c r="AT353" s="7" t="str">
        <f t="shared" si="94"/>
        <v>None</v>
      </c>
      <c r="AU353" s="7" t="str">
        <f t="shared" si="87"/>
        <v>None</v>
      </c>
      <c r="AV353" s="7" t="str">
        <f t="shared" si="88"/>
        <v/>
      </c>
      <c r="AW353" s="7" t="str">
        <f t="shared" si="89"/>
        <v/>
      </c>
      <c r="AX353" s="7" t="str">
        <f t="shared" si="90"/>
        <v/>
      </c>
      <c r="BB353" s="7" t="str">
        <f t="shared" si="93"/>
        <v/>
      </c>
      <c r="BC353" s="7" t="str">
        <f t="shared" si="91"/>
        <v>No</v>
      </c>
      <c r="BD353" s="7" t="s">
        <v>1</v>
      </c>
      <c r="BF353" s="23" t="s">
        <v>2627</v>
      </c>
      <c r="BQ353" s="22"/>
      <c r="CH353" s="7" t="str">
        <f t="shared" si="92"/>
        <v/>
      </c>
    </row>
    <row r="354" spans="1:103">
      <c r="A354" s="7" t="s">
        <v>438</v>
      </c>
      <c r="B354" s="7">
        <v>438</v>
      </c>
      <c r="I354" s="24" t="str">
        <f t="shared" si="83"/>
        <v/>
      </c>
      <c r="L354" s="7" t="str">
        <f t="shared" si="84"/>
        <v/>
      </c>
      <c r="M354" s="21" t="str">
        <f t="shared" si="85"/>
        <v/>
      </c>
      <c r="N354" s="7" t="s">
        <v>1960</v>
      </c>
      <c r="T354" s="7" t="str">
        <f t="shared" si="86"/>
        <v>Nothing</v>
      </c>
      <c r="U354" s="7" t="s">
        <v>1963</v>
      </c>
      <c r="AC354" s="26" t="s">
        <v>2626</v>
      </c>
      <c r="AD354" s="24">
        <v>28977</v>
      </c>
      <c r="AE354" s="7">
        <v>-4.7E-2</v>
      </c>
      <c r="AF354" s="7" t="s">
        <v>2625</v>
      </c>
      <c r="AG354" s="7">
        <v>-0.27200000000000002</v>
      </c>
      <c r="AH354" s="7" t="s">
        <v>2624</v>
      </c>
      <c r="AI354" s="7">
        <v>22337</v>
      </c>
      <c r="AJ354" s="7">
        <v>-28</v>
      </c>
      <c r="AK354" s="7">
        <v>13</v>
      </c>
      <c r="AT354" s="7" t="str">
        <f t="shared" si="94"/>
        <v>None</v>
      </c>
      <c r="AU354" s="7" t="str">
        <f t="shared" si="87"/>
        <v>None</v>
      </c>
      <c r="AV354" s="7" t="str">
        <f t="shared" si="88"/>
        <v/>
      </c>
      <c r="AW354" s="7" t="str">
        <f t="shared" si="89"/>
        <v/>
      </c>
      <c r="AX354" s="7" t="str">
        <f t="shared" si="90"/>
        <v/>
      </c>
      <c r="BB354" s="7" t="str">
        <f t="shared" si="93"/>
        <v/>
      </c>
      <c r="BC354" s="7" t="str">
        <f t="shared" si="91"/>
        <v>No</v>
      </c>
      <c r="BD354" s="7" t="s">
        <v>1963</v>
      </c>
      <c r="BF354" s="7" t="s">
        <v>2623</v>
      </c>
      <c r="BQ354" s="22"/>
      <c r="CH354" s="7" t="str">
        <f t="shared" si="92"/>
        <v/>
      </c>
    </row>
    <row r="355" spans="1:103">
      <c r="A355" s="7" t="s">
        <v>619</v>
      </c>
      <c r="B355" s="7">
        <v>373</v>
      </c>
      <c r="I355" s="24" t="str">
        <f t="shared" si="83"/>
        <v/>
      </c>
      <c r="L355" s="7" t="str">
        <f t="shared" si="84"/>
        <v/>
      </c>
      <c r="M355" s="21" t="str">
        <f t="shared" si="85"/>
        <v/>
      </c>
      <c r="N355" s="7" t="s">
        <v>1960</v>
      </c>
      <c r="T355" s="7" t="str">
        <f t="shared" si="86"/>
        <v>Nothing</v>
      </c>
      <c r="U355" s="7" t="s">
        <v>1963</v>
      </c>
      <c r="AD355" s="24">
        <v>33669</v>
      </c>
      <c r="AE355" s="7">
        <v>-1.0999999999999999E-2</v>
      </c>
      <c r="AF355" s="7" t="s">
        <v>2622</v>
      </c>
      <c r="AG355" s="7">
        <v>-8.9999999999999993E-3</v>
      </c>
      <c r="AH355" s="7" t="s">
        <v>2621</v>
      </c>
      <c r="AI355" s="7">
        <v>5000</v>
      </c>
      <c r="AJ355" s="7">
        <v>-7</v>
      </c>
      <c r="AK355" s="7">
        <v>6</v>
      </c>
      <c r="AT355" s="7" t="str">
        <f t="shared" si="94"/>
        <v>None</v>
      </c>
      <c r="AU355" s="7" t="str">
        <f t="shared" si="87"/>
        <v>None</v>
      </c>
      <c r="AV355" s="7" t="str">
        <f t="shared" si="88"/>
        <v/>
      </c>
      <c r="AW355" s="7" t="str">
        <f t="shared" si="89"/>
        <v/>
      </c>
      <c r="AX355" s="7" t="str">
        <f t="shared" si="90"/>
        <v/>
      </c>
      <c r="BB355" s="7" t="str">
        <f t="shared" si="93"/>
        <v/>
      </c>
      <c r="BC355" s="7" t="str">
        <f t="shared" si="91"/>
        <v>No</v>
      </c>
      <c r="BD355" s="7" t="s">
        <v>1963</v>
      </c>
      <c r="BQ355" s="22"/>
      <c r="CH355" s="7" t="str">
        <f t="shared" si="92"/>
        <v/>
      </c>
    </row>
    <row r="356" spans="1:103">
      <c r="A356" s="7" t="s">
        <v>1261</v>
      </c>
      <c r="B356" s="7">
        <v>194</v>
      </c>
      <c r="I356" s="24" t="str">
        <f t="shared" si="83"/>
        <v/>
      </c>
      <c r="L356" s="7" t="str">
        <f t="shared" si="84"/>
        <v/>
      </c>
      <c r="M356" s="21" t="str">
        <f t="shared" si="85"/>
        <v/>
      </c>
      <c r="N356" s="7" t="s">
        <v>1960</v>
      </c>
      <c r="T356" s="7" t="str">
        <f t="shared" si="86"/>
        <v>Nothing</v>
      </c>
      <c r="U356" s="7" t="s">
        <v>1</v>
      </c>
      <c r="AC356" s="8" t="s">
        <v>2620</v>
      </c>
      <c r="AD356" s="24">
        <v>55592</v>
      </c>
      <c r="AE356" s="7">
        <v>-6.0999999999999999E-2</v>
      </c>
      <c r="AF356" s="7" t="s">
        <v>2619</v>
      </c>
      <c r="AG356" s="7">
        <v>2.8000000000000001E-2</v>
      </c>
      <c r="AH356" s="7" t="s">
        <v>2618</v>
      </c>
      <c r="AI356" s="7">
        <v>35261</v>
      </c>
      <c r="AJ356" s="7">
        <v>-23</v>
      </c>
      <c r="AK356" s="7">
        <v>26</v>
      </c>
      <c r="AT356" s="7" t="str">
        <f t="shared" si="94"/>
        <v>None</v>
      </c>
      <c r="AU356" s="7" t="str">
        <f t="shared" si="87"/>
        <v>None</v>
      </c>
      <c r="AV356" s="7" t="str">
        <f t="shared" si="88"/>
        <v/>
      </c>
      <c r="AW356" s="7" t="str">
        <f t="shared" si="89"/>
        <v/>
      </c>
      <c r="AX356" s="7" t="str">
        <f t="shared" si="90"/>
        <v/>
      </c>
      <c r="BB356" s="7" t="str">
        <f t="shared" si="93"/>
        <v/>
      </c>
      <c r="BC356" s="7" t="str">
        <f t="shared" si="91"/>
        <v>No</v>
      </c>
      <c r="BD356" s="7" t="s">
        <v>1</v>
      </c>
      <c r="BF356" s="23" t="s">
        <v>2617</v>
      </c>
      <c r="BQ356" s="22"/>
      <c r="CH356" s="7" t="str">
        <f t="shared" si="92"/>
        <v/>
      </c>
    </row>
    <row r="357" spans="1:103" s="36" customFormat="1">
      <c r="A357" s="7" t="s">
        <v>647</v>
      </c>
      <c r="B357" s="7">
        <v>350</v>
      </c>
      <c r="C357" s="7"/>
      <c r="D357" s="7"/>
      <c r="E357" s="7"/>
      <c r="F357" s="7"/>
      <c r="G357" s="7"/>
      <c r="H357" s="7"/>
      <c r="I357" s="24" t="str">
        <f t="shared" si="83"/>
        <v/>
      </c>
      <c r="J357" s="7"/>
      <c r="K357" s="7"/>
      <c r="L357" s="7" t="str">
        <f t="shared" si="84"/>
        <v/>
      </c>
      <c r="M357" s="21" t="str">
        <f t="shared" si="85"/>
        <v/>
      </c>
      <c r="N357" s="7" t="s">
        <v>1960</v>
      </c>
      <c r="O357" s="7"/>
      <c r="P357" s="7"/>
      <c r="Q357" s="7"/>
      <c r="R357" s="7"/>
      <c r="S357" s="7"/>
      <c r="T357" s="7" t="str">
        <f t="shared" si="86"/>
        <v>Nothing</v>
      </c>
      <c r="U357" s="7" t="s">
        <v>1963</v>
      </c>
      <c r="V357" s="7"/>
      <c r="W357" s="7"/>
      <c r="X357" s="7"/>
      <c r="Y357" s="7"/>
      <c r="Z357" s="7"/>
      <c r="AA357" s="7"/>
      <c r="AB357" s="7"/>
      <c r="AC357" s="7"/>
      <c r="AD357" s="24">
        <v>36667</v>
      </c>
      <c r="AE357" s="7">
        <v>4.5999999999999999E-2</v>
      </c>
      <c r="AF357" s="7" t="s">
        <v>2616</v>
      </c>
      <c r="AG357" s="7">
        <v>-0.09</v>
      </c>
      <c r="AH357" s="7" t="s">
        <v>2615</v>
      </c>
      <c r="AI357" s="7">
        <v>126445</v>
      </c>
      <c r="AJ357" s="7">
        <v>5</v>
      </c>
      <c r="AK357" s="7">
        <v>15</v>
      </c>
      <c r="AL357" s="7"/>
      <c r="AM357" s="7"/>
      <c r="AN357" s="7"/>
      <c r="AO357" s="7"/>
      <c r="AP357" s="7"/>
      <c r="AQ357" s="7"/>
      <c r="AR357" s="7"/>
      <c r="AS357" s="7"/>
      <c r="AT357" s="7" t="str">
        <f t="shared" si="94"/>
        <v>None</v>
      </c>
      <c r="AU357" s="7" t="str">
        <f t="shared" si="87"/>
        <v>None</v>
      </c>
      <c r="AV357" s="7" t="str">
        <f t="shared" si="88"/>
        <v/>
      </c>
      <c r="AW357" s="7" t="str">
        <f t="shared" si="89"/>
        <v/>
      </c>
      <c r="AX357" s="7" t="str">
        <f t="shared" si="90"/>
        <v/>
      </c>
      <c r="AY357" s="7"/>
      <c r="AZ357" s="7"/>
      <c r="BA357" s="7"/>
      <c r="BB357" s="7" t="str">
        <f t="shared" si="93"/>
        <v/>
      </c>
      <c r="BC357" s="7" t="str">
        <f t="shared" si="91"/>
        <v>No</v>
      </c>
      <c r="BD357" s="7" t="s">
        <v>1963</v>
      </c>
      <c r="BE357" s="7"/>
      <c r="BF357" s="7"/>
      <c r="BG357" s="7"/>
      <c r="BH357" s="7"/>
      <c r="BI357" s="7"/>
      <c r="BJ357" s="7"/>
      <c r="BK357" s="7"/>
      <c r="BL357" s="7"/>
      <c r="BM357" s="7"/>
      <c r="BN357" s="7"/>
      <c r="BO357" s="7"/>
      <c r="BP357" s="7"/>
      <c r="BQ357" s="22"/>
      <c r="BR357" s="7"/>
      <c r="BS357" s="7"/>
      <c r="BT357" s="7"/>
      <c r="BU357" s="7"/>
      <c r="BV357" s="7"/>
      <c r="BW357" s="7"/>
      <c r="BX357" s="7"/>
      <c r="BY357" s="7"/>
      <c r="BZ357" s="7"/>
      <c r="CA357" s="7"/>
      <c r="CB357" s="7"/>
      <c r="CC357" s="7"/>
      <c r="CD357" s="7"/>
      <c r="CE357" s="7"/>
      <c r="CF357" s="7"/>
      <c r="CG357" s="7"/>
      <c r="CH357" s="7" t="str">
        <f t="shared" si="92"/>
        <v/>
      </c>
      <c r="CI357" s="7"/>
      <c r="CJ357" s="7"/>
      <c r="CK357" s="7"/>
      <c r="CL357" s="7"/>
      <c r="CM357" s="7"/>
      <c r="CN357" s="7"/>
      <c r="CO357" s="7"/>
      <c r="CP357" s="7"/>
      <c r="CQ357" s="7"/>
      <c r="CR357" s="7"/>
      <c r="CS357" s="7"/>
      <c r="CT357" s="7"/>
      <c r="CU357" s="7"/>
      <c r="CV357" s="7"/>
      <c r="CW357" s="7"/>
      <c r="CX357" s="7"/>
      <c r="CY357" s="7"/>
    </row>
    <row r="358" spans="1:103">
      <c r="A358" s="7" t="s">
        <v>723</v>
      </c>
      <c r="B358" s="7">
        <v>346</v>
      </c>
      <c r="I358" s="24" t="str">
        <f t="shared" si="83"/>
        <v/>
      </c>
      <c r="L358" s="7" t="str">
        <f t="shared" si="84"/>
        <v/>
      </c>
      <c r="M358" s="21" t="str">
        <f t="shared" si="85"/>
        <v/>
      </c>
      <c r="N358" s="7" t="s">
        <v>1960</v>
      </c>
      <c r="T358" s="7" t="str">
        <f t="shared" si="86"/>
        <v>Nothing</v>
      </c>
      <c r="U358" s="7" t="s">
        <v>1963</v>
      </c>
      <c r="AD358" s="24">
        <v>36810</v>
      </c>
      <c r="AE358" s="7">
        <v>-8.0000000000000002E-3</v>
      </c>
      <c r="AF358" s="7" t="s">
        <v>2614</v>
      </c>
      <c r="AG358" s="7">
        <v>-0.154</v>
      </c>
      <c r="AH358" s="7" t="s">
        <v>2613</v>
      </c>
      <c r="AI358" s="7">
        <v>30600</v>
      </c>
      <c r="AJ358" s="7">
        <v>-15</v>
      </c>
      <c r="AK358" s="7">
        <v>22</v>
      </c>
      <c r="AT358" s="7" t="str">
        <f t="shared" si="94"/>
        <v>None</v>
      </c>
      <c r="AU358" s="7" t="str">
        <f t="shared" si="87"/>
        <v>None</v>
      </c>
      <c r="AV358" s="7" t="str">
        <f t="shared" si="88"/>
        <v/>
      </c>
      <c r="AW358" s="7" t="str">
        <f t="shared" si="89"/>
        <v/>
      </c>
      <c r="AX358" s="7" t="str">
        <f t="shared" si="90"/>
        <v/>
      </c>
      <c r="BB358" s="7" t="str">
        <f t="shared" si="93"/>
        <v/>
      </c>
      <c r="BC358" s="7" t="str">
        <f t="shared" si="91"/>
        <v>No</v>
      </c>
      <c r="BD358" s="7" t="s">
        <v>1963</v>
      </c>
      <c r="BQ358" s="22"/>
      <c r="CH358" s="7" t="str">
        <f t="shared" si="92"/>
        <v/>
      </c>
    </row>
    <row r="359" spans="1:103">
      <c r="A359" s="7" t="s">
        <v>1295</v>
      </c>
      <c r="B359" s="7">
        <v>157</v>
      </c>
      <c r="C359" s="7" t="s">
        <v>73</v>
      </c>
      <c r="I359" s="24" t="str">
        <f t="shared" si="83"/>
        <v/>
      </c>
      <c r="L359" s="7" t="str">
        <f t="shared" si="84"/>
        <v/>
      </c>
      <c r="M359" s="21" t="str">
        <f t="shared" si="85"/>
        <v/>
      </c>
      <c r="N359" s="7" t="s">
        <v>1960</v>
      </c>
      <c r="T359" s="7" t="str">
        <f t="shared" si="86"/>
        <v>Nothing</v>
      </c>
      <c r="U359" s="7" t="s">
        <v>1</v>
      </c>
      <c r="AD359" s="24">
        <v>67371</v>
      </c>
      <c r="AE359" s="7">
        <v>0.1</v>
      </c>
      <c r="AF359" s="7" t="s">
        <v>2612</v>
      </c>
      <c r="AG359" s="7">
        <v>-3.9E-2</v>
      </c>
      <c r="AH359" s="7" t="s">
        <v>2611</v>
      </c>
      <c r="AI359" s="7">
        <v>180416</v>
      </c>
      <c r="AJ359" s="7">
        <v>4</v>
      </c>
      <c r="AK359" s="7">
        <v>9</v>
      </c>
      <c r="AN359" s="7" t="s">
        <v>1994</v>
      </c>
      <c r="AT359" s="7" t="str">
        <f t="shared" si="94"/>
        <v>None</v>
      </c>
      <c r="AU359" s="7" t="str">
        <f t="shared" si="87"/>
        <v>None</v>
      </c>
      <c r="AV359" s="7" t="str">
        <f t="shared" si="88"/>
        <v/>
      </c>
      <c r="AW359" s="7" t="str">
        <f t="shared" si="89"/>
        <v/>
      </c>
      <c r="AX359" s="7" t="str">
        <f t="shared" si="90"/>
        <v/>
      </c>
      <c r="BB359" s="7" t="str">
        <f t="shared" si="93"/>
        <v/>
      </c>
      <c r="BC359" s="7" t="str">
        <f t="shared" si="91"/>
        <v>No</v>
      </c>
      <c r="BD359" s="7" t="s">
        <v>1</v>
      </c>
      <c r="BQ359" s="22"/>
      <c r="CH359" s="7" t="str">
        <f t="shared" si="92"/>
        <v/>
      </c>
    </row>
    <row r="360" spans="1:103">
      <c r="A360" s="7" t="s">
        <v>1339</v>
      </c>
      <c r="B360" s="7">
        <v>156</v>
      </c>
      <c r="C360" s="7" t="s">
        <v>127</v>
      </c>
      <c r="D360" s="7" t="s">
        <v>1957</v>
      </c>
      <c r="E360" s="7" t="s">
        <v>1659</v>
      </c>
      <c r="F360" s="7">
        <v>2030</v>
      </c>
      <c r="G360" s="7">
        <v>2020</v>
      </c>
      <c r="H360" s="8" t="s">
        <v>2608</v>
      </c>
      <c r="I360" s="24" t="str">
        <f t="shared" si="83"/>
        <v>Yes</v>
      </c>
      <c r="J360" s="7">
        <v>2030</v>
      </c>
      <c r="K360" s="7">
        <v>2015</v>
      </c>
      <c r="L360" s="7" t="str">
        <f t="shared" si="84"/>
        <v>T</v>
      </c>
      <c r="M360" s="21">
        <f t="shared" si="85"/>
        <v>2030</v>
      </c>
      <c r="N360" s="7">
        <v>2018</v>
      </c>
      <c r="T360" s="7" t="str">
        <f t="shared" si="86"/>
        <v/>
      </c>
      <c r="U360" s="7" t="s">
        <v>1969</v>
      </c>
      <c r="V360" s="7" t="s">
        <v>2610</v>
      </c>
      <c r="X360" s="25" t="s">
        <v>2609</v>
      </c>
      <c r="AC360" s="8" t="s">
        <v>2608</v>
      </c>
      <c r="AD360" s="24">
        <v>67684</v>
      </c>
      <c r="AE360" s="7">
        <v>1.2999999999999999E-2</v>
      </c>
      <c r="AF360" s="7" t="s">
        <v>2607</v>
      </c>
      <c r="AG360" s="7">
        <v>-0.6</v>
      </c>
      <c r="AH360" s="7" t="s">
        <v>2606</v>
      </c>
      <c r="AI360" s="7">
        <v>97000</v>
      </c>
      <c r="AJ360" s="7">
        <v>-10</v>
      </c>
      <c r="AK360" s="7">
        <v>26</v>
      </c>
      <c r="AL360" s="7" t="s">
        <v>39</v>
      </c>
      <c r="AN360" s="7" t="s">
        <v>2029</v>
      </c>
      <c r="AT360" s="7" t="str">
        <f t="shared" si="94"/>
        <v>CN, SBT &amp; RE100</v>
      </c>
      <c r="AU360" s="7" t="str">
        <f t="shared" si="87"/>
        <v>CN, SBT &amp; RE100</v>
      </c>
      <c r="AV360" s="7">
        <f t="shared" si="88"/>
        <v>2020</v>
      </c>
      <c r="AW360" s="7">
        <f t="shared" si="89"/>
        <v>2018</v>
      </c>
      <c r="AX360" s="7">
        <f t="shared" si="90"/>
        <v>2015</v>
      </c>
      <c r="BB360" s="7" t="str">
        <f t="shared" si="93"/>
        <v>Yes</v>
      </c>
      <c r="BC360" s="7" t="str">
        <f t="shared" si="91"/>
        <v>Carbon Neutral</v>
      </c>
      <c r="BD360" s="7" t="s">
        <v>1</v>
      </c>
      <c r="BF360" s="7" t="s">
        <v>2605</v>
      </c>
      <c r="BH360" s="7" t="s">
        <v>22</v>
      </c>
      <c r="BI360" s="7" t="s">
        <v>2245</v>
      </c>
      <c r="BJ360" s="7" t="s">
        <v>164</v>
      </c>
      <c r="BM360" s="7" t="s">
        <v>1340</v>
      </c>
      <c r="BN360" s="7">
        <v>2030</v>
      </c>
      <c r="BO360" s="7">
        <v>2030</v>
      </c>
      <c r="BP360" s="7">
        <v>2030</v>
      </c>
      <c r="BQ360" s="22"/>
      <c r="CD360" s="7" t="s">
        <v>361</v>
      </c>
      <c r="CF360" s="25"/>
      <c r="CG360" s="7" t="s">
        <v>2027</v>
      </c>
      <c r="CH360" s="7" t="str">
        <f t="shared" si="92"/>
        <v>yes</v>
      </c>
      <c r="CI360" s="7" t="s">
        <v>2604</v>
      </c>
      <c r="CJ360" s="7">
        <v>0.11</v>
      </c>
      <c r="CK360" s="7">
        <v>0.1</v>
      </c>
      <c r="CL360" s="7">
        <v>0.1</v>
      </c>
      <c r="CM360" s="7">
        <v>0.33</v>
      </c>
      <c r="CN360" s="7" t="s">
        <v>13</v>
      </c>
      <c r="CO360" s="7" t="s">
        <v>2603</v>
      </c>
      <c r="CW360" s="7" t="s">
        <v>361</v>
      </c>
      <c r="CY360" s="7" t="s">
        <v>361</v>
      </c>
    </row>
    <row r="361" spans="1:103">
      <c r="A361" s="7" t="s">
        <v>526</v>
      </c>
      <c r="B361" s="7">
        <v>323</v>
      </c>
      <c r="I361" s="24" t="str">
        <f t="shared" si="83"/>
        <v/>
      </c>
      <c r="L361" s="7" t="str">
        <f t="shared" si="84"/>
        <v/>
      </c>
      <c r="M361" s="21" t="str">
        <f t="shared" si="85"/>
        <v/>
      </c>
      <c r="N361" s="7" t="s">
        <v>1960</v>
      </c>
      <c r="T361" s="7" t="str">
        <f t="shared" si="86"/>
        <v>Nothing</v>
      </c>
      <c r="U361" s="7" t="s">
        <v>1963</v>
      </c>
      <c r="AC361" s="26" t="s">
        <v>2602</v>
      </c>
      <c r="AD361" s="24">
        <v>39022</v>
      </c>
      <c r="AE361" s="7">
        <v>0.22</v>
      </c>
      <c r="AF361" s="7" t="s">
        <v>2601</v>
      </c>
      <c r="AG361" s="7">
        <v>0.51800000000000002</v>
      </c>
      <c r="AH361" s="7" t="s">
        <v>2600</v>
      </c>
      <c r="AI361" s="7">
        <v>41571</v>
      </c>
      <c r="AJ361" s="7">
        <v>68</v>
      </c>
      <c r="AK361" s="7">
        <v>7</v>
      </c>
      <c r="AT361" s="7" t="str">
        <f t="shared" si="94"/>
        <v>None</v>
      </c>
      <c r="AU361" s="7" t="str">
        <f t="shared" si="87"/>
        <v>None</v>
      </c>
      <c r="AV361" s="7" t="str">
        <f t="shared" si="88"/>
        <v/>
      </c>
      <c r="AW361" s="7" t="str">
        <f t="shared" si="89"/>
        <v/>
      </c>
      <c r="AX361" s="7" t="str">
        <f t="shared" si="90"/>
        <v/>
      </c>
      <c r="BB361" s="7" t="str">
        <f t="shared" si="93"/>
        <v/>
      </c>
      <c r="BC361" s="7" t="str">
        <f t="shared" si="91"/>
        <v>No</v>
      </c>
      <c r="BD361" s="7" t="s">
        <v>1963</v>
      </c>
      <c r="BF361" s="7" t="s">
        <v>2599</v>
      </c>
      <c r="BQ361" s="22"/>
      <c r="CH361" s="7" t="str">
        <f t="shared" si="92"/>
        <v/>
      </c>
    </row>
    <row r="362" spans="1:103">
      <c r="A362" s="7" t="s">
        <v>605</v>
      </c>
      <c r="B362" s="7">
        <v>80</v>
      </c>
      <c r="I362" s="24" t="str">
        <f t="shared" si="83"/>
        <v/>
      </c>
      <c r="L362" s="7" t="str">
        <f t="shared" si="84"/>
        <v/>
      </c>
      <c r="M362" s="21" t="str">
        <f t="shared" si="85"/>
        <v/>
      </c>
      <c r="N362" s="7" t="s">
        <v>1960</v>
      </c>
      <c r="T362" s="7" t="str">
        <f t="shared" si="86"/>
        <v>Nothing</v>
      </c>
      <c r="U362" s="7" t="s">
        <v>1</v>
      </c>
      <c r="AC362" s="8" t="s">
        <v>2598</v>
      </c>
      <c r="AD362" s="24">
        <v>93736</v>
      </c>
      <c r="AE362" s="7">
        <v>1.819</v>
      </c>
      <c r="AF362" s="7" t="s">
        <v>2597</v>
      </c>
      <c r="AG362" s="7">
        <v>-0.80500000000000005</v>
      </c>
      <c r="AH362" s="7" t="s">
        <v>2596</v>
      </c>
      <c r="AI362" s="7">
        <v>18125</v>
      </c>
      <c r="AJ362" s="7">
        <v>292</v>
      </c>
      <c r="AK362" s="7">
        <v>25</v>
      </c>
      <c r="AT362" s="7" t="str">
        <f t="shared" si="94"/>
        <v>None</v>
      </c>
      <c r="AU362" s="7" t="str">
        <f t="shared" si="87"/>
        <v>None</v>
      </c>
      <c r="AV362" s="7" t="str">
        <f t="shared" si="88"/>
        <v/>
      </c>
      <c r="AW362" s="7" t="str">
        <f t="shared" si="89"/>
        <v/>
      </c>
      <c r="AX362" s="7" t="str">
        <f t="shared" si="90"/>
        <v/>
      </c>
      <c r="BB362" s="7" t="str">
        <f t="shared" si="93"/>
        <v/>
      </c>
      <c r="BC362" s="7" t="str">
        <f t="shared" si="91"/>
        <v>No</v>
      </c>
      <c r="BD362" s="7" t="s">
        <v>1</v>
      </c>
      <c r="BF362" s="7" t="s">
        <v>2595</v>
      </c>
      <c r="BQ362" s="22"/>
      <c r="CH362" s="7" t="str">
        <f t="shared" si="92"/>
        <v/>
      </c>
    </row>
    <row r="363" spans="1:103">
      <c r="A363" s="7" t="s">
        <v>1305</v>
      </c>
      <c r="B363" s="7">
        <v>167</v>
      </c>
      <c r="I363" s="24" t="str">
        <f t="shared" si="83"/>
        <v/>
      </c>
      <c r="L363" s="7" t="str">
        <f t="shared" si="84"/>
        <v/>
      </c>
      <c r="M363" s="21" t="str">
        <f t="shared" si="85"/>
        <v/>
      </c>
      <c r="N363" s="7" t="s">
        <v>1960</v>
      </c>
      <c r="T363" s="7" t="str">
        <f t="shared" si="86"/>
        <v>Nothing</v>
      </c>
      <c r="U363" s="7" t="s">
        <v>1</v>
      </c>
      <c r="AC363" s="8" t="s">
        <v>2594</v>
      </c>
      <c r="AD363" s="24">
        <v>64807</v>
      </c>
      <c r="AE363" s="7">
        <v>2.9000000000000001E-2</v>
      </c>
      <c r="AF363" s="7" t="s">
        <v>2593</v>
      </c>
      <c r="AG363" s="7">
        <v>2.7E-2</v>
      </c>
      <c r="AH363" s="7" t="s">
        <v>2592</v>
      </c>
      <c r="AI363" s="7">
        <v>51511</v>
      </c>
      <c r="AJ363" s="7">
        <v>-11</v>
      </c>
      <c r="AK363" s="7">
        <v>26</v>
      </c>
      <c r="AT363" s="7" t="str">
        <f t="shared" si="94"/>
        <v>None</v>
      </c>
      <c r="AU363" s="7" t="str">
        <f t="shared" si="87"/>
        <v>None</v>
      </c>
      <c r="AV363" s="7" t="str">
        <f t="shared" si="88"/>
        <v/>
      </c>
      <c r="AW363" s="7" t="str">
        <f t="shared" si="89"/>
        <v/>
      </c>
      <c r="AX363" s="7" t="str">
        <f t="shared" si="90"/>
        <v/>
      </c>
      <c r="BB363" s="7" t="str">
        <f t="shared" si="93"/>
        <v/>
      </c>
      <c r="BC363" s="7" t="str">
        <f t="shared" si="91"/>
        <v>No</v>
      </c>
      <c r="BD363" s="7" t="s">
        <v>1</v>
      </c>
      <c r="BF363" s="46" t="s">
        <v>2591</v>
      </c>
      <c r="BQ363" s="22"/>
      <c r="CH363" s="7" t="str">
        <f t="shared" si="92"/>
        <v/>
      </c>
    </row>
    <row r="364" spans="1:103">
      <c r="A364" s="7" t="s">
        <v>1405</v>
      </c>
      <c r="B364" s="7">
        <v>140</v>
      </c>
      <c r="C364" s="7" t="s">
        <v>1408</v>
      </c>
      <c r="I364" s="24" t="str">
        <f t="shared" si="83"/>
        <v/>
      </c>
      <c r="L364" s="7" t="str">
        <f t="shared" si="84"/>
        <v>C</v>
      </c>
      <c r="M364" s="21" t="str">
        <f t="shared" si="85"/>
        <v/>
      </c>
      <c r="N364" s="7">
        <v>2016</v>
      </c>
      <c r="T364" s="7" t="str">
        <f t="shared" si="86"/>
        <v>Nothing</v>
      </c>
      <c r="U364" s="7" t="s">
        <v>1</v>
      </c>
      <c r="AC364" s="8" t="s">
        <v>2590</v>
      </c>
      <c r="AD364" s="24">
        <v>71502</v>
      </c>
      <c r="AE364" s="7">
        <v>-1.0999999999999999E-2</v>
      </c>
      <c r="AF364" s="7" t="s">
        <v>2589</v>
      </c>
      <c r="AG364" s="7">
        <v>-0.192</v>
      </c>
      <c r="AH364" s="7" t="s">
        <v>2588</v>
      </c>
      <c r="AI364" s="7">
        <v>27987</v>
      </c>
      <c r="AJ364" s="7">
        <v>-10</v>
      </c>
      <c r="AK364" s="7">
        <v>17</v>
      </c>
      <c r="AL364" s="7" t="s">
        <v>66</v>
      </c>
      <c r="AN364" s="7" t="s">
        <v>1994</v>
      </c>
      <c r="AT364" s="7" t="str">
        <f t="shared" si="94"/>
        <v>SBT</v>
      </c>
      <c r="AU364" s="7" t="str">
        <f t="shared" si="87"/>
        <v>SBT</v>
      </c>
      <c r="AV364" s="7" t="str">
        <f t="shared" si="88"/>
        <v/>
      </c>
      <c r="AW364" s="7">
        <f t="shared" si="89"/>
        <v>2016</v>
      </c>
      <c r="AX364" s="7" t="str">
        <f t="shared" si="90"/>
        <v/>
      </c>
      <c r="BB364" s="7" t="str">
        <f t="shared" si="93"/>
        <v>Yes</v>
      </c>
      <c r="BC364" s="7" t="str">
        <f t="shared" si="91"/>
        <v>No</v>
      </c>
      <c r="BD364" s="7" t="s">
        <v>1</v>
      </c>
      <c r="BF364" s="7" t="s">
        <v>2587</v>
      </c>
      <c r="BH364" s="7" t="s">
        <v>165</v>
      </c>
      <c r="BJ364" s="7" t="s">
        <v>1406</v>
      </c>
      <c r="BQ364" s="22"/>
      <c r="CH364" s="7" t="str">
        <f t="shared" si="92"/>
        <v/>
      </c>
      <c r="CW364" s="7" t="s">
        <v>361</v>
      </c>
    </row>
    <row r="365" spans="1:103">
      <c r="A365" s="7" t="s">
        <v>690</v>
      </c>
      <c r="B365" s="7">
        <v>325</v>
      </c>
      <c r="I365" s="24" t="str">
        <f t="shared" si="83"/>
        <v/>
      </c>
      <c r="L365" s="7" t="str">
        <f t="shared" si="84"/>
        <v/>
      </c>
      <c r="M365" s="21" t="str">
        <f t="shared" si="85"/>
        <v/>
      </c>
      <c r="N365" s="7" t="s">
        <v>1960</v>
      </c>
      <c r="T365" s="7" t="str">
        <f t="shared" si="86"/>
        <v>Nothing</v>
      </c>
      <c r="U365" s="7" t="s">
        <v>1963</v>
      </c>
      <c r="AD365" s="24">
        <v>38463</v>
      </c>
      <c r="AE365" s="7">
        <v>5.7000000000000002E-2</v>
      </c>
      <c r="AF365" s="7" t="s">
        <v>2586</v>
      </c>
      <c r="AG365" s="7">
        <v>0.26200000000000001</v>
      </c>
      <c r="AH365" s="7" t="s">
        <v>2585</v>
      </c>
      <c r="AI365" s="7">
        <v>207000</v>
      </c>
      <c r="AJ365" s="7">
        <v>17</v>
      </c>
      <c r="AK365" s="7">
        <v>26</v>
      </c>
      <c r="AT365" s="7" t="str">
        <f t="shared" si="94"/>
        <v>None</v>
      </c>
      <c r="AU365" s="7" t="str">
        <f t="shared" si="87"/>
        <v>None</v>
      </c>
      <c r="AV365" s="7" t="str">
        <f t="shared" si="88"/>
        <v/>
      </c>
      <c r="AW365" s="7" t="str">
        <f t="shared" si="89"/>
        <v/>
      </c>
      <c r="AX365" s="7" t="str">
        <f t="shared" si="90"/>
        <v/>
      </c>
      <c r="BB365" s="7" t="str">
        <f t="shared" si="93"/>
        <v/>
      </c>
      <c r="BC365" s="7" t="str">
        <f t="shared" si="91"/>
        <v>No</v>
      </c>
      <c r="BD365" s="7" t="s">
        <v>1963</v>
      </c>
      <c r="BQ365" s="22"/>
      <c r="CH365" s="7" t="str">
        <f t="shared" si="92"/>
        <v/>
      </c>
    </row>
    <row r="366" spans="1:103">
      <c r="A366" s="7" t="s">
        <v>621</v>
      </c>
      <c r="B366" s="7">
        <v>377</v>
      </c>
      <c r="I366" s="24" t="str">
        <f t="shared" si="83"/>
        <v/>
      </c>
      <c r="L366" s="7" t="str">
        <f t="shared" si="84"/>
        <v/>
      </c>
      <c r="M366" s="21" t="str">
        <f t="shared" si="85"/>
        <v/>
      </c>
      <c r="N366" s="7" t="s">
        <v>1960</v>
      </c>
      <c r="T366" s="7" t="str">
        <f t="shared" si="86"/>
        <v>Nothing</v>
      </c>
      <c r="U366" s="7" t="s">
        <v>1963</v>
      </c>
      <c r="AD366" s="24">
        <v>33313</v>
      </c>
      <c r="AE366" s="7">
        <v>-2.3E-2</v>
      </c>
      <c r="AF366" s="7" t="s">
        <v>2584</v>
      </c>
      <c r="AG366" s="7">
        <v>2.8000000000000001E-2</v>
      </c>
      <c r="AH366" s="7" t="s">
        <v>2583</v>
      </c>
      <c r="AI366" s="7">
        <v>77930</v>
      </c>
      <c r="AJ366" s="7">
        <v>-12</v>
      </c>
      <c r="AK366" s="7">
        <v>15</v>
      </c>
      <c r="AT366" s="7" t="str">
        <f t="shared" si="94"/>
        <v>None</v>
      </c>
      <c r="AU366" s="7" t="str">
        <f t="shared" si="87"/>
        <v>None</v>
      </c>
      <c r="AV366" s="7" t="str">
        <f t="shared" si="88"/>
        <v/>
      </c>
      <c r="AW366" s="7" t="str">
        <f t="shared" si="89"/>
        <v/>
      </c>
      <c r="AX366" s="7" t="str">
        <f t="shared" si="90"/>
        <v/>
      </c>
      <c r="BB366" s="7" t="str">
        <f t="shared" si="93"/>
        <v/>
      </c>
      <c r="BC366" s="7" t="str">
        <f t="shared" si="91"/>
        <v>No</v>
      </c>
      <c r="BD366" s="7" t="s">
        <v>1963</v>
      </c>
      <c r="BF366" s="7" t="s">
        <v>1878</v>
      </c>
      <c r="BQ366" s="22"/>
      <c r="CH366" s="7" t="str">
        <f t="shared" si="92"/>
        <v/>
      </c>
      <c r="CY366" s="7" t="s">
        <v>361</v>
      </c>
    </row>
    <row r="367" spans="1:103">
      <c r="A367" s="7" t="s">
        <v>86</v>
      </c>
      <c r="B367" s="7">
        <v>462</v>
      </c>
      <c r="I367" s="24" t="str">
        <f t="shared" si="83"/>
        <v/>
      </c>
      <c r="L367" s="7" t="str">
        <f t="shared" si="84"/>
        <v/>
      </c>
      <c r="M367" s="21" t="str">
        <f t="shared" si="85"/>
        <v/>
      </c>
      <c r="N367" s="7" t="s">
        <v>1960</v>
      </c>
      <c r="T367" s="7" t="str">
        <f t="shared" si="86"/>
        <v>Nothing</v>
      </c>
      <c r="U367" s="7" t="s">
        <v>1</v>
      </c>
      <c r="AD367" s="24">
        <v>27590</v>
      </c>
      <c r="AE367" s="7">
        <v>9.7000000000000003E-2</v>
      </c>
      <c r="AF367" s="7" t="s">
        <v>2582</v>
      </c>
      <c r="AG367" s="7">
        <v>-0.08</v>
      </c>
      <c r="AH367" s="7" t="s">
        <v>2581</v>
      </c>
      <c r="AI367" s="7">
        <v>409</v>
      </c>
      <c r="AJ367" s="7">
        <v>33</v>
      </c>
      <c r="AK367" s="7">
        <v>5</v>
      </c>
      <c r="AT367" s="7" t="str">
        <f t="shared" si="94"/>
        <v>None</v>
      </c>
      <c r="AU367" s="7" t="str">
        <f t="shared" si="87"/>
        <v>None</v>
      </c>
      <c r="AV367" s="7" t="str">
        <f t="shared" si="88"/>
        <v/>
      </c>
      <c r="AW367" s="7" t="str">
        <f t="shared" si="89"/>
        <v/>
      </c>
      <c r="AX367" s="7" t="str">
        <f t="shared" si="90"/>
        <v/>
      </c>
      <c r="BB367" s="7" t="str">
        <f t="shared" si="93"/>
        <v/>
      </c>
      <c r="BC367" s="7" t="str">
        <f t="shared" si="91"/>
        <v>No</v>
      </c>
      <c r="BD367" s="7" t="s">
        <v>1</v>
      </c>
      <c r="BQ367" s="22"/>
      <c r="CH367" s="7" t="str">
        <f t="shared" si="92"/>
        <v/>
      </c>
    </row>
    <row r="368" spans="1:103">
      <c r="A368" s="7" t="s">
        <v>294</v>
      </c>
      <c r="B368" s="7">
        <v>479</v>
      </c>
      <c r="I368" s="24" t="str">
        <f t="shared" si="83"/>
        <v/>
      </c>
      <c r="L368" s="7" t="str">
        <f t="shared" si="84"/>
        <v/>
      </c>
      <c r="M368" s="21" t="str">
        <f t="shared" si="85"/>
        <v/>
      </c>
      <c r="N368" s="7" t="s">
        <v>1960</v>
      </c>
      <c r="T368" s="7" t="str">
        <f t="shared" si="86"/>
        <v>Nothing</v>
      </c>
      <c r="U368" s="7" t="s">
        <v>1</v>
      </c>
      <c r="AC368" s="8" t="s">
        <v>2580</v>
      </c>
      <c r="AD368" s="24">
        <v>26500</v>
      </c>
      <c r="AE368" s="7">
        <v>-5.7000000000000002E-2</v>
      </c>
      <c r="AF368" s="7" t="s">
        <v>2579</v>
      </c>
      <c r="AG368" s="7">
        <v>-0.184</v>
      </c>
      <c r="AH368" s="7" t="s">
        <v>2578</v>
      </c>
      <c r="AI368" s="7">
        <v>38280</v>
      </c>
      <c r="AJ368" s="7">
        <v>-33</v>
      </c>
      <c r="AK368" s="7">
        <v>8</v>
      </c>
      <c r="AT368" s="7" t="str">
        <f t="shared" si="94"/>
        <v>None</v>
      </c>
      <c r="AU368" s="7" t="str">
        <f t="shared" si="87"/>
        <v>None</v>
      </c>
      <c r="AV368" s="7" t="str">
        <f t="shared" si="88"/>
        <v/>
      </c>
      <c r="AW368" s="7" t="str">
        <f t="shared" si="89"/>
        <v/>
      </c>
      <c r="AX368" s="7" t="str">
        <f t="shared" si="90"/>
        <v/>
      </c>
      <c r="BB368" s="7" t="str">
        <f t="shared" si="93"/>
        <v/>
      </c>
      <c r="BC368" s="7" t="str">
        <f t="shared" si="91"/>
        <v>No</v>
      </c>
      <c r="BD368" s="7" t="s">
        <v>1</v>
      </c>
      <c r="BF368" s="7" t="s">
        <v>2577</v>
      </c>
      <c r="BQ368" s="22"/>
      <c r="CH368" s="7" t="str">
        <f t="shared" si="92"/>
        <v/>
      </c>
      <c r="CW368" s="7" t="s">
        <v>361</v>
      </c>
    </row>
    <row r="369" spans="1:103">
      <c r="A369" s="7" t="s">
        <v>2576</v>
      </c>
      <c r="B369" s="7">
        <v>119</v>
      </c>
      <c r="I369" s="24" t="str">
        <f t="shared" si="83"/>
        <v/>
      </c>
      <c r="L369" s="7" t="str">
        <f t="shared" si="84"/>
        <v/>
      </c>
      <c r="M369" s="21" t="str">
        <f t="shared" si="85"/>
        <v/>
      </c>
      <c r="N369" s="7" t="s">
        <v>1960</v>
      </c>
      <c r="T369" s="7" t="str">
        <f t="shared" si="86"/>
        <v>Nothing</v>
      </c>
      <c r="U369" s="7" t="s">
        <v>1</v>
      </c>
      <c r="AD369" s="24">
        <v>77046</v>
      </c>
      <c r="AE369" s="7">
        <v>0.159</v>
      </c>
      <c r="AF369" s="7" t="s">
        <v>2575</v>
      </c>
      <c r="AG369" s="7">
        <v>5.0999999999999997E-2</v>
      </c>
      <c r="AH369" s="7" t="s">
        <v>2574</v>
      </c>
      <c r="AI369" s="7">
        <v>243200</v>
      </c>
      <c r="AJ369" s="7">
        <v>29</v>
      </c>
      <c r="AK369" s="7">
        <v>26</v>
      </c>
      <c r="AT369" s="7" t="str">
        <f t="shared" si="94"/>
        <v>None</v>
      </c>
      <c r="AU369" s="7" t="str">
        <f t="shared" si="87"/>
        <v>None</v>
      </c>
      <c r="AV369" s="7" t="str">
        <f t="shared" si="88"/>
        <v/>
      </c>
      <c r="AW369" s="7" t="str">
        <f t="shared" si="89"/>
        <v/>
      </c>
      <c r="AX369" s="7" t="str">
        <f t="shared" si="90"/>
        <v/>
      </c>
      <c r="BB369" s="7" t="str">
        <f t="shared" si="93"/>
        <v/>
      </c>
      <c r="BC369" s="7" t="str">
        <f t="shared" si="91"/>
        <v>No</v>
      </c>
      <c r="BD369" s="7" t="s">
        <v>1</v>
      </c>
      <c r="BQ369" s="22"/>
      <c r="CH369" s="7" t="str">
        <f t="shared" si="92"/>
        <v/>
      </c>
      <c r="CY369" s="7" t="s">
        <v>361</v>
      </c>
    </row>
    <row r="370" spans="1:103">
      <c r="A370" s="7" t="s">
        <v>1505</v>
      </c>
      <c r="B370" s="7">
        <v>96</v>
      </c>
      <c r="I370" s="24" t="str">
        <f t="shared" si="83"/>
        <v/>
      </c>
      <c r="L370" s="7" t="str">
        <f t="shared" si="84"/>
        <v/>
      </c>
      <c r="M370" s="21" t="str">
        <f t="shared" si="85"/>
        <v/>
      </c>
      <c r="N370" s="7" t="s">
        <v>1960</v>
      </c>
      <c r="T370" s="7" t="str">
        <f t="shared" si="86"/>
        <v>Nothing</v>
      </c>
      <c r="U370" s="7" t="s">
        <v>1</v>
      </c>
      <c r="AD370" s="24">
        <v>86270</v>
      </c>
      <c r="AE370" s="7">
        <v>4.8000000000000001E-2</v>
      </c>
      <c r="AF370" s="7" t="s">
        <v>2573</v>
      </c>
      <c r="AG370" s="7">
        <v>-6.0000000000000001E-3</v>
      </c>
      <c r="AH370" s="7" t="s">
        <v>2572</v>
      </c>
      <c r="AI370" s="7">
        <v>195618</v>
      </c>
      <c r="AJ370" s="7">
        <v>10</v>
      </c>
      <c r="AK370" s="7">
        <v>17</v>
      </c>
      <c r="AT370" s="7" t="str">
        <f t="shared" si="94"/>
        <v>None</v>
      </c>
      <c r="AU370" s="7" t="str">
        <f t="shared" si="87"/>
        <v>None</v>
      </c>
      <c r="AV370" s="7" t="str">
        <f t="shared" si="88"/>
        <v/>
      </c>
      <c r="AW370" s="7" t="str">
        <f t="shared" si="89"/>
        <v/>
      </c>
      <c r="AX370" s="7" t="str">
        <f t="shared" si="90"/>
        <v/>
      </c>
      <c r="BB370" s="7" t="str">
        <f t="shared" si="93"/>
        <v/>
      </c>
      <c r="BC370" s="7" t="str">
        <f t="shared" si="91"/>
        <v>No</v>
      </c>
      <c r="BD370" s="7" t="s">
        <v>1</v>
      </c>
      <c r="BQ370" s="22"/>
      <c r="CH370" s="7" t="str">
        <f t="shared" si="92"/>
        <v/>
      </c>
      <c r="CW370" s="7" t="s">
        <v>361</v>
      </c>
      <c r="CX370" s="7" t="s">
        <v>361</v>
      </c>
    </row>
    <row r="371" spans="1:103">
      <c r="A371" s="7" t="s">
        <v>1354</v>
      </c>
      <c r="B371" s="7">
        <v>175</v>
      </c>
      <c r="C371" s="7" t="s">
        <v>63</v>
      </c>
      <c r="I371" s="24" t="str">
        <f t="shared" si="83"/>
        <v/>
      </c>
      <c r="L371" s="7" t="str">
        <f t="shared" si="84"/>
        <v>T</v>
      </c>
      <c r="M371" s="21">
        <f t="shared" si="85"/>
        <v>2030</v>
      </c>
      <c r="N371" s="7">
        <v>2019</v>
      </c>
      <c r="T371" s="7" t="str">
        <f t="shared" si="86"/>
        <v>Nothing</v>
      </c>
      <c r="U371" s="7" t="s">
        <v>1</v>
      </c>
      <c r="AC371" s="8" t="s">
        <v>2571</v>
      </c>
      <c r="AD371" s="24">
        <v>62160</v>
      </c>
      <c r="AE371" s="7">
        <v>-8.3000000000000004E-2</v>
      </c>
      <c r="AF371" s="7" t="s">
        <v>2570</v>
      </c>
      <c r="AG371" s="7">
        <v>-1.04</v>
      </c>
      <c r="AH371" s="7" t="s">
        <v>2569</v>
      </c>
      <c r="AI371" s="7">
        <v>179565</v>
      </c>
      <c r="AJ371" s="7">
        <v>-32</v>
      </c>
      <c r="AK371" s="7">
        <v>26</v>
      </c>
      <c r="AL371" s="7" t="s">
        <v>166</v>
      </c>
      <c r="AN371" s="7" t="s">
        <v>1951</v>
      </c>
      <c r="AT371" s="7" t="str">
        <f t="shared" si="94"/>
        <v>SBT</v>
      </c>
      <c r="AU371" s="7" t="str">
        <f t="shared" si="87"/>
        <v>SBT</v>
      </c>
      <c r="AV371" s="7" t="str">
        <f t="shared" si="88"/>
        <v/>
      </c>
      <c r="AW371" s="7">
        <f t="shared" si="89"/>
        <v>2019</v>
      </c>
      <c r="AX371" s="7" t="str">
        <f t="shared" si="90"/>
        <v/>
      </c>
      <c r="BB371" s="7" t="str">
        <f t="shared" si="93"/>
        <v>Yes</v>
      </c>
      <c r="BC371" s="7" t="str">
        <f t="shared" si="91"/>
        <v>No</v>
      </c>
      <c r="BD371" s="7" t="s">
        <v>1</v>
      </c>
      <c r="BF371" s="23" t="s">
        <v>2568</v>
      </c>
      <c r="BH371" s="7" t="s">
        <v>22</v>
      </c>
      <c r="BI371" s="7" t="s">
        <v>2245</v>
      </c>
      <c r="BJ371" s="7" t="s">
        <v>1530</v>
      </c>
      <c r="BM371" s="7" t="s">
        <v>2567</v>
      </c>
      <c r="BN371" s="7">
        <v>2030</v>
      </c>
      <c r="BO371" s="7">
        <v>2030</v>
      </c>
      <c r="BP371" s="7">
        <v>2030</v>
      </c>
      <c r="BQ371" s="22"/>
      <c r="CH371" s="7" t="str">
        <f t="shared" si="92"/>
        <v/>
      </c>
      <c r="CW371" s="7" t="s">
        <v>361</v>
      </c>
    </row>
    <row r="372" spans="1:103">
      <c r="A372" s="7" t="s">
        <v>1161</v>
      </c>
      <c r="B372" s="7">
        <v>245</v>
      </c>
      <c r="C372" s="7" t="s">
        <v>267</v>
      </c>
      <c r="F372" s="7">
        <v>2050</v>
      </c>
      <c r="G372" s="7">
        <v>2019</v>
      </c>
      <c r="H372" s="8" t="s">
        <v>2564</v>
      </c>
      <c r="I372" s="24" t="str">
        <f t="shared" si="83"/>
        <v/>
      </c>
      <c r="L372" s="7" t="str">
        <f t="shared" si="84"/>
        <v/>
      </c>
      <c r="M372" s="21" t="str">
        <f t="shared" si="85"/>
        <v/>
      </c>
      <c r="N372" s="7" t="s">
        <v>1960</v>
      </c>
      <c r="O372" s="7" t="s">
        <v>1971</v>
      </c>
      <c r="P372" s="7" t="s">
        <v>1970</v>
      </c>
      <c r="Q372" s="7">
        <v>2050</v>
      </c>
      <c r="R372" s="7">
        <v>2019</v>
      </c>
      <c r="S372" s="8" t="s">
        <v>2564</v>
      </c>
      <c r="T372" s="7" t="str">
        <f t="shared" si="86"/>
        <v/>
      </c>
      <c r="U372" s="7" t="s">
        <v>2080</v>
      </c>
      <c r="V372" s="7" t="s">
        <v>2566</v>
      </c>
      <c r="Z372" s="23" t="s">
        <v>2565</v>
      </c>
      <c r="AB372" s="8" t="s">
        <v>2564</v>
      </c>
      <c r="AD372" s="24">
        <v>47544</v>
      </c>
      <c r="AE372" s="7">
        <v>-7.5999999999999998E-2</v>
      </c>
      <c r="AF372" s="7" t="s">
        <v>2563</v>
      </c>
      <c r="AG372" s="7">
        <v>-2.5459999999999998</v>
      </c>
      <c r="AH372" s="7" t="s">
        <v>2562</v>
      </c>
      <c r="AI372" s="7">
        <v>22754</v>
      </c>
      <c r="AJ372" s="7">
        <v>-45</v>
      </c>
      <c r="AK372" s="7">
        <v>26</v>
      </c>
      <c r="AL372" t="s">
        <v>2111</v>
      </c>
      <c r="AN372" s="7" t="s">
        <v>1951</v>
      </c>
      <c r="AT372" s="7" t="str">
        <f t="shared" si="94"/>
        <v>None</v>
      </c>
      <c r="AU372" s="7" t="str">
        <f t="shared" si="87"/>
        <v>None</v>
      </c>
      <c r="AV372" s="7" t="str">
        <f t="shared" si="88"/>
        <v/>
      </c>
      <c r="AW372" s="7" t="str">
        <f t="shared" si="89"/>
        <v/>
      </c>
      <c r="AX372" s="7" t="str">
        <f t="shared" si="90"/>
        <v/>
      </c>
      <c r="BB372" s="7" t="str">
        <f t="shared" si="93"/>
        <v/>
      </c>
      <c r="BC372" s="7" t="str">
        <f t="shared" si="91"/>
        <v>No</v>
      </c>
      <c r="BD372" s="7" t="s">
        <v>1969</v>
      </c>
      <c r="BG372" s="7" t="s">
        <v>2072</v>
      </c>
      <c r="BQ372" s="22"/>
      <c r="CD372" s="7" t="s">
        <v>361</v>
      </c>
      <c r="CF372" s="7" t="s">
        <v>2071</v>
      </c>
      <c r="CH372" s="7" t="str">
        <f t="shared" si="92"/>
        <v/>
      </c>
    </row>
    <row r="373" spans="1:103">
      <c r="A373" s="7" t="s">
        <v>819</v>
      </c>
      <c r="B373" s="7">
        <v>280</v>
      </c>
      <c r="C373" s="7" t="s">
        <v>2561</v>
      </c>
      <c r="F373" s="7">
        <v>2050</v>
      </c>
      <c r="G373" s="7">
        <v>2020</v>
      </c>
      <c r="I373" s="24" t="str">
        <f t="shared" si="83"/>
        <v/>
      </c>
      <c r="L373" s="7" t="str">
        <f t="shared" si="84"/>
        <v/>
      </c>
      <c r="M373" s="21" t="str">
        <f t="shared" si="85"/>
        <v/>
      </c>
      <c r="N373" s="7" t="s">
        <v>1960</v>
      </c>
      <c r="O373" s="7" t="s">
        <v>1957</v>
      </c>
      <c r="P373" s="7" t="s">
        <v>2227</v>
      </c>
      <c r="Q373" s="7">
        <v>2050</v>
      </c>
      <c r="R373" s="7">
        <v>2020</v>
      </c>
      <c r="S373" s="26" t="s">
        <v>2558</v>
      </c>
      <c r="T373" s="7" t="str">
        <f t="shared" si="86"/>
        <v/>
      </c>
      <c r="U373" s="7" t="s">
        <v>2080</v>
      </c>
      <c r="X373" s="7" t="s">
        <v>2560</v>
      </c>
      <c r="Y373" s="7" t="s">
        <v>2227</v>
      </c>
      <c r="Z373" s="7" t="s">
        <v>2559</v>
      </c>
      <c r="AA373" s="7" t="s">
        <v>2211</v>
      </c>
      <c r="AB373" s="26" t="s">
        <v>2558</v>
      </c>
      <c r="AD373" s="24">
        <v>43165</v>
      </c>
      <c r="AE373" s="7">
        <v>6.5000000000000002E-2</v>
      </c>
      <c r="AF373" s="7" t="s">
        <v>2557</v>
      </c>
      <c r="AG373" s="7">
        <v>-0.41299999999999998</v>
      </c>
      <c r="AH373" s="7" t="s">
        <v>2556</v>
      </c>
      <c r="AI373" s="7">
        <v>46007</v>
      </c>
      <c r="AJ373" s="7">
        <v>23</v>
      </c>
      <c r="AK373" s="7">
        <v>15</v>
      </c>
      <c r="AL373" s="7" t="s">
        <v>2120</v>
      </c>
      <c r="AN373" s="7" t="s">
        <v>1951</v>
      </c>
      <c r="AT373" s="7" t="str">
        <f t="shared" si="94"/>
        <v>None</v>
      </c>
      <c r="AU373" s="7" t="str">
        <f t="shared" si="87"/>
        <v>None</v>
      </c>
      <c r="AV373" s="7" t="str">
        <f t="shared" si="88"/>
        <v/>
      </c>
      <c r="AW373" s="7" t="str">
        <f t="shared" si="89"/>
        <v/>
      </c>
      <c r="AX373" s="7" t="str">
        <f t="shared" si="90"/>
        <v/>
      </c>
      <c r="BB373" s="7" t="str">
        <f t="shared" si="93"/>
        <v/>
      </c>
      <c r="BC373" s="7" t="str">
        <f t="shared" si="91"/>
        <v>No</v>
      </c>
      <c r="BD373" s="7" t="s">
        <v>2118</v>
      </c>
      <c r="BG373" s="7" t="s">
        <v>2555</v>
      </c>
      <c r="BQ373" s="22"/>
      <c r="CD373" s="7" t="s">
        <v>361</v>
      </c>
      <c r="CF373" s="25"/>
      <c r="CH373" s="7" t="str">
        <f t="shared" si="92"/>
        <v/>
      </c>
      <c r="CT373" s="7" t="s">
        <v>819</v>
      </c>
      <c r="CU373" s="7" t="s">
        <v>2109</v>
      </c>
      <c r="CV373" s="7">
        <v>-31</v>
      </c>
      <c r="CX373" s="7" t="s">
        <v>361</v>
      </c>
    </row>
    <row r="374" spans="1:103">
      <c r="A374" s="7" t="s">
        <v>1285</v>
      </c>
      <c r="B374" s="7">
        <v>171</v>
      </c>
      <c r="I374" s="24" t="str">
        <f t="shared" si="83"/>
        <v/>
      </c>
      <c r="L374" s="7" t="str">
        <f t="shared" si="84"/>
        <v/>
      </c>
      <c r="M374" s="21" t="str">
        <f t="shared" si="85"/>
        <v/>
      </c>
      <c r="N374" s="7" t="s">
        <v>1960</v>
      </c>
      <c r="T374" s="7" t="str">
        <f t="shared" si="86"/>
        <v>Nothing</v>
      </c>
      <c r="U374" s="7" t="s">
        <v>1</v>
      </c>
      <c r="AC374" s="8" t="s">
        <v>2554</v>
      </c>
      <c r="AD374" s="24">
        <v>63434</v>
      </c>
      <c r="AE374" s="7">
        <v>4.2999999999999997E-2</v>
      </c>
      <c r="AF374" s="7" t="s">
        <v>2553</v>
      </c>
      <c r="AG374" s="7">
        <v>0.251</v>
      </c>
      <c r="AH374" s="7" t="s">
        <v>2552</v>
      </c>
      <c r="AI374" s="7">
        <v>97735</v>
      </c>
      <c r="AJ374" s="7">
        <v>-8</v>
      </c>
      <c r="AK374" s="7">
        <v>26</v>
      </c>
      <c r="AT374" s="7" t="str">
        <f t="shared" si="94"/>
        <v>None</v>
      </c>
      <c r="AU374" s="7" t="str">
        <f t="shared" si="87"/>
        <v>None</v>
      </c>
      <c r="AV374" s="7" t="str">
        <f t="shared" si="88"/>
        <v/>
      </c>
      <c r="AW374" s="7" t="str">
        <f t="shared" si="89"/>
        <v/>
      </c>
      <c r="AX374" s="7" t="str">
        <f t="shared" si="90"/>
        <v/>
      </c>
      <c r="BB374" s="7" t="str">
        <f t="shared" si="93"/>
        <v/>
      </c>
      <c r="BC374" s="7" t="str">
        <f t="shared" si="91"/>
        <v>No</v>
      </c>
      <c r="BD374" s="7" t="s">
        <v>1</v>
      </c>
      <c r="BF374" s="23" t="s">
        <v>2551</v>
      </c>
      <c r="BQ374" s="22"/>
      <c r="CH374" s="7" t="str">
        <f t="shared" si="92"/>
        <v/>
      </c>
      <c r="CW374" s="7" t="s">
        <v>361</v>
      </c>
    </row>
    <row r="375" spans="1:103">
      <c r="A375" s="7" t="s">
        <v>1595</v>
      </c>
      <c r="B375" s="7">
        <v>76</v>
      </c>
      <c r="I375" s="24" t="str">
        <f t="shared" si="83"/>
        <v/>
      </c>
      <c r="L375" s="7" t="str">
        <f t="shared" si="84"/>
        <v/>
      </c>
      <c r="M375" s="21" t="str">
        <f t="shared" si="85"/>
        <v/>
      </c>
      <c r="N375" s="7" t="s">
        <v>1960</v>
      </c>
      <c r="T375" s="7" t="str">
        <f t="shared" si="86"/>
        <v>Nothing</v>
      </c>
      <c r="U375" s="7" t="s">
        <v>1</v>
      </c>
      <c r="AC375" s="8" t="s">
        <v>2550</v>
      </c>
      <c r="AD375" s="24">
        <v>96313</v>
      </c>
      <c r="AE375" s="7">
        <v>6.9000000000000006E-2</v>
      </c>
      <c r="AF375" s="7" t="s">
        <v>2549</v>
      </c>
      <c r="AG375" s="7">
        <v>0.251</v>
      </c>
      <c r="AH375" s="7" t="s">
        <v>2548</v>
      </c>
      <c r="AI375" s="7">
        <v>335000</v>
      </c>
      <c r="AJ375" s="7">
        <v>10</v>
      </c>
      <c r="AK375" s="7">
        <v>15</v>
      </c>
      <c r="AT375" s="7" t="str">
        <f t="shared" si="94"/>
        <v>None</v>
      </c>
      <c r="AU375" s="7" t="str">
        <f t="shared" si="87"/>
        <v>None</v>
      </c>
      <c r="AV375" s="7" t="str">
        <f t="shared" si="88"/>
        <v/>
      </c>
      <c r="AW375" s="7" t="str">
        <f t="shared" si="89"/>
        <v/>
      </c>
      <c r="AX375" s="7" t="str">
        <f t="shared" si="90"/>
        <v/>
      </c>
      <c r="BC375" s="7" t="str">
        <f t="shared" si="91"/>
        <v>No</v>
      </c>
      <c r="BD375" s="7" t="s">
        <v>1</v>
      </c>
      <c r="BF375" s="7" t="s">
        <v>2547</v>
      </c>
      <c r="BQ375" s="22"/>
      <c r="CH375" s="7" t="str">
        <f t="shared" si="92"/>
        <v/>
      </c>
    </row>
    <row r="376" spans="1:103">
      <c r="A376" s="7" t="s">
        <v>1414</v>
      </c>
      <c r="B376" s="7">
        <v>128</v>
      </c>
      <c r="I376" s="24" t="str">
        <f t="shared" si="83"/>
        <v/>
      </c>
      <c r="L376" s="7" t="str">
        <f t="shared" si="84"/>
        <v/>
      </c>
      <c r="M376" s="21" t="str">
        <f t="shared" si="85"/>
        <v/>
      </c>
      <c r="N376" s="7" t="s">
        <v>1960</v>
      </c>
      <c r="T376" s="7" t="str">
        <f t="shared" si="86"/>
        <v>Nothing</v>
      </c>
      <c r="U376" s="7" t="s">
        <v>1</v>
      </c>
      <c r="AC376" s="8" t="s">
        <v>2546</v>
      </c>
      <c r="AD376" s="24">
        <v>74162</v>
      </c>
      <c r="AE376" s="7">
        <v>1E-3</v>
      </c>
      <c r="AF376" s="7" t="s">
        <v>2545</v>
      </c>
      <c r="AG376" s="7">
        <v>-6.6000000000000003E-2</v>
      </c>
      <c r="AH376" s="7" t="s">
        <v>2544</v>
      </c>
      <c r="AI376" s="7">
        <v>232000</v>
      </c>
      <c r="AJ376" s="7">
        <v>-1</v>
      </c>
      <c r="AK376" s="7">
        <v>26</v>
      </c>
      <c r="AT376" s="7" t="str">
        <f t="shared" si="94"/>
        <v>None</v>
      </c>
      <c r="AU376" s="7" t="str">
        <f t="shared" si="87"/>
        <v>None</v>
      </c>
      <c r="AV376" s="7" t="str">
        <f t="shared" si="88"/>
        <v/>
      </c>
      <c r="AW376" s="7" t="str">
        <f t="shared" si="89"/>
        <v/>
      </c>
      <c r="AX376" s="7" t="str">
        <f t="shared" si="90"/>
        <v/>
      </c>
      <c r="BB376" s="7" t="str">
        <f t="shared" ref="BB376:BB405" si="95">IF(BH376="","","Yes")</f>
        <v/>
      </c>
      <c r="BC376" s="7" t="str">
        <f t="shared" si="91"/>
        <v>No</v>
      </c>
      <c r="BD376" s="7" t="s">
        <v>1</v>
      </c>
      <c r="BF376" s="7" t="s">
        <v>2543</v>
      </c>
      <c r="BQ376" s="22"/>
      <c r="CH376" s="7" t="str">
        <f t="shared" si="92"/>
        <v/>
      </c>
    </row>
    <row r="377" spans="1:103">
      <c r="A377" s="7" t="s">
        <v>969</v>
      </c>
      <c r="B377" s="7">
        <v>223</v>
      </c>
      <c r="C377" s="7" t="s">
        <v>78</v>
      </c>
      <c r="D377" s="7" t="s">
        <v>1957</v>
      </c>
      <c r="E377" s="7" t="s">
        <v>1659</v>
      </c>
      <c r="F377" s="7">
        <v>2017</v>
      </c>
      <c r="G377" s="7">
        <v>2017</v>
      </c>
      <c r="H377" s="8" t="s">
        <v>2539</v>
      </c>
      <c r="I377" s="24" t="str">
        <f t="shared" si="83"/>
        <v/>
      </c>
      <c r="L377" s="7" t="str">
        <f t="shared" si="84"/>
        <v/>
      </c>
      <c r="M377" s="21" t="str">
        <f t="shared" si="85"/>
        <v/>
      </c>
      <c r="N377" s="7" t="s">
        <v>1960</v>
      </c>
      <c r="T377" s="7" t="str">
        <f t="shared" si="86"/>
        <v/>
      </c>
      <c r="U377" s="7" t="s">
        <v>361</v>
      </c>
      <c r="V377" s="7" t="s">
        <v>2542</v>
      </c>
      <c r="Z377" s="7" t="s">
        <v>2541</v>
      </c>
      <c r="AB377" s="27" t="s">
        <v>2540</v>
      </c>
      <c r="AC377" s="8" t="s">
        <v>2539</v>
      </c>
      <c r="AD377" s="24">
        <v>50863</v>
      </c>
      <c r="AE377" s="7">
        <v>0.14000000000000001</v>
      </c>
      <c r="AF377" s="7" t="s">
        <v>2538</v>
      </c>
      <c r="AG377" s="7">
        <v>4.0000000000000001E-3</v>
      </c>
      <c r="AH377" s="7" t="s">
        <v>2537</v>
      </c>
      <c r="AI377" s="7">
        <v>82801</v>
      </c>
      <c r="AJ377" s="7">
        <v>33</v>
      </c>
      <c r="AK377" s="7">
        <v>26</v>
      </c>
      <c r="AL377" s="7" t="s">
        <v>93</v>
      </c>
      <c r="AN377" s="7" t="s">
        <v>2029</v>
      </c>
      <c r="AT377" s="7" t="str">
        <f t="shared" si="94"/>
        <v>CN</v>
      </c>
      <c r="AU377" s="7" t="str">
        <f t="shared" si="87"/>
        <v>CN</v>
      </c>
      <c r="AV377" s="7">
        <f t="shared" si="88"/>
        <v>2017</v>
      </c>
      <c r="AW377" s="7" t="str">
        <f t="shared" si="89"/>
        <v/>
      </c>
      <c r="AX377" s="7" t="str">
        <f t="shared" si="90"/>
        <v/>
      </c>
      <c r="BB377" s="7" t="str">
        <f t="shared" si="95"/>
        <v/>
      </c>
      <c r="BC377" s="7" t="str">
        <f t="shared" si="91"/>
        <v>Carbon Neutral</v>
      </c>
      <c r="BD377" s="7" t="s">
        <v>1</v>
      </c>
      <c r="BF377" s="7" t="s">
        <v>2536</v>
      </c>
      <c r="BG377" s="7" t="s">
        <v>32</v>
      </c>
      <c r="BQ377" s="22"/>
      <c r="CD377" s="7" t="s">
        <v>361</v>
      </c>
      <c r="CH377" s="7" t="str">
        <f t="shared" si="92"/>
        <v/>
      </c>
    </row>
    <row r="378" spans="1:103">
      <c r="A378" s="7" t="s">
        <v>1882</v>
      </c>
      <c r="B378" s="7">
        <v>5</v>
      </c>
      <c r="C378" s="7" t="s">
        <v>96</v>
      </c>
      <c r="F378" s="7">
        <v>2050</v>
      </c>
      <c r="G378" s="7">
        <v>2020</v>
      </c>
      <c r="H378" s="7" t="s">
        <v>2535</v>
      </c>
      <c r="I378" s="24" t="str">
        <f t="shared" si="83"/>
        <v/>
      </c>
      <c r="L378" s="7" t="str">
        <f t="shared" si="84"/>
        <v/>
      </c>
      <c r="M378" s="21" t="str">
        <f t="shared" si="85"/>
        <v/>
      </c>
      <c r="N378" s="7" t="s">
        <v>1960</v>
      </c>
      <c r="O378" s="7" t="s">
        <v>1957</v>
      </c>
      <c r="P378" s="7" t="s">
        <v>2534</v>
      </c>
      <c r="Q378" s="7">
        <v>2050</v>
      </c>
      <c r="R378" s="7">
        <v>2020</v>
      </c>
      <c r="S378" s="27" t="s">
        <v>2533</v>
      </c>
      <c r="T378" s="7" t="str">
        <f t="shared" si="86"/>
        <v/>
      </c>
      <c r="U378" s="7" t="s">
        <v>2080</v>
      </c>
      <c r="V378" s="7" t="s">
        <v>2532</v>
      </c>
      <c r="Z378" s="7" t="s">
        <v>2531</v>
      </c>
      <c r="AA378" s="7" t="s">
        <v>2211</v>
      </c>
      <c r="AB378" s="26" t="s">
        <v>2530</v>
      </c>
      <c r="AC378" s="26" t="s">
        <v>2529</v>
      </c>
      <c r="AD378" s="45">
        <v>352106</v>
      </c>
      <c r="AE378" s="7">
        <v>-0.112</v>
      </c>
      <c r="AF378" s="7" t="s">
        <v>2528</v>
      </c>
      <c r="AG378" s="7">
        <v>-0.32200000000000001</v>
      </c>
      <c r="AH378" s="7" t="s">
        <v>2527</v>
      </c>
      <c r="AI378" s="7">
        <v>83000</v>
      </c>
      <c r="AJ378" s="7">
        <v>-2</v>
      </c>
      <c r="AK378" s="7">
        <v>26</v>
      </c>
      <c r="AL378" t="s">
        <v>2111</v>
      </c>
      <c r="AN378" s="7" t="s">
        <v>1951</v>
      </c>
      <c r="AT378" s="7" t="str">
        <f t="shared" si="94"/>
        <v>None</v>
      </c>
      <c r="AU378" s="7" t="str">
        <f t="shared" si="87"/>
        <v>None</v>
      </c>
      <c r="AV378" s="7" t="str">
        <f t="shared" si="88"/>
        <v/>
      </c>
      <c r="AW378" s="7" t="str">
        <f t="shared" si="89"/>
        <v/>
      </c>
      <c r="AX378" s="7" t="str">
        <f t="shared" si="90"/>
        <v/>
      </c>
      <c r="BB378" s="7" t="str">
        <f t="shared" si="95"/>
        <v/>
      </c>
      <c r="BC378" s="7" t="str">
        <f t="shared" si="91"/>
        <v>No</v>
      </c>
      <c r="BD378" s="7" t="s">
        <v>2118</v>
      </c>
      <c r="BF378" s="7" t="s">
        <v>2526</v>
      </c>
      <c r="BG378" s="7" t="s">
        <v>2525</v>
      </c>
      <c r="BQ378" s="22"/>
      <c r="CD378" s="7" t="s">
        <v>361</v>
      </c>
      <c r="CF378" s="25"/>
      <c r="CH378" s="7" t="str">
        <f t="shared" si="92"/>
        <v/>
      </c>
      <c r="CT378" s="7" t="s">
        <v>1882</v>
      </c>
      <c r="CU378" s="7" t="s">
        <v>2109</v>
      </c>
      <c r="CV378" s="7">
        <v>-30</v>
      </c>
      <c r="CW378" s="7" t="s">
        <v>361</v>
      </c>
      <c r="CX378" s="7" t="s">
        <v>361</v>
      </c>
    </row>
    <row r="379" spans="1:103">
      <c r="A379" s="7" t="s">
        <v>99</v>
      </c>
      <c r="B379" s="7">
        <v>451</v>
      </c>
      <c r="I379" s="24" t="str">
        <f t="shared" si="83"/>
        <v/>
      </c>
      <c r="L379" s="7" t="str">
        <f t="shared" si="84"/>
        <v/>
      </c>
      <c r="M379" s="21" t="str">
        <f t="shared" si="85"/>
        <v/>
      </c>
      <c r="N379" s="7" t="s">
        <v>1960</v>
      </c>
      <c r="T379" s="7" t="str">
        <f t="shared" si="86"/>
        <v>Nothing</v>
      </c>
      <c r="U379" s="7" t="s">
        <v>1</v>
      </c>
      <c r="AC379" s="8" t="s">
        <v>2524</v>
      </c>
      <c r="AD379" s="24">
        <v>28424</v>
      </c>
      <c r="AE379" s="7">
        <v>0.128</v>
      </c>
      <c r="AF379" s="7" t="s">
        <v>2523</v>
      </c>
      <c r="AG379" s="7">
        <v>0.80900000000000005</v>
      </c>
      <c r="AH379" s="7" t="s">
        <v>2522</v>
      </c>
      <c r="AI379" s="7">
        <v>95443</v>
      </c>
      <c r="AJ379" s="7">
        <v>42</v>
      </c>
      <c r="AK379" s="7">
        <v>2</v>
      </c>
      <c r="AT379" s="7" t="str">
        <f t="shared" si="94"/>
        <v>None</v>
      </c>
      <c r="AU379" s="7" t="str">
        <f t="shared" si="87"/>
        <v>None</v>
      </c>
      <c r="AV379" s="7" t="str">
        <f t="shared" si="88"/>
        <v/>
      </c>
      <c r="AW379" s="7" t="str">
        <f t="shared" si="89"/>
        <v/>
      </c>
      <c r="AX379" s="7" t="str">
        <f t="shared" si="90"/>
        <v/>
      </c>
      <c r="BB379" s="7" t="str">
        <f t="shared" si="95"/>
        <v/>
      </c>
      <c r="BC379" s="7" t="str">
        <f t="shared" si="91"/>
        <v>No</v>
      </c>
      <c r="BD379" s="7" t="s">
        <v>1</v>
      </c>
      <c r="BF379" s="7" t="s">
        <v>2521</v>
      </c>
      <c r="BQ379" s="22"/>
      <c r="CH379" s="7" t="str">
        <f t="shared" si="92"/>
        <v/>
      </c>
    </row>
    <row r="380" spans="1:103">
      <c r="A380" s="7" t="s">
        <v>1754</v>
      </c>
      <c r="B380" s="7">
        <v>52</v>
      </c>
      <c r="H380" s="26"/>
      <c r="I380" s="24" t="str">
        <f t="shared" si="83"/>
        <v/>
      </c>
      <c r="L380" s="7" t="str">
        <f t="shared" si="84"/>
        <v/>
      </c>
      <c r="M380" s="21" t="str">
        <f t="shared" si="85"/>
        <v/>
      </c>
      <c r="N380" s="7" t="s">
        <v>1960</v>
      </c>
      <c r="T380" s="7" t="str">
        <f t="shared" si="86"/>
        <v>Nothing</v>
      </c>
      <c r="U380" s="7" t="s">
        <v>1</v>
      </c>
      <c r="AD380" s="24">
        <v>122071</v>
      </c>
      <c r="AE380" s="7">
        <v>-0.105</v>
      </c>
      <c r="AF380" s="7" t="s">
        <v>2520</v>
      </c>
      <c r="AG380" s="7">
        <v>-0.31900000000000001</v>
      </c>
      <c r="AH380" s="7" t="s">
        <v>2519</v>
      </c>
      <c r="AI380" s="7">
        <v>151785</v>
      </c>
      <c r="AJ380" s="7">
        <v>-13</v>
      </c>
      <c r="AK380" s="7">
        <v>9</v>
      </c>
      <c r="AT380" s="7" t="str">
        <f t="shared" si="94"/>
        <v>None</v>
      </c>
      <c r="AU380" s="7" t="str">
        <f t="shared" si="87"/>
        <v>None</v>
      </c>
      <c r="AV380" s="7" t="str">
        <f t="shared" si="88"/>
        <v/>
      </c>
      <c r="AW380" s="7" t="str">
        <f t="shared" si="89"/>
        <v/>
      </c>
      <c r="AX380" s="7" t="str">
        <f t="shared" si="90"/>
        <v/>
      </c>
      <c r="BB380" s="7" t="str">
        <f t="shared" si="95"/>
        <v/>
      </c>
      <c r="BC380" s="7" t="str">
        <f t="shared" si="91"/>
        <v>No</v>
      </c>
      <c r="BD380" s="7" t="s">
        <v>1</v>
      </c>
      <c r="BQ380" s="22"/>
      <c r="CH380" s="7" t="str">
        <f t="shared" si="92"/>
        <v/>
      </c>
    </row>
    <row r="381" spans="1:103">
      <c r="A381" s="7" t="s">
        <v>1074</v>
      </c>
      <c r="B381" s="7">
        <v>244</v>
      </c>
      <c r="C381" s="7" t="s">
        <v>63</v>
      </c>
      <c r="F381" s="7">
        <v>2050</v>
      </c>
      <c r="G381" s="7">
        <v>2019</v>
      </c>
      <c r="H381" s="8" t="s">
        <v>2518</v>
      </c>
      <c r="I381" s="24" t="str">
        <f t="shared" si="83"/>
        <v/>
      </c>
      <c r="L381" s="7" t="str">
        <f t="shared" si="84"/>
        <v>T</v>
      </c>
      <c r="M381" s="21">
        <f t="shared" si="85"/>
        <v>2025</v>
      </c>
      <c r="N381" s="7">
        <v>2019</v>
      </c>
      <c r="O381" s="7" t="s">
        <v>2082</v>
      </c>
      <c r="P381" s="7" t="s">
        <v>2081</v>
      </c>
      <c r="Q381" s="7">
        <v>2050</v>
      </c>
      <c r="R381" s="7">
        <v>2019</v>
      </c>
      <c r="S381" s="8" t="s">
        <v>2515</v>
      </c>
      <c r="T381" s="7" t="str">
        <f t="shared" si="86"/>
        <v/>
      </c>
      <c r="U381" s="7" t="s">
        <v>2080</v>
      </c>
      <c r="V381" s="7" t="s">
        <v>2517</v>
      </c>
      <c r="Z381" s="7" t="s">
        <v>2516</v>
      </c>
      <c r="AB381" s="8" t="s">
        <v>2515</v>
      </c>
      <c r="AD381" s="24">
        <v>47650</v>
      </c>
      <c r="AE381" s="7">
        <v>-3.3000000000000002E-2</v>
      </c>
      <c r="AF381" s="7" t="s">
        <v>2514</v>
      </c>
      <c r="AG381" s="7">
        <v>2.1749999999999998</v>
      </c>
      <c r="AH381" s="7" t="s">
        <v>2513</v>
      </c>
      <c r="AI381" s="7">
        <v>170639</v>
      </c>
      <c r="AJ381" s="7">
        <v>-18</v>
      </c>
      <c r="AK381" s="7">
        <v>26</v>
      </c>
      <c r="AL381" s="7" t="s">
        <v>1075</v>
      </c>
      <c r="AN381" s="7" t="s">
        <v>1951</v>
      </c>
      <c r="AT381" s="7" t="str">
        <f t="shared" si="94"/>
        <v>SBT</v>
      </c>
      <c r="AU381" s="7" t="str">
        <f t="shared" si="87"/>
        <v>SBT</v>
      </c>
      <c r="AV381" s="7" t="str">
        <f t="shared" si="88"/>
        <v/>
      </c>
      <c r="AW381" s="7">
        <f t="shared" si="89"/>
        <v>2019</v>
      </c>
      <c r="AX381" s="7" t="str">
        <f t="shared" si="90"/>
        <v/>
      </c>
      <c r="BB381" s="7" t="str">
        <f t="shared" si="95"/>
        <v>Yes</v>
      </c>
      <c r="BC381" s="7" t="str">
        <f t="shared" si="91"/>
        <v>No</v>
      </c>
      <c r="BD381" s="7" t="s">
        <v>1969</v>
      </c>
      <c r="BG381" s="7" t="s">
        <v>2072</v>
      </c>
      <c r="BH381" s="7" t="s">
        <v>22</v>
      </c>
      <c r="BI381" s="7" t="s">
        <v>2040</v>
      </c>
      <c r="BJ381" s="7" t="s">
        <v>2244</v>
      </c>
      <c r="BM381" s="7" t="s">
        <v>2512</v>
      </c>
      <c r="BN381" s="7">
        <v>2025</v>
      </c>
      <c r="BO381" s="7">
        <v>2025</v>
      </c>
      <c r="BP381" s="7">
        <v>2025</v>
      </c>
      <c r="BQ381" s="22"/>
      <c r="CD381" s="7" t="s">
        <v>361</v>
      </c>
      <c r="CF381" s="7" t="s">
        <v>2071</v>
      </c>
      <c r="CH381" s="7" t="str">
        <f t="shared" si="92"/>
        <v/>
      </c>
      <c r="CW381" s="7" t="s">
        <v>361</v>
      </c>
    </row>
    <row r="382" spans="1:103">
      <c r="A382" s="7" t="s">
        <v>300</v>
      </c>
      <c r="B382" s="7">
        <v>481</v>
      </c>
      <c r="I382" s="24" t="str">
        <f t="shared" si="83"/>
        <v/>
      </c>
      <c r="L382" s="7" t="str">
        <f t="shared" si="84"/>
        <v/>
      </c>
      <c r="M382" s="21" t="str">
        <f t="shared" si="85"/>
        <v/>
      </c>
      <c r="N382" s="7" t="s">
        <v>1960</v>
      </c>
      <c r="T382" s="7" t="str">
        <f t="shared" si="86"/>
        <v>Nothing</v>
      </c>
      <c r="U382" s="7" t="s">
        <v>1</v>
      </c>
      <c r="AD382" s="24">
        <v>26396</v>
      </c>
      <c r="AE382" s="7">
        <v>-6.8000000000000005E-2</v>
      </c>
      <c r="AF382" s="7" t="s">
        <v>2511</v>
      </c>
      <c r="AG382" s="7">
        <v>-0.42099999999999999</v>
      </c>
      <c r="AH382" s="7" t="s">
        <v>2510</v>
      </c>
      <c r="AI382" s="7">
        <v>16580</v>
      </c>
      <c r="AJ382" s="7">
        <v>-37</v>
      </c>
      <c r="AK382" s="7">
        <v>4</v>
      </c>
      <c r="AT382" s="7" t="str">
        <f t="shared" si="94"/>
        <v>None</v>
      </c>
      <c r="AU382" s="7" t="str">
        <f t="shared" si="87"/>
        <v>None</v>
      </c>
      <c r="AV382" s="7" t="str">
        <f t="shared" si="88"/>
        <v/>
      </c>
      <c r="AW382" s="7" t="str">
        <f t="shared" si="89"/>
        <v/>
      </c>
      <c r="AX382" s="7" t="str">
        <f t="shared" si="90"/>
        <v/>
      </c>
      <c r="BB382" s="7" t="str">
        <f t="shared" si="95"/>
        <v/>
      </c>
      <c r="BC382" s="7" t="str">
        <f t="shared" si="91"/>
        <v>No</v>
      </c>
      <c r="BD382" s="7" t="s">
        <v>1</v>
      </c>
      <c r="BQ382" s="22"/>
      <c r="CH382" s="7" t="str">
        <f t="shared" si="92"/>
        <v/>
      </c>
    </row>
    <row r="383" spans="1:103">
      <c r="A383" s="7" t="s">
        <v>1833</v>
      </c>
      <c r="B383" s="7">
        <v>19</v>
      </c>
      <c r="I383" s="24" t="str">
        <f t="shared" si="83"/>
        <v/>
      </c>
      <c r="L383" s="7" t="str">
        <f t="shared" si="84"/>
        <v/>
      </c>
      <c r="M383" s="21" t="str">
        <f t="shared" si="85"/>
        <v/>
      </c>
      <c r="N383" s="7" t="s">
        <v>1960</v>
      </c>
      <c r="T383" s="7" t="str">
        <f t="shared" si="86"/>
        <v>Nothing</v>
      </c>
      <c r="U383" s="7" t="s">
        <v>1</v>
      </c>
      <c r="AC383" s="26" t="s">
        <v>2509</v>
      </c>
      <c r="AD383" s="24">
        <v>197705</v>
      </c>
      <c r="AE383" s="7">
        <v>-0.108</v>
      </c>
      <c r="AF383" s="7" t="s">
        <v>2508</v>
      </c>
      <c r="AG383" s="7">
        <v>-0.53700000000000003</v>
      </c>
      <c r="AH383" s="7" t="s">
        <v>2507</v>
      </c>
      <c r="AI383" s="7">
        <v>287439</v>
      </c>
      <c r="AJ383" s="7">
        <v>-4</v>
      </c>
      <c r="AK383" s="7">
        <v>26</v>
      </c>
      <c r="AT383" s="7" t="str">
        <f t="shared" si="94"/>
        <v>None</v>
      </c>
      <c r="AU383" s="7" t="str">
        <f t="shared" si="87"/>
        <v>None</v>
      </c>
      <c r="AV383" s="7" t="str">
        <f t="shared" si="88"/>
        <v/>
      </c>
      <c r="AW383" s="7" t="str">
        <f t="shared" si="89"/>
        <v/>
      </c>
      <c r="AX383" s="7" t="str">
        <f t="shared" si="90"/>
        <v/>
      </c>
      <c r="BB383" s="7" t="str">
        <f t="shared" si="95"/>
        <v/>
      </c>
      <c r="BC383" s="7" t="str">
        <f t="shared" si="91"/>
        <v>No</v>
      </c>
      <c r="BD383" s="7" t="s">
        <v>1</v>
      </c>
      <c r="BF383" s="7" t="s">
        <v>2506</v>
      </c>
      <c r="BQ383" s="22"/>
      <c r="CH383" s="7" t="str">
        <f t="shared" si="92"/>
        <v/>
      </c>
      <c r="CX383" s="7" t="s">
        <v>361</v>
      </c>
    </row>
    <row r="384" spans="1:103">
      <c r="A384" s="7" t="s">
        <v>370</v>
      </c>
      <c r="B384" s="7">
        <v>467</v>
      </c>
      <c r="I384" s="24" t="str">
        <f t="shared" si="83"/>
        <v/>
      </c>
      <c r="L384" s="7" t="str">
        <f t="shared" si="84"/>
        <v/>
      </c>
      <c r="M384" s="21" t="str">
        <f t="shared" si="85"/>
        <v/>
      </c>
      <c r="N384" s="7" t="s">
        <v>1960</v>
      </c>
      <c r="T384" s="7" t="str">
        <f t="shared" si="86"/>
        <v>Nothing</v>
      </c>
      <c r="U384" s="7" t="s">
        <v>1</v>
      </c>
      <c r="AD384" s="24">
        <v>27291</v>
      </c>
      <c r="AE384" s="7">
        <v>-6.9000000000000006E-2</v>
      </c>
      <c r="AF384" s="7" t="s">
        <v>2505</v>
      </c>
      <c r="AG384" s="7">
        <v>-0.44600000000000001</v>
      </c>
      <c r="AH384" s="7" t="s">
        <v>2504</v>
      </c>
      <c r="AI384" s="7">
        <v>5346</v>
      </c>
      <c r="AJ384" s="7">
        <v>-41</v>
      </c>
      <c r="AK384" s="7">
        <v>24</v>
      </c>
      <c r="AT384" s="7" t="str">
        <f t="shared" ref="AT384:AT415" si="96">IF(OR(BC384="Carbon Neutral",BC384="No - but post-2030 commitment"),IF((OR(BH384="Committed",BH384="Targets Set")),IF(J384="", "CN &amp; SBT","CN, SBT &amp; RE100"),IF(CH384="","CN","CN &amp; RE100")),IF((OR(BH384="Committed",BH384="Targets Set")),IF(CH384="", "SBT","SBT &amp; RE100"),IF(CH384="","None","RE100")))</f>
        <v>None</v>
      </c>
      <c r="AU384" s="7" t="str">
        <f t="shared" si="87"/>
        <v>None</v>
      </c>
      <c r="AV384" s="7" t="str">
        <f t="shared" si="88"/>
        <v/>
      </c>
      <c r="AW384" s="7" t="str">
        <f t="shared" si="89"/>
        <v/>
      </c>
      <c r="AX384" s="7" t="str">
        <f t="shared" si="90"/>
        <v/>
      </c>
      <c r="BB384" s="7" t="str">
        <f t="shared" si="95"/>
        <v/>
      </c>
      <c r="BC384" s="7" t="str">
        <f t="shared" si="91"/>
        <v>No</v>
      </c>
      <c r="BD384" s="7" t="s">
        <v>1</v>
      </c>
      <c r="BQ384" s="22"/>
      <c r="CH384" s="7" t="str">
        <f t="shared" si="92"/>
        <v/>
      </c>
    </row>
    <row r="385" spans="1:103">
      <c r="A385" s="7" t="s">
        <v>880</v>
      </c>
      <c r="B385" s="7">
        <v>289</v>
      </c>
      <c r="C385" s="7" t="s">
        <v>63</v>
      </c>
      <c r="I385" s="24" t="str">
        <f t="shared" si="83"/>
        <v/>
      </c>
      <c r="L385" s="7" t="str">
        <f t="shared" si="84"/>
        <v>T</v>
      </c>
      <c r="M385" s="21">
        <f t="shared" si="85"/>
        <v>2030</v>
      </c>
      <c r="N385" s="7">
        <v>2020</v>
      </c>
      <c r="T385" s="7" t="str">
        <f t="shared" si="86"/>
        <v>Nothing</v>
      </c>
      <c r="U385" s="7" t="s">
        <v>1963</v>
      </c>
      <c r="AC385" s="26" t="s">
        <v>2503</v>
      </c>
      <c r="AD385" s="24">
        <v>42119</v>
      </c>
      <c r="AE385" s="7" t="s">
        <v>9</v>
      </c>
      <c r="AF385" s="7" t="s">
        <v>2502</v>
      </c>
      <c r="AG385" s="7">
        <v>-0.38200000000000001</v>
      </c>
      <c r="AH385" s="7" t="s">
        <v>2501</v>
      </c>
      <c r="AI385" s="7">
        <v>100409</v>
      </c>
      <c r="AJ385" s="7">
        <v>-1</v>
      </c>
      <c r="AK385" s="7">
        <v>16</v>
      </c>
      <c r="AL385" s="7" t="s">
        <v>842</v>
      </c>
      <c r="AN385" s="7" t="s">
        <v>1951</v>
      </c>
      <c r="AT385" s="7" t="str">
        <f t="shared" si="96"/>
        <v>SBT</v>
      </c>
      <c r="AU385" s="7" t="str">
        <f t="shared" si="87"/>
        <v>SBT</v>
      </c>
      <c r="AV385" s="7" t="str">
        <f t="shared" si="88"/>
        <v/>
      </c>
      <c r="AW385" s="7">
        <f t="shared" si="89"/>
        <v>2020</v>
      </c>
      <c r="AX385" s="7" t="str">
        <f t="shared" si="90"/>
        <v/>
      </c>
      <c r="BB385" s="7" t="str">
        <f t="shared" si="95"/>
        <v>Yes</v>
      </c>
      <c r="BC385" s="7" t="str">
        <f t="shared" si="91"/>
        <v>No</v>
      </c>
      <c r="BD385" s="7" t="s">
        <v>1963</v>
      </c>
      <c r="BF385" s="7" t="s">
        <v>2500</v>
      </c>
      <c r="BH385" s="7" t="s">
        <v>22</v>
      </c>
      <c r="BI385" s="7" t="s">
        <v>2499</v>
      </c>
      <c r="BJ385" s="7" t="s">
        <v>2498</v>
      </c>
      <c r="BM385" s="7" t="s">
        <v>2497</v>
      </c>
      <c r="BN385" s="7">
        <v>2030</v>
      </c>
      <c r="BO385" s="7">
        <v>2030</v>
      </c>
      <c r="BP385" s="7">
        <v>2030</v>
      </c>
      <c r="BQ385" s="22"/>
      <c r="CH385" s="7" t="str">
        <f t="shared" si="92"/>
        <v/>
      </c>
      <c r="CX385" s="7" t="s">
        <v>361</v>
      </c>
    </row>
    <row r="386" spans="1:103">
      <c r="A386" s="7" t="s">
        <v>362</v>
      </c>
      <c r="B386" s="7">
        <v>404</v>
      </c>
      <c r="C386" s="7" t="s">
        <v>146</v>
      </c>
      <c r="D386" s="7" t="s">
        <v>1957</v>
      </c>
      <c r="E386" s="7" t="s">
        <v>2227</v>
      </c>
      <c r="F386" s="7">
        <v>2025</v>
      </c>
      <c r="G386" s="7">
        <v>2017</v>
      </c>
      <c r="H386" s="26" t="s">
        <v>365</v>
      </c>
      <c r="I386" s="24" t="str">
        <f t="shared" ref="I386:I449" si="97">IF(J386="","","Yes")</f>
        <v>Yes</v>
      </c>
      <c r="J386" s="7">
        <v>2014</v>
      </c>
      <c r="K386" s="7">
        <v>2015</v>
      </c>
      <c r="L386" s="7" t="str">
        <f t="shared" ref="L386:L449" si="98">IF(BH386="","",IF(BH386="Targets Set","T","C"))</f>
        <v>T</v>
      </c>
      <c r="M386" s="21">
        <f t="shared" ref="M386:M449" si="99">IF(BM386="","",AVERAGE(BN386:BP386))</f>
        <v>2025</v>
      </c>
      <c r="N386" s="7">
        <v>2019</v>
      </c>
      <c r="T386" s="7" t="str">
        <f t="shared" ref="T386:T449" si="100">IF(AND(O386="",D386=""),"Nothing","")</f>
        <v/>
      </c>
      <c r="U386" s="7" t="s">
        <v>1969</v>
      </c>
      <c r="V386" s="7" t="s">
        <v>2227</v>
      </c>
      <c r="X386" s="7" t="s">
        <v>2496</v>
      </c>
      <c r="AD386" s="24">
        <v>30839</v>
      </c>
      <c r="AE386" s="7">
        <v>5.8000000000000003E-2</v>
      </c>
      <c r="AF386" s="7" t="s">
        <v>2495</v>
      </c>
      <c r="AG386" s="7">
        <v>-0.22900000000000001</v>
      </c>
      <c r="AH386" s="7" t="s">
        <v>2494</v>
      </c>
      <c r="AI386" s="7">
        <v>100330</v>
      </c>
      <c r="AJ386" s="7">
        <v>23</v>
      </c>
      <c r="AK386" s="7">
        <v>5</v>
      </c>
      <c r="AL386" s="7" t="s">
        <v>364</v>
      </c>
      <c r="AN386" s="7" t="s">
        <v>1951</v>
      </c>
      <c r="AT386" s="7" t="str">
        <f t="shared" si="96"/>
        <v>CN, SBT &amp; RE100</v>
      </c>
      <c r="AU386" s="7" t="str">
        <f t="shared" ref="AU386:AU449" si="101">IF((BC386="Carbon Neutral"),IF((OR(BH386="Committed",BH386="Targets Set")),IF(CH386="yes", "CN, SBT &amp; RE100", "CN &amp; SBT"),IF(CH386="yes", "CN &amp; RE100", "CN")),IF((OR(BH386="Committed",BH386="Targets Set")),IF(CH386="yes", "SBT &amp; RE100", "SBT"),IF(CH386="yes", "RE100", "None")))</f>
        <v>CN, SBT &amp; RE100</v>
      </c>
      <c r="AV386" s="7">
        <f t="shared" ref="AV386:AV449" si="102">IF(BC386="Carbon Neutral",G386,"")</f>
        <v>2017</v>
      </c>
      <c r="AW386" s="7">
        <f t="shared" ref="AW386:AW449" si="103">IF(N386="","",N386)</f>
        <v>2019</v>
      </c>
      <c r="AX386" s="7">
        <f t="shared" ref="AX386:AX449" si="104">IF(J386="","",IF(J386="2020 - achieved",K386,IF(J386="2020 - not achieved",K386,IF(J386="2020 - achieved pre-July 2019",K386,IF(J386&gt;2030,"",K386)))))</f>
        <v>2015</v>
      </c>
      <c r="BB386" s="7" t="str">
        <f t="shared" si="95"/>
        <v>Yes</v>
      </c>
      <c r="BC386" s="7" t="str">
        <f t="shared" ref="BC386:BC449" si="105">IF(U386="No","No",IF(AND(OR(U386="No - but future commitment",U386="No - but future commitment and further future commitment across more scopes"),F386&lt;=2030),"Carbon Neutral",IF(OR(U386="No - but future commitment",U386="No - but future commitment and further future commitment across more scopes"),"No - but post-2030 commitment",IF(OR(U386="Yes",U386="Yes and future commitment across more scopes",U386="Yes by virtue of zero net"),"Carbon Neutral","No"))))</f>
        <v>Carbon Neutral</v>
      </c>
      <c r="BG386" s="7" t="s">
        <v>2220</v>
      </c>
      <c r="BH386" s="7" t="s">
        <v>22</v>
      </c>
      <c r="BI386" s="7" t="s">
        <v>2156</v>
      </c>
      <c r="BJ386" s="7" t="s">
        <v>2100</v>
      </c>
      <c r="BM386" s="7" t="s">
        <v>2493</v>
      </c>
      <c r="BN386" s="7">
        <v>2025</v>
      </c>
      <c r="BO386" s="7">
        <v>2025</v>
      </c>
      <c r="BP386" s="7">
        <v>2025</v>
      </c>
      <c r="BQ386" s="22"/>
      <c r="CE386" s="7" t="s">
        <v>2492</v>
      </c>
      <c r="CG386" s="7" t="s">
        <v>146</v>
      </c>
      <c r="CH386" s="7" t="str">
        <f t="shared" ref="CH386:CH449" si="106">IF(J386="","",IF(J386&lt;=2030,"yes",IF(J386="2020 - achieved","yes",IF(J386="2020 - not achieved","yes",IF(J386="2020 - achieved pre-July 2019","yes",IF(J386&gt;2030,"",IF(J386="No target date","","unknown error")))))))</f>
        <v>yes</v>
      </c>
      <c r="CI386" s="7" t="s">
        <v>13</v>
      </c>
      <c r="CJ386" s="7">
        <v>1</v>
      </c>
      <c r="CK386" s="7">
        <v>1</v>
      </c>
      <c r="CL386" s="7">
        <v>1</v>
      </c>
      <c r="CM386" s="7">
        <v>1</v>
      </c>
      <c r="CN386" s="7">
        <v>1</v>
      </c>
      <c r="CO386" s="7" t="s">
        <v>2251</v>
      </c>
      <c r="CX386" s="7" t="s">
        <v>361</v>
      </c>
      <c r="CY386" s="7" t="s">
        <v>361</v>
      </c>
    </row>
    <row r="387" spans="1:103">
      <c r="A387" s="7" t="s">
        <v>1875</v>
      </c>
      <c r="B387" s="7">
        <v>6</v>
      </c>
      <c r="H387" s="26" t="s">
        <v>2490</v>
      </c>
      <c r="I387" s="24" t="str">
        <f t="shared" si="97"/>
        <v/>
      </c>
      <c r="L387" s="7" t="str">
        <f t="shared" si="98"/>
        <v/>
      </c>
      <c r="M387" s="21" t="str">
        <f t="shared" si="99"/>
        <v/>
      </c>
      <c r="N387" s="7" t="s">
        <v>1960</v>
      </c>
      <c r="T387" s="7" t="str">
        <f t="shared" si="100"/>
        <v>Nothing</v>
      </c>
      <c r="U387" s="7" t="s">
        <v>1</v>
      </c>
      <c r="X387" s="7" t="s">
        <v>2491</v>
      </c>
      <c r="AC387" s="26" t="s">
        <v>2490</v>
      </c>
      <c r="AD387" s="24">
        <v>329784</v>
      </c>
      <c r="AE387" s="7">
        <v>-7.2999999999999995E-2</v>
      </c>
      <c r="AF387" s="7" t="s">
        <v>2489</v>
      </c>
      <c r="AG387" s="7">
        <v>-0.20499999999999999</v>
      </c>
      <c r="AH387" s="7" t="s">
        <v>2488</v>
      </c>
      <c r="AI387" s="7">
        <v>79000</v>
      </c>
      <c r="AJ387" s="7" t="s">
        <v>9</v>
      </c>
      <c r="AK387" s="7">
        <v>2</v>
      </c>
      <c r="AT387" s="7" t="str">
        <f t="shared" si="96"/>
        <v>None</v>
      </c>
      <c r="AU387" s="7" t="str">
        <f t="shared" si="101"/>
        <v>None</v>
      </c>
      <c r="AV387" s="7" t="str">
        <f t="shared" si="102"/>
        <v/>
      </c>
      <c r="AW387" s="7" t="str">
        <f t="shared" si="103"/>
        <v/>
      </c>
      <c r="AX387" s="7" t="str">
        <f t="shared" si="104"/>
        <v/>
      </c>
      <c r="BB387" s="7" t="str">
        <f t="shared" si="95"/>
        <v/>
      </c>
      <c r="BC387" s="7" t="str">
        <f t="shared" si="105"/>
        <v>No</v>
      </c>
      <c r="BD387" s="7" t="s">
        <v>1</v>
      </c>
      <c r="BF387" s="23" t="s">
        <v>2487</v>
      </c>
      <c r="BQ387" s="22"/>
      <c r="CH387" s="7" t="str">
        <f t="shared" si="106"/>
        <v/>
      </c>
    </row>
    <row r="388" spans="1:103">
      <c r="A388" s="7" t="s">
        <v>971</v>
      </c>
      <c r="B388" s="7">
        <v>240</v>
      </c>
      <c r="I388" s="24" t="str">
        <f t="shared" si="97"/>
        <v/>
      </c>
      <c r="L388" s="7" t="str">
        <f t="shared" si="98"/>
        <v/>
      </c>
      <c r="M388" s="21" t="str">
        <f t="shared" si="99"/>
        <v/>
      </c>
      <c r="N388" s="7" t="s">
        <v>1960</v>
      </c>
      <c r="T388" s="7" t="str">
        <f t="shared" si="100"/>
        <v>Nothing</v>
      </c>
      <c r="U388" s="7" t="s">
        <v>1</v>
      </c>
      <c r="AD388" s="24">
        <v>48340</v>
      </c>
      <c r="AE388" s="7">
        <v>7.6999999999999999E-2</v>
      </c>
      <c r="AF388" s="7" t="s">
        <v>2486</v>
      </c>
      <c r="AG388" s="7">
        <v>-1.6E-2</v>
      </c>
      <c r="AH388" s="7" t="s">
        <v>2485</v>
      </c>
      <c r="AI388" s="7">
        <v>281338</v>
      </c>
      <c r="AJ388" s="7">
        <v>15</v>
      </c>
      <c r="AK388" s="7">
        <v>13</v>
      </c>
      <c r="AT388" s="7" t="str">
        <f t="shared" si="96"/>
        <v>None</v>
      </c>
      <c r="AU388" s="7" t="str">
        <f t="shared" si="101"/>
        <v>None</v>
      </c>
      <c r="AV388" s="7" t="str">
        <f t="shared" si="102"/>
        <v/>
      </c>
      <c r="AW388" s="7" t="str">
        <f t="shared" si="103"/>
        <v/>
      </c>
      <c r="AX388" s="7" t="str">
        <f t="shared" si="104"/>
        <v/>
      </c>
      <c r="BB388" s="7" t="str">
        <f t="shared" si="95"/>
        <v/>
      </c>
      <c r="BC388" s="7" t="str">
        <f t="shared" si="105"/>
        <v>No</v>
      </c>
      <c r="BD388" s="7" t="s">
        <v>1</v>
      </c>
      <c r="BQ388" s="22"/>
      <c r="CH388" s="7" t="str">
        <f t="shared" si="106"/>
        <v/>
      </c>
    </row>
    <row r="389" spans="1:103">
      <c r="A389" s="7" t="s">
        <v>579</v>
      </c>
      <c r="B389" s="7">
        <v>382</v>
      </c>
      <c r="C389" s="7" t="s">
        <v>127</v>
      </c>
      <c r="I389" s="24" t="str">
        <f t="shared" si="97"/>
        <v/>
      </c>
      <c r="L389" s="7" t="str">
        <f t="shared" si="98"/>
        <v>C</v>
      </c>
      <c r="M389" s="21" t="str">
        <f t="shared" si="99"/>
        <v/>
      </c>
      <c r="N389" s="7">
        <v>2019</v>
      </c>
      <c r="T389" s="7" t="str">
        <f t="shared" si="100"/>
        <v>Nothing</v>
      </c>
      <c r="U389" s="7" t="s">
        <v>1963</v>
      </c>
      <c r="AC389" s="26" t="s">
        <v>2484</v>
      </c>
      <c r="AD389" s="24">
        <v>32917</v>
      </c>
      <c r="AE389" s="7">
        <v>3.0000000000000001E-3</v>
      </c>
      <c r="AF389" s="7" t="s">
        <v>2483</v>
      </c>
      <c r="AG389" s="7">
        <v>-5.7409999999999997</v>
      </c>
      <c r="AH389" s="7" t="s">
        <v>2482</v>
      </c>
      <c r="AI389" s="7">
        <v>105000</v>
      </c>
      <c r="AJ389" s="7">
        <v>-3</v>
      </c>
      <c r="AK389" s="7">
        <v>20</v>
      </c>
      <c r="AL389" s="7" t="s">
        <v>2111</v>
      </c>
      <c r="AN389" s="7" t="s">
        <v>2029</v>
      </c>
      <c r="AT389" s="7" t="str">
        <f t="shared" si="96"/>
        <v>SBT</v>
      </c>
      <c r="AU389" s="7" t="str">
        <f t="shared" si="101"/>
        <v>SBT</v>
      </c>
      <c r="AV389" s="7" t="str">
        <f t="shared" si="102"/>
        <v/>
      </c>
      <c r="AW389" s="7">
        <f t="shared" si="103"/>
        <v>2019</v>
      </c>
      <c r="AX389" s="7" t="str">
        <f t="shared" si="104"/>
        <v/>
      </c>
      <c r="BB389" s="7" t="str">
        <f t="shared" si="95"/>
        <v>Yes</v>
      </c>
      <c r="BC389" s="7" t="str">
        <f t="shared" si="105"/>
        <v>No</v>
      </c>
      <c r="BD389" s="7" t="s">
        <v>1963</v>
      </c>
      <c r="BF389" s="7" t="s">
        <v>2481</v>
      </c>
      <c r="BH389" s="7" t="s">
        <v>165</v>
      </c>
      <c r="BJ389" s="7" t="s">
        <v>2115</v>
      </c>
      <c r="BQ389" s="22"/>
      <c r="CH389" s="7" t="str">
        <f t="shared" si="106"/>
        <v/>
      </c>
    </row>
    <row r="390" spans="1:103">
      <c r="A390" s="7" t="s">
        <v>429</v>
      </c>
      <c r="B390" s="7">
        <v>413</v>
      </c>
      <c r="C390" s="7" t="s">
        <v>63</v>
      </c>
      <c r="D390" s="7" t="s">
        <v>1957</v>
      </c>
      <c r="E390" s="7" t="s">
        <v>436</v>
      </c>
      <c r="F390" s="7">
        <v>2025</v>
      </c>
      <c r="G390" s="7">
        <v>2018</v>
      </c>
      <c r="H390" s="26" t="s">
        <v>2480</v>
      </c>
      <c r="I390" s="24" t="str">
        <f t="shared" si="97"/>
        <v>Yes</v>
      </c>
      <c r="J390" s="7">
        <v>2030</v>
      </c>
      <c r="K390" s="7">
        <v>2017</v>
      </c>
      <c r="L390" s="7" t="str">
        <f t="shared" si="98"/>
        <v>T</v>
      </c>
      <c r="M390" s="21">
        <f t="shared" si="99"/>
        <v>2030</v>
      </c>
      <c r="N390" s="7">
        <v>2019</v>
      </c>
      <c r="O390" s="7" t="s">
        <v>1971</v>
      </c>
      <c r="P390" s="7" t="s">
        <v>2479</v>
      </c>
      <c r="Q390" s="7">
        <v>2050</v>
      </c>
      <c r="R390" s="7">
        <v>2019</v>
      </c>
      <c r="S390" s="26" t="s">
        <v>2474</v>
      </c>
      <c r="T390" s="7" t="str">
        <f t="shared" si="100"/>
        <v/>
      </c>
      <c r="U390" s="7" t="s">
        <v>1969</v>
      </c>
      <c r="V390" s="7" t="s">
        <v>2478</v>
      </c>
      <c r="X390" s="7" t="s">
        <v>2477</v>
      </c>
      <c r="Y390" s="34" t="s">
        <v>2476</v>
      </c>
      <c r="Z390" s="7" t="s">
        <v>2475</v>
      </c>
      <c r="AB390" s="26" t="s">
        <v>2474</v>
      </c>
      <c r="AD390" s="24">
        <v>30397</v>
      </c>
      <c r="AE390" s="7">
        <v>1E-3</v>
      </c>
      <c r="AF390" s="7" t="s">
        <v>2473</v>
      </c>
      <c r="AG390" s="7">
        <v>-0.02</v>
      </c>
      <c r="AH390" s="7" t="s">
        <v>2472</v>
      </c>
      <c r="AI390" s="7">
        <v>135307</v>
      </c>
      <c r="AJ390" s="7">
        <v>-2</v>
      </c>
      <c r="AK390" s="7">
        <v>19</v>
      </c>
      <c r="AL390" s="7" t="s">
        <v>431</v>
      </c>
      <c r="AN390" s="7" t="s">
        <v>1951</v>
      </c>
      <c r="AT390" s="7" t="str">
        <f t="shared" si="96"/>
        <v>CN, SBT &amp; RE100</v>
      </c>
      <c r="AU390" s="7" t="str">
        <f t="shared" si="101"/>
        <v>CN, SBT &amp; RE100</v>
      </c>
      <c r="AV390" s="7">
        <f t="shared" si="102"/>
        <v>2018</v>
      </c>
      <c r="AW390" s="7">
        <f t="shared" si="103"/>
        <v>2019</v>
      </c>
      <c r="AX390" s="7">
        <f t="shared" si="104"/>
        <v>2017</v>
      </c>
      <c r="BB390" s="7" t="str">
        <f t="shared" si="95"/>
        <v>Yes</v>
      </c>
      <c r="BC390" s="7" t="str">
        <f t="shared" si="105"/>
        <v>Carbon Neutral</v>
      </c>
      <c r="BD390" s="7" t="s">
        <v>1969</v>
      </c>
      <c r="BG390" s="7" t="s">
        <v>2471</v>
      </c>
      <c r="BH390" s="7" t="s">
        <v>22</v>
      </c>
      <c r="BI390" s="7" t="s">
        <v>2156</v>
      </c>
      <c r="BJ390" s="7" t="s">
        <v>2008</v>
      </c>
      <c r="BM390" s="7" t="s">
        <v>2470</v>
      </c>
      <c r="BN390" s="7">
        <v>2030</v>
      </c>
      <c r="BO390" s="7">
        <v>2030</v>
      </c>
      <c r="BP390" s="7">
        <v>2030</v>
      </c>
      <c r="BQ390" s="22"/>
      <c r="CD390" s="7" t="s">
        <v>361</v>
      </c>
      <c r="CE390" s="7">
        <v>2030</v>
      </c>
      <c r="CG390" s="7" t="s">
        <v>63</v>
      </c>
      <c r="CH390" s="7" t="str">
        <f t="shared" si="106"/>
        <v>yes</v>
      </c>
      <c r="CI390" s="7" t="s">
        <v>2469</v>
      </c>
      <c r="CJ390" s="7">
        <v>0.3</v>
      </c>
      <c r="CK390" s="7">
        <v>1.9E-2</v>
      </c>
      <c r="CL390" s="7">
        <v>2.5000000000000001E-3</v>
      </c>
      <c r="CM390" s="7" t="s">
        <v>13</v>
      </c>
      <c r="CN390" s="7" t="s">
        <v>13</v>
      </c>
      <c r="CO390" s="7" t="s">
        <v>2468</v>
      </c>
      <c r="CW390" s="7" t="s">
        <v>361</v>
      </c>
      <c r="CX390" s="7" t="s">
        <v>361</v>
      </c>
    </row>
    <row r="391" spans="1:103">
      <c r="A391" s="7" t="s">
        <v>1298</v>
      </c>
      <c r="B391" s="7">
        <v>178</v>
      </c>
      <c r="H391" s="26"/>
      <c r="I391" s="24" t="str">
        <f t="shared" si="97"/>
        <v/>
      </c>
      <c r="L391" s="7" t="str">
        <f t="shared" si="98"/>
        <v/>
      </c>
      <c r="M391" s="21" t="str">
        <f t="shared" si="99"/>
        <v/>
      </c>
      <c r="N391" s="7" t="s">
        <v>1960</v>
      </c>
      <c r="T391" s="7" t="str">
        <f t="shared" si="100"/>
        <v>Nothing</v>
      </c>
      <c r="U391" s="7" t="s">
        <v>1</v>
      </c>
      <c r="X391" s="44"/>
      <c r="AC391" s="26" t="s">
        <v>2467</v>
      </c>
      <c r="AD391" s="24">
        <v>60952</v>
      </c>
      <c r="AE391" s="7">
        <v>-8.9999999999999993E-3</v>
      </c>
      <c r="AF391" s="7" t="s">
        <v>2466</v>
      </c>
      <c r="AG391" s="7">
        <v>8.8999999999999996E-2</v>
      </c>
      <c r="AH391" s="7" t="s">
        <v>2465</v>
      </c>
      <c r="AI391" s="7">
        <v>98039</v>
      </c>
      <c r="AJ391" s="7">
        <v>-19</v>
      </c>
      <c r="AK391" s="7">
        <v>15</v>
      </c>
      <c r="AT391" s="7" t="str">
        <f t="shared" si="96"/>
        <v>None</v>
      </c>
      <c r="AU391" s="7" t="str">
        <f t="shared" si="101"/>
        <v>None</v>
      </c>
      <c r="AV391" s="7" t="str">
        <f t="shared" si="102"/>
        <v/>
      </c>
      <c r="AW391" s="7" t="str">
        <f t="shared" si="103"/>
        <v/>
      </c>
      <c r="AX391" s="7" t="str">
        <f t="shared" si="104"/>
        <v/>
      </c>
      <c r="BB391" s="7" t="str">
        <f t="shared" si="95"/>
        <v/>
      </c>
      <c r="BC391" s="7" t="str">
        <f t="shared" si="105"/>
        <v>No</v>
      </c>
      <c r="BD391" s="7" t="s">
        <v>1</v>
      </c>
      <c r="BF391" s="7" t="s">
        <v>2464</v>
      </c>
      <c r="BQ391" s="22"/>
      <c r="CH391" s="7" t="str">
        <f t="shared" si="106"/>
        <v/>
      </c>
    </row>
    <row r="392" spans="1:103">
      <c r="A392" s="7" t="s">
        <v>902</v>
      </c>
      <c r="B392" s="7">
        <v>273</v>
      </c>
      <c r="I392" s="24" t="str">
        <f t="shared" si="97"/>
        <v/>
      </c>
      <c r="L392" s="7" t="str">
        <f t="shared" si="98"/>
        <v/>
      </c>
      <c r="M392" s="21" t="str">
        <f t="shared" si="99"/>
        <v/>
      </c>
      <c r="N392" s="7" t="s">
        <v>1960</v>
      </c>
      <c r="T392" s="7" t="str">
        <f t="shared" si="100"/>
        <v>Nothing</v>
      </c>
      <c r="U392" s="7" t="s">
        <v>1</v>
      </c>
      <c r="AC392" s="26" t="s">
        <v>2463</v>
      </c>
      <c r="AD392" s="24">
        <v>43798</v>
      </c>
      <c r="AE392" s="7">
        <v>3.3000000000000002E-2</v>
      </c>
      <c r="AF392" s="7" t="s">
        <v>2462</v>
      </c>
      <c r="AG392" s="7">
        <v>0.317</v>
      </c>
      <c r="AH392" s="7" t="s">
        <v>2461</v>
      </c>
      <c r="AI392" s="7">
        <v>120802</v>
      </c>
      <c r="AJ392" s="7">
        <v>8</v>
      </c>
      <c r="AK392" s="7">
        <v>6</v>
      </c>
      <c r="AT392" s="7" t="str">
        <f t="shared" si="96"/>
        <v>None</v>
      </c>
      <c r="AU392" s="7" t="str">
        <f t="shared" si="101"/>
        <v>None</v>
      </c>
      <c r="AV392" s="7" t="str">
        <f t="shared" si="102"/>
        <v/>
      </c>
      <c r="AW392" s="7" t="str">
        <f t="shared" si="103"/>
        <v/>
      </c>
      <c r="AX392" s="7" t="str">
        <f t="shared" si="104"/>
        <v/>
      </c>
      <c r="BB392" s="7" t="str">
        <f t="shared" si="95"/>
        <v/>
      </c>
      <c r="BC392" s="7" t="str">
        <f t="shared" si="105"/>
        <v>No</v>
      </c>
      <c r="BD392" s="7" t="s">
        <v>1963</v>
      </c>
      <c r="BF392" s="7" t="s">
        <v>2460</v>
      </c>
      <c r="BQ392" s="22"/>
      <c r="CH392" s="7" t="str">
        <f t="shared" si="106"/>
        <v/>
      </c>
    </row>
    <row r="393" spans="1:103">
      <c r="A393" s="7" t="s">
        <v>952</v>
      </c>
      <c r="B393" s="7">
        <v>265</v>
      </c>
      <c r="I393" s="24" t="str">
        <f t="shared" si="97"/>
        <v/>
      </c>
      <c r="L393" s="7" t="str">
        <f t="shared" si="98"/>
        <v/>
      </c>
      <c r="M393" s="21" t="str">
        <f t="shared" si="99"/>
        <v/>
      </c>
      <c r="N393" s="7" t="s">
        <v>1960</v>
      </c>
      <c r="T393" s="7" t="str">
        <f t="shared" si="100"/>
        <v>Nothing</v>
      </c>
      <c r="U393" s="7" t="s">
        <v>1</v>
      </c>
      <c r="AD393" s="24">
        <v>44564</v>
      </c>
      <c r="AE393" s="7">
        <v>1.6E-2</v>
      </c>
      <c r="AF393" s="7" t="s">
        <v>2459</v>
      </c>
      <c r="AG393" s="7">
        <v>-0.29799999999999999</v>
      </c>
      <c r="AH393" s="7" t="s">
        <v>2458</v>
      </c>
      <c r="AI393" s="7">
        <v>129920</v>
      </c>
      <c r="AJ393" s="7">
        <v>-2</v>
      </c>
      <c r="AK393" s="7">
        <v>8</v>
      </c>
      <c r="AT393" s="7" t="str">
        <f t="shared" si="96"/>
        <v>None</v>
      </c>
      <c r="AU393" s="7" t="str">
        <f t="shared" si="101"/>
        <v>None</v>
      </c>
      <c r="AV393" s="7" t="str">
        <f t="shared" si="102"/>
        <v/>
      </c>
      <c r="AW393" s="7" t="str">
        <f t="shared" si="103"/>
        <v/>
      </c>
      <c r="AX393" s="7" t="str">
        <f t="shared" si="104"/>
        <v/>
      </c>
      <c r="BB393" s="7" t="str">
        <f t="shared" si="95"/>
        <v/>
      </c>
      <c r="BC393" s="7" t="str">
        <f t="shared" si="105"/>
        <v>No</v>
      </c>
      <c r="BD393" s="7" t="s">
        <v>1963</v>
      </c>
      <c r="BE393" s="1"/>
      <c r="BF393" s="7" t="s">
        <v>2457</v>
      </c>
      <c r="BQ393" s="22"/>
      <c r="CH393" s="7" t="str">
        <f t="shared" si="106"/>
        <v/>
      </c>
    </row>
    <row r="394" spans="1:103">
      <c r="A394" s="7" t="s">
        <v>1128</v>
      </c>
      <c r="B394" s="7">
        <v>212</v>
      </c>
      <c r="C394" s="7" t="s">
        <v>73</v>
      </c>
      <c r="I394" s="24" t="str">
        <f t="shared" si="97"/>
        <v/>
      </c>
      <c r="L394" s="7" t="str">
        <f t="shared" si="98"/>
        <v/>
      </c>
      <c r="M394" s="21" t="str">
        <f t="shared" si="99"/>
        <v/>
      </c>
      <c r="N394" s="7" t="s">
        <v>1960</v>
      </c>
      <c r="T394" s="7" t="str">
        <f t="shared" si="100"/>
        <v>Nothing</v>
      </c>
      <c r="U394" s="7" t="s">
        <v>1986</v>
      </c>
      <c r="AD394" s="24">
        <v>51893</v>
      </c>
      <c r="AE394" s="7">
        <v>1.2999999999999999E-2</v>
      </c>
      <c r="AF394" s="7" t="s">
        <v>2456</v>
      </c>
      <c r="AG394" s="7">
        <v>0.27300000000000002</v>
      </c>
      <c r="AH394" s="7" t="s">
        <v>2455</v>
      </c>
      <c r="AI394" s="7">
        <v>153545</v>
      </c>
      <c r="AJ394" s="7">
        <v>-1</v>
      </c>
      <c r="AK394" s="7">
        <v>9</v>
      </c>
      <c r="AT394" s="7" t="str">
        <f t="shared" si="96"/>
        <v>None</v>
      </c>
      <c r="AU394" s="7" t="str">
        <f t="shared" si="101"/>
        <v>None</v>
      </c>
      <c r="AV394" s="7" t="str">
        <f t="shared" si="102"/>
        <v/>
      </c>
      <c r="AW394" s="7" t="str">
        <f t="shared" si="103"/>
        <v/>
      </c>
      <c r="AX394" s="7" t="str">
        <f t="shared" si="104"/>
        <v/>
      </c>
      <c r="BB394" s="7" t="str">
        <f t="shared" si="95"/>
        <v/>
      </c>
      <c r="BC394" s="7" t="str">
        <f t="shared" si="105"/>
        <v>No</v>
      </c>
      <c r="BQ394" s="22"/>
      <c r="CH394" s="7" t="str">
        <f t="shared" si="106"/>
        <v/>
      </c>
    </row>
    <row r="395" spans="1:103">
      <c r="A395" s="7" t="s">
        <v>2454</v>
      </c>
      <c r="B395" s="7">
        <v>459</v>
      </c>
      <c r="C395" s="7" t="s">
        <v>73</v>
      </c>
      <c r="I395" s="24" t="str">
        <f t="shared" si="97"/>
        <v/>
      </c>
      <c r="L395" s="7" t="str">
        <f t="shared" si="98"/>
        <v/>
      </c>
      <c r="M395" s="21" t="str">
        <f t="shared" si="99"/>
        <v/>
      </c>
      <c r="N395" s="7" t="s">
        <v>1960</v>
      </c>
      <c r="T395" s="7" t="str">
        <f t="shared" si="100"/>
        <v>Nothing</v>
      </c>
      <c r="U395" s="7" t="s">
        <v>1986</v>
      </c>
      <c r="AD395" s="24">
        <v>27755</v>
      </c>
      <c r="AE395" s="7">
        <v>0.17799999999999999</v>
      </c>
      <c r="AF395" s="7" t="s">
        <v>2453</v>
      </c>
      <c r="AG395" s="7" t="s">
        <v>9</v>
      </c>
      <c r="AH395" s="7" t="s">
        <v>2452</v>
      </c>
      <c r="AI395" s="7">
        <v>51300</v>
      </c>
      <c r="AJ395" s="7" t="s">
        <v>9</v>
      </c>
      <c r="AK395" s="7">
        <v>1</v>
      </c>
      <c r="AT395" s="7" t="str">
        <f t="shared" si="96"/>
        <v>None</v>
      </c>
      <c r="AU395" s="7" t="str">
        <f t="shared" si="101"/>
        <v>None</v>
      </c>
      <c r="AV395" s="7" t="str">
        <f t="shared" si="102"/>
        <v/>
      </c>
      <c r="AW395" s="7" t="str">
        <f t="shared" si="103"/>
        <v/>
      </c>
      <c r="AX395" s="7" t="str">
        <f t="shared" si="104"/>
        <v/>
      </c>
      <c r="BB395" s="7" t="str">
        <f t="shared" si="95"/>
        <v/>
      </c>
      <c r="BC395" s="7" t="str">
        <f t="shared" si="105"/>
        <v>No</v>
      </c>
      <c r="BQ395" s="22"/>
      <c r="CH395" s="7" t="str">
        <f t="shared" si="106"/>
        <v/>
      </c>
    </row>
    <row r="396" spans="1:103">
      <c r="A396" s="7" t="s">
        <v>926</v>
      </c>
      <c r="B396" s="7">
        <v>308</v>
      </c>
      <c r="I396" s="24" t="str">
        <f t="shared" si="97"/>
        <v/>
      </c>
      <c r="L396" s="7" t="str">
        <f t="shared" si="98"/>
        <v/>
      </c>
      <c r="M396" s="21" t="str">
        <f t="shared" si="99"/>
        <v/>
      </c>
      <c r="N396" s="7" t="s">
        <v>1960</v>
      </c>
      <c r="T396" s="7" t="str">
        <f t="shared" si="100"/>
        <v>Nothing</v>
      </c>
      <c r="U396" s="7" t="s">
        <v>1963</v>
      </c>
      <c r="AD396" s="24">
        <v>40426</v>
      </c>
      <c r="AE396" s="7">
        <v>-0.06</v>
      </c>
      <c r="AF396" s="7" t="s">
        <v>2451</v>
      </c>
      <c r="AG396" s="7">
        <v>-7.0999999999999994E-2</v>
      </c>
      <c r="AH396" s="7" t="s">
        <v>2450</v>
      </c>
      <c r="AI396" s="7">
        <v>111121</v>
      </c>
      <c r="AJ396" s="7">
        <v>-35</v>
      </c>
      <c r="AK396" s="7">
        <v>9</v>
      </c>
      <c r="AT396" s="7" t="str">
        <f t="shared" si="96"/>
        <v>None</v>
      </c>
      <c r="AU396" s="7" t="str">
        <f t="shared" si="101"/>
        <v>None</v>
      </c>
      <c r="AV396" s="7" t="str">
        <f t="shared" si="102"/>
        <v/>
      </c>
      <c r="AW396" s="7" t="str">
        <f t="shared" si="103"/>
        <v/>
      </c>
      <c r="AX396" s="7" t="str">
        <f t="shared" si="104"/>
        <v/>
      </c>
      <c r="BB396" s="7" t="str">
        <f t="shared" si="95"/>
        <v/>
      </c>
      <c r="BC396" s="7" t="str">
        <f t="shared" si="105"/>
        <v>No</v>
      </c>
      <c r="BD396" s="7" t="s">
        <v>1963</v>
      </c>
      <c r="BQ396" s="22"/>
      <c r="CH396" s="7" t="str">
        <f t="shared" si="106"/>
        <v/>
      </c>
    </row>
    <row r="397" spans="1:103">
      <c r="A397" s="7" t="s">
        <v>2449</v>
      </c>
      <c r="B397" s="7">
        <v>423</v>
      </c>
      <c r="I397" s="24" t="str">
        <f t="shared" si="97"/>
        <v/>
      </c>
      <c r="L397" s="7" t="str">
        <f t="shared" si="98"/>
        <v/>
      </c>
      <c r="M397" s="21" t="str">
        <f t="shared" si="99"/>
        <v/>
      </c>
      <c r="N397" s="7" t="s">
        <v>1960</v>
      </c>
      <c r="T397" s="7" t="str">
        <f t="shared" si="100"/>
        <v>Nothing</v>
      </c>
      <c r="U397" s="7" t="s">
        <v>1963</v>
      </c>
      <c r="AD397" s="24">
        <v>29746</v>
      </c>
      <c r="AE397" s="7">
        <v>0.154</v>
      </c>
      <c r="AF397" s="7" t="s">
        <v>2448</v>
      </c>
      <c r="AG397" s="7">
        <v>0.35399999999999998</v>
      </c>
      <c r="AH397" s="7" t="s">
        <v>2447</v>
      </c>
      <c r="AI397" s="7">
        <v>42762</v>
      </c>
      <c r="AJ397" s="7" t="s">
        <v>9</v>
      </c>
      <c r="AK397" s="7">
        <v>1</v>
      </c>
      <c r="AT397" s="7" t="str">
        <f t="shared" si="96"/>
        <v>None</v>
      </c>
      <c r="AU397" s="7" t="str">
        <f t="shared" si="101"/>
        <v>None</v>
      </c>
      <c r="AV397" s="7" t="str">
        <f t="shared" si="102"/>
        <v/>
      </c>
      <c r="AW397" s="7" t="str">
        <f t="shared" si="103"/>
        <v/>
      </c>
      <c r="AX397" s="7" t="str">
        <f t="shared" si="104"/>
        <v/>
      </c>
      <c r="BB397" s="7" t="str">
        <f t="shared" si="95"/>
        <v/>
      </c>
      <c r="BC397" s="7" t="str">
        <f t="shared" si="105"/>
        <v>No</v>
      </c>
      <c r="BD397" s="7" t="s">
        <v>1963</v>
      </c>
      <c r="BQ397" s="22"/>
      <c r="CH397" s="7" t="str">
        <f t="shared" si="106"/>
        <v/>
      </c>
    </row>
    <row r="398" spans="1:103">
      <c r="A398" s="7" t="s">
        <v>2446</v>
      </c>
      <c r="B398" s="7">
        <v>473</v>
      </c>
      <c r="C398" s="7" t="s">
        <v>73</v>
      </c>
      <c r="I398" s="24" t="str">
        <f t="shared" si="97"/>
        <v/>
      </c>
      <c r="L398" s="7" t="str">
        <f t="shared" si="98"/>
        <v/>
      </c>
      <c r="M398" s="21" t="str">
        <f t="shared" si="99"/>
        <v/>
      </c>
      <c r="N398" s="7" t="s">
        <v>1960</v>
      </c>
      <c r="T398" s="7" t="str">
        <f t="shared" si="100"/>
        <v>Nothing</v>
      </c>
      <c r="U398" s="7" t="s">
        <v>1986</v>
      </c>
      <c r="AD398" s="24">
        <v>27005</v>
      </c>
      <c r="AE398" s="7">
        <v>0.123</v>
      </c>
      <c r="AF398" s="7" t="s">
        <v>2445</v>
      </c>
      <c r="AG398" s="7">
        <v>7.0000000000000001E-3</v>
      </c>
      <c r="AH398" s="7" t="s">
        <v>2444</v>
      </c>
      <c r="AI398" s="7">
        <v>47778</v>
      </c>
      <c r="AJ398" s="7" t="s">
        <v>9</v>
      </c>
      <c r="AK398" s="7">
        <v>1</v>
      </c>
      <c r="AT398" s="7" t="str">
        <f t="shared" si="96"/>
        <v>None</v>
      </c>
      <c r="AU398" s="7" t="str">
        <f t="shared" si="101"/>
        <v>None</v>
      </c>
      <c r="AV398" s="7" t="str">
        <f t="shared" si="102"/>
        <v/>
      </c>
      <c r="AW398" s="7" t="str">
        <f t="shared" si="103"/>
        <v/>
      </c>
      <c r="AX398" s="7" t="str">
        <f t="shared" si="104"/>
        <v/>
      </c>
      <c r="BB398" s="7" t="str">
        <f t="shared" si="95"/>
        <v/>
      </c>
      <c r="BC398" s="7" t="str">
        <f t="shared" si="105"/>
        <v>No</v>
      </c>
      <c r="BQ398" s="22"/>
      <c r="CH398" s="7" t="str">
        <f t="shared" si="106"/>
        <v/>
      </c>
    </row>
    <row r="399" spans="1:103">
      <c r="A399" s="7" t="s">
        <v>1116</v>
      </c>
      <c r="B399" s="7">
        <v>220</v>
      </c>
      <c r="C399" s="7" t="s">
        <v>73</v>
      </c>
      <c r="I399" s="24" t="str">
        <f t="shared" si="97"/>
        <v/>
      </c>
      <c r="L399" s="7" t="str">
        <f t="shared" si="98"/>
        <v/>
      </c>
      <c r="M399" s="21" t="str">
        <f t="shared" si="99"/>
        <v/>
      </c>
      <c r="N399" s="7" t="s">
        <v>1960</v>
      </c>
      <c r="T399" s="7" t="str">
        <f t="shared" si="100"/>
        <v>Nothing</v>
      </c>
      <c r="U399" s="7" t="s">
        <v>2443</v>
      </c>
      <c r="AD399" s="24">
        <v>51313</v>
      </c>
      <c r="AE399" s="7">
        <v>1.4999999999999999E-2</v>
      </c>
      <c r="AF399" s="7" t="s">
        <v>2442</v>
      </c>
      <c r="AG399" s="7">
        <v>6.0000000000000001E-3</v>
      </c>
      <c r="AH399" s="7" t="s">
        <v>2441</v>
      </c>
      <c r="AI399" s="7">
        <v>58253</v>
      </c>
      <c r="AJ399" s="7">
        <v>-4</v>
      </c>
      <c r="AK399" s="7">
        <v>8</v>
      </c>
      <c r="AT399" s="7" t="str">
        <f t="shared" si="96"/>
        <v>None</v>
      </c>
      <c r="AU399" s="7" t="str">
        <f t="shared" si="101"/>
        <v>None</v>
      </c>
      <c r="AV399" s="7" t="str">
        <f t="shared" si="102"/>
        <v/>
      </c>
      <c r="AW399" s="7" t="str">
        <f t="shared" si="103"/>
        <v/>
      </c>
      <c r="AX399" s="7" t="str">
        <f t="shared" si="104"/>
        <v/>
      </c>
      <c r="BB399" s="7" t="str">
        <f t="shared" si="95"/>
        <v/>
      </c>
      <c r="BC399" s="7" t="str">
        <f t="shared" si="105"/>
        <v>No</v>
      </c>
      <c r="BQ399" s="22"/>
      <c r="CH399" s="7" t="str">
        <f t="shared" si="106"/>
        <v/>
      </c>
    </row>
    <row r="400" spans="1:103">
      <c r="A400" s="7" t="s">
        <v>231</v>
      </c>
      <c r="B400" s="7">
        <v>485</v>
      </c>
      <c r="C400" s="7" t="s">
        <v>73</v>
      </c>
      <c r="I400" s="24" t="str">
        <f t="shared" si="97"/>
        <v/>
      </c>
      <c r="L400" s="7" t="str">
        <f t="shared" si="98"/>
        <v/>
      </c>
      <c r="M400" s="21" t="str">
        <f t="shared" si="99"/>
        <v/>
      </c>
      <c r="N400" s="7" t="s">
        <v>1960</v>
      </c>
      <c r="T400" s="7" t="str">
        <f t="shared" si="100"/>
        <v>Nothing</v>
      </c>
      <c r="U400" s="7" t="s">
        <v>1986</v>
      </c>
      <c r="AD400" s="24">
        <v>26179</v>
      </c>
      <c r="AE400" s="7">
        <v>-1.9E-2</v>
      </c>
      <c r="AF400" s="7" t="s">
        <v>2440</v>
      </c>
      <c r="AG400" s="7">
        <v>0.495</v>
      </c>
      <c r="AH400" s="7" t="s">
        <v>2439</v>
      </c>
      <c r="AI400" s="7">
        <v>196034</v>
      </c>
      <c r="AJ400" s="7">
        <v>-20</v>
      </c>
      <c r="AK400" s="7">
        <v>7</v>
      </c>
      <c r="AT400" s="7" t="str">
        <f t="shared" si="96"/>
        <v>None</v>
      </c>
      <c r="AU400" s="7" t="str">
        <f t="shared" si="101"/>
        <v>None</v>
      </c>
      <c r="AV400" s="7" t="str">
        <f t="shared" si="102"/>
        <v/>
      </c>
      <c r="AW400" s="7" t="str">
        <f t="shared" si="103"/>
        <v/>
      </c>
      <c r="AX400" s="7" t="str">
        <f t="shared" si="104"/>
        <v/>
      </c>
      <c r="BB400" s="7" t="str">
        <f t="shared" si="95"/>
        <v/>
      </c>
      <c r="BC400" s="7" t="str">
        <f t="shared" si="105"/>
        <v>No</v>
      </c>
      <c r="BQ400" s="22"/>
      <c r="CH400" s="7" t="str">
        <f t="shared" si="106"/>
        <v/>
      </c>
    </row>
    <row r="401" spans="1:103">
      <c r="A401" s="7" t="s">
        <v>141</v>
      </c>
      <c r="B401" s="7">
        <v>500</v>
      </c>
      <c r="C401" s="7" t="s">
        <v>73</v>
      </c>
      <c r="I401" s="24" t="str">
        <f t="shared" si="97"/>
        <v/>
      </c>
      <c r="L401" s="7" t="str">
        <f t="shared" si="98"/>
        <v/>
      </c>
      <c r="M401" s="21" t="str">
        <f t="shared" si="99"/>
        <v/>
      </c>
      <c r="N401" s="7" t="s">
        <v>1960</v>
      </c>
      <c r="T401" s="7" t="str">
        <f t="shared" si="100"/>
        <v>Nothing</v>
      </c>
      <c r="U401" s="7" t="s">
        <v>1986</v>
      </c>
      <c r="AD401" s="24">
        <v>25386</v>
      </c>
      <c r="AE401" s="7">
        <v>-1.7999999999999999E-2</v>
      </c>
      <c r="AF401" s="7" t="s">
        <v>2438</v>
      </c>
      <c r="AG401" s="7">
        <v>-0.58299999999999996</v>
      </c>
      <c r="AH401" s="7" t="s">
        <v>2437</v>
      </c>
      <c r="AI401" s="7">
        <v>127336</v>
      </c>
      <c r="AJ401" s="7">
        <v>-18</v>
      </c>
      <c r="AK401" s="7">
        <v>8</v>
      </c>
      <c r="AT401" s="7" t="str">
        <f t="shared" si="96"/>
        <v>None</v>
      </c>
      <c r="AU401" s="7" t="str">
        <f t="shared" si="101"/>
        <v>None</v>
      </c>
      <c r="AV401" s="7" t="str">
        <f t="shared" si="102"/>
        <v/>
      </c>
      <c r="AW401" s="7" t="str">
        <f t="shared" si="103"/>
        <v/>
      </c>
      <c r="AX401" s="7" t="str">
        <f t="shared" si="104"/>
        <v/>
      </c>
      <c r="BB401" s="7" t="str">
        <f t="shared" si="95"/>
        <v/>
      </c>
      <c r="BC401" s="7" t="str">
        <f t="shared" si="105"/>
        <v>No</v>
      </c>
      <c r="BQ401" s="22"/>
      <c r="CH401" s="7" t="str">
        <f t="shared" si="106"/>
        <v/>
      </c>
    </row>
    <row r="402" spans="1:103">
      <c r="A402" s="7" t="s">
        <v>237</v>
      </c>
      <c r="B402" s="7">
        <v>489</v>
      </c>
      <c r="C402" s="7" t="s">
        <v>73</v>
      </c>
      <c r="I402" s="24" t="str">
        <f t="shared" si="97"/>
        <v/>
      </c>
      <c r="L402" s="7" t="str">
        <f t="shared" si="98"/>
        <v/>
      </c>
      <c r="M402" s="21" t="str">
        <f t="shared" si="99"/>
        <v/>
      </c>
      <c r="N402" s="7" t="s">
        <v>1960</v>
      </c>
      <c r="T402" s="7" t="str">
        <f t="shared" si="100"/>
        <v>Nothing</v>
      </c>
      <c r="U402" s="7" t="s">
        <v>1986</v>
      </c>
      <c r="AD402" s="24">
        <v>26078</v>
      </c>
      <c r="AE402" s="7">
        <v>-2.8000000000000001E-2</v>
      </c>
      <c r="AF402" s="7" t="s">
        <v>2436</v>
      </c>
      <c r="AG402" s="7">
        <v>84.346000000000004</v>
      </c>
      <c r="AH402" s="7" t="s">
        <v>2435</v>
      </c>
      <c r="AI402" s="7">
        <v>106188</v>
      </c>
      <c r="AJ402" s="7">
        <v>-27</v>
      </c>
      <c r="AK402" s="7">
        <v>8</v>
      </c>
      <c r="AT402" s="7" t="str">
        <f t="shared" si="96"/>
        <v>None</v>
      </c>
      <c r="AU402" s="7" t="str">
        <f t="shared" si="101"/>
        <v>None</v>
      </c>
      <c r="AV402" s="7" t="str">
        <f t="shared" si="102"/>
        <v/>
      </c>
      <c r="AW402" s="7" t="str">
        <f t="shared" si="103"/>
        <v/>
      </c>
      <c r="AX402" s="7" t="str">
        <f t="shared" si="104"/>
        <v/>
      </c>
      <c r="BB402" s="7" t="str">
        <f t="shared" si="95"/>
        <v/>
      </c>
      <c r="BC402" s="7" t="str">
        <f t="shared" si="105"/>
        <v>No</v>
      </c>
      <c r="BQ402" s="22"/>
      <c r="CH402" s="7" t="str">
        <f t="shared" si="106"/>
        <v/>
      </c>
    </row>
    <row r="403" spans="1:103">
      <c r="A403" s="7" t="s">
        <v>2434</v>
      </c>
      <c r="B403" s="7">
        <v>455</v>
      </c>
      <c r="C403" s="7" t="s">
        <v>73</v>
      </c>
      <c r="I403" s="24" t="str">
        <f t="shared" si="97"/>
        <v/>
      </c>
      <c r="L403" s="7" t="str">
        <f t="shared" si="98"/>
        <v/>
      </c>
      <c r="M403" s="21" t="str">
        <f t="shared" si="99"/>
        <v/>
      </c>
      <c r="N403" s="7" t="s">
        <v>1960</v>
      </c>
      <c r="T403" s="7" t="str">
        <f t="shared" si="100"/>
        <v>Nothing</v>
      </c>
      <c r="U403" s="7" t="s">
        <v>1986</v>
      </c>
      <c r="AD403" s="24">
        <v>27870</v>
      </c>
      <c r="AE403" s="7">
        <v>0.28499999999999998</v>
      </c>
      <c r="AF403" s="7" t="s">
        <v>2433</v>
      </c>
      <c r="AG403" s="7">
        <v>0.27500000000000002</v>
      </c>
      <c r="AH403" s="7" t="s">
        <v>2432</v>
      </c>
      <c r="AI403" s="7">
        <v>30631</v>
      </c>
      <c r="AJ403" s="7" t="s">
        <v>9</v>
      </c>
      <c r="AK403" s="7">
        <v>1</v>
      </c>
      <c r="AT403" s="7" t="str">
        <f t="shared" si="96"/>
        <v>None</v>
      </c>
      <c r="AU403" s="7" t="str">
        <f t="shared" si="101"/>
        <v>None</v>
      </c>
      <c r="AV403" s="7" t="str">
        <f t="shared" si="102"/>
        <v/>
      </c>
      <c r="AW403" s="7" t="str">
        <f t="shared" si="103"/>
        <v/>
      </c>
      <c r="AX403" s="7" t="str">
        <f t="shared" si="104"/>
        <v/>
      </c>
      <c r="BB403" s="7" t="str">
        <f t="shared" si="95"/>
        <v/>
      </c>
      <c r="BC403" s="7" t="str">
        <f t="shared" si="105"/>
        <v>No</v>
      </c>
      <c r="BQ403" s="22"/>
      <c r="CH403" s="7" t="str">
        <f t="shared" si="106"/>
        <v/>
      </c>
    </row>
    <row r="404" spans="1:103">
      <c r="A404" s="7" t="s">
        <v>2431</v>
      </c>
      <c r="B404" s="7">
        <v>442</v>
      </c>
      <c r="I404" s="24" t="str">
        <f t="shared" si="97"/>
        <v/>
      </c>
      <c r="L404" s="7" t="str">
        <f t="shared" si="98"/>
        <v/>
      </c>
      <c r="M404" s="21" t="str">
        <f t="shared" si="99"/>
        <v/>
      </c>
      <c r="N404" s="7" t="s">
        <v>1960</v>
      </c>
      <c r="T404" s="7" t="str">
        <f t="shared" si="100"/>
        <v>Nothing</v>
      </c>
      <c r="U404" s="7" t="s">
        <v>1963</v>
      </c>
      <c r="AD404" s="24">
        <v>28855</v>
      </c>
      <c r="AE404" s="7">
        <v>1.66</v>
      </c>
      <c r="AF404" s="7" t="s">
        <v>2430</v>
      </c>
      <c r="AG404" s="7">
        <v>0.23300000000000001</v>
      </c>
      <c r="AH404" s="7" t="s">
        <v>2429</v>
      </c>
      <c r="AI404" s="7">
        <v>67518</v>
      </c>
      <c r="AJ404" s="7" t="s">
        <v>9</v>
      </c>
      <c r="AK404" s="7">
        <v>1</v>
      </c>
      <c r="AT404" s="7" t="str">
        <f t="shared" si="96"/>
        <v>None</v>
      </c>
      <c r="AU404" s="7" t="str">
        <f t="shared" si="101"/>
        <v>None</v>
      </c>
      <c r="AV404" s="7" t="str">
        <f t="shared" si="102"/>
        <v/>
      </c>
      <c r="AW404" s="7" t="str">
        <f t="shared" si="103"/>
        <v/>
      </c>
      <c r="AX404" s="7" t="str">
        <f t="shared" si="104"/>
        <v/>
      </c>
      <c r="BB404" s="7" t="str">
        <f t="shared" si="95"/>
        <v/>
      </c>
      <c r="BC404" s="7" t="str">
        <f t="shared" si="105"/>
        <v>No</v>
      </c>
      <c r="BD404" s="7" t="s">
        <v>1963</v>
      </c>
      <c r="BQ404" s="22"/>
      <c r="CH404" s="7" t="str">
        <f t="shared" si="106"/>
        <v/>
      </c>
    </row>
    <row r="405" spans="1:103">
      <c r="A405" s="7" t="s">
        <v>480</v>
      </c>
      <c r="B405" s="7">
        <v>429</v>
      </c>
      <c r="C405" s="7" t="s">
        <v>73</v>
      </c>
      <c r="I405" s="24" t="str">
        <f t="shared" si="97"/>
        <v/>
      </c>
      <c r="L405" s="7" t="str">
        <f t="shared" si="98"/>
        <v/>
      </c>
      <c r="M405" s="21" t="str">
        <f t="shared" si="99"/>
        <v/>
      </c>
      <c r="N405" s="7" t="s">
        <v>1960</v>
      </c>
      <c r="T405" s="7" t="str">
        <f t="shared" si="100"/>
        <v>Nothing</v>
      </c>
      <c r="U405" s="7" t="s">
        <v>1986</v>
      </c>
      <c r="AD405" s="24">
        <v>29274</v>
      </c>
      <c r="AE405" s="7">
        <v>-5.8999999999999997E-2</v>
      </c>
      <c r="AF405" s="7" t="s">
        <v>2428</v>
      </c>
      <c r="AG405" s="7">
        <v>-0.52500000000000002</v>
      </c>
      <c r="AH405" s="7" t="s">
        <v>2427</v>
      </c>
      <c r="AI405" s="7">
        <v>97903</v>
      </c>
      <c r="AJ405" s="7">
        <v>-27</v>
      </c>
      <c r="AK405" s="7">
        <v>9</v>
      </c>
      <c r="AT405" s="7" t="str">
        <f t="shared" si="96"/>
        <v>None</v>
      </c>
      <c r="AU405" s="7" t="str">
        <f t="shared" si="101"/>
        <v>None</v>
      </c>
      <c r="AV405" s="7" t="str">
        <f t="shared" si="102"/>
        <v/>
      </c>
      <c r="AW405" s="7" t="str">
        <f t="shared" si="103"/>
        <v/>
      </c>
      <c r="AX405" s="7" t="str">
        <f t="shared" si="104"/>
        <v/>
      </c>
      <c r="BB405" s="7" t="str">
        <f t="shared" si="95"/>
        <v/>
      </c>
      <c r="BC405" s="7" t="str">
        <f t="shared" si="105"/>
        <v>No</v>
      </c>
      <c r="BD405" s="7" t="s">
        <v>1986</v>
      </c>
      <c r="BF405" s="7" t="s">
        <v>2426</v>
      </c>
      <c r="BQ405" s="22"/>
      <c r="CD405" s="7" t="s">
        <v>361</v>
      </c>
      <c r="CH405" s="7" t="str">
        <f t="shared" si="106"/>
        <v/>
      </c>
    </row>
    <row r="406" spans="1:103">
      <c r="A406" s="7" t="s">
        <v>1656</v>
      </c>
      <c r="B406" s="7">
        <v>74</v>
      </c>
      <c r="C406" s="7" t="s">
        <v>146</v>
      </c>
      <c r="D406" s="7" t="s">
        <v>1957</v>
      </c>
      <c r="E406" s="7" t="s">
        <v>2425</v>
      </c>
      <c r="F406" s="7">
        <v>2030</v>
      </c>
      <c r="G406" s="7">
        <v>2015</v>
      </c>
      <c r="H406" s="8" t="s">
        <v>1657</v>
      </c>
      <c r="I406" s="24" t="str">
        <f t="shared" si="97"/>
        <v/>
      </c>
      <c r="L406" s="7" t="str">
        <f t="shared" si="98"/>
        <v/>
      </c>
      <c r="M406" s="21" t="str">
        <f t="shared" si="99"/>
        <v/>
      </c>
      <c r="N406" s="7" t="s">
        <v>1960</v>
      </c>
      <c r="T406" s="7" t="str">
        <f t="shared" si="100"/>
        <v/>
      </c>
      <c r="U406" s="7" t="s">
        <v>1969</v>
      </c>
      <c r="V406" s="7" t="s">
        <v>2424</v>
      </c>
      <c r="AD406" s="24">
        <v>97937</v>
      </c>
      <c r="AE406" s="7">
        <v>-8.9999999999999993E-3</v>
      </c>
      <c r="AF406" s="7" t="s">
        <v>2423</v>
      </c>
      <c r="AG406" s="7">
        <v>-0.156</v>
      </c>
      <c r="AH406" s="7" t="s">
        <v>2422</v>
      </c>
      <c r="AI406" s="7">
        <v>385000</v>
      </c>
      <c r="AJ406" s="7">
        <v>-4</v>
      </c>
      <c r="AK406" s="7">
        <v>26</v>
      </c>
      <c r="AL406" s="25" t="s">
        <v>431</v>
      </c>
      <c r="AN406" s="7" t="s">
        <v>1951</v>
      </c>
      <c r="AT406" s="7" t="str">
        <f t="shared" si="96"/>
        <v>CN</v>
      </c>
      <c r="AU406" s="7" t="str">
        <f t="shared" si="101"/>
        <v>CN</v>
      </c>
      <c r="AV406" s="7">
        <f t="shared" si="102"/>
        <v>2015</v>
      </c>
      <c r="AW406" s="7" t="str">
        <f t="shared" si="103"/>
        <v/>
      </c>
      <c r="AX406" s="7" t="str">
        <f t="shared" si="104"/>
        <v/>
      </c>
      <c r="BC406" s="7" t="str">
        <f t="shared" si="105"/>
        <v>Carbon Neutral</v>
      </c>
      <c r="BD406" s="7" t="s">
        <v>1</v>
      </c>
      <c r="BG406" s="7" t="s">
        <v>2421</v>
      </c>
      <c r="BQ406" s="22"/>
      <c r="CE406" s="7">
        <v>2030</v>
      </c>
      <c r="CH406" s="7" t="str">
        <f t="shared" si="106"/>
        <v/>
      </c>
    </row>
    <row r="407" spans="1:103">
      <c r="A407" s="7" t="s">
        <v>1592</v>
      </c>
      <c r="B407" s="7">
        <v>109</v>
      </c>
      <c r="I407" s="24" t="str">
        <f t="shared" si="97"/>
        <v/>
      </c>
      <c r="L407" s="7" t="str">
        <f t="shared" si="98"/>
        <v/>
      </c>
      <c r="M407" s="21" t="str">
        <f t="shared" si="99"/>
        <v/>
      </c>
      <c r="N407" s="7" t="s">
        <v>1960</v>
      </c>
      <c r="T407" s="7" t="str">
        <f t="shared" si="100"/>
        <v>Nothing</v>
      </c>
      <c r="U407" s="7" t="s">
        <v>1</v>
      </c>
      <c r="AD407" s="24">
        <v>80376</v>
      </c>
      <c r="AE407" s="7">
        <v>-0.10100000000000001</v>
      </c>
      <c r="AF407" s="7" t="s">
        <v>2420</v>
      </c>
      <c r="AG407" s="7">
        <v>-0.32500000000000001</v>
      </c>
      <c r="AH407" s="7" t="s">
        <v>2419</v>
      </c>
      <c r="AI407" s="7">
        <v>60049</v>
      </c>
      <c r="AJ407" s="7">
        <v>-21</v>
      </c>
      <c r="AK407" s="7">
        <v>25</v>
      </c>
      <c r="AT407" s="7" t="str">
        <f t="shared" si="96"/>
        <v>None</v>
      </c>
      <c r="AU407" s="7" t="str">
        <f t="shared" si="101"/>
        <v>None</v>
      </c>
      <c r="AV407" s="7" t="str">
        <f t="shared" si="102"/>
        <v/>
      </c>
      <c r="AW407" s="7" t="str">
        <f t="shared" si="103"/>
        <v/>
      </c>
      <c r="AX407" s="7" t="str">
        <f t="shared" si="104"/>
        <v/>
      </c>
      <c r="BB407" s="7" t="str">
        <f t="shared" ref="BB407:BB438" si="107">IF(BH407="","","Yes")</f>
        <v/>
      </c>
      <c r="BC407" s="7" t="str">
        <f t="shared" si="105"/>
        <v>No</v>
      </c>
      <c r="BD407" s="7" t="s">
        <v>1</v>
      </c>
      <c r="BQ407" s="22"/>
      <c r="CH407" s="7" t="str">
        <f t="shared" si="106"/>
        <v/>
      </c>
    </row>
    <row r="408" spans="1:103">
      <c r="A408" s="7" t="s">
        <v>989</v>
      </c>
      <c r="B408" s="7">
        <v>281</v>
      </c>
      <c r="I408" s="24" t="str">
        <f t="shared" si="97"/>
        <v/>
      </c>
      <c r="L408" s="7" t="str">
        <f t="shared" si="98"/>
        <v/>
      </c>
      <c r="M408" s="21" t="str">
        <f t="shared" si="99"/>
        <v/>
      </c>
      <c r="N408" s="7" t="s">
        <v>1960</v>
      </c>
      <c r="T408" s="7" t="str">
        <f t="shared" si="100"/>
        <v>Nothing</v>
      </c>
      <c r="U408" s="7" t="s">
        <v>1963</v>
      </c>
      <c r="AD408" s="24">
        <v>43122</v>
      </c>
      <c r="AE408" s="7">
        <v>-5.0999999999999997E-2</v>
      </c>
      <c r="AF408" s="7" t="s">
        <v>2418</v>
      </c>
      <c r="AG408" s="7">
        <v>-7.2999999999999995E-2</v>
      </c>
      <c r="AH408" s="7" t="s">
        <v>2417</v>
      </c>
      <c r="AI408" s="7">
        <v>146792</v>
      </c>
      <c r="AJ408" s="7">
        <v>-31</v>
      </c>
      <c r="AK408" s="7">
        <v>10</v>
      </c>
      <c r="AT408" s="7" t="str">
        <f t="shared" si="96"/>
        <v>None</v>
      </c>
      <c r="AU408" s="7" t="str">
        <f t="shared" si="101"/>
        <v>None</v>
      </c>
      <c r="AV408" s="7" t="str">
        <f t="shared" si="102"/>
        <v/>
      </c>
      <c r="AW408" s="7" t="str">
        <f t="shared" si="103"/>
        <v/>
      </c>
      <c r="AX408" s="7" t="str">
        <f t="shared" si="104"/>
        <v/>
      </c>
      <c r="BB408" s="7" t="str">
        <f t="shared" si="107"/>
        <v/>
      </c>
      <c r="BC408" s="7" t="str">
        <f t="shared" si="105"/>
        <v>No</v>
      </c>
      <c r="BD408" s="7" t="s">
        <v>1963</v>
      </c>
      <c r="BQ408" s="22"/>
      <c r="CH408" s="7" t="str">
        <f t="shared" si="106"/>
        <v/>
      </c>
    </row>
    <row r="409" spans="1:103">
      <c r="A409" s="7" t="s">
        <v>1887</v>
      </c>
      <c r="B409" s="7">
        <v>2</v>
      </c>
      <c r="H409" s="26" t="s">
        <v>2415</v>
      </c>
      <c r="I409" s="24" t="str">
        <f t="shared" si="97"/>
        <v/>
      </c>
      <c r="L409" s="7" t="str">
        <f t="shared" si="98"/>
        <v/>
      </c>
      <c r="M409" s="21" t="str">
        <f t="shared" si="99"/>
        <v/>
      </c>
      <c r="N409" s="7" t="s">
        <v>1960</v>
      </c>
      <c r="Q409" s="25"/>
      <c r="R409" s="25"/>
      <c r="T409" s="7" t="str">
        <f t="shared" si="100"/>
        <v>Nothing</v>
      </c>
      <c r="U409" s="7" t="s">
        <v>1</v>
      </c>
      <c r="X409" s="23" t="s">
        <v>2416</v>
      </c>
      <c r="Y409" s="25"/>
      <c r="Z409" s="25"/>
      <c r="AC409" s="26" t="s">
        <v>2415</v>
      </c>
      <c r="AD409" s="24">
        <v>407009</v>
      </c>
      <c r="AE409" s="7">
        <v>-1.7999999999999999E-2</v>
      </c>
      <c r="AF409" s="7" t="s">
        <v>2414</v>
      </c>
      <c r="AG409" s="7">
        <v>0.16200000000000001</v>
      </c>
      <c r="AH409" s="7" t="s">
        <v>2413</v>
      </c>
      <c r="AI409" s="7">
        <v>582648</v>
      </c>
      <c r="AJ409" s="7" t="s">
        <v>9</v>
      </c>
      <c r="AK409" s="7">
        <v>22</v>
      </c>
      <c r="AT409" s="7" t="str">
        <f t="shared" si="96"/>
        <v>None</v>
      </c>
      <c r="AU409" s="7" t="str">
        <f t="shared" si="101"/>
        <v>None</v>
      </c>
      <c r="AV409" s="7" t="str">
        <f t="shared" si="102"/>
        <v/>
      </c>
      <c r="AW409" s="7" t="str">
        <f t="shared" si="103"/>
        <v/>
      </c>
      <c r="AX409" s="7" t="str">
        <f t="shared" si="104"/>
        <v/>
      </c>
      <c r="BB409" s="7" t="str">
        <f t="shared" si="107"/>
        <v/>
      </c>
      <c r="BC409" s="7" t="str">
        <f t="shared" si="105"/>
        <v>No</v>
      </c>
      <c r="BD409" s="7" t="s">
        <v>1</v>
      </c>
      <c r="BE409" s="25"/>
      <c r="BF409" s="43" t="s">
        <v>2412</v>
      </c>
      <c r="BQ409" s="22"/>
      <c r="CH409" s="7" t="str">
        <f t="shared" si="106"/>
        <v/>
      </c>
    </row>
    <row r="410" spans="1:103">
      <c r="A410" s="7" t="s">
        <v>1267</v>
      </c>
      <c r="B410" s="7">
        <v>145</v>
      </c>
      <c r="I410" s="24" t="str">
        <f t="shared" si="97"/>
        <v/>
      </c>
      <c r="L410" s="7" t="str">
        <f t="shared" si="98"/>
        <v/>
      </c>
      <c r="M410" s="21" t="str">
        <f t="shared" si="99"/>
        <v/>
      </c>
      <c r="N410" s="7" t="s">
        <v>1960</v>
      </c>
      <c r="T410" s="7" t="str">
        <f t="shared" si="100"/>
        <v>Nothing</v>
      </c>
      <c r="U410" s="7" t="s">
        <v>1</v>
      </c>
      <c r="AD410" s="24">
        <v>70690</v>
      </c>
      <c r="AE410" s="7">
        <v>0.17899999999999999</v>
      </c>
      <c r="AF410" s="7" t="s">
        <v>2411</v>
      </c>
      <c r="AG410" s="7">
        <v>3.1E-2</v>
      </c>
      <c r="AH410" s="7" t="s">
        <v>2410</v>
      </c>
      <c r="AI410" s="7">
        <v>155622</v>
      </c>
      <c r="AJ410" s="7">
        <v>24</v>
      </c>
      <c r="AK410" s="7">
        <v>8</v>
      </c>
      <c r="AT410" s="7" t="str">
        <f t="shared" si="96"/>
        <v>None</v>
      </c>
      <c r="AU410" s="7" t="str">
        <f t="shared" si="101"/>
        <v>None</v>
      </c>
      <c r="AV410" s="7" t="str">
        <f t="shared" si="102"/>
        <v/>
      </c>
      <c r="AW410" s="7" t="str">
        <f t="shared" si="103"/>
        <v/>
      </c>
      <c r="AX410" s="7" t="str">
        <f t="shared" si="104"/>
        <v/>
      </c>
      <c r="BB410" s="7" t="str">
        <f t="shared" si="107"/>
        <v/>
      </c>
      <c r="BC410" s="7" t="str">
        <f t="shared" si="105"/>
        <v>No</v>
      </c>
      <c r="BD410" s="7" t="s">
        <v>1</v>
      </c>
      <c r="BQ410" s="22"/>
      <c r="CH410" s="7" t="str">
        <f t="shared" si="106"/>
        <v/>
      </c>
    </row>
    <row r="411" spans="1:103">
      <c r="A411" s="7" t="s">
        <v>1647</v>
      </c>
      <c r="B411" s="7">
        <v>97</v>
      </c>
      <c r="I411" s="24" t="str">
        <f t="shared" si="97"/>
        <v/>
      </c>
      <c r="L411" s="7" t="str">
        <f t="shared" si="98"/>
        <v/>
      </c>
      <c r="M411" s="21" t="str">
        <f t="shared" si="99"/>
        <v/>
      </c>
      <c r="N411" s="7" t="s">
        <v>1960</v>
      </c>
      <c r="T411" s="7" t="str">
        <f t="shared" si="100"/>
        <v>Nothing</v>
      </c>
      <c r="U411" s="7" t="s">
        <v>1</v>
      </c>
      <c r="AD411" s="24">
        <v>86163</v>
      </c>
      <c r="AE411" s="7">
        <v>-0.10199999999999999</v>
      </c>
      <c r="AF411" s="7" t="s">
        <v>2409</v>
      </c>
      <c r="AG411" s="7">
        <v>-0.69899999999999995</v>
      </c>
      <c r="AH411" s="7" t="s">
        <v>2408</v>
      </c>
      <c r="AI411" s="7">
        <v>108911</v>
      </c>
      <c r="AJ411" s="7">
        <v>-24</v>
      </c>
      <c r="AK411" s="7">
        <v>5</v>
      </c>
      <c r="AT411" s="7" t="str">
        <f t="shared" si="96"/>
        <v>None</v>
      </c>
      <c r="AU411" s="7" t="str">
        <f t="shared" si="101"/>
        <v>None</v>
      </c>
      <c r="AV411" s="7" t="str">
        <f t="shared" si="102"/>
        <v/>
      </c>
      <c r="AW411" s="7" t="str">
        <f t="shared" si="103"/>
        <v/>
      </c>
      <c r="AX411" s="7" t="str">
        <f t="shared" si="104"/>
        <v/>
      </c>
      <c r="BB411" s="7" t="str">
        <f t="shared" si="107"/>
        <v/>
      </c>
      <c r="BC411" s="7" t="str">
        <f t="shared" si="105"/>
        <v>No</v>
      </c>
      <c r="BD411" s="7" t="s">
        <v>1</v>
      </c>
      <c r="BQ411" s="22"/>
      <c r="CH411" s="7" t="str">
        <f t="shared" si="106"/>
        <v/>
      </c>
    </row>
    <row r="412" spans="1:103">
      <c r="A412" s="7" t="s">
        <v>2407</v>
      </c>
      <c r="B412" s="7">
        <v>318</v>
      </c>
      <c r="I412" s="24" t="str">
        <f t="shared" si="97"/>
        <v/>
      </c>
      <c r="L412" s="7" t="str">
        <f t="shared" si="98"/>
        <v/>
      </c>
      <c r="M412" s="21" t="str">
        <f t="shared" si="99"/>
        <v/>
      </c>
      <c r="N412" s="7" t="s">
        <v>1960</v>
      </c>
      <c r="T412" s="7" t="str">
        <f t="shared" si="100"/>
        <v>Nothing</v>
      </c>
      <c r="U412" s="7" t="s">
        <v>1963</v>
      </c>
      <c r="AC412" s="26" t="s">
        <v>2406</v>
      </c>
      <c r="AD412" s="24">
        <v>39308</v>
      </c>
      <c r="AE412" s="7" t="s">
        <v>9</v>
      </c>
      <c r="AF412" s="7" t="s">
        <v>2405</v>
      </c>
      <c r="AG412" s="7">
        <v>-6.3879999999999999</v>
      </c>
      <c r="AH412" s="7" t="s">
        <v>2404</v>
      </c>
      <c r="AI412" s="7">
        <v>276350</v>
      </c>
      <c r="AJ412" s="7">
        <v>8</v>
      </c>
      <c r="AK412" s="7">
        <v>26</v>
      </c>
      <c r="AT412" s="7" t="str">
        <f t="shared" si="96"/>
        <v>None</v>
      </c>
      <c r="AU412" s="7" t="str">
        <f t="shared" si="101"/>
        <v>None</v>
      </c>
      <c r="AV412" s="7" t="str">
        <f t="shared" si="102"/>
        <v/>
      </c>
      <c r="AW412" s="7" t="str">
        <f t="shared" si="103"/>
        <v/>
      </c>
      <c r="AX412" s="7" t="str">
        <f t="shared" si="104"/>
        <v/>
      </c>
      <c r="BB412" s="7" t="str">
        <f t="shared" si="107"/>
        <v/>
      </c>
      <c r="BC412" s="7" t="str">
        <f t="shared" si="105"/>
        <v>No</v>
      </c>
      <c r="BD412" s="7" t="s">
        <v>1963</v>
      </c>
      <c r="BF412" s="7" t="s">
        <v>2403</v>
      </c>
      <c r="BQ412" s="22"/>
      <c r="CH412" s="7" t="str">
        <f t="shared" si="106"/>
        <v/>
      </c>
    </row>
    <row r="413" spans="1:103">
      <c r="A413" s="36" t="s">
        <v>1249</v>
      </c>
      <c r="B413" s="36">
        <v>192</v>
      </c>
      <c r="C413" s="36" t="s">
        <v>63</v>
      </c>
      <c r="D413" s="36"/>
      <c r="E413" s="36"/>
      <c r="F413" s="36"/>
      <c r="G413" s="36"/>
      <c r="H413" s="42"/>
      <c r="I413" s="41" t="str">
        <f t="shared" si="97"/>
        <v/>
      </c>
      <c r="J413" s="36"/>
      <c r="K413" s="36"/>
      <c r="L413" s="36" t="str">
        <f t="shared" si="98"/>
        <v>C</v>
      </c>
      <c r="M413" s="40" t="str">
        <f t="shared" si="99"/>
        <v/>
      </c>
      <c r="N413" s="36">
        <v>2016</v>
      </c>
      <c r="O413" s="36"/>
      <c r="P413" s="36"/>
      <c r="Q413" s="36"/>
      <c r="R413" s="36"/>
      <c r="S413" s="36"/>
      <c r="T413" s="7" t="str">
        <f t="shared" si="100"/>
        <v>Nothing</v>
      </c>
      <c r="U413" s="36" t="s">
        <v>361</v>
      </c>
      <c r="V413" s="36" t="s">
        <v>2402</v>
      </c>
      <c r="W413" s="36"/>
      <c r="X413" s="36" t="s">
        <v>2401</v>
      </c>
      <c r="Y413" s="36"/>
      <c r="Z413" s="36"/>
      <c r="AA413" s="36"/>
      <c r="AB413" s="36"/>
      <c r="AC413" s="39" t="s">
        <v>2400</v>
      </c>
      <c r="AD413" s="24">
        <v>56852</v>
      </c>
      <c r="AE413" s="7">
        <v>-2.5999999999999999E-2</v>
      </c>
      <c r="AF413" s="7" t="s">
        <v>2399</v>
      </c>
      <c r="AG413" s="7">
        <v>-0.20300000000000001</v>
      </c>
      <c r="AH413" s="7" t="s">
        <v>2398</v>
      </c>
      <c r="AI413" s="7">
        <v>129586</v>
      </c>
      <c r="AJ413" s="7">
        <v>-18</v>
      </c>
      <c r="AK413" s="7">
        <v>24</v>
      </c>
      <c r="AL413" s="7" t="s">
        <v>93</v>
      </c>
      <c r="AN413" s="7" t="s">
        <v>1951</v>
      </c>
      <c r="AT413" s="36" t="str">
        <f t="shared" si="96"/>
        <v>CN &amp; SBT</v>
      </c>
      <c r="AU413" s="36" t="str">
        <f t="shared" si="101"/>
        <v>CN &amp; SBT</v>
      </c>
      <c r="AV413" s="36">
        <f t="shared" si="102"/>
        <v>0</v>
      </c>
      <c r="AW413" s="36">
        <f t="shared" si="103"/>
        <v>2016</v>
      </c>
      <c r="AX413" s="36" t="str">
        <f t="shared" si="104"/>
        <v/>
      </c>
      <c r="AY413" s="36"/>
      <c r="AZ413" s="36"/>
      <c r="BA413" s="36"/>
      <c r="BB413" s="36" t="str">
        <f t="shared" si="107"/>
        <v>Yes</v>
      </c>
      <c r="BC413" s="36" t="str">
        <f t="shared" si="105"/>
        <v>Carbon Neutral</v>
      </c>
      <c r="BD413" s="36" t="s">
        <v>1</v>
      </c>
      <c r="BE413" s="36"/>
      <c r="BF413" s="38" t="s">
        <v>2397</v>
      </c>
      <c r="BG413" s="36"/>
      <c r="BH413" s="36" t="s">
        <v>165</v>
      </c>
      <c r="BI413" s="36"/>
      <c r="BJ413" s="36" t="s">
        <v>941</v>
      </c>
      <c r="BK413" s="36"/>
      <c r="BL413" s="36"/>
      <c r="BM413" s="36"/>
      <c r="BN413" s="36"/>
      <c r="BO413" s="36"/>
      <c r="BP413" s="36"/>
      <c r="BQ413" s="22"/>
      <c r="BR413" s="36"/>
      <c r="BS413" s="36"/>
      <c r="BT413" s="36"/>
      <c r="BU413" s="36"/>
      <c r="BV413" s="36"/>
      <c r="BW413" s="36"/>
      <c r="BX413" s="36"/>
      <c r="BY413" s="36"/>
      <c r="BZ413" s="36"/>
      <c r="CA413" s="36"/>
      <c r="CB413" s="36"/>
      <c r="CC413" s="36"/>
      <c r="CD413" s="36" t="s">
        <v>361</v>
      </c>
      <c r="CE413" s="36"/>
      <c r="CF413" s="37"/>
      <c r="CG413" s="36"/>
      <c r="CH413" s="36" t="str">
        <f t="shared" si="106"/>
        <v/>
      </c>
      <c r="CI413" s="36"/>
      <c r="CJ413" s="36"/>
      <c r="CK413" s="36"/>
      <c r="CL413" s="36"/>
      <c r="CM413" s="36"/>
      <c r="CN413" s="36"/>
      <c r="CO413" s="36"/>
      <c r="CP413" s="36"/>
      <c r="CQ413" s="36"/>
      <c r="CR413" s="36"/>
      <c r="CS413" s="36"/>
      <c r="CT413" s="36"/>
      <c r="CU413" s="36"/>
      <c r="CV413" s="36"/>
      <c r="CW413" s="36"/>
      <c r="CX413" s="36"/>
      <c r="CY413" s="36"/>
    </row>
    <row r="414" spans="1:103">
      <c r="A414" s="7" t="s">
        <v>1548</v>
      </c>
      <c r="B414" s="7">
        <v>94</v>
      </c>
      <c r="I414" s="24" t="str">
        <f t="shared" si="97"/>
        <v/>
      </c>
      <c r="L414" s="7" t="str">
        <f t="shared" si="98"/>
        <v/>
      </c>
      <c r="M414" s="21" t="str">
        <f t="shared" si="99"/>
        <v/>
      </c>
      <c r="N414" s="7" t="s">
        <v>1960</v>
      </c>
      <c r="T414" s="7" t="str">
        <f t="shared" si="100"/>
        <v>Nothing</v>
      </c>
      <c r="U414" s="7" t="s">
        <v>1</v>
      </c>
      <c r="AD414" s="24">
        <v>87440</v>
      </c>
      <c r="AE414" s="7">
        <v>0.01</v>
      </c>
      <c r="AF414" s="7" t="s">
        <v>2396</v>
      </c>
      <c r="AG414" s="7">
        <v>-1.6950000000000001</v>
      </c>
      <c r="AH414" s="7" t="s">
        <v>2395</v>
      </c>
      <c r="AI414" s="7">
        <v>80909</v>
      </c>
      <c r="AJ414" s="7">
        <v>4</v>
      </c>
      <c r="AK414" s="7">
        <v>13</v>
      </c>
      <c r="AT414" s="7" t="str">
        <f t="shared" si="96"/>
        <v>None</v>
      </c>
      <c r="AU414" s="7" t="str">
        <f t="shared" si="101"/>
        <v>None</v>
      </c>
      <c r="AV414" s="7" t="str">
        <f t="shared" si="102"/>
        <v/>
      </c>
      <c r="AW414" s="7" t="str">
        <f t="shared" si="103"/>
        <v/>
      </c>
      <c r="AX414" s="7" t="str">
        <f t="shared" si="104"/>
        <v/>
      </c>
      <c r="BB414" s="7" t="str">
        <f t="shared" si="107"/>
        <v/>
      </c>
      <c r="BC414" s="7" t="str">
        <f t="shared" si="105"/>
        <v>No</v>
      </c>
      <c r="BD414" s="7" t="s">
        <v>1</v>
      </c>
      <c r="BQ414" s="22"/>
      <c r="CH414" s="7" t="str">
        <f t="shared" si="106"/>
        <v/>
      </c>
    </row>
    <row r="415" spans="1:103">
      <c r="A415" s="7" t="s">
        <v>584</v>
      </c>
      <c r="B415" s="7">
        <v>363</v>
      </c>
      <c r="C415" s="7" t="s">
        <v>207</v>
      </c>
      <c r="G415" s="7">
        <v>2012</v>
      </c>
      <c r="I415" s="24" t="str">
        <f t="shared" si="97"/>
        <v/>
      </c>
      <c r="L415" s="7" t="str">
        <f t="shared" si="98"/>
        <v>C</v>
      </c>
      <c r="M415" s="21" t="str">
        <f t="shared" si="99"/>
        <v/>
      </c>
      <c r="N415" s="7">
        <v>2018</v>
      </c>
      <c r="T415" s="7" t="str">
        <f t="shared" si="100"/>
        <v>Nothing</v>
      </c>
      <c r="U415" s="7" t="s">
        <v>1963</v>
      </c>
      <c r="W415"/>
      <c r="AC415" s="26" t="s">
        <v>2394</v>
      </c>
      <c r="AD415" s="24">
        <v>34587</v>
      </c>
      <c r="AE415" s="7">
        <v>5.2999999999999999E-2</v>
      </c>
      <c r="AF415" s="7" t="s">
        <v>2393</v>
      </c>
      <c r="AG415" s="7">
        <v>-0.14799999999999999</v>
      </c>
      <c r="AH415" s="7" t="s">
        <v>2392</v>
      </c>
      <c r="AI415" s="7">
        <v>47535</v>
      </c>
      <c r="AJ415" s="7">
        <v>14</v>
      </c>
      <c r="AK415" s="7">
        <v>24</v>
      </c>
      <c r="AL415" s="7" t="s">
        <v>93</v>
      </c>
      <c r="AN415" s="7" t="s">
        <v>1994</v>
      </c>
      <c r="AT415" s="7" t="str">
        <f t="shared" si="96"/>
        <v>SBT</v>
      </c>
      <c r="AU415" s="7" t="str">
        <f t="shared" si="101"/>
        <v>SBT</v>
      </c>
      <c r="AV415" s="7" t="str">
        <f t="shared" si="102"/>
        <v/>
      </c>
      <c r="AW415" s="7">
        <f t="shared" si="103"/>
        <v>2018</v>
      </c>
      <c r="AX415" s="7" t="str">
        <f t="shared" si="104"/>
        <v/>
      </c>
      <c r="BB415" s="7" t="str">
        <f t="shared" si="107"/>
        <v>Yes</v>
      </c>
      <c r="BC415" s="7" t="str">
        <f t="shared" si="105"/>
        <v>No</v>
      </c>
      <c r="BD415" s="7" t="s">
        <v>1963</v>
      </c>
      <c r="BF415" s="7" t="s">
        <v>2391</v>
      </c>
      <c r="BH415" s="7" t="s">
        <v>165</v>
      </c>
      <c r="BJ415" s="7" t="s">
        <v>585</v>
      </c>
      <c r="BQ415" s="22"/>
      <c r="CH415" s="7" t="str">
        <f t="shared" si="106"/>
        <v/>
      </c>
      <c r="CW415" s="7" t="s">
        <v>361</v>
      </c>
    </row>
    <row r="416" spans="1:103">
      <c r="A416" s="7" t="s">
        <v>1460</v>
      </c>
      <c r="B416" s="7">
        <v>122</v>
      </c>
      <c r="C416" s="7" t="s">
        <v>207</v>
      </c>
      <c r="F416" s="7">
        <v>2050</v>
      </c>
      <c r="G416" s="7">
        <v>2010</v>
      </c>
      <c r="H416" s="8" t="s">
        <v>1462</v>
      </c>
      <c r="I416" s="24" t="str">
        <f t="shared" si="97"/>
        <v>Yes</v>
      </c>
      <c r="J416" s="7">
        <v>2040</v>
      </c>
      <c r="K416" s="7">
        <v>2018</v>
      </c>
      <c r="L416" s="7" t="str">
        <f t="shared" si="98"/>
        <v>T</v>
      </c>
      <c r="M416" s="21">
        <f t="shared" si="99"/>
        <v>2020</v>
      </c>
      <c r="N416" s="7">
        <v>2015</v>
      </c>
      <c r="O416" s="7" t="s">
        <v>1971</v>
      </c>
      <c r="P416" s="7" t="s">
        <v>2390</v>
      </c>
      <c r="Q416" s="7">
        <v>2050</v>
      </c>
      <c r="R416" s="7">
        <v>2010</v>
      </c>
      <c r="S416" s="8" t="s">
        <v>1462</v>
      </c>
      <c r="T416" s="7" t="str">
        <f t="shared" si="100"/>
        <v/>
      </c>
      <c r="U416" s="7" t="s">
        <v>2080</v>
      </c>
      <c r="V416" s="7" t="s">
        <v>2389</v>
      </c>
      <c r="Z416" s="7" t="s">
        <v>2388</v>
      </c>
      <c r="AB416" s="8" t="s">
        <v>1462</v>
      </c>
      <c r="AD416" s="24">
        <v>75972</v>
      </c>
      <c r="AE416" s="7">
        <v>-2.8000000000000001E-2</v>
      </c>
      <c r="AF416" s="7" t="s">
        <v>2387</v>
      </c>
      <c r="AG416" s="7">
        <v>-0.35199999999999998</v>
      </c>
      <c r="AH416" s="7" t="s">
        <v>2386</v>
      </c>
      <c r="AI416" s="7">
        <v>111700</v>
      </c>
      <c r="AJ416" s="7">
        <v>-6</v>
      </c>
      <c r="AK416" s="7">
        <v>26</v>
      </c>
      <c r="AL416" s="7" t="s">
        <v>39</v>
      </c>
      <c r="AN416" s="7" t="s">
        <v>1994</v>
      </c>
      <c r="AT416" s="7" t="s">
        <v>2385</v>
      </c>
      <c r="AU416" s="7" t="str">
        <f t="shared" si="101"/>
        <v>SBT</v>
      </c>
      <c r="AV416" s="7" t="str">
        <f t="shared" si="102"/>
        <v/>
      </c>
      <c r="AW416" s="7">
        <f t="shared" si="103"/>
        <v>2015</v>
      </c>
      <c r="AX416" s="7" t="str">
        <f t="shared" si="104"/>
        <v/>
      </c>
      <c r="BB416" s="7" t="str">
        <f t="shared" si="107"/>
        <v>Yes</v>
      </c>
      <c r="BC416" s="7" t="str">
        <f t="shared" si="105"/>
        <v>No</v>
      </c>
      <c r="BD416" s="7" t="s">
        <v>1969</v>
      </c>
      <c r="BG416" s="7" t="s">
        <v>2384</v>
      </c>
      <c r="BH416" s="7" t="s">
        <v>22</v>
      </c>
      <c r="BI416" s="7" t="s">
        <v>2040</v>
      </c>
      <c r="BJ416" s="7" t="s">
        <v>1156</v>
      </c>
      <c r="BM416" s="7" t="s">
        <v>1461</v>
      </c>
      <c r="BN416" s="7">
        <v>2020</v>
      </c>
      <c r="BQ416" s="22"/>
      <c r="CD416" s="7" t="s">
        <v>361</v>
      </c>
      <c r="CE416" s="7">
        <v>2050</v>
      </c>
      <c r="CG416" s="7" t="s">
        <v>207</v>
      </c>
      <c r="CH416" s="7" t="str">
        <f t="shared" si="106"/>
        <v/>
      </c>
      <c r="CI416" s="7" t="s">
        <v>2383</v>
      </c>
      <c r="CJ416" s="7">
        <v>0.05</v>
      </c>
      <c r="CK416" s="7">
        <v>0.05</v>
      </c>
      <c r="CL416" s="7" t="s">
        <v>13</v>
      </c>
      <c r="CM416" s="7" t="s">
        <v>13</v>
      </c>
      <c r="CN416" s="7" t="s">
        <v>13</v>
      </c>
      <c r="CO416" s="7" t="s">
        <v>2174</v>
      </c>
      <c r="CX416" s="7" t="s">
        <v>361</v>
      </c>
    </row>
    <row r="417" spans="1:103">
      <c r="A417" s="36" t="s">
        <v>2382</v>
      </c>
      <c r="B417" s="7">
        <v>478</v>
      </c>
      <c r="C417" s="7" t="s">
        <v>127</v>
      </c>
      <c r="H417" s="8" t="s">
        <v>2379</v>
      </c>
      <c r="I417" s="24" t="str">
        <f t="shared" si="97"/>
        <v>Yes</v>
      </c>
      <c r="J417" s="7">
        <v>2020</v>
      </c>
      <c r="K417" s="7">
        <v>2015</v>
      </c>
      <c r="L417" s="7" t="str">
        <f t="shared" si="98"/>
        <v>C</v>
      </c>
      <c r="M417" s="21" t="str">
        <f t="shared" si="99"/>
        <v/>
      </c>
      <c r="N417" s="7">
        <v>2020</v>
      </c>
      <c r="T417" s="7" t="str">
        <f t="shared" si="100"/>
        <v>Nothing</v>
      </c>
      <c r="U417" s="7" t="s">
        <v>1</v>
      </c>
      <c r="X417" s="7" t="s">
        <v>2381</v>
      </c>
      <c r="Z417" s="23" t="s">
        <v>2380</v>
      </c>
      <c r="AB417" s="8" t="s">
        <v>2379</v>
      </c>
      <c r="AD417" s="24">
        <v>26509</v>
      </c>
      <c r="AE417" s="7">
        <v>7.1999999999999995E-2</v>
      </c>
      <c r="AF417" s="7" t="s">
        <v>2378</v>
      </c>
      <c r="AG417" s="7">
        <v>-0.20300000000000001</v>
      </c>
      <c r="AH417" s="7" t="s">
        <v>2377</v>
      </c>
      <c r="AI417" s="7">
        <v>346000</v>
      </c>
      <c r="AJ417" s="7" t="s">
        <v>9</v>
      </c>
      <c r="AK417" s="7">
        <v>1</v>
      </c>
      <c r="AL417" s="7" t="s">
        <v>23</v>
      </c>
      <c r="AN417" s="7" t="s">
        <v>2029</v>
      </c>
      <c r="AT417" s="7" t="str">
        <f t="shared" ref="AT417:AT448" si="108">IF(OR(BC417="Carbon Neutral",BC417="No - but post-2030 commitment"),IF((OR(BH417="Committed",BH417="Targets Set")),IF(J417="", "CN &amp; SBT","CN, SBT &amp; RE100"),IF(CH417="","CN","CN &amp; RE100")),IF((OR(BH417="Committed",BH417="Targets Set")),IF(CH417="", "SBT","SBT &amp; RE100"),IF(CH417="","None","RE100")))</f>
        <v>SBT &amp; RE100</v>
      </c>
      <c r="AU417" s="7" t="str">
        <f t="shared" si="101"/>
        <v>SBT &amp; RE100</v>
      </c>
      <c r="AV417" s="7" t="str">
        <f t="shared" si="102"/>
        <v/>
      </c>
      <c r="AW417" s="7">
        <f t="shared" si="103"/>
        <v>2020</v>
      </c>
      <c r="AX417" s="7">
        <f t="shared" si="104"/>
        <v>2015</v>
      </c>
      <c r="BB417" s="7" t="str">
        <f t="shared" si="107"/>
        <v>Yes</v>
      </c>
      <c r="BC417" s="7" t="str">
        <f t="shared" si="105"/>
        <v>No</v>
      </c>
      <c r="BD417" s="7" t="s">
        <v>1</v>
      </c>
      <c r="BF417" s="7" t="s">
        <v>2376</v>
      </c>
      <c r="BG417" s="7" t="s">
        <v>2376</v>
      </c>
      <c r="BH417" s="7" t="s">
        <v>165</v>
      </c>
      <c r="BJ417" s="7" t="s">
        <v>2375</v>
      </c>
      <c r="BQ417" s="22"/>
      <c r="CD417" s="7" t="s">
        <v>361</v>
      </c>
      <c r="CG417" s="7" t="s">
        <v>2027</v>
      </c>
      <c r="CH417" s="7" t="str">
        <f t="shared" si="106"/>
        <v>yes</v>
      </c>
      <c r="CI417" s="7" t="s">
        <v>13</v>
      </c>
      <c r="CJ417" s="7">
        <v>0.76</v>
      </c>
      <c r="CK417" s="7">
        <v>0.62</v>
      </c>
      <c r="CL417" s="7">
        <v>1</v>
      </c>
      <c r="CM417" s="7">
        <v>1</v>
      </c>
      <c r="CN417" s="7">
        <v>0.59</v>
      </c>
      <c r="CO417" s="7" t="s">
        <v>2039</v>
      </c>
      <c r="CQ417" s="7" t="s">
        <v>2311</v>
      </c>
      <c r="CR417" s="27" t="s">
        <v>2374</v>
      </c>
      <c r="CX417" s="7" t="s">
        <v>361</v>
      </c>
    </row>
    <row r="418" spans="1:103">
      <c r="A418" s="7" t="s">
        <v>1033</v>
      </c>
      <c r="B418" s="7">
        <v>221</v>
      </c>
      <c r="C418" s="7" t="s">
        <v>87</v>
      </c>
      <c r="D418" s="7" t="s">
        <v>1957</v>
      </c>
      <c r="E418" s="7" t="s">
        <v>2373</v>
      </c>
      <c r="F418" s="7">
        <v>2030</v>
      </c>
      <c r="G418" s="7">
        <v>2018</v>
      </c>
      <c r="H418" s="27" t="s">
        <v>2372</v>
      </c>
      <c r="I418" s="24" t="str">
        <f t="shared" si="97"/>
        <v/>
      </c>
      <c r="L418" s="7" t="str">
        <f t="shared" si="98"/>
        <v/>
      </c>
      <c r="M418" s="21" t="str">
        <f t="shared" si="99"/>
        <v/>
      </c>
      <c r="N418" s="7" t="s">
        <v>1960</v>
      </c>
      <c r="T418" s="7" t="str">
        <f t="shared" si="100"/>
        <v/>
      </c>
      <c r="U418" s="7" t="s">
        <v>1969</v>
      </c>
      <c r="AD418" s="24">
        <v>51091</v>
      </c>
      <c r="AE418" s="7">
        <v>0.08</v>
      </c>
      <c r="AF418" s="7" t="s">
        <v>2371</v>
      </c>
      <c r="AG418" s="7">
        <v>7.4790000000000001</v>
      </c>
      <c r="AH418" s="7" t="s">
        <v>2370</v>
      </c>
      <c r="AI418" s="7">
        <v>249448</v>
      </c>
      <c r="AJ418" s="7">
        <v>15</v>
      </c>
      <c r="AK418" s="7">
        <v>15</v>
      </c>
      <c r="AN418" s="7" t="s">
        <v>1994</v>
      </c>
      <c r="AT418" s="7" t="str">
        <f t="shared" si="108"/>
        <v>CN</v>
      </c>
      <c r="AU418" s="7" t="str">
        <f t="shared" si="101"/>
        <v>CN</v>
      </c>
      <c r="AV418" s="7">
        <f t="shared" si="102"/>
        <v>2018</v>
      </c>
      <c r="AW418" s="7" t="str">
        <f t="shared" si="103"/>
        <v/>
      </c>
      <c r="AX418" s="7" t="str">
        <f t="shared" si="104"/>
        <v/>
      </c>
      <c r="BB418" s="7" t="str">
        <f t="shared" si="107"/>
        <v/>
      </c>
      <c r="BC418" s="7" t="str">
        <f t="shared" si="105"/>
        <v>Carbon Neutral</v>
      </c>
      <c r="BD418" s="7" t="s">
        <v>1</v>
      </c>
      <c r="BQ418" s="22"/>
      <c r="CE418" s="7">
        <v>2030</v>
      </c>
      <c r="CH418" s="7" t="str">
        <f t="shared" si="106"/>
        <v/>
      </c>
    </row>
    <row r="419" spans="1:103">
      <c r="A419" s="7" t="s">
        <v>2369</v>
      </c>
      <c r="B419" s="7">
        <v>114</v>
      </c>
      <c r="I419" s="24" t="str">
        <f t="shared" si="97"/>
        <v/>
      </c>
      <c r="L419" s="7" t="str">
        <f t="shared" si="98"/>
        <v/>
      </c>
      <c r="M419" s="21" t="str">
        <f t="shared" si="99"/>
        <v/>
      </c>
      <c r="N419" s="7" t="s">
        <v>1960</v>
      </c>
      <c r="T419" s="7" t="str">
        <f t="shared" si="100"/>
        <v>Nothing</v>
      </c>
      <c r="U419" s="7" t="s">
        <v>1</v>
      </c>
      <c r="AD419" s="24">
        <v>79395</v>
      </c>
      <c r="AE419" s="7">
        <v>-2.9000000000000001E-2</v>
      </c>
      <c r="AF419" s="7" t="s">
        <v>2368</v>
      </c>
      <c r="AG419" s="7">
        <v>-0.36399999999999999</v>
      </c>
      <c r="AH419" s="7" t="s">
        <v>2367</v>
      </c>
      <c r="AI419" s="7">
        <v>57672</v>
      </c>
      <c r="AJ419" s="7">
        <v>-6</v>
      </c>
      <c r="AK419" s="7">
        <v>26</v>
      </c>
      <c r="AT419" s="7" t="str">
        <f t="shared" si="108"/>
        <v>None</v>
      </c>
      <c r="AU419" s="7" t="str">
        <f t="shared" si="101"/>
        <v>None</v>
      </c>
      <c r="AV419" s="7" t="str">
        <f t="shared" si="102"/>
        <v/>
      </c>
      <c r="AW419" s="7" t="str">
        <f t="shared" si="103"/>
        <v/>
      </c>
      <c r="AX419" s="7" t="str">
        <f t="shared" si="104"/>
        <v/>
      </c>
      <c r="BB419" s="7" t="str">
        <f t="shared" si="107"/>
        <v/>
      </c>
      <c r="BC419" s="7" t="str">
        <f t="shared" si="105"/>
        <v>No</v>
      </c>
      <c r="BD419" s="7" t="s">
        <v>1</v>
      </c>
      <c r="BQ419" s="22"/>
      <c r="CH419" s="7" t="str">
        <f t="shared" si="106"/>
        <v/>
      </c>
      <c r="CY419" s="7" t="s">
        <v>361</v>
      </c>
    </row>
    <row r="420" spans="1:103">
      <c r="A420" s="7" t="s">
        <v>1877</v>
      </c>
      <c r="B420" s="7">
        <v>3</v>
      </c>
      <c r="H420" s="26" t="s">
        <v>2365</v>
      </c>
      <c r="I420" s="24" t="str">
        <f t="shared" si="97"/>
        <v/>
      </c>
      <c r="L420" s="7" t="str">
        <f t="shared" si="98"/>
        <v/>
      </c>
      <c r="M420" s="21" t="str">
        <f t="shared" si="99"/>
        <v/>
      </c>
      <c r="N420" s="7" t="s">
        <v>1960</v>
      </c>
      <c r="T420" s="7" t="str">
        <f t="shared" si="100"/>
        <v>Nothing</v>
      </c>
      <c r="U420" s="7" t="s">
        <v>1</v>
      </c>
      <c r="X420" s="23" t="s">
        <v>2366</v>
      </c>
      <c r="AC420" s="26" t="s">
        <v>2365</v>
      </c>
      <c r="AD420" s="24">
        <v>383906</v>
      </c>
      <c r="AE420" s="7">
        <v>-8.0000000000000002E-3</v>
      </c>
      <c r="AF420" s="7" t="s">
        <v>2364</v>
      </c>
      <c r="AG420" s="7">
        <v>-2.5000000000000001E-2</v>
      </c>
      <c r="AH420" s="7" t="s">
        <v>2363</v>
      </c>
      <c r="AI420" s="7">
        <v>907677</v>
      </c>
      <c r="AJ420" s="7">
        <v>2</v>
      </c>
      <c r="AK420" s="7">
        <v>20</v>
      </c>
      <c r="AT420" s="7" t="str">
        <f t="shared" si="108"/>
        <v>None</v>
      </c>
      <c r="AU420" s="7" t="str">
        <f t="shared" si="101"/>
        <v>None</v>
      </c>
      <c r="AV420" s="7" t="str">
        <f t="shared" si="102"/>
        <v/>
      </c>
      <c r="AW420" s="7" t="str">
        <f t="shared" si="103"/>
        <v/>
      </c>
      <c r="AX420" s="7" t="str">
        <f t="shared" si="104"/>
        <v/>
      </c>
      <c r="BB420" s="7" t="str">
        <f t="shared" si="107"/>
        <v/>
      </c>
      <c r="BC420" s="7" t="str">
        <f t="shared" si="105"/>
        <v>No</v>
      </c>
      <c r="BD420" s="7" t="s">
        <v>1</v>
      </c>
      <c r="BF420" s="7" t="s">
        <v>2362</v>
      </c>
      <c r="BQ420" s="22"/>
      <c r="CH420" s="7" t="str">
        <f t="shared" si="106"/>
        <v/>
      </c>
    </row>
    <row r="421" spans="1:103">
      <c r="A421" s="7" t="s">
        <v>630</v>
      </c>
      <c r="B421" s="7">
        <v>316</v>
      </c>
      <c r="I421" s="24" t="str">
        <f t="shared" si="97"/>
        <v/>
      </c>
      <c r="L421" s="7" t="str">
        <f t="shared" si="98"/>
        <v/>
      </c>
      <c r="M421" s="21" t="str">
        <f t="shared" si="99"/>
        <v/>
      </c>
      <c r="N421" s="7" t="s">
        <v>1960</v>
      </c>
      <c r="T421" s="7" t="str">
        <f t="shared" si="100"/>
        <v>Nothing</v>
      </c>
      <c r="U421" s="7" t="s">
        <v>1963</v>
      </c>
      <c r="AC421" s="26" t="s">
        <v>2361</v>
      </c>
      <c r="AD421" s="24">
        <v>39407</v>
      </c>
      <c r="AE421" s="7">
        <v>0.151</v>
      </c>
      <c r="AF421" s="7" t="s">
        <v>2360</v>
      </c>
      <c r="AG421" s="7">
        <v>5.1999999999999998E-2</v>
      </c>
      <c r="AH421" s="7" t="s">
        <v>2359</v>
      </c>
      <c r="AI421" s="7">
        <v>123010</v>
      </c>
      <c r="AJ421" s="7">
        <v>46</v>
      </c>
      <c r="AK421" s="7">
        <v>9</v>
      </c>
      <c r="AT421" s="7" t="str">
        <f t="shared" si="108"/>
        <v>None</v>
      </c>
      <c r="AU421" s="7" t="str">
        <f t="shared" si="101"/>
        <v>None</v>
      </c>
      <c r="AV421" s="7" t="str">
        <f t="shared" si="102"/>
        <v/>
      </c>
      <c r="AW421" s="7" t="str">
        <f t="shared" si="103"/>
        <v/>
      </c>
      <c r="AX421" s="7" t="str">
        <f t="shared" si="104"/>
        <v/>
      </c>
      <c r="BB421" s="7" t="str">
        <f t="shared" si="107"/>
        <v/>
      </c>
      <c r="BC421" s="7" t="str">
        <f t="shared" si="105"/>
        <v>No</v>
      </c>
      <c r="BD421" s="7" t="s">
        <v>1963</v>
      </c>
      <c r="BF421" s="7" t="s">
        <v>2358</v>
      </c>
      <c r="BQ421" s="22"/>
      <c r="CH421" s="7" t="str">
        <f t="shared" si="106"/>
        <v/>
      </c>
      <c r="CW421" s="7" t="s">
        <v>361</v>
      </c>
    </row>
    <row r="422" spans="1:103">
      <c r="A422" s="7" t="s">
        <v>2357</v>
      </c>
      <c r="B422" s="7">
        <v>383</v>
      </c>
      <c r="I422" s="24" t="str">
        <f t="shared" si="97"/>
        <v/>
      </c>
      <c r="L422" s="7" t="str">
        <f t="shared" si="98"/>
        <v/>
      </c>
      <c r="M422" s="21" t="str">
        <f t="shared" si="99"/>
        <v/>
      </c>
      <c r="N422" s="7" t="s">
        <v>1960</v>
      </c>
      <c r="T422" s="7" t="str">
        <f t="shared" si="100"/>
        <v>Nothing</v>
      </c>
      <c r="U422" s="7" t="s">
        <v>1963</v>
      </c>
      <c r="AD422" s="24">
        <v>32897</v>
      </c>
      <c r="AE422" s="7">
        <v>0.191</v>
      </c>
      <c r="AF422" s="7" t="s">
        <v>2356</v>
      </c>
      <c r="AG422" s="7">
        <v>0.53300000000000003</v>
      </c>
      <c r="AH422" s="7" t="s">
        <v>2355</v>
      </c>
      <c r="AI422" s="7">
        <v>2012</v>
      </c>
      <c r="AJ422" s="7">
        <v>66</v>
      </c>
      <c r="AK422" s="7">
        <v>10</v>
      </c>
      <c r="AT422" s="7" t="str">
        <f t="shared" si="108"/>
        <v>None</v>
      </c>
      <c r="AU422" s="7" t="str">
        <f t="shared" si="101"/>
        <v>None</v>
      </c>
      <c r="AV422" s="7" t="str">
        <f t="shared" si="102"/>
        <v/>
      </c>
      <c r="AW422" s="7" t="str">
        <f t="shared" si="103"/>
        <v/>
      </c>
      <c r="AX422" s="7" t="str">
        <f t="shared" si="104"/>
        <v/>
      </c>
      <c r="BB422" s="7" t="str">
        <f t="shared" si="107"/>
        <v/>
      </c>
      <c r="BC422" s="7" t="str">
        <f t="shared" si="105"/>
        <v>No</v>
      </c>
      <c r="BD422" s="7" t="s">
        <v>1963</v>
      </c>
      <c r="BQ422" s="22"/>
      <c r="CH422" s="7" t="str">
        <f t="shared" si="106"/>
        <v/>
      </c>
    </row>
    <row r="423" spans="1:103">
      <c r="A423" s="7" t="s">
        <v>308</v>
      </c>
      <c r="B423" s="7">
        <v>405</v>
      </c>
      <c r="I423" s="24" t="str">
        <f t="shared" si="97"/>
        <v/>
      </c>
      <c r="L423" s="7" t="str">
        <f t="shared" si="98"/>
        <v/>
      </c>
      <c r="M423" s="21" t="str">
        <f t="shared" si="99"/>
        <v/>
      </c>
      <c r="N423" s="7" t="s">
        <v>1960</v>
      </c>
      <c r="T423" s="7" t="str">
        <f t="shared" si="100"/>
        <v>Nothing</v>
      </c>
      <c r="U423" s="7" t="s">
        <v>1963</v>
      </c>
      <c r="AC423" s="26" t="s">
        <v>2354</v>
      </c>
      <c r="AD423" s="24">
        <v>30758</v>
      </c>
      <c r="AE423" s="7">
        <v>8.1000000000000003E-2</v>
      </c>
      <c r="AF423" s="7" t="s">
        <v>2353</v>
      </c>
      <c r="AG423" s="7">
        <v>0.1</v>
      </c>
      <c r="AH423" s="7" t="s">
        <v>2352</v>
      </c>
      <c r="AI423" s="7">
        <v>35045</v>
      </c>
      <c r="AJ423" s="7">
        <v>35</v>
      </c>
      <c r="AK423" s="7">
        <v>18</v>
      </c>
      <c r="AT423" s="7" t="str">
        <f t="shared" si="108"/>
        <v>None</v>
      </c>
      <c r="AU423" s="7" t="str">
        <f t="shared" si="101"/>
        <v>None</v>
      </c>
      <c r="AV423" s="7" t="str">
        <f t="shared" si="102"/>
        <v/>
      </c>
      <c r="AW423" s="7" t="str">
        <f t="shared" si="103"/>
        <v/>
      </c>
      <c r="AX423" s="7" t="str">
        <f t="shared" si="104"/>
        <v/>
      </c>
      <c r="BB423" s="7" t="str">
        <f t="shared" si="107"/>
        <v/>
      </c>
      <c r="BC423" s="7" t="str">
        <f t="shared" si="105"/>
        <v>No</v>
      </c>
      <c r="BD423" s="7" t="s">
        <v>1963</v>
      </c>
      <c r="BF423" t="s">
        <v>2351</v>
      </c>
      <c r="BQ423" s="22"/>
      <c r="CH423" s="7" t="str">
        <f t="shared" si="106"/>
        <v/>
      </c>
    </row>
    <row r="424" spans="1:103">
      <c r="A424" s="7" t="s">
        <v>1054</v>
      </c>
      <c r="B424" s="7">
        <v>238</v>
      </c>
      <c r="I424" s="24" t="str">
        <f t="shared" si="97"/>
        <v/>
      </c>
      <c r="L424" s="7" t="str">
        <f t="shared" si="98"/>
        <v/>
      </c>
      <c r="M424" s="21" t="str">
        <f t="shared" si="99"/>
        <v/>
      </c>
      <c r="N424" s="7" t="s">
        <v>1960</v>
      </c>
      <c r="T424" s="7" t="str">
        <f t="shared" si="100"/>
        <v>Nothing</v>
      </c>
      <c r="U424" s="7" t="s">
        <v>1</v>
      </c>
      <c r="AD424" s="24">
        <v>48746</v>
      </c>
      <c r="AE424" s="7">
        <v>1.2E-2</v>
      </c>
      <c r="AF424" s="7" t="s">
        <v>2350</v>
      </c>
      <c r="AG424" s="7">
        <v>-0.45500000000000002</v>
      </c>
      <c r="AH424" s="7" t="s">
        <v>2349</v>
      </c>
      <c r="AI424" s="7">
        <v>72642</v>
      </c>
      <c r="AJ424" s="7">
        <v>-7</v>
      </c>
      <c r="AK424" s="7">
        <v>26</v>
      </c>
      <c r="AT424" s="7" t="str">
        <f t="shared" si="108"/>
        <v>None</v>
      </c>
      <c r="AU424" s="7" t="str">
        <f t="shared" si="101"/>
        <v>None</v>
      </c>
      <c r="AV424" s="7" t="str">
        <f t="shared" si="102"/>
        <v/>
      </c>
      <c r="AW424" s="7" t="str">
        <f t="shared" si="103"/>
        <v/>
      </c>
      <c r="AX424" s="7" t="str">
        <f t="shared" si="104"/>
        <v/>
      </c>
      <c r="BB424" s="7" t="str">
        <f t="shared" si="107"/>
        <v/>
      </c>
      <c r="BC424" s="7" t="str">
        <f t="shared" si="105"/>
        <v>No</v>
      </c>
      <c r="BD424" s="7" t="s">
        <v>1</v>
      </c>
      <c r="BQ424" s="22"/>
      <c r="CH424" s="7" t="str">
        <f t="shared" si="106"/>
        <v/>
      </c>
    </row>
    <row r="425" spans="1:103">
      <c r="A425" s="7" t="s">
        <v>314</v>
      </c>
      <c r="B425" s="7">
        <v>445</v>
      </c>
      <c r="C425" s="7" t="s">
        <v>207</v>
      </c>
      <c r="D425" s="7" t="s">
        <v>1971</v>
      </c>
      <c r="E425" s="7" t="s">
        <v>2348</v>
      </c>
      <c r="F425" s="34">
        <v>2050</v>
      </c>
      <c r="G425" s="34">
        <v>2020</v>
      </c>
      <c r="H425" s="35" t="s">
        <v>2345</v>
      </c>
      <c r="I425" s="24" t="str">
        <f t="shared" si="97"/>
        <v/>
      </c>
      <c r="L425" s="7" t="str">
        <f t="shared" si="98"/>
        <v>C</v>
      </c>
      <c r="M425" s="21" t="str">
        <f t="shared" si="99"/>
        <v/>
      </c>
      <c r="N425" s="7">
        <v>2020</v>
      </c>
      <c r="T425" s="7" t="str">
        <f t="shared" si="100"/>
        <v/>
      </c>
      <c r="U425" s="7" t="s">
        <v>1969</v>
      </c>
      <c r="V425" s="34" t="s">
        <v>2347</v>
      </c>
      <c r="W425" s="34"/>
      <c r="X425" s="34" t="s">
        <v>2346</v>
      </c>
      <c r="AB425" s="26"/>
      <c r="AC425" s="26" t="s">
        <v>2345</v>
      </c>
      <c r="AD425" s="24">
        <v>28578</v>
      </c>
      <c r="AE425" s="7">
        <v>-3.0000000000000001E-3</v>
      </c>
      <c r="AF425" s="7" t="s">
        <v>2344</v>
      </c>
      <c r="AG425" s="7">
        <v>-0.372</v>
      </c>
      <c r="AH425" s="7" t="s">
        <v>2343</v>
      </c>
      <c r="AI425" s="7">
        <v>283910</v>
      </c>
      <c r="AJ425" s="7">
        <v>-8</v>
      </c>
      <c r="AK425" s="7">
        <v>26</v>
      </c>
      <c r="AL425" s="7" t="s">
        <v>166</v>
      </c>
      <c r="AN425" s="7" t="s">
        <v>1994</v>
      </c>
      <c r="AT425" s="7" t="str">
        <f t="shared" si="108"/>
        <v>CN &amp; SBT</v>
      </c>
      <c r="AU425" s="7" t="str">
        <f t="shared" si="101"/>
        <v>SBT</v>
      </c>
      <c r="AV425" s="7" t="str">
        <f t="shared" si="102"/>
        <v/>
      </c>
      <c r="AW425" s="7">
        <f t="shared" si="103"/>
        <v>2020</v>
      </c>
      <c r="AX425" s="7" t="str">
        <f t="shared" si="104"/>
        <v/>
      </c>
      <c r="BB425" s="7" t="str">
        <f t="shared" si="107"/>
        <v>Yes</v>
      </c>
      <c r="BC425" s="7" t="str">
        <f t="shared" si="105"/>
        <v>No - but post-2030 commitment</v>
      </c>
      <c r="BD425" s="7" t="s">
        <v>1</v>
      </c>
      <c r="BE425" s="7" t="s">
        <v>2342</v>
      </c>
      <c r="BF425" s="7" t="s">
        <v>2341</v>
      </c>
      <c r="BH425" s="7" t="s">
        <v>165</v>
      </c>
      <c r="BJ425" s="7" t="s">
        <v>2294</v>
      </c>
      <c r="BQ425" s="22"/>
      <c r="CD425" s="7" t="s">
        <v>361</v>
      </c>
      <c r="CF425" s="25"/>
      <c r="CH425" s="7" t="str">
        <f t="shared" si="106"/>
        <v/>
      </c>
    </row>
    <row r="426" spans="1:103">
      <c r="A426" s="7" t="s">
        <v>582</v>
      </c>
      <c r="B426" s="7">
        <v>391</v>
      </c>
      <c r="I426" s="24" t="str">
        <f t="shared" si="97"/>
        <v/>
      </c>
      <c r="L426" s="7" t="str">
        <f t="shared" si="98"/>
        <v/>
      </c>
      <c r="M426" s="21" t="str">
        <f t="shared" si="99"/>
        <v/>
      </c>
      <c r="N426" s="7" t="s">
        <v>1960</v>
      </c>
      <c r="T426" s="7" t="str">
        <f t="shared" si="100"/>
        <v>Nothing</v>
      </c>
      <c r="U426" s="7" t="s">
        <v>1963</v>
      </c>
      <c r="AC426" s="26" t="s">
        <v>2340</v>
      </c>
      <c r="AD426" s="24">
        <v>32063</v>
      </c>
      <c r="AE426" s="7">
        <v>-2.3E-2</v>
      </c>
      <c r="AF426" s="7" t="s">
        <v>2339</v>
      </c>
      <c r="AG426" s="7">
        <v>-0.89</v>
      </c>
      <c r="AH426" s="7" t="s">
        <v>2338</v>
      </c>
      <c r="AI426" s="7">
        <v>42954</v>
      </c>
      <c r="AJ426" s="7">
        <v>-13</v>
      </c>
      <c r="AK426" s="7">
        <v>26</v>
      </c>
      <c r="AT426" s="7" t="str">
        <f t="shared" si="108"/>
        <v>None</v>
      </c>
      <c r="AU426" s="7" t="str">
        <f t="shared" si="101"/>
        <v>None</v>
      </c>
      <c r="AV426" s="7" t="str">
        <f t="shared" si="102"/>
        <v/>
      </c>
      <c r="AW426" s="7" t="str">
        <f t="shared" si="103"/>
        <v/>
      </c>
      <c r="AX426" s="7" t="str">
        <f t="shared" si="104"/>
        <v/>
      </c>
      <c r="BB426" s="7" t="str">
        <f t="shared" si="107"/>
        <v/>
      </c>
      <c r="BC426" s="7" t="str">
        <f t="shared" si="105"/>
        <v>No</v>
      </c>
      <c r="BD426" s="7" t="s">
        <v>1963</v>
      </c>
      <c r="BF426" t="s">
        <v>2337</v>
      </c>
      <c r="BQ426" s="22"/>
      <c r="CH426" s="7" t="str">
        <f t="shared" si="106"/>
        <v/>
      </c>
    </row>
    <row r="427" spans="1:103">
      <c r="A427" s="7" t="s">
        <v>1132</v>
      </c>
      <c r="B427" s="7">
        <v>237</v>
      </c>
      <c r="I427" s="24" t="str">
        <f t="shared" si="97"/>
        <v/>
      </c>
      <c r="L427" s="7" t="str">
        <f t="shared" si="98"/>
        <v/>
      </c>
      <c r="M427" s="21" t="str">
        <f t="shared" si="99"/>
        <v/>
      </c>
      <c r="N427" s="7" t="s">
        <v>1960</v>
      </c>
      <c r="T427" s="7" t="str">
        <f t="shared" si="100"/>
        <v>Nothing</v>
      </c>
      <c r="U427" s="7" t="s">
        <v>1</v>
      </c>
      <c r="AD427" s="24">
        <v>48880</v>
      </c>
      <c r="AE427" s="7">
        <v>-5.5E-2</v>
      </c>
      <c r="AF427" s="7" t="s">
        <v>2336</v>
      </c>
      <c r="AG427" s="7">
        <v>-1.2E-2</v>
      </c>
      <c r="AH427" s="7" t="s">
        <v>2335</v>
      </c>
      <c r="AI427" s="7">
        <v>86443</v>
      </c>
      <c r="AJ427" s="7">
        <v>-28</v>
      </c>
      <c r="AK427" s="7">
        <v>26</v>
      </c>
      <c r="AT427" s="7" t="str">
        <f t="shared" si="108"/>
        <v>None</v>
      </c>
      <c r="AU427" s="7" t="str">
        <f t="shared" si="101"/>
        <v>None</v>
      </c>
      <c r="AV427" s="7" t="str">
        <f t="shared" si="102"/>
        <v/>
      </c>
      <c r="AW427" s="7" t="str">
        <f t="shared" si="103"/>
        <v/>
      </c>
      <c r="AX427" s="7" t="str">
        <f t="shared" si="104"/>
        <v/>
      </c>
      <c r="BB427" s="7" t="str">
        <f t="shared" si="107"/>
        <v/>
      </c>
      <c r="BC427" s="7" t="str">
        <f t="shared" si="105"/>
        <v>No</v>
      </c>
      <c r="BD427" s="7" t="s">
        <v>1</v>
      </c>
      <c r="BQ427" s="22"/>
      <c r="CH427" s="7" t="str">
        <f t="shared" si="106"/>
        <v/>
      </c>
    </row>
    <row r="428" spans="1:103">
      <c r="A428" s="7" t="s">
        <v>2334</v>
      </c>
      <c r="B428" s="7">
        <v>418</v>
      </c>
      <c r="I428" s="24" t="str">
        <f t="shared" si="97"/>
        <v/>
      </c>
      <c r="L428" s="7" t="str">
        <f t="shared" si="98"/>
        <v/>
      </c>
      <c r="M428" s="21" t="str">
        <f t="shared" si="99"/>
        <v/>
      </c>
      <c r="N428" s="7" t="s">
        <v>1960</v>
      </c>
      <c r="T428" s="7" t="str">
        <f t="shared" si="100"/>
        <v>Nothing</v>
      </c>
      <c r="U428" s="7" t="s">
        <v>1</v>
      </c>
      <c r="AC428" s="26" t="s">
        <v>2333</v>
      </c>
      <c r="AD428" s="24">
        <v>29905</v>
      </c>
      <c r="AE428" s="7">
        <v>0.436</v>
      </c>
      <c r="AF428" s="7" t="s">
        <v>2332</v>
      </c>
      <c r="AG428" s="7">
        <v>1.2999999999999999E-2</v>
      </c>
      <c r="AH428" s="7" t="s">
        <v>2331</v>
      </c>
      <c r="AI428" s="7">
        <v>22719</v>
      </c>
      <c r="AJ428" s="7" t="s">
        <v>9</v>
      </c>
      <c r="AK428" s="7">
        <v>14</v>
      </c>
      <c r="AT428" s="7" t="str">
        <f t="shared" si="108"/>
        <v>None</v>
      </c>
      <c r="AU428" s="7" t="str">
        <f t="shared" si="101"/>
        <v>None</v>
      </c>
      <c r="AV428" s="7" t="str">
        <f t="shared" si="102"/>
        <v/>
      </c>
      <c r="AW428" s="7" t="str">
        <f t="shared" si="103"/>
        <v/>
      </c>
      <c r="AX428" s="7" t="str">
        <f t="shared" si="104"/>
        <v/>
      </c>
      <c r="BB428" s="7" t="str">
        <f t="shared" si="107"/>
        <v/>
      </c>
      <c r="BC428" s="7" t="str">
        <f t="shared" si="105"/>
        <v>No</v>
      </c>
      <c r="BD428" s="7" t="s">
        <v>1963</v>
      </c>
      <c r="BF428" s="7" t="s">
        <v>2330</v>
      </c>
      <c r="BQ428" s="22"/>
      <c r="CH428" s="7" t="str">
        <f t="shared" si="106"/>
        <v/>
      </c>
    </row>
    <row r="429" spans="1:103">
      <c r="A429" s="7" t="s">
        <v>405</v>
      </c>
      <c r="B429" s="7">
        <v>427</v>
      </c>
      <c r="C429" s="7" t="s">
        <v>78</v>
      </c>
      <c r="I429" s="24" t="str">
        <f t="shared" si="97"/>
        <v/>
      </c>
      <c r="L429" s="7" t="str">
        <f t="shared" si="98"/>
        <v/>
      </c>
      <c r="M429" s="21" t="str">
        <f t="shared" si="99"/>
        <v/>
      </c>
      <c r="N429" s="7" t="s">
        <v>1960</v>
      </c>
      <c r="T429" s="7" t="str">
        <f t="shared" si="100"/>
        <v>Nothing</v>
      </c>
      <c r="U429" s="7" t="s">
        <v>1963</v>
      </c>
      <c r="AC429" s="26" t="s">
        <v>2329</v>
      </c>
      <c r="AD429" s="24">
        <v>29385</v>
      </c>
      <c r="AE429" s="7">
        <v>-2.3E-2</v>
      </c>
      <c r="AF429" s="7" t="s">
        <v>2328</v>
      </c>
      <c r="AG429" s="7">
        <v>-0.14000000000000001</v>
      </c>
      <c r="AH429" s="7" t="s">
        <v>2327</v>
      </c>
      <c r="AI429" s="7">
        <v>12889</v>
      </c>
      <c r="AJ429" s="7">
        <v>-10</v>
      </c>
      <c r="AK429" s="7">
        <v>11</v>
      </c>
      <c r="AL429" t="s">
        <v>2111</v>
      </c>
      <c r="AT429" s="7" t="str">
        <f t="shared" si="108"/>
        <v>None</v>
      </c>
      <c r="AU429" s="7" t="str">
        <f t="shared" si="101"/>
        <v>None</v>
      </c>
      <c r="AV429" s="7" t="str">
        <f t="shared" si="102"/>
        <v/>
      </c>
      <c r="AW429" s="7" t="str">
        <f t="shared" si="103"/>
        <v/>
      </c>
      <c r="AX429" s="7" t="str">
        <f t="shared" si="104"/>
        <v/>
      </c>
      <c r="BB429" s="7" t="str">
        <f t="shared" si="107"/>
        <v/>
      </c>
      <c r="BC429" s="7" t="str">
        <f t="shared" si="105"/>
        <v>No</v>
      </c>
      <c r="BD429" s="7" t="s">
        <v>1963</v>
      </c>
      <c r="BF429" s="7" t="s">
        <v>2326</v>
      </c>
      <c r="BQ429" s="22"/>
      <c r="CH429" s="7" t="str">
        <f t="shared" si="106"/>
        <v/>
      </c>
      <c r="CT429" s="7" t="s">
        <v>405</v>
      </c>
      <c r="CU429" s="7" t="s">
        <v>2109</v>
      </c>
      <c r="CV429" s="7">
        <v>-19</v>
      </c>
    </row>
    <row r="430" spans="1:103">
      <c r="A430" s="7" t="s">
        <v>713</v>
      </c>
      <c r="B430" s="7">
        <v>324</v>
      </c>
      <c r="I430" s="24" t="str">
        <f t="shared" si="97"/>
        <v/>
      </c>
      <c r="L430" s="7" t="str">
        <f t="shared" si="98"/>
        <v/>
      </c>
      <c r="M430" s="21" t="str">
        <f t="shared" si="99"/>
        <v/>
      </c>
      <c r="N430" s="7" t="s">
        <v>1960</v>
      </c>
      <c r="T430" s="7" t="str">
        <f t="shared" si="100"/>
        <v>Nothing</v>
      </c>
      <c r="U430" s="7" t="s">
        <v>1963</v>
      </c>
      <c r="AD430" s="24">
        <v>38971</v>
      </c>
      <c r="AE430" s="7">
        <v>5.1999999999999998E-2</v>
      </c>
      <c r="AF430" s="7" t="s">
        <v>2325</v>
      </c>
      <c r="AG430" s="7">
        <v>-0.29299999999999998</v>
      </c>
      <c r="AH430" s="7" t="s">
        <v>2324</v>
      </c>
      <c r="AI430" s="7">
        <v>117669</v>
      </c>
      <c r="AJ430" s="7">
        <v>9</v>
      </c>
      <c r="AK430" s="7">
        <v>4</v>
      </c>
      <c r="AT430" s="7" t="str">
        <f t="shared" si="108"/>
        <v>None</v>
      </c>
      <c r="AU430" s="7" t="str">
        <f t="shared" si="101"/>
        <v>None</v>
      </c>
      <c r="AV430" s="7" t="str">
        <f t="shared" si="102"/>
        <v/>
      </c>
      <c r="AW430" s="7" t="str">
        <f t="shared" si="103"/>
        <v/>
      </c>
      <c r="AX430" s="7" t="str">
        <f t="shared" si="104"/>
        <v/>
      </c>
      <c r="BB430" s="7" t="str">
        <f t="shared" si="107"/>
        <v/>
      </c>
      <c r="BC430" s="7" t="str">
        <f t="shared" si="105"/>
        <v>No</v>
      </c>
      <c r="BD430" s="7" t="s">
        <v>1963</v>
      </c>
      <c r="BQ430" s="22"/>
      <c r="CH430" s="7" t="str">
        <f t="shared" si="106"/>
        <v/>
      </c>
    </row>
    <row r="431" spans="1:103">
      <c r="A431" s="7" t="s">
        <v>642</v>
      </c>
      <c r="B431" s="7">
        <v>390</v>
      </c>
      <c r="I431" s="24" t="str">
        <f t="shared" si="97"/>
        <v/>
      </c>
      <c r="L431" s="7" t="str">
        <f t="shared" si="98"/>
        <v/>
      </c>
      <c r="M431" s="21" t="str">
        <f t="shared" si="99"/>
        <v/>
      </c>
      <c r="N431" s="7" t="s">
        <v>1960</v>
      </c>
      <c r="T431" s="7" t="str">
        <f t="shared" si="100"/>
        <v>Nothing</v>
      </c>
      <c r="U431" s="7" t="s">
        <v>1963</v>
      </c>
      <c r="AD431" s="24">
        <v>32086</v>
      </c>
      <c r="AE431" s="7">
        <v>-8.1000000000000003E-2</v>
      </c>
      <c r="AF431" s="7" t="s">
        <v>2323</v>
      </c>
      <c r="AG431" s="7">
        <v>-0.23400000000000001</v>
      </c>
      <c r="AH431" s="7" t="s">
        <v>2322</v>
      </c>
      <c r="AI431" s="7">
        <v>68499</v>
      </c>
      <c r="AJ431" s="7">
        <v>-33</v>
      </c>
      <c r="AK431" s="7">
        <v>26</v>
      </c>
      <c r="AT431" s="7" t="str">
        <f t="shared" si="108"/>
        <v>None</v>
      </c>
      <c r="AU431" s="7" t="str">
        <f t="shared" si="101"/>
        <v>None</v>
      </c>
      <c r="AV431" s="7" t="str">
        <f t="shared" si="102"/>
        <v/>
      </c>
      <c r="AW431" s="7" t="str">
        <f t="shared" si="103"/>
        <v/>
      </c>
      <c r="AX431" s="7" t="str">
        <f t="shared" si="104"/>
        <v/>
      </c>
      <c r="BB431" s="7" t="str">
        <f t="shared" si="107"/>
        <v/>
      </c>
      <c r="BC431" s="7" t="str">
        <f t="shared" si="105"/>
        <v>No</v>
      </c>
      <c r="BD431" s="7" t="s">
        <v>1963</v>
      </c>
      <c r="BQ431" s="22"/>
      <c r="CH431" s="7" t="str">
        <f t="shared" si="106"/>
        <v/>
      </c>
    </row>
    <row r="432" spans="1:103">
      <c r="A432" s="7" t="s">
        <v>717</v>
      </c>
      <c r="B432" s="7">
        <v>233</v>
      </c>
      <c r="C432" s="7" t="s">
        <v>287</v>
      </c>
      <c r="D432" s="7" t="s">
        <v>1957</v>
      </c>
      <c r="E432" s="7" t="s">
        <v>2321</v>
      </c>
      <c r="F432" s="7">
        <v>2003</v>
      </c>
      <c r="G432" s="7">
        <v>2003</v>
      </c>
      <c r="H432" s="8" t="s">
        <v>2310</v>
      </c>
      <c r="I432" s="24" t="str">
        <f t="shared" si="97"/>
        <v>Yes</v>
      </c>
      <c r="J432" s="7">
        <v>2020</v>
      </c>
      <c r="K432" s="7">
        <v>2014</v>
      </c>
      <c r="L432" s="7" t="str">
        <f t="shared" si="98"/>
        <v>C</v>
      </c>
      <c r="M432" s="21" t="str">
        <f t="shared" si="99"/>
        <v/>
      </c>
      <c r="N432" s="7">
        <v>2019</v>
      </c>
      <c r="O432" s="7" t="s">
        <v>1957</v>
      </c>
      <c r="P432" s="7" t="s">
        <v>1659</v>
      </c>
      <c r="Q432" s="7">
        <v>2030</v>
      </c>
      <c r="R432" s="7">
        <v>2020</v>
      </c>
      <c r="S432" s="8" t="s">
        <v>2317</v>
      </c>
      <c r="T432" s="7" t="str">
        <f t="shared" si="100"/>
        <v/>
      </c>
      <c r="U432" s="7" t="s">
        <v>361</v>
      </c>
      <c r="V432" s="7" t="s">
        <v>2320</v>
      </c>
      <c r="X432" s="7" t="s">
        <v>2319</v>
      </c>
      <c r="Z432" s="23" t="s">
        <v>2318</v>
      </c>
      <c r="AB432" s="8" t="s">
        <v>2317</v>
      </c>
      <c r="AC432" s="8" t="s">
        <v>2317</v>
      </c>
      <c r="AD432" s="24">
        <v>49314</v>
      </c>
      <c r="AE432" s="7">
        <v>0.33100000000000002</v>
      </c>
      <c r="AF432" s="7" t="s">
        <v>2316</v>
      </c>
      <c r="AG432" s="7">
        <v>0.57399999999999995</v>
      </c>
      <c r="AH432" s="7" t="s">
        <v>2315</v>
      </c>
      <c r="AI432" s="7">
        <v>15401</v>
      </c>
      <c r="AJ432" s="7">
        <v>99</v>
      </c>
      <c r="AK432" s="7">
        <v>26</v>
      </c>
      <c r="AL432" s="7" t="s">
        <v>93</v>
      </c>
      <c r="AN432" s="7" t="s">
        <v>1951</v>
      </c>
      <c r="AT432" s="7" t="str">
        <f t="shared" si="108"/>
        <v>CN, SBT &amp; RE100</v>
      </c>
      <c r="AU432" s="7" t="str">
        <f t="shared" si="101"/>
        <v>CN, SBT &amp; RE100</v>
      </c>
      <c r="AV432" s="7">
        <f t="shared" si="102"/>
        <v>2003</v>
      </c>
      <c r="AW432" s="7">
        <f t="shared" si="103"/>
        <v>2019</v>
      </c>
      <c r="AX432" s="7">
        <f t="shared" si="104"/>
        <v>2014</v>
      </c>
      <c r="BB432" s="7" t="str">
        <f t="shared" si="107"/>
        <v>Yes</v>
      </c>
      <c r="BC432" s="7" t="str">
        <f t="shared" si="105"/>
        <v>Carbon Neutral</v>
      </c>
      <c r="BD432" s="7" t="s">
        <v>1969</v>
      </c>
      <c r="BF432" s="7" t="s">
        <v>2314</v>
      </c>
      <c r="BG432" s="7" t="s">
        <v>2313</v>
      </c>
      <c r="BH432" s="7" t="s">
        <v>165</v>
      </c>
      <c r="BJ432" s="7" t="s">
        <v>2008</v>
      </c>
      <c r="BQ432" s="22"/>
      <c r="CD432" s="7" t="s">
        <v>361</v>
      </c>
      <c r="CE432" s="7" t="s">
        <v>1947</v>
      </c>
      <c r="CG432" s="7" t="s">
        <v>287</v>
      </c>
      <c r="CH432" s="7" t="str">
        <f t="shared" si="106"/>
        <v>yes</v>
      </c>
      <c r="CI432" s="7" t="s">
        <v>13</v>
      </c>
      <c r="CJ432" s="7">
        <v>0.93</v>
      </c>
      <c r="CK432" s="7">
        <v>0.84</v>
      </c>
      <c r="CL432" s="7">
        <v>0.87</v>
      </c>
      <c r="CM432" s="7">
        <v>0.87</v>
      </c>
      <c r="CN432" s="7">
        <v>0.8</v>
      </c>
      <c r="CO432" s="7" t="s">
        <v>2312</v>
      </c>
      <c r="CQ432" s="7" t="s">
        <v>2311</v>
      </c>
      <c r="CR432" s="27" t="s">
        <v>2310</v>
      </c>
    </row>
    <row r="433" spans="1:103">
      <c r="A433" s="7" t="s">
        <v>1259</v>
      </c>
      <c r="B433" s="7">
        <v>179</v>
      </c>
      <c r="I433" s="24" t="str">
        <f t="shared" si="97"/>
        <v/>
      </c>
      <c r="L433" s="7" t="str">
        <f t="shared" si="98"/>
        <v/>
      </c>
      <c r="M433" s="21" t="str">
        <f t="shared" si="99"/>
        <v/>
      </c>
      <c r="N433" s="7" t="s">
        <v>1960</v>
      </c>
      <c r="T433" s="7" t="str">
        <f t="shared" si="100"/>
        <v>Nothing</v>
      </c>
      <c r="U433" s="7" t="s">
        <v>1</v>
      </c>
      <c r="AD433" s="24">
        <v>60114</v>
      </c>
      <c r="AE433" s="7">
        <v>2.4E-2</v>
      </c>
      <c r="AF433" s="7" t="s">
        <v>2309</v>
      </c>
      <c r="AG433" s="7">
        <v>0.17</v>
      </c>
      <c r="AH433" s="7" t="s">
        <v>2308</v>
      </c>
      <c r="AI433" s="7">
        <v>69000</v>
      </c>
      <c r="AJ433" s="7">
        <v>-7</v>
      </c>
      <c r="AK433" s="7">
        <v>26</v>
      </c>
      <c r="AT433" s="7" t="str">
        <f t="shared" si="108"/>
        <v>None</v>
      </c>
      <c r="AU433" s="7" t="str">
        <f t="shared" si="101"/>
        <v>None</v>
      </c>
      <c r="AV433" s="7" t="str">
        <f t="shared" si="102"/>
        <v/>
      </c>
      <c r="AW433" s="7" t="str">
        <f t="shared" si="103"/>
        <v/>
      </c>
      <c r="AX433" s="7" t="str">
        <f t="shared" si="104"/>
        <v/>
      </c>
      <c r="BB433" s="7" t="str">
        <f t="shared" si="107"/>
        <v/>
      </c>
      <c r="BC433" s="7" t="str">
        <f t="shared" si="105"/>
        <v>No</v>
      </c>
      <c r="BD433" s="7" t="s">
        <v>1</v>
      </c>
      <c r="BQ433" s="22"/>
      <c r="CH433" s="7" t="str">
        <f t="shared" si="106"/>
        <v/>
      </c>
    </row>
    <row r="434" spans="1:103">
      <c r="A434" s="7" t="s">
        <v>72</v>
      </c>
      <c r="B434" s="7">
        <v>424</v>
      </c>
      <c r="C434" s="7" t="s">
        <v>73</v>
      </c>
      <c r="I434" s="24" t="str">
        <f t="shared" si="97"/>
        <v/>
      </c>
      <c r="L434" s="7" t="str">
        <f t="shared" si="98"/>
        <v/>
      </c>
      <c r="M434" s="21" t="str">
        <f t="shared" si="99"/>
        <v/>
      </c>
      <c r="N434" s="7" t="s">
        <v>1960</v>
      </c>
      <c r="T434" s="7" t="str">
        <f t="shared" si="100"/>
        <v>Nothing</v>
      </c>
      <c r="U434" s="7" t="s">
        <v>2305</v>
      </c>
      <c r="AD434" s="24">
        <v>29502</v>
      </c>
      <c r="AE434" s="7">
        <v>0.183</v>
      </c>
      <c r="AF434" s="7" t="s">
        <v>2307</v>
      </c>
      <c r="AG434" s="7">
        <v>0.79</v>
      </c>
      <c r="AH434" s="7" t="s">
        <v>2306</v>
      </c>
      <c r="AI434" s="7">
        <v>57372</v>
      </c>
      <c r="AJ434" s="7">
        <v>74</v>
      </c>
      <c r="AK434" s="7">
        <v>3</v>
      </c>
      <c r="AT434" s="7" t="str">
        <f t="shared" si="108"/>
        <v>None</v>
      </c>
      <c r="AU434" s="7" t="str">
        <f t="shared" si="101"/>
        <v>None</v>
      </c>
      <c r="AV434" s="7" t="str">
        <f t="shared" si="102"/>
        <v/>
      </c>
      <c r="AW434" s="7" t="str">
        <f t="shared" si="103"/>
        <v/>
      </c>
      <c r="AX434" s="7" t="str">
        <f t="shared" si="104"/>
        <v/>
      </c>
      <c r="BB434" s="7" t="str">
        <f t="shared" si="107"/>
        <v/>
      </c>
      <c r="BC434" s="7" t="str">
        <f t="shared" si="105"/>
        <v>No</v>
      </c>
      <c r="BD434" s="7" t="s">
        <v>2305</v>
      </c>
      <c r="BF434" s="7" t="s">
        <v>2304</v>
      </c>
      <c r="BQ434" s="22"/>
      <c r="CD434" s="7" t="s">
        <v>361</v>
      </c>
      <c r="CH434" s="7" t="str">
        <f t="shared" si="106"/>
        <v/>
      </c>
    </row>
    <row r="435" spans="1:103">
      <c r="A435" s="7" t="s">
        <v>626</v>
      </c>
      <c r="B435" s="7">
        <v>362</v>
      </c>
      <c r="I435" s="24" t="str">
        <f t="shared" si="97"/>
        <v/>
      </c>
      <c r="L435" s="7" t="str">
        <f t="shared" si="98"/>
        <v/>
      </c>
      <c r="M435" s="21" t="str">
        <f t="shared" si="99"/>
        <v/>
      </c>
      <c r="N435" s="7" t="s">
        <v>1960</v>
      </c>
      <c r="T435" s="7" t="str">
        <f t="shared" si="100"/>
        <v>Nothing</v>
      </c>
      <c r="U435" s="7" t="s">
        <v>1963</v>
      </c>
      <c r="AD435" s="24">
        <v>34620</v>
      </c>
      <c r="AE435" s="7">
        <v>1.2E-2</v>
      </c>
      <c r="AF435" s="7" t="s">
        <v>2303</v>
      </c>
      <c r="AG435" s="7">
        <v>-4.9000000000000002E-2</v>
      </c>
      <c r="AH435" s="7" t="s">
        <v>2302</v>
      </c>
      <c r="AI435" s="7">
        <v>51297</v>
      </c>
      <c r="AJ435" s="7">
        <v>1</v>
      </c>
      <c r="AK435" s="7">
        <v>6</v>
      </c>
      <c r="AT435" s="7" t="str">
        <f t="shared" si="108"/>
        <v>None</v>
      </c>
      <c r="AU435" s="7" t="str">
        <f t="shared" si="101"/>
        <v>None</v>
      </c>
      <c r="AV435" s="7" t="str">
        <f t="shared" si="102"/>
        <v/>
      </c>
      <c r="AW435" s="7" t="str">
        <f t="shared" si="103"/>
        <v/>
      </c>
      <c r="AX435" s="7" t="str">
        <f t="shared" si="104"/>
        <v/>
      </c>
      <c r="BB435" s="7" t="str">
        <f t="shared" si="107"/>
        <v/>
      </c>
      <c r="BC435" s="7" t="str">
        <f t="shared" si="105"/>
        <v>No</v>
      </c>
      <c r="BD435" s="7" t="s">
        <v>1963</v>
      </c>
      <c r="BQ435" s="22"/>
      <c r="CH435" s="7" t="str">
        <f t="shared" si="106"/>
        <v/>
      </c>
    </row>
    <row r="436" spans="1:103">
      <c r="A436" s="7" t="s">
        <v>2301</v>
      </c>
      <c r="B436" s="7">
        <v>414</v>
      </c>
      <c r="C436" s="7" t="s">
        <v>207</v>
      </c>
      <c r="D436" s="7" t="s">
        <v>1971</v>
      </c>
      <c r="E436" s="7" t="s">
        <v>1970</v>
      </c>
      <c r="F436" s="25">
        <v>2019</v>
      </c>
      <c r="G436" s="7">
        <v>2020</v>
      </c>
      <c r="H436" s="26" t="s">
        <v>2300</v>
      </c>
      <c r="I436" s="24" t="str">
        <f t="shared" si="97"/>
        <v/>
      </c>
      <c r="L436" s="7" t="str">
        <f t="shared" si="98"/>
        <v>T</v>
      </c>
      <c r="M436" s="21">
        <f t="shared" si="99"/>
        <v>2024.6666666666667</v>
      </c>
      <c r="N436" s="7">
        <v>2020</v>
      </c>
      <c r="T436" s="7" t="str">
        <f t="shared" si="100"/>
        <v/>
      </c>
      <c r="U436" s="25" t="s">
        <v>361</v>
      </c>
      <c r="V436" s="7" t="s">
        <v>2299</v>
      </c>
      <c r="X436" s="7" t="s">
        <v>2298</v>
      </c>
      <c r="Z436" s="7" t="s">
        <v>2297</v>
      </c>
      <c r="AD436" s="24">
        <v>30272</v>
      </c>
      <c r="AE436" s="7">
        <v>0.6</v>
      </c>
      <c r="AF436" s="7" t="s">
        <v>2296</v>
      </c>
      <c r="AG436" s="7">
        <v>-0.58699999999999997</v>
      </c>
      <c r="AH436" s="7" t="s">
        <v>2295</v>
      </c>
      <c r="AI436" s="7">
        <v>47495</v>
      </c>
      <c r="AJ436" s="7" t="s">
        <v>9</v>
      </c>
      <c r="AK436" s="7">
        <v>1</v>
      </c>
      <c r="AL436" s="7" t="s">
        <v>842</v>
      </c>
      <c r="AN436" s="7" t="s">
        <v>1994</v>
      </c>
      <c r="AT436" s="7" t="str">
        <f t="shared" si="108"/>
        <v>CN &amp; SBT</v>
      </c>
      <c r="AU436" s="7" t="str">
        <f t="shared" si="101"/>
        <v>CN &amp; SBT</v>
      </c>
      <c r="AV436" s="7">
        <f t="shared" si="102"/>
        <v>2020</v>
      </c>
      <c r="AW436" s="7">
        <f t="shared" si="103"/>
        <v>2020</v>
      </c>
      <c r="AX436" s="7" t="str">
        <f t="shared" si="104"/>
        <v/>
      </c>
      <c r="BB436" s="7" t="str">
        <f t="shared" si="107"/>
        <v>Yes</v>
      </c>
      <c r="BC436" s="7" t="str">
        <f t="shared" si="105"/>
        <v>Carbon Neutral</v>
      </c>
      <c r="BD436" s="7" t="s">
        <v>1963</v>
      </c>
      <c r="BG436" s="7" t="s">
        <v>2286</v>
      </c>
      <c r="BH436" s="7" t="s">
        <v>22</v>
      </c>
      <c r="BI436" s="7" t="s">
        <v>2156</v>
      </c>
      <c r="BJ436" s="7" t="s">
        <v>2294</v>
      </c>
      <c r="BM436" s="7" t="s">
        <v>2293</v>
      </c>
      <c r="BN436" s="7">
        <v>2025</v>
      </c>
      <c r="BO436" s="7">
        <v>2025</v>
      </c>
      <c r="BP436" s="7">
        <v>2024</v>
      </c>
      <c r="BQ436" s="22"/>
      <c r="CD436" s="7" t="s">
        <v>361</v>
      </c>
      <c r="CF436" s="25"/>
      <c r="CH436" s="7" t="str">
        <f t="shared" si="106"/>
        <v/>
      </c>
      <c r="CX436" s="7" t="s">
        <v>361</v>
      </c>
    </row>
    <row r="437" spans="1:103">
      <c r="A437" s="7" t="s">
        <v>900</v>
      </c>
      <c r="B437" s="7">
        <v>271</v>
      </c>
      <c r="H437" s="26" t="s">
        <v>2290</v>
      </c>
      <c r="I437" s="24" t="str">
        <f t="shared" si="97"/>
        <v/>
      </c>
      <c r="L437" s="7" t="str">
        <f t="shared" si="98"/>
        <v/>
      </c>
      <c r="M437" s="21" t="str">
        <f t="shared" si="99"/>
        <v/>
      </c>
      <c r="N437" s="7" t="s">
        <v>1960</v>
      </c>
      <c r="T437" s="7" t="str">
        <f t="shared" si="100"/>
        <v>Nothing</v>
      </c>
      <c r="U437" s="7" t="s">
        <v>1963</v>
      </c>
      <c r="X437" s="7" t="s">
        <v>2292</v>
      </c>
      <c r="Z437" s="7" t="s">
        <v>2291</v>
      </c>
      <c r="AC437" s="26" t="s">
        <v>2290</v>
      </c>
      <c r="AD437" s="24">
        <v>44020</v>
      </c>
      <c r="AE437" s="7">
        <v>3.7999999999999999E-2</v>
      </c>
      <c r="AF437" s="7" t="s">
        <v>2289</v>
      </c>
      <c r="AG437" s="7">
        <v>0.245</v>
      </c>
      <c r="AH437" s="7" t="s">
        <v>2288</v>
      </c>
      <c r="AI437" s="7">
        <v>21516</v>
      </c>
      <c r="AJ437" s="7">
        <v>11</v>
      </c>
      <c r="AK437" s="7">
        <v>7</v>
      </c>
      <c r="AT437" s="7" t="str">
        <f t="shared" si="108"/>
        <v>None</v>
      </c>
      <c r="AU437" s="7" t="str">
        <f t="shared" si="101"/>
        <v>None</v>
      </c>
      <c r="AV437" s="7" t="str">
        <f t="shared" si="102"/>
        <v/>
      </c>
      <c r="AW437" s="7" t="str">
        <f t="shared" si="103"/>
        <v/>
      </c>
      <c r="AX437" s="7" t="str">
        <f t="shared" si="104"/>
        <v/>
      </c>
      <c r="BB437" s="7" t="str">
        <f t="shared" si="107"/>
        <v/>
      </c>
      <c r="BC437" s="7" t="str">
        <f t="shared" si="105"/>
        <v>No</v>
      </c>
      <c r="BD437" s="7" t="s">
        <v>1963</v>
      </c>
      <c r="BF437" s="7" t="s">
        <v>2287</v>
      </c>
      <c r="BG437" s="7" t="s">
        <v>2286</v>
      </c>
      <c r="BQ437" s="22"/>
      <c r="CH437" s="7" t="str">
        <f t="shared" si="106"/>
        <v/>
      </c>
    </row>
    <row r="438" spans="1:103">
      <c r="A438" s="7" t="s">
        <v>1432</v>
      </c>
      <c r="B438" s="7">
        <v>117</v>
      </c>
      <c r="C438" s="7" t="s">
        <v>127</v>
      </c>
      <c r="I438" s="24" t="str">
        <f t="shared" si="97"/>
        <v>Yes</v>
      </c>
      <c r="J438" s="7">
        <v>2030</v>
      </c>
      <c r="K438" s="7">
        <v>2019</v>
      </c>
      <c r="L438" s="7" t="str">
        <f t="shared" si="98"/>
        <v>T</v>
      </c>
      <c r="M438" s="21">
        <f t="shared" si="99"/>
        <v>2027.6666666666667</v>
      </c>
      <c r="N438" s="7">
        <v>2019</v>
      </c>
      <c r="T438" s="7" t="str">
        <f t="shared" si="100"/>
        <v>Nothing</v>
      </c>
      <c r="U438" s="7" t="s">
        <v>1</v>
      </c>
      <c r="AC438" s="8" t="s">
        <v>2285</v>
      </c>
      <c r="AD438" s="24">
        <v>78112</v>
      </c>
      <c r="AE438" s="7">
        <v>3.6999999999999998E-2</v>
      </c>
      <c r="AF438" s="7" t="s">
        <v>2284</v>
      </c>
      <c r="AG438" s="7">
        <v>0.11700000000000001</v>
      </c>
      <c r="AH438" s="7" t="s">
        <v>2283</v>
      </c>
      <c r="AI438" s="7">
        <v>368000</v>
      </c>
      <c r="AJ438" s="7">
        <v>5</v>
      </c>
      <c r="AK438" s="7">
        <v>26</v>
      </c>
      <c r="AL438" s="7" t="s">
        <v>454</v>
      </c>
      <c r="AN438" s="7" t="s">
        <v>2029</v>
      </c>
      <c r="AT438" s="7" t="str">
        <f t="shared" si="108"/>
        <v>SBT &amp; RE100</v>
      </c>
      <c r="AU438" s="7" t="str">
        <f t="shared" si="101"/>
        <v>SBT &amp; RE100</v>
      </c>
      <c r="AV438" s="7" t="str">
        <f t="shared" si="102"/>
        <v/>
      </c>
      <c r="AW438" s="7">
        <f t="shared" si="103"/>
        <v>2019</v>
      </c>
      <c r="AX438" s="7">
        <f t="shared" si="104"/>
        <v>2019</v>
      </c>
      <c r="BB438" s="7" t="str">
        <f t="shared" si="107"/>
        <v>Yes</v>
      </c>
      <c r="BC438" s="7" t="str">
        <f t="shared" si="105"/>
        <v>No</v>
      </c>
      <c r="BD438" s="7" t="s">
        <v>1</v>
      </c>
      <c r="BF438" s="23" t="s">
        <v>2282</v>
      </c>
      <c r="BH438" s="7" t="s">
        <v>22</v>
      </c>
      <c r="BI438" s="7" t="s">
        <v>2040</v>
      </c>
      <c r="BJ438" s="7" t="s">
        <v>868</v>
      </c>
      <c r="BM438" s="7" t="s">
        <v>1433</v>
      </c>
      <c r="BN438" s="7">
        <v>2030</v>
      </c>
      <c r="BO438" s="7">
        <v>2030</v>
      </c>
      <c r="BP438" s="7">
        <v>2023</v>
      </c>
      <c r="BQ438" s="22"/>
      <c r="CG438" s="7" t="s">
        <v>2027</v>
      </c>
      <c r="CH438" s="7" t="str">
        <f t="shared" si="106"/>
        <v>yes</v>
      </c>
      <c r="CI438" s="7" t="s">
        <v>2281</v>
      </c>
      <c r="CJ438" s="7">
        <v>0.06</v>
      </c>
      <c r="CK438" s="7" t="s">
        <v>13</v>
      </c>
      <c r="CL438" s="7" t="s">
        <v>13</v>
      </c>
      <c r="CM438" s="7" t="s">
        <v>13</v>
      </c>
      <c r="CN438" s="7" t="s">
        <v>13</v>
      </c>
      <c r="CO438" s="7" t="s">
        <v>2280</v>
      </c>
      <c r="CP438" s="7" t="s">
        <v>2279</v>
      </c>
      <c r="CX438" s="7" t="s">
        <v>361</v>
      </c>
      <c r="CY438" s="7" t="s">
        <v>361</v>
      </c>
    </row>
    <row r="439" spans="1:103">
      <c r="A439" s="7" t="s">
        <v>948</v>
      </c>
      <c r="B439" s="7">
        <v>337</v>
      </c>
      <c r="C439" s="7" t="s">
        <v>87</v>
      </c>
      <c r="I439" s="24" t="str">
        <f t="shared" si="97"/>
        <v>Yes</v>
      </c>
      <c r="J439" s="7">
        <v>2030</v>
      </c>
      <c r="K439" s="7">
        <v>2016</v>
      </c>
      <c r="L439" s="7" t="str">
        <f t="shared" si="98"/>
        <v/>
      </c>
      <c r="M439" s="21" t="str">
        <f t="shared" si="99"/>
        <v/>
      </c>
      <c r="N439" s="7" t="s">
        <v>1960</v>
      </c>
      <c r="T439" s="7" t="str">
        <f t="shared" si="100"/>
        <v>Nothing</v>
      </c>
      <c r="U439" s="7" t="s">
        <v>1963</v>
      </c>
      <c r="AD439" s="24">
        <v>37242</v>
      </c>
      <c r="AE439" s="7">
        <v>-0.14599999999999999</v>
      </c>
      <c r="AF439" s="7" t="s">
        <v>2278</v>
      </c>
      <c r="AG439" s="7" t="s">
        <v>9</v>
      </c>
      <c r="AH439" s="7" t="s">
        <v>2277</v>
      </c>
      <c r="AI439" s="7">
        <v>77990</v>
      </c>
      <c r="AJ439" s="7">
        <v>-72</v>
      </c>
      <c r="AK439" s="7">
        <v>11</v>
      </c>
      <c r="AL439" s="7" t="s">
        <v>166</v>
      </c>
      <c r="AN439" s="7" t="s">
        <v>1994</v>
      </c>
      <c r="AT439" s="7" t="str">
        <f t="shared" si="108"/>
        <v>RE100</v>
      </c>
      <c r="AU439" s="7" t="str">
        <f t="shared" si="101"/>
        <v>RE100</v>
      </c>
      <c r="AV439" s="7" t="str">
        <f t="shared" si="102"/>
        <v/>
      </c>
      <c r="AW439" s="7" t="str">
        <f t="shared" si="103"/>
        <v/>
      </c>
      <c r="AX439" s="7">
        <f t="shared" si="104"/>
        <v>2016</v>
      </c>
      <c r="BB439" s="7" t="str">
        <f t="shared" ref="BB439:BB470" si="109">IF(BH439="","","Yes")</f>
        <v/>
      </c>
      <c r="BC439" s="7" t="str">
        <f t="shared" si="105"/>
        <v>No</v>
      </c>
      <c r="BD439" s="7" t="s">
        <v>1963</v>
      </c>
      <c r="BF439" s="7" t="s">
        <v>2276</v>
      </c>
      <c r="BQ439" s="22"/>
      <c r="CG439" s="7" t="s">
        <v>87</v>
      </c>
      <c r="CH439" s="7" t="str">
        <f t="shared" si="106"/>
        <v>yes</v>
      </c>
      <c r="CI439" s="7" t="s">
        <v>947</v>
      </c>
      <c r="CJ439" s="7">
        <v>0.17</v>
      </c>
      <c r="CK439" s="7">
        <v>0.21</v>
      </c>
      <c r="CL439" s="7">
        <v>0.16</v>
      </c>
      <c r="CM439" s="7">
        <v>0.04</v>
      </c>
      <c r="CN439" s="7">
        <v>0.08</v>
      </c>
      <c r="CO439" s="7" t="s">
        <v>2275</v>
      </c>
      <c r="CW439" s="7" t="s">
        <v>361</v>
      </c>
    </row>
    <row r="440" spans="1:103">
      <c r="A440" s="7" t="s">
        <v>725</v>
      </c>
      <c r="B440" s="7">
        <v>341</v>
      </c>
      <c r="I440" s="24" t="str">
        <f t="shared" si="97"/>
        <v/>
      </c>
      <c r="L440" s="7" t="str">
        <f t="shared" si="98"/>
        <v/>
      </c>
      <c r="M440" s="21" t="str">
        <f t="shared" si="99"/>
        <v/>
      </c>
      <c r="N440" s="7" t="s">
        <v>1960</v>
      </c>
      <c r="T440" s="7" t="str">
        <f t="shared" si="100"/>
        <v>Nothing</v>
      </c>
      <c r="U440" s="7" t="s">
        <v>1963</v>
      </c>
      <c r="AD440" s="24">
        <v>36998</v>
      </c>
      <c r="AE440" s="7">
        <v>-6.0000000000000001E-3</v>
      </c>
      <c r="AF440" s="7" t="s">
        <v>2274</v>
      </c>
      <c r="AG440" s="7">
        <v>0.1</v>
      </c>
      <c r="AH440" s="7" t="s">
        <v>2273</v>
      </c>
      <c r="AI440" s="7">
        <v>15000</v>
      </c>
      <c r="AJ440" s="7">
        <v>-11</v>
      </c>
      <c r="AK440" s="7">
        <v>22</v>
      </c>
      <c r="AT440" s="7" t="str">
        <f t="shared" si="108"/>
        <v>None</v>
      </c>
      <c r="AU440" s="7" t="str">
        <f t="shared" si="101"/>
        <v>None</v>
      </c>
      <c r="AV440" s="7" t="str">
        <f t="shared" si="102"/>
        <v/>
      </c>
      <c r="AW440" s="7" t="str">
        <f t="shared" si="103"/>
        <v/>
      </c>
      <c r="AX440" s="7" t="str">
        <f t="shared" si="104"/>
        <v/>
      </c>
      <c r="BB440" s="7" t="str">
        <f t="shared" si="109"/>
        <v/>
      </c>
      <c r="BC440" s="7" t="str">
        <f t="shared" si="105"/>
        <v>No</v>
      </c>
      <c r="BD440" s="7" t="s">
        <v>1963</v>
      </c>
      <c r="BQ440" s="22"/>
      <c r="CH440" s="7" t="str">
        <f t="shared" si="106"/>
        <v/>
      </c>
    </row>
    <row r="441" spans="1:103">
      <c r="A441" s="7" t="s">
        <v>1240</v>
      </c>
      <c r="B441" s="7">
        <v>201</v>
      </c>
      <c r="C441" s="7" t="s">
        <v>267</v>
      </c>
      <c r="F441" s="7">
        <v>2030</v>
      </c>
      <c r="G441" s="7">
        <v>2020</v>
      </c>
      <c r="H441" s="8" t="s">
        <v>2272</v>
      </c>
      <c r="I441" s="24" t="str">
        <f t="shared" si="97"/>
        <v>Yes</v>
      </c>
      <c r="J441" s="7">
        <v>2030</v>
      </c>
      <c r="K441" s="7">
        <v>2017</v>
      </c>
      <c r="L441" s="7" t="str">
        <f t="shared" si="98"/>
        <v>T</v>
      </c>
      <c r="M441" s="21">
        <f t="shared" si="99"/>
        <v>2025</v>
      </c>
      <c r="N441" s="7">
        <v>2019</v>
      </c>
      <c r="O441" s="7" t="s">
        <v>1957</v>
      </c>
      <c r="P441" s="7" t="s">
        <v>2271</v>
      </c>
      <c r="Q441" s="7">
        <v>2050</v>
      </c>
      <c r="R441" s="7">
        <v>2020</v>
      </c>
      <c r="S441" s="27" t="s">
        <v>2270</v>
      </c>
      <c r="T441" s="7" t="str">
        <f t="shared" si="100"/>
        <v/>
      </c>
      <c r="U441" s="7" t="s">
        <v>2080</v>
      </c>
      <c r="V441" s="7" t="s">
        <v>2269</v>
      </c>
      <c r="Y441" s="23" t="s">
        <v>2268</v>
      </c>
      <c r="Z441" s="23" t="s">
        <v>2267</v>
      </c>
      <c r="AA441" s="7" t="s">
        <v>2124</v>
      </c>
      <c r="AB441" s="27" t="s">
        <v>2266</v>
      </c>
      <c r="AC441" s="8" t="s">
        <v>1236</v>
      </c>
      <c r="AD441" s="24">
        <v>54197</v>
      </c>
      <c r="AE441" s="7">
        <v>-5.7000000000000002E-2</v>
      </c>
      <c r="AF441" s="7" t="s">
        <v>2265</v>
      </c>
      <c r="AG441" s="7">
        <v>-0.67500000000000004</v>
      </c>
      <c r="AH441" s="7" t="s">
        <v>2264</v>
      </c>
      <c r="AI441" s="7">
        <v>113819</v>
      </c>
      <c r="AJ441" s="7">
        <v>-25</v>
      </c>
      <c r="AK441" s="7">
        <v>26</v>
      </c>
      <c r="AL441" s="7" t="s">
        <v>461</v>
      </c>
      <c r="AN441" s="7" t="s">
        <v>1951</v>
      </c>
      <c r="AT441" s="7" t="str">
        <f t="shared" si="108"/>
        <v>SBT &amp; RE100</v>
      </c>
      <c r="AU441" s="7" t="str">
        <f t="shared" si="101"/>
        <v>SBT &amp; RE100</v>
      </c>
      <c r="AV441" s="7" t="str">
        <f t="shared" si="102"/>
        <v/>
      </c>
      <c r="AW441" s="7">
        <f t="shared" si="103"/>
        <v>2019</v>
      </c>
      <c r="AX441" s="7">
        <f t="shared" si="104"/>
        <v>2017</v>
      </c>
      <c r="BB441" s="7" t="str">
        <f t="shared" si="109"/>
        <v>Yes</v>
      </c>
      <c r="BC441" s="7" t="str">
        <f t="shared" si="105"/>
        <v>No</v>
      </c>
      <c r="BD441" s="7" t="s">
        <v>2118</v>
      </c>
      <c r="BE441" s="7" t="s">
        <v>2263</v>
      </c>
      <c r="BG441" s="7" t="s">
        <v>2262</v>
      </c>
      <c r="BH441" s="7" t="s">
        <v>22</v>
      </c>
      <c r="BI441" s="7" t="s">
        <v>2156</v>
      </c>
      <c r="BJ441" s="7" t="s">
        <v>2115</v>
      </c>
      <c r="BM441" s="7" t="s">
        <v>2261</v>
      </c>
      <c r="BN441" s="7">
        <v>2025</v>
      </c>
      <c r="BO441" s="7">
        <v>2025</v>
      </c>
      <c r="BP441" s="7">
        <v>2025</v>
      </c>
      <c r="BQ441" s="22"/>
      <c r="CD441" s="7" t="s">
        <v>361</v>
      </c>
      <c r="CG441" s="7" t="s">
        <v>267</v>
      </c>
      <c r="CH441" s="7" t="str">
        <f t="shared" si="106"/>
        <v>yes</v>
      </c>
      <c r="CI441" s="7" t="s">
        <v>2260</v>
      </c>
      <c r="CJ441" s="7">
        <v>0.57999999999999996</v>
      </c>
      <c r="CK441" s="7">
        <v>0.47</v>
      </c>
      <c r="CL441" s="7">
        <v>0.44</v>
      </c>
      <c r="CM441" s="7">
        <v>0.20699999999999999</v>
      </c>
      <c r="CN441" s="7" t="s">
        <v>13</v>
      </c>
      <c r="CO441" s="7" t="s">
        <v>2259</v>
      </c>
    </row>
    <row r="442" spans="1:103">
      <c r="A442" s="7" t="s">
        <v>1031</v>
      </c>
      <c r="B442" s="7">
        <v>197</v>
      </c>
      <c r="I442" s="24" t="str">
        <f t="shared" si="97"/>
        <v/>
      </c>
      <c r="L442" s="7" t="str">
        <f t="shared" si="98"/>
        <v/>
      </c>
      <c r="M442" s="21" t="str">
        <f t="shared" si="99"/>
        <v/>
      </c>
      <c r="N442" s="7" t="s">
        <v>1960</v>
      </c>
      <c r="T442" s="7" t="str">
        <f t="shared" si="100"/>
        <v>Nothing</v>
      </c>
      <c r="U442" s="7" t="s">
        <v>1</v>
      </c>
      <c r="AD442" s="24">
        <v>54613</v>
      </c>
      <c r="AE442" s="7">
        <v>0.155</v>
      </c>
      <c r="AF442" s="7" t="s">
        <v>2258</v>
      </c>
      <c r="AG442" s="7">
        <v>0.13500000000000001</v>
      </c>
      <c r="AH442" s="7" t="s">
        <v>2257</v>
      </c>
      <c r="AI442" s="7">
        <v>62885</v>
      </c>
      <c r="AJ442" s="7">
        <v>40</v>
      </c>
      <c r="AK442" s="7">
        <v>4</v>
      </c>
      <c r="AT442" s="7" t="str">
        <f t="shared" si="108"/>
        <v>None</v>
      </c>
      <c r="AU442" s="7" t="str">
        <f t="shared" si="101"/>
        <v>None</v>
      </c>
      <c r="AV442" s="7" t="str">
        <f t="shared" si="102"/>
        <v/>
      </c>
      <c r="AW442" s="7" t="str">
        <f t="shared" si="103"/>
        <v/>
      </c>
      <c r="AX442" s="7" t="str">
        <f t="shared" si="104"/>
        <v/>
      </c>
      <c r="BB442" s="7" t="str">
        <f t="shared" si="109"/>
        <v/>
      </c>
      <c r="BC442" s="7" t="str">
        <f t="shared" si="105"/>
        <v>No</v>
      </c>
      <c r="BD442" s="7" t="s">
        <v>1</v>
      </c>
      <c r="BQ442" s="22"/>
      <c r="CH442" s="7" t="str">
        <f t="shared" si="106"/>
        <v/>
      </c>
    </row>
    <row r="443" spans="1:103">
      <c r="A443" s="7" t="s">
        <v>1517</v>
      </c>
      <c r="B443" s="7">
        <v>103</v>
      </c>
      <c r="C443" s="7" t="s">
        <v>2070</v>
      </c>
      <c r="D443" s="7" t="s">
        <v>1957</v>
      </c>
      <c r="E443" s="7" t="s">
        <v>1659</v>
      </c>
      <c r="F443" s="7">
        <v>2050</v>
      </c>
      <c r="G443" s="7">
        <v>2017</v>
      </c>
      <c r="H443" s="8" t="s">
        <v>2256</v>
      </c>
      <c r="I443" s="24" t="str">
        <f t="shared" si="97"/>
        <v>Yes</v>
      </c>
      <c r="J443" s="7">
        <v>2030</v>
      </c>
      <c r="K443" s="7">
        <v>2017</v>
      </c>
      <c r="L443" s="7" t="str">
        <f t="shared" si="98"/>
        <v>T</v>
      </c>
      <c r="M443" s="21">
        <f t="shared" si="99"/>
        <v>2026.6666666666667</v>
      </c>
      <c r="N443" s="7">
        <v>2017</v>
      </c>
      <c r="T443" s="7" t="str">
        <f t="shared" si="100"/>
        <v/>
      </c>
      <c r="U443" s="7" t="s">
        <v>1969</v>
      </c>
      <c r="V443" s="7" t="s">
        <v>2255</v>
      </c>
      <c r="AD443" s="24">
        <v>82700</v>
      </c>
      <c r="AE443" s="7">
        <v>-1.9E-2</v>
      </c>
      <c r="AF443" s="7" t="s">
        <v>2254</v>
      </c>
      <c r="AG443" s="7">
        <v>-0.28899999999999998</v>
      </c>
      <c r="AH443" s="7" t="s">
        <v>2253</v>
      </c>
      <c r="AI443" s="7">
        <v>293963</v>
      </c>
      <c r="AJ443" s="7" t="s">
        <v>9</v>
      </c>
      <c r="AK443" s="7">
        <v>26</v>
      </c>
      <c r="AL443" s="7" t="s">
        <v>942</v>
      </c>
      <c r="AN443" s="7" t="s">
        <v>1951</v>
      </c>
      <c r="AT443" s="7" t="str">
        <f t="shared" si="108"/>
        <v>CN, SBT &amp; RE100</v>
      </c>
      <c r="AU443" s="7" t="str">
        <f t="shared" si="101"/>
        <v>SBT &amp; RE100</v>
      </c>
      <c r="AV443" s="7" t="str">
        <f t="shared" si="102"/>
        <v/>
      </c>
      <c r="AW443" s="7">
        <f t="shared" si="103"/>
        <v>2017</v>
      </c>
      <c r="AX443" s="7">
        <f t="shared" si="104"/>
        <v>2017</v>
      </c>
      <c r="BB443" s="7" t="str">
        <f t="shared" si="109"/>
        <v>Yes</v>
      </c>
      <c r="BC443" s="7" t="str">
        <f t="shared" si="105"/>
        <v>No - but post-2030 commitment</v>
      </c>
      <c r="BD443" s="7" t="s">
        <v>1</v>
      </c>
      <c r="BH443" s="7" t="s">
        <v>22</v>
      </c>
      <c r="BI443" s="7" t="s">
        <v>2156</v>
      </c>
      <c r="BJ443" s="7" t="s">
        <v>224</v>
      </c>
      <c r="BM443" s="7" t="s">
        <v>1518</v>
      </c>
      <c r="BN443" s="7">
        <v>2025</v>
      </c>
      <c r="BO443" s="7">
        <v>2025</v>
      </c>
      <c r="BP443" s="7">
        <v>2030</v>
      </c>
      <c r="BQ443" s="22"/>
      <c r="CE443" s="7">
        <v>2050</v>
      </c>
      <c r="CG443" s="7" t="s">
        <v>2070</v>
      </c>
      <c r="CH443" s="7" t="str">
        <f t="shared" si="106"/>
        <v>yes</v>
      </c>
      <c r="CI443" s="7" t="s">
        <v>2252</v>
      </c>
      <c r="CJ443" s="7">
        <v>0.57999999999999996</v>
      </c>
      <c r="CK443" s="7">
        <v>0.55000000000000004</v>
      </c>
      <c r="CL443" s="7">
        <v>0.24</v>
      </c>
      <c r="CM443" s="7" t="s">
        <v>13</v>
      </c>
      <c r="CN443" s="7" t="s">
        <v>13</v>
      </c>
      <c r="CO443" s="7" t="s">
        <v>2251</v>
      </c>
    </row>
    <row r="444" spans="1:103">
      <c r="A444" s="7" t="s">
        <v>2250</v>
      </c>
      <c r="B444" s="7">
        <v>498</v>
      </c>
      <c r="I444" s="24" t="str">
        <f t="shared" si="97"/>
        <v/>
      </c>
      <c r="L444" s="7" t="str">
        <f t="shared" si="98"/>
        <v/>
      </c>
      <c r="M444" s="21" t="str">
        <f t="shared" si="99"/>
        <v/>
      </c>
      <c r="N444" s="7" t="s">
        <v>1960</v>
      </c>
      <c r="T444" s="7" t="str">
        <f t="shared" si="100"/>
        <v>Nothing</v>
      </c>
      <c r="U444" s="7" t="s">
        <v>1</v>
      </c>
      <c r="AD444" s="24">
        <v>25542</v>
      </c>
      <c r="AE444" s="7">
        <v>4.9000000000000002E-2</v>
      </c>
      <c r="AF444" s="7" t="s">
        <v>2249</v>
      </c>
      <c r="AG444" s="7">
        <v>0.25800000000000001</v>
      </c>
      <c r="AH444" s="7" t="s">
        <v>2248</v>
      </c>
      <c r="AI444" s="7">
        <v>75000</v>
      </c>
      <c r="AJ444" s="7" t="s">
        <v>9</v>
      </c>
      <c r="AK444" s="7">
        <v>1</v>
      </c>
      <c r="AT444" s="7" t="str">
        <f t="shared" si="108"/>
        <v>None</v>
      </c>
      <c r="AU444" s="7" t="str">
        <f t="shared" si="101"/>
        <v>None</v>
      </c>
      <c r="AV444" s="7" t="str">
        <f t="shared" si="102"/>
        <v/>
      </c>
      <c r="AW444" s="7" t="str">
        <f t="shared" si="103"/>
        <v/>
      </c>
      <c r="AX444" s="7" t="str">
        <f t="shared" si="104"/>
        <v/>
      </c>
      <c r="BB444" s="7" t="str">
        <f t="shared" si="109"/>
        <v/>
      </c>
      <c r="BC444" s="7" t="str">
        <f t="shared" si="105"/>
        <v>No</v>
      </c>
      <c r="BD444" s="7" t="s">
        <v>1</v>
      </c>
      <c r="BQ444" s="22"/>
      <c r="CH444" s="7" t="str">
        <f t="shared" si="106"/>
        <v/>
      </c>
      <c r="CX444" s="7" t="s">
        <v>361</v>
      </c>
    </row>
    <row r="445" spans="1:103">
      <c r="A445" s="7" t="s">
        <v>1117</v>
      </c>
      <c r="B445" s="7">
        <v>248</v>
      </c>
      <c r="C445" s="7" t="s">
        <v>146</v>
      </c>
      <c r="I445" s="24" t="str">
        <f t="shared" si="97"/>
        <v/>
      </c>
      <c r="L445" s="7" t="str">
        <f t="shared" si="98"/>
        <v>T</v>
      </c>
      <c r="M445" s="21">
        <f t="shared" si="99"/>
        <v>2030</v>
      </c>
      <c r="N445" s="7">
        <v>2019</v>
      </c>
      <c r="T445" s="7" t="str">
        <f t="shared" si="100"/>
        <v>Nothing</v>
      </c>
      <c r="U445" s="7" t="s">
        <v>1</v>
      </c>
      <c r="AD445" s="24">
        <v>47358</v>
      </c>
      <c r="AE445" s="7">
        <v>-6.9000000000000006E-2</v>
      </c>
      <c r="AF445" s="7" t="s">
        <v>2247</v>
      </c>
      <c r="AG445" s="7">
        <v>-37.017000000000003</v>
      </c>
      <c r="AH445" s="7" t="s">
        <v>2246</v>
      </c>
      <c r="AI445" s="7">
        <v>162372</v>
      </c>
      <c r="AJ445" s="7">
        <v>-33</v>
      </c>
      <c r="AK445" s="7">
        <v>26</v>
      </c>
      <c r="AL445" s="7" t="s">
        <v>2083</v>
      </c>
      <c r="AN445" s="7" t="s">
        <v>1951</v>
      </c>
      <c r="AT445" s="7" t="str">
        <f t="shared" si="108"/>
        <v>SBT</v>
      </c>
      <c r="AU445" s="7" t="str">
        <f t="shared" si="101"/>
        <v>SBT</v>
      </c>
      <c r="AV445" s="7" t="str">
        <f t="shared" si="102"/>
        <v/>
      </c>
      <c r="AW445" s="7">
        <f t="shared" si="103"/>
        <v>2019</v>
      </c>
      <c r="AX445" s="7" t="str">
        <f t="shared" si="104"/>
        <v/>
      </c>
      <c r="BB445" s="7" t="str">
        <f t="shared" si="109"/>
        <v>Yes</v>
      </c>
      <c r="BC445" s="7" t="str">
        <f t="shared" si="105"/>
        <v>No</v>
      </c>
      <c r="BD445" s="7" t="s">
        <v>1</v>
      </c>
      <c r="BH445" s="7" t="s">
        <v>22</v>
      </c>
      <c r="BI445" s="7" t="s">
        <v>2245</v>
      </c>
      <c r="BJ445" s="7" t="s">
        <v>2244</v>
      </c>
      <c r="BM445" s="7" t="s">
        <v>2243</v>
      </c>
      <c r="BN445" s="7">
        <v>2030</v>
      </c>
      <c r="BO445" s="7">
        <v>2030</v>
      </c>
      <c r="BP445" s="7">
        <v>2030</v>
      </c>
      <c r="BQ445" s="22"/>
      <c r="CH445" s="7" t="str">
        <f t="shared" si="106"/>
        <v/>
      </c>
    </row>
    <row r="446" spans="1:103">
      <c r="A446" s="7" t="s">
        <v>838</v>
      </c>
      <c r="B446" s="7">
        <v>306</v>
      </c>
      <c r="I446" s="24" t="str">
        <f t="shared" si="97"/>
        <v/>
      </c>
      <c r="L446" s="7" t="str">
        <f t="shared" si="98"/>
        <v/>
      </c>
      <c r="M446" s="21" t="str">
        <f t="shared" si="99"/>
        <v/>
      </c>
      <c r="N446" s="7" t="s">
        <v>1960</v>
      </c>
      <c r="T446" s="7" t="str">
        <f t="shared" si="100"/>
        <v>Nothing</v>
      </c>
      <c r="U446" s="7" t="s">
        <v>1963</v>
      </c>
      <c r="AD446" s="24">
        <v>40454</v>
      </c>
      <c r="AE446" s="7">
        <v>-1.4999999999999999E-2</v>
      </c>
      <c r="AF446" s="7" t="s">
        <v>2242</v>
      </c>
      <c r="AG446" s="7">
        <v>0.57599999999999996</v>
      </c>
      <c r="AH446" s="7" t="s">
        <v>2241</v>
      </c>
      <c r="AI446" s="7">
        <v>16533</v>
      </c>
      <c r="AJ446" s="7">
        <v>-9</v>
      </c>
      <c r="AK446" s="7">
        <v>23</v>
      </c>
      <c r="AT446" s="7" t="str">
        <f t="shared" si="108"/>
        <v>None</v>
      </c>
      <c r="AU446" s="7" t="str">
        <f t="shared" si="101"/>
        <v>None</v>
      </c>
      <c r="AV446" s="7" t="str">
        <f t="shared" si="102"/>
        <v/>
      </c>
      <c r="AW446" s="7" t="str">
        <f t="shared" si="103"/>
        <v/>
      </c>
      <c r="AX446" s="7" t="str">
        <f t="shared" si="104"/>
        <v/>
      </c>
      <c r="BB446" s="7" t="str">
        <f t="shared" si="109"/>
        <v/>
      </c>
      <c r="BC446" s="7" t="str">
        <f t="shared" si="105"/>
        <v>No</v>
      </c>
      <c r="BD446" s="7" t="s">
        <v>1963</v>
      </c>
      <c r="BQ446" s="22"/>
      <c r="CH446" s="7" t="str">
        <f t="shared" si="106"/>
        <v/>
      </c>
    </row>
    <row r="447" spans="1:103">
      <c r="A447" s="7" t="s">
        <v>768</v>
      </c>
      <c r="B447" s="7">
        <v>292</v>
      </c>
      <c r="I447" s="24" t="str">
        <f t="shared" si="97"/>
        <v/>
      </c>
      <c r="L447" s="7" t="str">
        <f t="shared" si="98"/>
        <v/>
      </c>
      <c r="M447" s="21" t="str">
        <f t="shared" si="99"/>
        <v/>
      </c>
      <c r="N447" s="7" t="s">
        <v>1960</v>
      </c>
      <c r="T447" s="7" t="str">
        <f t="shared" si="100"/>
        <v>Nothing</v>
      </c>
      <c r="U447" s="7" t="s">
        <v>1963</v>
      </c>
      <c r="AC447" s="26" t="s">
        <v>2240</v>
      </c>
      <c r="AD447" s="24">
        <v>41717</v>
      </c>
      <c r="AE447" s="7">
        <v>7.0000000000000007E-2</v>
      </c>
      <c r="AF447" s="7" t="s">
        <v>2239</v>
      </c>
      <c r="AG447" s="7">
        <v>6.9000000000000006E-2</v>
      </c>
      <c r="AH447" s="7" t="s">
        <v>2238</v>
      </c>
      <c r="AI447" s="7">
        <v>286000</v>
      </c>
      <c r="AJ447" s="7">
        <v>25</v>
      </c>
      <c r="AK447" s="7">
        <v>19</v>
      </c>
      <c r="AT447" s="7" t="str">
        <f t="shared" si="108"/>
        <v>None</v>
      </c>
      <c r="AU447" s="7" t="str">
        <f t="shared" si="101"/>
        <v>None</v>
      </c>
      <c r="AV447" s="7" t="str">
        <f t="shared" si="102"/>
        <v/>
      </c>
      <c r="AW447" s="7" t="str">
        <f t="shared" si="103"/>
        <v/>
      </c>
      <c r="AX447" s="7" t="str">
        <f t="shared" si="104"/>
        <v/>
      </c>
      <c r="BB447" s="7" t="str">
        <f t="shared" si="109"/>
        <v/>
      </c>
      <c r="BC447" s="7" t="str">
        <f t="shared" si="105"/>
        <v>No</v>
      </c>
      <c r="BD447" s="7" t="s">
        <v>1963</v>
      </c>
      <c r="BF447" s="7" t="s">
        <v>2237</v>
      </c>
      <c r="BQ447" s="22"/>
      <c r="CH447" s="7" t="str">
        <f t="shared" si="106"/>
        <v/>
      </c>
    </row>
    <row r="448" spans="1:103">
      <c r="A448" s="7" t="s">
        <v>1085</v>
      </c>
      <c r="B448" s="7">
        <v>226</v>
      </c>
      <c r="C448" s="7" t="s">
        <v>207</v>
      </c>
      <c r="D448" s="7" t="s">
        <v>1957</v>
      </c>
      <c r="E448" s="7" t="s">
        <v>2236</v>
      </c>
      <c r="F448" s="7">
        <v>2011</v>
      </c>
      <c r="G448" s="7">
        <v>2011</v>
      </c>
      <c r="H448" s="8" t="s">
        <v>2235</v>
      </c>
      <c r="I448" s="24" t="str">
        <f t="shared" si="97"/>
        <v/>
      </c>
      <c r="L448" s="7" t="str">
        <f t="shared" si="98"/>
        <v>C</v>
      </c>
      <c r="M448" s="21" t="str">
        <f t="shared" si="99"/>
        <v/>
      </c>
      <c r="N448" s="7">
        <v>2018</v>
      </c>
      <c r="T448" s="7" t="str">
        <f t="shared" si="100"/>
        <v/>
      </c>
      <c r="U448" s="7" t="s">
        <v>361</v>
      </c>
      <c r="V448" s="7" t="s">
        <v>2234</v>
      </c>
      <c r="X448" s="23"/>
      <c r="AD448" s="24">
        <v>50270</v>
      </c>
      <c r="AE448" s="7">
        <v>1.7999999999999999E-2</v>
      </c>
      <c r="AF448" s="7" t="s">
        <v>2233</v>
      </c>
      <c r="AG448" s="7">
        <v>-3.5000000000000003E-2</v>
      </c>
      <c r="AH448" s="7" t="s">
        <v>2232</v>
      </c>
      <c r="AI448" s="7">
        <v>41101</v>
      </c>
      <c r="AJ448" s="7">
        <v>-2</v>
      </c>
      <c r="AK448" s="7">
        <v>26</v>
      </c>
      <c r="AL448" s="7" t="s">
        <v>93</v>
      </c>
      <c r="AN448" s="7" t="s">
        <v>1994</v>
      </c>
      <c r="AT448" s="7" t="str">
        <f t="shared" si="108"/>
        <v>CN &amp; SBT</v>
      </c>
      <c r="AU448" s="7" t="str">
        <f t="shared" si="101"/>
        <v>CN &amp; SBT</v>
      </c>
      <c r="AV448" s="7">
        <f t="shared" si="102"/>
        <v>2011</v>
      </c>
      <c r="AW448" s="7">
        <f t="shared" si="103"/>
        <v>2018</v>
      </c>
      <c r="AX448" s="7" t="str">
        <f t="shared" si="104"/>
        <v/>
      </c>
      <c r="BB448" s="7" t="str">
        <f t="shared" si="109"/>
        <v>Yes</v>
      </c>
      <c r="BC448" s="7" t="str">
        <f t="shared" si="105"/>
        <v>Carbon Neutral</v>
      </c>
      <c r="BD448" s="7" t="s">
        <v>1</v>
      </c>
      <c r="BG448" s="7" t="s">
        <v>32</v>
      </c>
      <c r="BH448" s="7" t="s">
        <v>165</v>
      </c>
      <c r="BJ448" s="7" t="s">
        <v>881</v>
      </c>
      <c r="BQ448" s="22"/>
      <c r="CE448" s="7" t="s">
        <v>1947</v>
      </c>
      <c r="CH448" s="7" t="str">
        <f t="shared" si="106"/>
        <v/>
      </c>
    </row>
    <row r="449" spans="1:103">
      <c r="A449" s="7" t="s">
        <v>1229</v>
      </c>
      <c r="B449" s="7">
        <v>188</v>
      </c>
      <c r="H449" s="8"/>
      <c r="I449" s="24" t="str">
        <f t="shared" si="97"/>
        <v/>
      </c>
      <c r="L449" s="7" t="str">
        <f t="shared" si="98"/>
        <v/>
      </c>
      <c r="M449" s="21" t="str">
        <f t="shared" si="99"/>
        <v/>
      </c>
      <c r="N449" s="7" t="s">
        <v>1960</v>
      </c>
      <c r="T449" s="7" t="str">
        <f t="shared" si="100"/>
        <v>Nothing</v>
      </c>
      <c r="U449" s="7" t="s">
        <v>1</v>
      </c>
      <c r="AD449" s="24">
        <v>57407</v>
      </c>
      <c r="AE449" s="7">
        <v>4.0000000000000001E-3</v>
      </c>
      <c r="AF449" s="7" t="s">
        <v>2231</v>
      </c>
      <c r="AG449" s="7">
        <v>-0.77800000000000002</v>
      </c>
      <c r="AH449" s="7" t="s">
        <v>2230</v>
      </c>
      <c r="AI449" s="7">
        <v>37892</v>
      </c>
      <c r="AJ449" s="7">
        <v>-10</v>
      </c>
      <c r="AK449" s="7">
        <v>26</v>
      </c>
      <c r="AT449" s="7" t="str">
        <f t="shared" ref="AT449:AT480" si="110">IF(OR(BC449="Carbon Neutral",BC449="No - but post-2030 commitment"),IF((OR(BH449="Committed",BH449="Targets Set")),IF(J449="", "CN &amp; SBT","CN, SBT &amp; RE100"),IF(CH449="","CN","CN &amp; RE100")),IF((OR(BH449="Committed",BH449="Targets Set")),IF(CH449="", "SBT","SBT &amp; RE100"),IF(CH449="","None","RE100")))</f>
        <v>None</v>
      </c>
      <c r="AU449" s="7" t="str">
        <f t="shared" si="101"/>
        <v>None</v>
      </c>
      <c r="AV449" s="7" t="str">
        <f t="shared" si="102"/>
        <v/>
      </c>
      <c r="AW449" s="7" t="str">
        <f t="shared" si="103"/>
        <v/>
      </c>
      <c r="AX449" s="7" t="str">
        <f t="shared" si="104"/>
        <v/>
      </c>
      <c r="BB449" s="7" t="str">
        <f t="shared" si="109"/>
        <v/>
      </c>
      <c r="BC449" s="7" t="str">
        <f t="shared" si="105"/>
        <v>No</v>
      </c>
      <c r="BD449" s="7" t="s">
        <v>1</v>
      </c>
      <c r="BQ449" s="22"/>
      <c r="CH449" s="7" t="str">
        <f t="shared" si="106"/>
        <v/>
      </c>
    </row>
    <row r="450" spans="1:103">
      <c r="A450" s="7" t="s">
        <v>239</v>
      </c>
      <c r="B450" s="7">
        <v>456</v>
      </c>
      <c r="C450" s="7" t="s">
        <v>73</v>
      </c>
      <c r="I450" s="24" t="str">
        <f t="shared" ref="I450:I513" si="111">IF(J450="","","Yes")</f>
        <v/>
      </c>
      <c r="L450" s="7" t="str">
        <f t="shared" ref="L450:L501" si="112">IF(BH450="","",IF(BH450="Targets Set","T","C"))</f>
        <v/>
      </c>
      <c r="M450" s="21" t="str">
        <f t="shared" ref="M450:M501" si="113">IF(BM450="","",AVERAGE(BN450:BP450))</f>
        <v/>
      </c>
      <c r="N450" s="7" t="s">
        <v>1960</v>
      </c>
      <c r="T450" s="7" t="str">
        <f t="shared" ref="T450:T501" si="114">IF(AND(O450="",D450=""),"Nothing","")</f>
        <v>Nothing</v>
      </c>
      <c r="U450" s="7" t="s">
        <v>1986</v>
      </c>
      <c r="AD450" s="24">
        <v>27819</v>
      </c>
      <c r="AE450" s="7">
        <v>3.5999999999999997E-2</v>
      </c>
      <c r="AF450" s="7" t="s">
        <v>2229</v>
      </c>
      <c r="AG450" s="7" t="s">
        <v>9</v>
      </c>
      <c r="AH450" s="7" t="s">
        <v>2228</v>
      </c>
      <c r="AI450" s="7">
        <v>22860</v>
      </c>
      <c r="AJ450" s="7">
        <v>5</v>
      </c>
      <c r="AK450" s="7">
        <v>2</v>
      </c>
      <c r="AT450" s="7" t="str">
        <f t="shared" si="110"/>
        <v>None</v>
      </c>
      <c r="AU450" s="7" t="str">
        <f t="shared" ref="AU450:AU472" si="115">IF((BC450="Carbon Neutral"),IF((OR(BH450="Committed",BH450="Targets Set")),IF(CH450="yes", "CN, SBT &amp; RE100", "CN &amp; SBT"),IF(CH450="yes", "CN &amp; RE100", "CN")),IF((OR(BH450="Committed",BH450="Targets Set")),IF(CH450="yes", "SBT &amp; RE100", "SBT"),IF(CH450="yes", "RE100", "None")))</f>
        <v>None</v>
      </c>
      <c r="AV450" s="7" t="str">
        <f t="shared" ref="AV450:AV501" si="116">IF(BC450="Carbon Neutral",G450,"")</f>
        <v/>
      </c>
      <c r="AW450" s="7" t="str">
        <f t="shared" ref="AW450:AW472" si="117">IF(N450="","",N450)</f>
        <v/>
      </c>
      <c r="AX450" s="7" t="str">
        <f t="shared" ref="AX450:AX501" si="118">IF(J450="","",IF(J450="2020 - achieved",K450,IF(J450="2020 - not achieved",K450,IF(J450="2020 - achieved pre-July 2019",K450,IF(J450&gt;2030,"",K450)))))</f>
        <v/>
      </c>
      <c r="BB450" s="7" t="str">
        <f t="shared" si="109"/>
        <v/>
      </c>
      <c r="BC450" s="7" t="str">
        <f t="shared" ref="BC450:BC501" si="119">IF(U450="No","No",IF(AND(OR(U450="No - but future commitment",U450="No - but future commitment and further future commitment across more scopes"),F450&lt;=2030),"Carbon Neutral",IF(OR(U450="No - but future commitment",U450="No - but future commitment and further future commitment across more scopes"),"No - but post-2030 commitment",IF(OR(U450="Yes",U450="Yes and future commitment across more scopes",U450="Yes by virtue of zero net"),"Carbon Neutral","No"))))</f>
        <v>No</v>
      </c>
      <c r="BQ450" s="22"/>
      <c r="CH450" s="7" t="str">
        <f t="shared" ref="CH450:CH501" si="120">IF(J450="","",IF(J450&lt;=2030,"yes",IF(J450="2020 - achieved","yes",IF(J450="2020 - not achieved","yes",IF(J450="2020 - achieved pre-July 2019","yes",IF(J450&gt;2030,"",IF(J450="No target date","","unknown error")))))))</f>
        <v/>
      </c>
    </row>
    <row r="451" spans="1:103">
      <c r="A451" s="7" t="s">
        <v>849</v>
      </c>
      <c r="B451" s="7">
        <v>267</v>
      </c>
      <c r="C451" s="7" t="s">
        <v>78</v>
      </c>
      <c r="D451" s="7" t="s">
        <v>1957</v>
      </c>
      <c r="E451" s="7" t="s">
        <v>1659</v>
      </c>
      <c r="F451" s="7">
        <v>2010</v>
      </c>
      <c r="G451" s="7">
        <v>2010</v>
      </c>
      <c r="H451" s="26" t="s">
        <v>2224</v>
      </c>
      <c r="I451" s="24" t="str">
        <f t="shared" si="111"/>
        <v/>
      </c>
      <c r="L451" s="7" t="str">
        <f t="shared" si="112"/>
        <v/>
      </c>
      <c r="M451" s="21" t="str">
        <f t="shared" si="113"/>
        <v/>
      </c>
      <c r="N451" s="7" t="s">
        <v>1960</v>
      </c>
      <c r="T451" s="7" t="str">
        <f t="shared" si="114"/>
        <v/>
      </c>
      <c r="U451" s="7" t="s">
        <v>361</v>
      </c>
      <c r="V451" s="7" t="s">
        <v>2227</v>
      </c>
      <c r="X451" s="7" t="s">
        <v>2226</v>
      </c>
      <c r="Z451" s="7" t="s">
        <v>2225</v>
      </c>
      <c r="AC451" s="26" t="s">
        <v>2224</v>
      </c>
      <c r="AD451" s="24">
        <v>44502</v>
      </c>
      <c r="AE451" s="7">
        <v>0.08</v>
      </c>
      <c r="AF451" s="7" t="s">
        <v>2223</v>
      </c>
      <c r="AG451" s="7">
        <v>3.0000000000000001E-3</v>
      </c>
      <c r="AH451" s="7" t="s">
        <v>2222</v>
      </c>
      <c r="AI451" s="7">
        <v>89031</v>
      </c>
      <c r="AJ451" s="7">
        <v>28</v>
      </c>
      <c r="AK451" s="7">
        <v>21</v>
      </c>
      <c r="AL451" s="7" t="s">
        <v>93</v>
      </c>
      <c r="AN451" s="7" t="s">
        <v>2029</v>
      </c>
      <c r="AT451" s="7" t="str">
        <f t="shared" si="110"/>
        <v>CN</v>
      </c>
      <c r="AU451" s="7" t="str">
        <f t="shared" si="115"/>
        <v>CN</v>
      </c>
      <c r="AV451" s="7">
        <f t="shared" si="116"/>
        <v>2010</v>
      </c>
      <c r="AW451" s="7" t="str">
        <f t="shared" si="117"/>
        <v/>
      </c>
      <c r="AX451" s="7" t="str">
        <f t="shared" si="118"/>
        <v/>
      </c>
      <c r="BB451" s="7" t="str">
        <f t="shared" si="109"/>
        <v/>
      </c>
      <c r="BC451" s="7" t="str">
        <f t="shared" si="119"/>
        <v>Carbon Neutral</v>
      </c>
      <c r="BD451" s="7" t="s">
        <v>1963</v>
      </c>
      <c r="BE451" s="1"/>
      <c r="BF451" s="7" t="s">
        <v>2221</v>
      </c>
      <c r="BG451" s="7" t="s">
        <v>2220</v>
      </c>
      <c r="BQ451" s="22"/>
      <c r="CE451" s="7" t="s">
        <v>1947</v>
      </c>
      <c r="CH451" s="7" t="str">
        <f t="shared" si="120"/>
        <v/>
      </c>
      <c r="CX451" s="7" t="s">
        <v>361</v>
      </c>
    </row>
    <row r="452" spans="1:103">
      <c r="A452" s="7" t="s">
        <v>606</v>
      </c>
      <c r="B452" s="7">
        <v>402</v>
      </c>
      <c r="C452" s="7" t="s">
        <v>207</v>
      </c>
      <c r="I452" s="24" t="str">
        <f t="shared" si="111"/>
        <v/>
      </c>
      <c r="L452" s="7" t="str">
        <f t="shared" si="112"/>
        <v>C</v>
      </c>
      <c r="M452" s="21" t="str">
        <f t="shared" si="113"/>
        <v/>
      </c>
      <c r="N452" s="7">
        <v>2020</v>
      </c>
      <c r="T452" s="7" t="str">
        <f t="shared" si="114"/>
        <v>Nothing</v>
      </c>
      <c r="U452" s="7" t="s">
        <v>1963</v>
      </c>
      <c r="AC452" s="26" t="s">
        <v>2219</v>
      </c>
      <c r="AD452" s="24">
        <v>31179</v>
      </c>
      <c r="AE452" s="7">
        <v>-6.4000000000000001E-2</v>
      </c>
      <c r="AF452" s="7" t="s">
        <v>2218</v>
      </c>
      <c r="AG452" s="7">
        <v>-1.115</v>
      </c>
      <c r="AH452" s="7" t="s">
        <v>2217</v>
      </c>
      <c r="AI452" s="7">
        <v>125648</v>
      </c>
      <c r="AJ452" s="7">
        <v>-31</v>
      </c>
      <c r="AK452" s="7">
        <v>25</v>
      </c>
      <c r="AL452" s="7" t="s">
        <v>431</v>
      </c>
      <c r="AN452" s="7" t="s">
        <v>1994</v>
      </c>
      <c r="AT452" s="7" t="str">
        <f t="shared" si="110"/>
        <v>SBT</v>
      </c>
      <c r="AU452" s="7" t="str">
        <f t="shared" si="115"/>
        <v>SBT</v>
      </c>
      <c r="AV452" s="7" t="str">
        <f t="shared" si="116"/>
        <v/>
      </c>
      <c r="AW452" s="7">
        <f t="shared" si="117"/>
        <v>2020</v>
      </c>
      <c r="AX452" s="7" t="str">
        <f t="shared" si="118"/>
        <v/>
      </c>
      <c r="BB452" s="7" t="str">
        <f t="shared" si="109"/>
        <v>Yes</v>
      </c>
      <c r="BC452" s="7" t="str">
        <f t="shared" si="119"/>
        <v>No</v>
      </c>
      <c r="BD452" s="7" t="s">
        <v>1963</v>
      </c>
      <c r="BF452" s="7" t="s">
        <v>2216</v>
      </c>
      <c r="BH452" s="7" t="s">
        <v>165</v>
      </c>
      <c r="BJ452" s="7" t="s">
        <v>2215</v>
      </c>
      <c r="BQ452" s="22"/>
      <c r="CH452" s="7" t="str">
        <f t="shared" si="120"/>
        <v/>
      </c>
      <c r="CX452" s="7" t="s">
        <v>361</v>
      </c>
    </row>
    <row r="453" spans="1:103">
      <c r="A453" s="7" t="s">
        <v>1813</v>
      </c>
      <c r="B453" s="7">
        <v>25</v>
      </c>
      <c r="C453" s="7" t="s">
        <v>63</v>
      </c>
      <c r="F453" s="7">
        <v>2050</v>
      </c>
      <c r="G453" s="7">
        <v>2020</v>
      </c>
      <c r="H453" s="8" t="s">
        <v>2210</v>
      </c>
      <c r="I453" s="24" t="str">
        <f t="shared" si="111"/>
        <v/>
      </c>
      <c r="L453" s="7" t="str">
        <f t="shared" si="112"/>
        <v/>
      </c>
      <c r="M453" s="21" t="str">
        <f t="shared" si="113"/>
        <v/>
      </c>
      <c r="N453" s="7" t="s">
        <v>1960</v>
      </c>
      <c r="O453" s="7" t="s">
        <v>1957</v>
      </c>
      <c r="P453" s="7" t="s">
        <v>2214</v>
      </c>
      <c r="Q453" s="7">
        <v>2050</v>
      </c>
      <c r="R453" s="7">
        <v>2020</v>
      </c>
      <c r="S453" s="26" t="s">
        <v>2210</v>
      </c>
      <c r="T453" s="7" t="str">
        <f t="shared" si="114"/>
        <v/>
      </c>
      <c r="U453" s="7" t="s">
        <v>2080</v>
      </c>
      <c r="V453" s="7" t="s">
        <v>2213</v>
      </c>
      <c r="Z453" s="7" t="s">
        <v>2212</v>
      </c>
      <c r="AA453" s="7" t="s">
        <v>2211</v>
      </c>
      <c r="AC453" s="26" t="s">
        <v>2210</v>
      </c>
      <c r="AD453" s="24">
        <v>176249</v>
      </c>
      <c r="AE453" s="7">
        <v>-4.2999999999999997E-2</v>
      </c>
      <c r="AF453" s="7" t="s">
        <v>2209</v>
      </c>
      <c r="AG453" s="7">
        <v>-1.6E-2</v>
      </c>
      <c r="AH453" s="7" t="s">
        <v>2208</v>
      </c>
      <c r="AI453" s="7">
        <v>107776</v>
      </c>
      <c r="AJ453" s="7">
        <v>-5</v>
      </c>
      <c r="AK453" s="7">
        <v>26</v>
      </c>
      <c r="AL453" t="s">
        <v>2111</v>
      </c>
      <c r="AN453" s="7" t="s">
        <v>1951</v>
      </c>
      <c r="AT453" s="7" t="str">
        <f t="shared" si="110"/>
        <v>None</v>
      </c>
      <c r="AU453" s="7" t="str">
        <f t="shared" si="115"/>
        <v>None</v>
      </c>
      <c r="AV453" s="7" t="str">
        <f t="shared" si="116"/>
        <v/>
      </c>
      <c r="AW453" s="7" t="str">
        <f t="shared" si="117"/>
        <v/>
      </c>
      <c r="AX453" s="7" t="str">
        <f t="shared" si="118"/>
        <v/>
      </c>
      <c r="BB453" s="7" t="str">
        <f t="shared" si="109"/>
        <v/>
      </c>
      <c r="BC453" s="7" t="str">
        <f t="shared" si="119"/>
        <v>No</v>
      </c>
      <c r="BD453" s="7" t="s">
        <v>2118</v>
      </c>
      <c r="BF453" s="33" t="s">
        <v>2207</v>
      </c>
      <c r="BG453" s="7" t="s">
        <v>2072</v>
      </c>
      <c r="BQ453" s="22"/>
      <c r="CD453" s="7" t="s">
        <v>361</v>
      </c>
      <c r="CF453" s="25"/>
      <c r="CH453" s="7" t="str">
        <f t="shared" si="120"/>
        <v/>
      </c>
      <c r="CT453" s="7" t="s">
        <v>1813</v>
      </c>
      <c r="CU453" s="7" t="s">
        <v>2109</v>
      </c>
      <c r="CV453" s="7">
        <v>-25</v>
      </c>
      <c r="CW453" s="7" t="s">
        <v>361</v>
      </c>
    </row>
    <row r="454" spans="1:103">
      <c r="A454" s="7" t="s">
        <v>1851</v>
      </c>
      <c r="B454" s="7">
        <v>10</v>
      </c>
      <c r="C454" s="7" t="s">
        <v>207</v>
      </c>
      <c r="F454" s="7">
        <v>2050</v>
      </c>
      <c r="G454" s="7">
        <v>2015</v>
      </c>
      <c r="H454" s="26" t="s">
        <v>1853</v>
      </c>
      <c r="I454" s="24" t="str">
        <f t="shared" si="111"/>
        <v/>
      </c>
      <c r="L454" s="7" t="str">
        <f t="shared" si="112"/>
        <v>C</v>
      </c>
      <c r="M454" s="21" t="str">
        <f t="shared" si="113"/>
        <v/>
      </c>
      <c r="N454" s="7">
        <v>2016</v>
      </c>
      <c r="O454" s="7" t="s">
        <v>1971</v>
      </c>
      <c r="P454" s="7" t="s">
        <v>2206</v>
      </c>
      <c r="Q454" s="7">
        <v>2050</v>
      </c>
      <c r="R454" s="7">
        <v>2015</v>
      </c>
      <c r="S454" s="27" t="s">
        <v>2203</v>
      </c>
      <c r="T454" s="7" t="str">
        <f t="shared" si="114"/>
        <v/>
      </c>
      <c r="U454" s="7" t="s">
        <v>2080</v>
      </c>
      <c r="V454" s="7" t="s">
        <v>2205</v>
      </c>
      <c r="Y454" s="7" t="s">
        <v>2204</v>
      </c>
      <c r="AB454" s="26" t="s">
        <v>2203</v>
      </c>
      <c r="AC454" s="26" t="s">
        <v>2203</v>
      </c>
      <c r="AD454" s="24">
        <v>275288</v>
      </c>
      <c r="AE454" s="7">
        <v>0.01</v>
      </c>
      <c r="AF454" s="7" t="s">
        <v>2202</v>
      </c>
      <c r="AG454" s="7">
        <v>0.124</v>
      </c>
      <c r="AH454" s="7" t="s">
        <v>2201</v>
      </c>
      <c r="AI454" s="7">
        <v>359542</v>
      </c>
      <c r="AJ454" s="7" t="s">
        <v>9</v>
      </c>
      <c r="AK454" s="7">
        <v>26</v>
      </c>
      <c r="AL454" s="7" t="s">
        <v>166</v>
      </c>
      <c r="AN454" s="7" t="s">
        <v>1994</v>
      </c>
      <c r="AT454" s="7" t="str">
        <f t="shared" si="110"/>
        <v>SBT</v>
      </c>
      <c r="AU454" s="7" t="str">
        <f t="shared" si="115"/>
        <v>SBT</v>
      </c>
      <c r="AV454" s="7" t="str">
        <f t="shared" si="116"/>
        <v/>
      </c>
      <c r="AW454" s="7">
        <f t="shared" si="117"/>
        <v>2016</v>
      </c>
      <c r="AX454" s="7" t="str">
        <f t="shared" si="118"/>
        <v/>
      </c>
      <c r="BB454" s="7" t="str">
        <f t="shared" si="109"/>
        <v>Yes</v>
      </c>
      <c r="BC454" s="7" t="str">
        <f t="shared" si="119"/>
        <v>No</v>
      </c>
      <c r="BD454" s="7" t="s">
        <v>1969</v>
      </c>
      <c r="BE454" s="23" t="s">
        <v>2200</v>
      </c>
      <c r="BF454" s="23" t="s">
        <v>2199</v>
      </c>
      <c r="BG454" s="7" t="s">
        <v>2198</v>
      </c>
      <c r="BH454" s="7" t="s">
        <v>165</v>
      </c>
      <c r="BJ454" s="7" t="s">
        <v>1852</v>
      </c>
      <c r="BQ454" s="22"/>
      <c r="CD454" s="7" t="s">
        <v>361</v>
      </c>
      <c r="CE454" s="7">
        <v>2050</v>
      </c>
      <c r="CH454" s="7" t="str">
        <f t="shared" si="120"/>
        <v/>
      </c>
      <c r="CT454" s="7" t="s">
        <v>1851</v>
      </c>
      <c r="CU454" s="7" t="s">
        <v>2109</v>
      </c>
      <c r="CV454" s="7">
        <v>-23</v>
      </c>
      <c r="CW454" s="7" t="s">
        <v>361</v>
      </c>
      <c r="CX454" s="7" t="s">
        <v>361</v>
      </c>
    </row>
    <row r="455" spans="1:103">
      <c r="A455" s="7" t="s">
        <v>1289</v>
      </c>
      <c r="B455" s="7">
        <v>177</v>
      </c>
      <c r="I455" s="24" t="str">
        <f t="shared" si="111"/>
        <v/>
      </c>
      <c r="L455" s="7" t="str">
        <f t="shared" si="112"/>
        <v/>
      </c>
      <c r="M455" s="21" t="str">
        <f t="shared" si="113"/>
        <v/>
      </c>
      <c r="N455" s="7" t="s">
        <v>1960</v>
      </c>
      <c r="T455" s="7" t="str">
        <f t="shared" si="114"/>
        <v>Nothing</v>
      </c>
      <c r="U455" s="7" t="s">
        <v>1</v>
      </c>
      <c r="AD455" s="24">
        <v>61570</v>
      </c>
      <c r="AE455" s="7">
        <v>8.9999999999999993E-3</v>
      </c>
      <c r="AF455" s="7" t="s">
        <v>2197</v>
      </c>
      <c r="AG455" s="7">
        <v>4.2000000000000003E-2</v>
      </c>
      <c r="AH455" s="7" t="s">
        <v>2196</v>
      </c>
      <c r="AI455" s="7">
        <v>66067</v>
      </c>
      <c r="AJ455" s="7">
        <v>-15</v>
      </c>
      <c r="AK455" s="7">
        <v>12</v>
      </c>
      <c r="AT455" s="7" t="str">
        <f t="shared" si="110"/>
        <v>None</v>
      </c>
      <c r="AU455" s="7" t="str">
        <f t="shared" si="115"/>
        <v>None</v>
      </c>
      <c r="AV455" s="7" t="str">
        <f t="shared" si="116"/>
        <v/>
      </c>
      <c r="AW455" s="7" t="str">
        <f t="shared" si="117"/>
        <v/>
      </c>
      <c r="AX455" s="7" t="str">
        <f t="shared" si="118"/>
        <v/>
      </c>
      <c r="BB455" s="7" t="str">
        <f t="shared" si="109"/>
        <v/>
      </c>
      <c r="BC455" s="7" t="str">
        <f t="shared" si="119"/>
        <v>No</v>
      </c>
      <c r="BD455" s="7" t="s">
        <v>1</v>
      </c>
      <c r="BQ455" s="22"/>
      <c r="CH455" s="7" t="str">
        <f t="shared" si="120"/>
        <v/>
      </c>
    </row>
    <row r="456" spans="1:103">
      <c r="A456" s="7" t="s">
        <v>1810</v>
      </c>
      <c r="B456" s="7">
        <v>27</v>
      </c>
      <c r="I456" s="24" t="str">
        <f t="shared" si="111"/>
        <v/>
      </c>
      <c r="L456" s="7" t="str">
        <f t="shared" si="112"/>
        <v/>
      </c>
      <c r="M456" s="21" t="str">
        <f t="shared" si="113"/>
        <v/>
      </c>
      <c r="N456" s="7" t="s">
        <v>1960</v>
      </c>
      <c r="T456" s="7" t="str">
        <f t="shared" si="114"/>
        <v>Nothing</v>
      </c>
      <c r="U456" s="7" t="s">
        <v>1</v>
      </c>
      <c r="AC456" s="27"/>
      <c r="AD456" s="24">
        <v>171474</v>
      </c>
      <c r="AE456" s="7">
        <v>-5.0999999999999997E-2</v>
      </c>
      <c r="AF456" s="7" t="s">
        <v>2195</v>
      </c>
      <c r="AG456" s="7">
        <v>2.5999999999999999E-2</v>
      </c>
      <c r="AH456" s="7" t="s">
        <v>2194</v>
      </c>
      <c r="AI456" s="7">
        <v>5106</v>
      </c>
      <c r="AJ456" s="7">
        <v>-5</v>
      </c>
      <c r="AK456" s="7">
        <v>6</v>
      </c>
      <c r="AT456" s="7" t="str">
        <f t="shared" si="110"/>
        <v>None</v>
      </c>
      <c r="AU456" s="7" t="str">
        <f t="shared" si="115"/>
        <v>None</v>
      </c>
      <c r="AV456" s="7" t="str">
        <f t="shared" si="116"/>
        <v/>
      </c>
      <c r="AW456" s="7" t="str">
        <f t="shared" si="117"/>
        <v/>
      </c>
      <c r="AX456" s="7" t="str">
        <f t="shared" si="118"/>
        <v/>
      </c>
      <c r="BB456" s="7" t="str">
        <f t="shared" si="109"/>
        <v/>
      </c>
      <c r="BC456" s="7" t="str">
        <f t="shared" si="119"/>
        <v>No</v>
      </c>
      <c r="BD456" s="7" t="s">
        <v>1</v>
      </c>
      <c r="BF456" s="32"/>
      <c r="BQ456" s="22"/>
      <c r="CH456" s="7" t="str">
        <f t="shared" si="120"/>
        <v/>
      </c>
    </row>
    <row r="457" spans="1:103">
      <c r="A457" s="7" t="s">
        <v>2193</v>
      </c>
      <c r="B457" s="7">
        <v>399</v>
      </c>
      <c r="I457" s="24" t="str">
        <f t="shared" si="111"/>
        <v/>
      </c>
      <c r="L457" s="7" t="str">
        <f t="shared" si="112"/>
        <v/>
      </c>
      <c r="M457" s="21" t="str">
        <f t="shared" si="113"/>
        <v/>
      </c>
      <c r="N457" s="7" t="s">
        <v>1960</v>
      </c>
      <c r="T457" s="7" t="str">
        <f t="shared" si="114"/>
        <v>Nothing</v>
      </c>
      <c r="U457" s="7" t="s">
        <v>1963</v>
      </c>
      <c r="AD457" s="24">
        <v>31581</v>
      </c>
      <c r="AE457" s="7">
        <v>4.2999999999999997E-2</v>
      </c>
      <c r="AF457" s="7" t="s">
        <v>2192</v>
      </c>
      <c r="AG457" s="7">
        <v>3.9E-2</v>
      </c>
      <c r="AH457" s="7" t="s">
        <v>2191</v>
      </c>
      <c r="AI457" s="7">
        <v>30800</v>
      </c>
      <c r="AJ457" s="7">
        <v>14</v>
      </c>
      <c r="AK457" s="7">
        <v>17</v>
      </c>
      <c r="AT457" s="7" t="str">
        <f t="shared" si="110"/>
        <v>None</v>
      </c>
      <c r="AU457" s="7" t="str">
        <f t="shared" si="115"/>
        <v>None</v>
      </c>
      <c r="AV457" s="7" t="str">
        <f t="shared" si="116"/>
        <v/>
      </c>
      <c r="AW457" s="7" t="str">
        <f t="shared" si="117"/>
        <v/>
      </c>
      <c r="AX457" s="7" t="str">
        <f t="shared" si="118"/>
        <v/>
      </c>
      <c r="BB457" s="7" t="str">
        <f t="shared" si="109"/>
        <v/>
      </c>
      <c r="BC457" s="7" t="str">
        <f t="shared" si="119"/>
        <v>No</v>
      </c>
      <c r="BD457" s="7" t="s">
        <v>1963</v>
      </c>
      <c r="BQ457" s="22"/>
      <c r="CH457" s="7" t="str">
        <f t="shared" si="120"/>
        <v/>
      </c>
      <c r="CY457" s="7" t="s">
        <v>361</v>
      </c>
    </row>
    <row r="458" spans="1:103">
      <c r="A458" s="7" t="s">
        <v>632</v>
      </c>
      <c r="B458" s="7">
        <v>329</v>
      </c>
      <c r="I458" s="24" t="str">
        <f t="shared" si="111"/>
        <v/>
      </c>
      <c r="L458" s="7" t="str">
        <f t="shared" si="112"/>
        <v/>
      </c>
      <c r="M458" s="21" t="str">
        <f t="shared" si="113"/>
        <v/>
      </c>
      <c r="N458" s="7" t="s">
        <v>1960</v>
      </c>
      <c r="T458" s="7" t="str">
        <f t="shared" si="114"/>
        <v>Nothing</v>
      </c>
      <c r="U458" s="7" t="s">
        <v>1963</v>
      </c>
      <c r="AD458" s="24">
        <v>38012</v>
      </c>
      <c r="AE458" s="7">
        <v>0.11</v>
      </c>
      <c r="AF458" s="7" t="s">
        <v>2190</v>
      </c>
      <c r="AG458" s="7">
        <v>0.42699999999999999</v>
      </c>
      <c r="AH458" s="7" t="s">
        <v>2189</v>
      </c>
      <c r="AI458" s="7">
        <v>70426</v>
      </c>
      <c r="AJ458" s="7">
        <v>32</v>
      </c>
      <c r="AK458" s="7">
        <v>2</v>
      </c>
      <c r="AT458" s="7" t="str">
        <f t="shared" si="110"/>
        <v>None</v>
      </c>
      <c r="AU458" s="7" t="str">
        <f t="shared" si="115"/>
        <v>None</v>
      </c>
      <c r="AV458" s="7" t="str">
        <f t="shared" si="116"/>
        <v/>
      </c>
      <c r="AW458" s="7" t="str">
        <f t="shared" si="117"/>
        <v/>
      </c>
      <c r="AX458" s="7" t="str">
        <f t="shared" si="118"/>
        <v/>
      </c>
      <c r="BB458" s="7" t="str">
        <f t="shared" si="109"/>
        <v/>
      </c>
      <c r="BC458" s="7" t="str">
        <f t="shared" si="119"/>
        <v>No</v>
      </c>
      <c r="BD458" s="7" t="s">
        <v>1</v>
      </c>
      <c r="BQ458" s="22"/>
      <c r="CH458" s="7" t="str">
        <f t="shared" si="120"/>
        <v/>
      </c>
    </row>
    <row r="459" spans="1:103">
      <c r="A459" s="7" t="s">
        <v>805</v>
      </c>
      <c r="B459" s="7">
        <v>287</v>
      </c>
      <c r="C459" s="7" t="s">
        <v>127</v>
      </c>
      <c r="I459" s="24" t="str">
        <f t="shared" si="111"/>
        <v/>
      </c>
      <c r="L459" s="7" t="str">
        <f t="shared" si="112"/>
        <v>T</v>
      </c>
      <c r="M459" s="21">
        <f t="shared" si="113"/>
        <v>2030</v>
      </c>
      <c r="N459" s="7">
        <v>2018</v>
      </c>
      <c r="T459" s="7" t="str">
        <f t="shared" si="114"/>
        <v>Nothing</v>
      </c>
      <c r="U459" s="7" t="s">
        <v>1963</v>
      </c>
      <c r="AC459" s="26" t="s">
        <v>2188</v>
      </c>
      <c r="AD459" s="24">
        <v>42405</v>
      </c>
      <c r="AE459" s="7">
        <v>5.8999999999999997E-2</v>
      </c>
      <c r="AF459" s="7" t="s">
        <v>2187</v>
      </c>
      <c r="AG459" s="7">
        <v>-0.33100000000000002</v>
      </c>
      <c r="AH459" s="7" t="s">
        <v>2186</v>
      </c>
      <c r="AI459" s="7">
        <v>141000</v>
      </c>
      <c r="AJ459" s="7">
        <v>19</v>
      </c>
      <c r="AK459" s="7">
        <v>19</v>
      </c>
      <c r="AL459" s="7" t="s">
        <v>23</v>
      </c>
      <c r="AN459" s="7" t="s">
        <v>2029</v>
      </c>
      <c r="AT459" s="7" t="str">
        <f t="shared" si="110"/>
        <v>SBT</v>
      </c>
      <c r="AU459" s="7" t="str">
        <f t="shared" si="115"/>
        <v>SBT</v>
      </c>
      <c r="AV459" s="7" t="str">
        <f t="shared" si="116"/>
        <v/>
      </c>
      <c r="AW459" s="7">
        <f t="shared" si="117"/>
        <v>2018</v>
      </c>
      <c r="AX459" s="7" t="str">
        <f t="shared" si="118"/>
        <v/>
      </c>
      <c r="BB459" s="7" t="str">
        <f t="shared" si="109"/>
        <v>Yes</v>
      </c>
      <c r="BC459" s="7" t="str">
        <f t="shared" si="119"/>
        <v>No</v>
      </c>
      <c r="BD459" s="7" t="s">
        <v>1</v>
      </c>
      <c r="BF459" s="7" t="s">
        <v>2185</v>
      </c>
      <c r="BH459" s="7" t="s">
        <v>22</v>
      </c>
      <c r="BI459" s="7" t="s">
        <v>2040</v>
      </c>
      <c r="BJ459" s="7" t="s">
        <v>808</v>
      </c>
      <c r="BM459" s="7" t="s">
        <v>806</v>
      </c>
      <c r="BN459" s="7">
        <v>2030</v>
      </c>
      <c r="BO459" s="7">
        <v>2030</v>
      </c>
      <c r="BP459" s="7">
        <v>2030</v>
      </c>
      <c r="BQ459" s="22"/>
      <c r="CH459" s="7" t="str">
        <f t="shared" si="120"/>
        <v/>
      </c>
    </row>
    <row r="460" spans="1:103">
      <c r="A460" s="7" t="s">
        <v>131</v>
      </c>
      <c r="B460" s="7">
        <v>466</v>
      </c>
      <c r="I460" s="24" t="str">
        <f t="shared" si="111"/>
        <v/>
      </c>
      <c r="L460" s="7" t="str">
        <f t="shared" si="112"/>
        <v/>
      </c>
      <c r="M460" s="21" t="str">
        <f t="shared" si="113"/>
        <v/>
      </c>
      <c r="N460" s="7" t="s">
        <v>1960</v>
      </c>
      <c r="T460" s="7" t="str">
        <f t="shared" si="114"/>
        <v>Nothing</v>
      </c>
      <c r="U460" s="7" t="s">
        <v>1</v>
      </c>
      <c r="AC460" s="8" t="s">
        <v>2184</v>
      </c>
      <c r="AD460" s="24">
        <v>27325</v>
      </c>
      <c r="AE460" s="7">
        <v>0.06</v>
      </c>
      <c r="AF460" s="7" t="s">
        <v>2183</v>
      </c>
      <c r="AG460" s="7">
        <v>-2.5999999999999999E-2</v>
      </c>
      <c r="AH460" s="7" t="s">
        <v>2182</v>
      </c>
      <c r="AI460" s="7">
        <v>69651</v>
      </c>
      <c r="AJ460" s="7">
        <v>20</v>
      </c>
      <c r="AK460" s="7">
        <v>15</v>
      </c>
      <c r="AT460" s="7" t="str">
        <f t="shared" si="110"/>
        <v>None</v>
      </c>
      <c r="AU460" s="7" t="str">
        <f t="shared" si="115"/>
        <v>None</v>
      </c>
      <c r="AV460" s="7" t="str">
        <f t="shared" si="116"/>
        <v/>
      </c>
      <c r="AW460" s="7" t="str">
        <f t="shared" si="117"/>
        <v/>
      </c>
      <c r="AX460" s="7" t="str">
        <f t="shared" si="118"/>
        <v/>
      </c>
      <c r="BB460" s="7" t="str">
        <f t="shared" si="109"/>
        <v/>
      </c>
      <c r="BC460" s="7" t="str">
        <f t="shared" si="119"/>
        <v>No</v>
      </c>
      <c r="BD460" s="7" t="s">
        <v>1</v>
      </c>
      <c r="BF460" s="7" t="s">
        <v>2181</v>
      </c>
      <c r="BQ460" s="22"/>
      <c r="CH460" s="7" t="str">
        <f t="shared" si="120"/>
        <v/>
      </c>
    </row>
    <row r="461" spans="1:103">
      <c r="A461" s="7" t="s">
        <v>1375</v>
      </c>
      <c r="B461" s="7">
        <v>141</v>
      </c>
      <c r="I461" s="24" t="str">
        <f t="shared" si="111"/>
        <v/>
      </c>
      <c r="L461" s="7" t="str">
        <f t="shared" si="112"/>
        <v/>
      </c>
      <c r="M461" s="21" t="str">
        <f t="shared" si="113"/>
        <v/>
      </c>
      <c r="N461" s="7" t="s">
        <v>1960</v>
      </c>
      <c r="T461" s="7" t="str">
        <f t="shared" si="114"/>
        <v>Nothing</v>
      </c>
      <c r="U461" s="7" t="s">
        <v>1</v>
      </c>
      <c r="AD461" s="24">
        <v>71154</v>
      </c>
      <c r="AE461" s="7">
        <v>7.0000000000000001E-3</v>
      </c>
      <c r="AF461" s="7" t="s">
        <v>2180</v>
      </c>
      <c r="AG461" s="7" t="s">
        <v>9</v>
      </c>
      <c r="AH461" s="7" t="s">
        <v>2179</v>
      </c>
      <c r="AI461" s="7">
        <v>565021</v>
      </c>
      <c r="AJ461" s="7">
        <v>-5</v>
      </c>
      <c r="AK461" s="7">
        <v>26</v>
      </c>
      <c r="AT461" s="7" t="str">
        <f t="shared" si="110"/>
        <v>None</v>
      </c>
      <c r="AU461" s="7" t="str">
        <f t="shared" si="115"/>
        <v>None</v>
      </c>
      <c r="AV461" s="7" t="str">
        <f t="shared" si="116"/>
        <v/>
      </c>
      <c r="AW461" s="7" t="str">
        <f t="shared" si="117"/>
        <v/>
      </c>
      <c r="AX461" s="7" t="str">
        <f t="shared" si="118"/>
        <v/>
      </c>
      <c r="BB461" s="7" t="str">
        <f t="shared" si="109"/>
        <v/>
      </c>
      <c r="BC461" s="7" t="str">
        <f t="shared" si="119"/>
        <v>No</v>
      </c>
      <c r="BD461" s="7" t="s">
        <v>1</v>
      </c>
      <c r="BQ461" s="22"/>
      <c r="CH461" s="7" t="str">
        <f t="shared" si="120"/>
        <v/>
      </c>
    </row>
    <row r="462" spans="1:103">
      <c r="A462" s="7" t="s">
        <v>919</v>
      </c>
      <c r="B462" s="7">
        <v>293</v>
      </c>
      <c r="C462" s="7" t="s">
        <v>287</v>
      </c>
      <c r="I462" s="24" t="str">
        <f t="shared" si="111"/>
        <v>Yes</v>
      </c>
      <c r="J462" s="7" t="s">
        <v>2034</v>
      </c>
      <c r="K462" s="7">
        <v>2015</v>
      </c>
      <c r="L462" s="7" t="str">
        <f t="shared" si="112"/>
        <v/>
      </c>
      <c r="M462" s="21" t="str">
        <f t="shared" si="113"/>
        <v/>
      </c>
      <c r="N462" s="7" t="s">
        <v>1960</v>
      </c>
      <c r="T462" s="7" t="str">
        <f t="shared" si="114"/>
        <v>Nothing</v>
      </c>
      <c r="U462" s="7" t="s">
        <v>1963</v>
      </c>
      <c r="AC462" s="7" t="s">
        <v>2178</v>
      </c>
      <c r="AD462" s="24">
        <v>41482</v>
      </c>
      <c r="AE462" s="7">
        <v>-3.4000000000000002E-2</v>
      </c>
      <c r="AF462" s="7" t="s">
        <v>2177</v>
      </c>
      <c r="AG462" s="7">
        <v>-4.7E-2</v>
      </c>
      <c r="AH462" s="7" t="s">
        <v>2176</v>
      </c>
      <c r="AI462" s="7">
        <v>68601</v>
      </c>
      <c r="AJ462" s="7">
        <v>-19</v>
      </c>
      <c r="AK462" s="7">
        <v>26</v>
      </c>
      <c r="AL462" s="7" t="s">
        <v>93</v>
      </c>
      <c r="AN462" s="7" t="s">
        <v>1951</v>
      </c>
      <c r="AT462" s="7" t="str">
        <f t="shared" si="110"/>
        <v>None</v>
      </c>
      <c r="AU462" s="7" t="str">
        <f t="shared" si="115"/>
        <v>None</v>
      </c>
      <c r="AV462" s="7" t="str">
        <f t="shared" si="116"/>
        <v/>
      </c>
      <c r="AW462" s="7" t="str">
        <f t="shared" si="117"/>
        <v/>
      </c>
      <c r="AX462" s="7" t="str">
        <f t="shared" si="118"/>
        <v/>
      </c>
      <c r="BB462" s="7" t="str">
        <f t="shared" si="109"/>
        <v/>
      </c>
      <c r="BC462" s="7" t="str">
        <f t="shared" si="119"/>
        <v>No</v>
      </c>
      <c r="BD462" s="7" t="s">
        <v>1</v>
      </c>
      <c r="BF462" s="7" t="s">
        <v>2175</v>
      </c>
      <c r="BQ462" s="22"/>
      <c r="CG462" s="7" t="s">
        <v>287</v>
      </c>
      <c r="CH462" s="7" t="str">
        <f t="shared" si="120"/>
        <v/>
      </c>
      <c r="CI462" s="7" t="s">
        <v>13</v>
      </c>
      <c r="CJ462" s="7">
        <v>0.59</v>
      </c>
      <c r="CK462" s="7">
        <v>0.56000000000000005</v>
      </c>
      <c r="CL462" s="7">
        <v>0.56000000000000005</v>
      </c>
      <c r="CM462" s="7">
        <v>0.53</v>
      </c>
      <c r="CN462" s="7">
        <v>0.53</v>
      </c>
      <c r="CO462" s="7" t="s">
        <v>2174</v>
      </c>
      <c r="CQ462" s="7" t="s">
        <v>2173</v>
      </c>
      <c r="CR462" s="27" t="s">
        <v>2172</v>
      </c>
    </row>
    <row r="463" spans="1:103">
      <c r="A463" s="7" t="s">
        <v>373</v>
      </c>
      <c r="B463" s="7">
        <v>469</v>
      </c>
      <c r="I463" s="24" t="str">
        <f t="shared" si="111"/>
        <v/>
      </c>
      <c r="L463" s="7" t="str">
        <f t="shared" si="112"/>
        <v/>
      </c>
      <c r="M463" s="21" t="str">
        <f t="shared" si="113"/>
        <v/>
      </c>
      <c r="N463" s="7" t="s">
        <v>1960</v>
      </c>
      <c r="T463" s="7" t="str">
        <f t="shared" si="114"/>
        <v>Nothing</v>
      </c>
      <c r="U463" s="7" t="s">
        <v>1</v>
      </c>
      <c r="AC463" s="8" t="s">
        <v>2171</v>
      </c>
      <c r="AD463" s="24">
        <v>27169</v>
      </c>
      <c r="AE463" s="7">
        <v>-7.3999999999999996E-2</v>
      </c>
      <c r="AF463" s="7" t="s">
        <v>2170</v>
      </c>
      <c r="AG463" s="7">
        <v>-0.17799999999999999</v>
      </c>
      <c r="AH463" s="7" t="s">
        <v>2169</v>
      </c>
      <c r="AI463" s="7">
        <v>84245</v>
      </c>
      <c r="AJ463" s="7">
        <v>-44</v>
      </c>
      <c r="AK463" s="7">
        <v>25</v>
      </c>
      <c r="AT463" s="7" t="str">
        <f t="shared" si="110"/>
        <v>None</v>
      </c>
      <c r="AU463" s="7" t="str">
        <f t="shared" si="115"/>
        <v>None</v>
      </c>
      <c r="AV463" s="7" t="str">
        <f t="shared" si="116"/>
        <v/>
      </c>
      <c r="AW463" s="7" t="str">
        <f t="shared" si="117"/>
        <v/>
      </c>
      <c r="AX463" s="7" t="str">
        <f t="shared" si="118"/>
        <v/>
      </c>
      <c r="BB463" s="7" t="str">
        <f t="shared" si="109"/>
        <v/>
      </c>
      <c r="BC463" s="7" t="str">
        <f t="shared" si="119"/>
        <v>No</v>
      </c>
      <c r="BD463" s="7" t="s">
        <v>1</v>
      </c>
      <c r="BF463" s="7" t="s">
        <v>2168</v>
      </c>
      <c r="BQ463" s="22"/>
      <c r="CH463" s="7" t="str">
        <f t="shared" si="120"/>
        <v/>
      </c>
    </row>
    <row r="464" spans="1:103">
      <c r="A464" s="7" t="s">
        <v>1273</v>
      </c>
      <c r="B464" s="7">
        <v>185</v>
      </c>
      <c r="C464" s="7" t="s">
        <v>2070</v>
      </c>
      <c r="F464" s="7">
        <v>2030</v>
      </c>
      <c r="G464" s="7">
        <v>2015</v>
      </c>
      <c r="H464" s="8" t="s">
        <v>2167</v>
      </c>
      <c r="I464" s="24" t="str">
        <f t="shared" si="111"/>
        <v>Yes</v>
      </c>
      <c r="J464" s="7" t="s">
        <v>2034</v>
      </c>
      <c r="K464" s="7">
        <v>2015</v>
      </c>
      <c r="L464" s="7" t="str">
        <f t="shared" si="112"/>
        <v>T</v>
      </c>
      <c r="M464" s="21">
        <f t="shared" si="113"/>
        <v>2030</v>
      </c>
      <c r="N464" s="7">
        <v>2017</v>
      </c>
      <c r="O464" s="7" t="s">
        <v>1971</v>
      </c>
      <c r="P464" s="7" t="s">
        <v>2166</v>
      </c>
      <c r="Q464" s="7">
        <v>2039</v>
      </c>
      <c r="R464" s="7">
        <v>2020</v>
      </c>
      <c r="S464" s="27" t="s">
        <v>2165</v>
      </c>
      <c r="T464" s="7" t="str">
        <f t="shared" si="114"/>
        <v/>
      </c>
      <c r="U464" s="7" t="s">
        <v>2080</v>
      </c>
      <c r="V464" s="7" t="s">
        <v>2164</v>
      </c>
      <c r="Y464" s="7" t="s">
        <v>2163</v>
      </c>
      <c r="Z464" s="7" t="s">
        <v>2162</v>
      </c>
      <c r="AA464" s="7" t="s">
        <v>2124</v>
      </c>
      <c r="AB464" s="8" t="s">
        <v>2161</v>
      </c>
      <c r="AC464" s="8" t="s">
        <v>2160</v>
      </c>
      <c r="AD464" s="24">
        <v>58179</v>
      </c>
      <c r="AE464" s="7">
        <v>-3.3000000000000002E-2</v>
      </c>
      <c r="AF464" s="7" t="s">
        <v>2159</v>
      </c>
      <c r="AG464" s="7">
        <v>-0.432</v>
      </c>
      <c r="AH464" s="7" t="s">
        <v>2158</v>
      </c>
      <c r="AI464" s="7">
        <v>149867</v>
      </c>
      <c r="AJ464" s="7">
        <v>-18</v>
      </c>
      <c r="AK464" s="7">
        <v>26</v>
      </c>
      <c r="AL464" s="7" t="s">
        <v>39</v>
      </c>
      <c r="AN464" s="7" t="s">
        <v>1951</v>
      </c>
      <c r="AT464" s="7" t="str">
        <f t="shared" si="110"/>
        <v>SBT</v>
      </c>
      <c r="AU464" s="7" t="str">
        <f t="shared" si="115"/>
        <v>SBT</v>
      </c>
      <c r="AV464" s="7" t="str">
        <f t="shared" si="116"/>
        <v/>
      </c>
      <c r="AW464" s="7">
        <f t="shared" si="117"/>
        <v>2017</v>
      </c>
      <c r="AX464" s="7" t="str">
        <f t="shared" si="118"/>
        <v/>
      </c>
      <c r="BB464" s="7" t="str">
        <f t="shared" si="109"/>
        <v>Yes</v>
      </c>
      <c r="BC464" s="7" t="str">
        <f t="shared" si="119"/>
        <v>No</v>
      </c>
      <c r="BD464" s="7" t="s">
        <v>2118</v>
      </c>
      <c r="BE464" s="7" t="s">
        <v>2157</v>
      </c>
      <c r="BG464" s="7" t="s">
        <v>2072</v>
      </c>
      <c r="BH464" s="7" t="s">
        <v>22</v>
      </c>
      <c r="BI464" s="7" t="s">
        <v>2156</v>
      </c>
      <c r="BJ464" s="7" t="s">
        <v>224</v>
      </c>
      <c r="BM464" s="7" t="s">
        <v>1274</v>
      </c>
      <c r="BN464" s="7">
        <v>2030</v>
      </c>
      <c r="BO464" s="7">
        <v>2030</v>
      </c>
      <c r="BP464" s="7">
        <v>2030</v>
      </c>
      <c r="BQ464" s="22"/>
      <c r="CD464" s="7" t="s">
        <v>361</v>
      </c>
      <c r="CE464" s="7">
        <v>2030</v>
      </c>
      <c r="CG464" s="7" t="s">
        <v>2155</v>
      </c>
      <c r="CH464" s="7" t="str">
        <f t="shared" si="120"/>
        <v/>
      </c>
      <c r="CI464" s="7" t="s">
        <v>13</v>
      </c>
      <c r="CJ464" s="7">
        <v>0.54</v>
      </c>
      <c r="CK464" s="7">
        <v>0.56999999999999995</v>
      </c>
      <c r="CL464" s="7">
        <v>0.64</v>
      </c>
      <c r="CM464" s="7">
        <v>0.45</v>
      </c>
      <c r="CN464" s="7">
        <v>0.45</v>
      </c>
      <c r="CO464" s="7" t="s">
        <v>2154</v>
      </c>
      <c r="CQ464" s="7" t="s">
        <v>2153</v>
      </c>
      <c r="CR464" s="27" t="s">
        <v>2152</v>
      </c>
      <c r="CT464" s="7" t="s">
        <v>1273</v>
      </c>
      <c r="CU464" s="7" t="s">
        <v>2151</v>
      </c>
      <c r="CV464" s="7">
        <v>38</v>
      </c>
      <c r="CW464" s="7" t="s">
        <v>361</v>
      </c>
      <c r="CX464" s="7" t="s">
        <v>361</v>
      </c>
    </row>
    <row r="465" spans="1:103">
      <c r="A465" s="7" t="s">
        <v>1629</v>
      </c>
      <c r="B465" s="7">
        <v>131</v>
      </c>
      <c r="C465" s="7" t="s">
        <v>146</v>
      </c>
      <c r="D465" s="7" t="s">
        <v>1957</v>
      </c>
      <c r="E465" s="7" t="s">
        <v>2150</v>
      </c>
      <c r="F465" s="7">
        <v>2035</v>
      </c>
      <c r="G465" s="7">
        <v>2020</v>
      </c>
      <c r="H465" s="8" t="s">
        <v>2149</v>
      </c>
      <c r="I465" s="24" t="str">
        <f t="shared" si="111"/>
        <v/>
      </c>
      <c r="L465" s="7" t="str">
        <f t="shared" si="112"/>
        <v/>
      </c>
      <c r="M465" s="21" t="str">
        <f t="shared" si="113"/>
        <v/>
      </c>
      <c r="N465" s="7" t="s">
        <v>1960</v>
      </c>
      <c r="T465" s="7" t="str">
        <f t="shared" si="114"/>
        <v/>
      </c>
      <c r="U465" s="7" t="s">
        <v>1969</v>
      </c>
      <c r="V465" s="7" t="s">
        <v>2148</v>
      </c>
      <c r="AD465" s="24">
        <v>73652</v>
      </c>
      <c r="AE465" s="7">
        <v>-0.20200000000000001</v>
      </c>
      <c r="AF465" s="7" t="s">
        <v>2147</v>
      </c>
      <c r="AG465" s="7" t="s">
        <v>9</v>
      </c>
      <c r="AH465" s="7" t="s">
        <v>2146</v>
      </c>
      <c r="AI465" s="7">
        <v>11743</v>
      </c>
      <c r="AJ465" s="7">
        <v>-53</v>
      </c>
      <c r="AK465" s="7">
        <v>4</v>
      </c>
      <c r="AL465" s="7" t="s">
        <v>869</v>
      </c>
      <c r="AN465" s="7" t="s">
        <v>1951</v>
      </c>
      <c r="AT465" s="7" t="str">
        <f t="shared" si="110"/>
        <v>CN</v>
      </c>
      <c r="AU465" s="7" t="str">
        <f t="shared" si="115"/>
        <v>None</v>
      </c>
      <c r="AV465" s="7" t="str">
        <f t="shared" si="116"/>
        <v/>
      </c>
      <c r="AW465" s="7" t="str">
        <f t="shared" si="117"/>
        <v/>
      </c>
      <c r="AX465" s="7" t="str">
        <f t="shared" si="118"/>
        <v/>
      </c>
      <c r="BB465" s="7" t="str">
        <f t="shared" si="109"/>
        <v/>
      </c>
      <c r="BC465" s="7" t="str">
        <f t="shared" si="119"/>
        <v>No - but post-2030 commitment</v>
      </c>
      <c r="BD465" s="7" t="s">
        <v>1</v>
      </c>
      <c r="BG465" s="25" t="s">
        <v>2145</v>
      </c>
      <c r="BQ465" s="22"/>
      <c r="CD465" s="7" t="s">
        <v>361</v>
      </c>
      <c r="CF465" s="25"/>
      <c r="CH465" s="7" t="str">
        <f t="shared" si="120"/>
        <v/>
      </c>
    </row>
    <row r="466" spans="1:103">
      <c r="A466" s="7" t="s">
        <v>865</v>
      </c>
      <c r="B466" s="7">
        <v>276</v>
      </c>
      <c r="I466" s="24" t="str">
        <f t="shared" si="111"/>
        <v/>
      </c>
      <c r="L466" s="7" t="str">
        <f t="shared" si="112"/>
        <v/>
      </c>
      <c r="M466" s="21" t="str">
        <f t="shared" si="113"/>
        <v/>
      </c>
      <c r="N466" s="7" t="s">
        <v>1960</v>
      </c>
      <c r="T466" s="7" t="str">
        <f t="shared" si="114"/>
        <v>Nothing</v>
      </c>
      <c r="U466" s="7" t="s">
        <v>1963</v>
      </c>
      <c r="AC466" s="26" t="s">
        <v>2144</v>
      </c>
      <c r="AD466" s="24">
        <v>43259</v>
      </c>
      <c r="AE466" s="7">
        <v>4.7E-2</v>
      </c>
      <c r="AF466" s="7" t="s">
        <v>2143</v>
      </c>
      <c r="AG466" s="7">
        <v>0.41299999999999998</v>
      </c>
      <c r="AH466" s="7" t="s">
        <v>2142</v>
      </c>
      <c r="AI466" s="7">
        <v>96000</v>
      </c>
      <c r="AJ466" s="7">
        <v>17</v>
      </c>
      <c r="AK466" s="7">
        <v>25</v>
      </c>
      <c r="AT466" s="7" t="str">
        <f t="shared" si="110"/>
        <v>None</v>
      </c>
      <c r="AU466" s="7" t="str">
        <f t="shared" si="115"/>
        <v>None</v>
      </c>
      <c r="AV466" s="7" t="str">
        <f t="shared" si="116"/>
        <v/>
      </c>
      <c r="AW466" s="7" t="str">
        <f t="shared" si="117"/>
        <v/>
      </c>
      <c r="AX466" s="7" t="str">
        <f t="shared" si="118"/>
        <v/>
      </c>
      <c r="BB466" s="7" t="str">
        <f t="shared" si="109"/>
        <v/>
      </c>
      <c r="BC466" s="7" t="str">
        <f t="shared" si="119"/>
        <v>No</v>
      </c>
      <c r="BD466" s="7" t="s">
        <v>1963</v>
      </c>
      <c r="BF466" s="7" t="s">
        <v>2141</v>
      </c>
      <c r="BQ466" s="22"/>
      <c r="CH466" s="7" t="str">
        <f t="shared" si="120"/>
        <v/>
      </c>
      <c r="CY466" s="7" t="s">
        <v>361</v>
      </c>
    </row>
    <row r="467" spans="1:103">
      <c r="A467" s="7" t="s">
        <v>1386</v>
      </c>
      <c r="B467" s="7">
        <v>129</v>
      </c>
      <c r="I467" s="24" t="str">
        <f t="shared" si="111"/>
        <v/>
      </c>
      <c r="L467" s="7" t="str">
        <f t="shared" si="112"/>
        <v/>
      </c>
      <c r="M467" s="21" t="str">
        <f t="shared" si="113"/>
        <v/>
      </c>
      <c r="N467" s="7" t="s">
        <v>1960</v>
      </c>
      <c r="T467" s="7" t="str">
        <f t="shared" si="114"/>
        <v>Nothing</v>
      </c>
      <c r="U467" s="7" t="s">
        <v>1</v>
      </c>
      <c r="AC467" s="8" t="s">
        <v>2140</v>
      </c>
      <c r="AD467" s="24">
        <v>74094</v>
      </c>
      <c r="AE467" s="7">
        <v>3.1E-2</v>
      </c>
      <c r="AF467" s="7" t="s">
        <v>2139</v>
      </c>
      <c r="AG467" s="7">
        <v>-7.2999999999999995E-2</v>
      </c>
      <c r="AH467" s="7" t="s">
        <v>2138</v>
      </c>
      <c r="AI467" s="7">
        <v>377640</v>
      </c>
      <c r="AJ467" s="7">
        <v>3</v>
      </c>
      <c r="AK467" s="7">
        <v>26</v>
      </c>
      <c r="AT467" s="7" t="str">
        <f t="shared" si="110"/>
        <v>None</v>
      </c>
      <c r="AU467" s="7" t="str">
        <f t="shared" si="115"/>
        <v>None</v>
      </c>
      <c r="AV467" s="7" t="str">
        <f t="shared" si="116"/>
        <v/>
      </c>
      <c r="AW467" s="7" t="str">
        <f t="shared" si="117"/>
        <v/>
      </c>
      <c r="AX467" s="7" t="str">
        <f t="shared" si="118"/>
        <v/>
      </c>
      <c r="BB467" s="7" t="str">
        <f t="shared" si="109"/>
        <v/>
      </c>
      <c r="BC467" s="7" t="str">
        <f t="shared" si="119"/>
        <v>No</v>
      </c>
      <c r="BD467" s="7" t="s">
        <v>1</v>
      </c>
      <c r="BF467" s="7" t="s">
        <v>2137</v>
      </c>
      <c r="BQ467" s="22"/>
      <c r="CH467" s="7" t="str">
        <f t="shared" si="120"/>
        <v/>
      </c>
      <c r="CW467" s="7" t="s">
        <v>361</v>
      </c>
      <c r="CX467" s="7" t="s">
        <v>361</v>
      </c>
      <c r="CY467" s="7" t="s">
        <v>361</v>
      </c>
    </row>
    <row r="468" spans="1:103">
      <c r="A468" s="7" t="s">
        <v>1835</v>
      </c>
      <c r="B468" s="7">
        <v>15</v>
      </c>
      <c r="I468" s="24" t="str">
        <f t="shared" si="111"/>
        <v/>
      </c>
      <c r="L468" s="7" t="str">
        <f t="shared" si="112"/>
        <v/>
      </c>
      <c r="M468" s="21" t="str">
        <f t="shared" si="113"/>
        <v/>
      </c>
      <c r="N468" s="7" t="s">
        <v>1960</v>
      </c>
      <c r="T468" s="7" t="str">
        <f t="shared" si="114"/>
        <v>Nothing</v>
      </c>
      <c r="U468" s="7" t="s">
        <v>1</v>
      </c>
      <c r="AC468" s="26" t="s">
        <v>2136</v>
      </c>
      <c r="AD468" s="24">
        <v>242155</v>
      </c>
      <c r="AE468" s="7">
        <v>7.0000000000000007E-2</v>
      </c>
      <c r="AF468" s="7" t="s">
        <v>2135</v>
      </c>
      <c r="AG468" s="7">
        <v>0.155</v>
      </c>
      <c r="AH468" s="7" t="s">
        <v>2134</v>
      </c>
      <c r="AI468" s="7">
        <v>325000</v>
      </c>
      <c r="AJ468" s="7">
        <v>-1</v>
      </c>
      <c r="AK468" s="7">
        <v>24</v>
      </c>
      <c r="AT468" s="7" t="str">
        <f t="shared" si="110"/>
        <v>None</v>
      </c>
      <c r="AU468" s="7" t="str">
        <f t="shared" si="115"/>
        <v>None</v>
      </c>
      <c r="AV468" s="7" t="str">
        <f t="shared" si="116"/>
        <v/>
      </c>
      <c r="AW468" s="7" t="str">
        <f t="shared" si="117"/>
        <v/>
      </c>
      <c r="AX468" s="7" t="str">
        <f t="shared" si="118"/>
        <v/>
      </c>
      <c r="BB468" s="7" t="str">
        <f t="shared" si="109"/>
        <v/>
      </c>
      <c r="BC468" s="7" t="str">
        <f t="shared" si="119"/>
        <v>No</v>
      </c>
      <c r="BD468" s="7" t="s">
        <v>1</v>
      </c>
      <c r="BF468" s="23" t="s">
        <v>2133</v>
      </c>
      <c r="BQ468" s="22"/>
      <c r="CH468" s="7" t="str">
        <f t="shared" si="120"/>
        <v/>
      </c>
    </row>
    <row r="469" spans="1:103">
      <c r="A469" s="7" t="s">
        <v>2132</v>
      </c>
      <c r="B469" s="7">
        <v>494</v>
      </c>
      <c r="I469" s="24" t="str">
        <f t="shared" si="111"/>
        <v/>
      </c>
      <c r="L469" s="7" t="str">
        <f t="shared" si="112"/>
        <v/>
      </c>
      <c r="M469" s="21" t="str">
        <f t="shared" si="113"/>
        <v/>
      </c>
      <c r="N469" s="7" t="s">
        <v>1960</v>
      </c>
      <c r="T469" s="7" t="str">
        <f t="shared" si="114"/>
        <v>Nothing</v>
      </c>
      <c r="U469" s="7" t="s">
        <v>1</v>
      </c>
      <c r="AD469" s="24">
        <v>25939</v>
      </c>
      <c r="AE469" s="7">
        <v>7.2999999999999995E-2</v>
      </c>
      <c r="AF469" s="7" t="s">
        <v>2131</v>
      </c>
      <c r="AG469" s="7">
        <v>-5.3999999999999999E-2</v>
      </c>
      <c r="AH469" s="7" t="s">
        <v>2130</v>
      </c>
      <c r="AI469" s="7">
        <v>28000</v>
      </c>
      <c r="AJ469" s="7" t="s">
        <v>9</v>
      </c>
      <c r="AK469" s="7">
        <v>4</v>
      </c>
      <c r="AT469" s="7" t="str">
        <f t="shared" si="110"/>
        <v>None</v>
      </c>
      <c r="AU469" s="7" t="str">
        <f t="shared" si="115"/>
        <v>None</v>
      </c>
      <c r="AV469" s="7" t="str">
        <f t="shared" si="116"/>
        <v/>
      </c>
      <c r="AW469" s="7" t="str">
        <f t="shared" si="117"/>
        <v/>
      </c>
      <c r="AX469" s="7" t="str">
        <f t="shared" si="118"/>
        <v/>
      </c>
      <c r="BB469" s="7" t="str">
        <f t="shared" si="109"/>
        <v/>
      </c>
      <c r="BC469" s="7" t="str">
        <f t="shared" si="119"/>
        <v>No</v>
      </c>
      <c r="BD469" s="7" t="s">
        <v>1</v>
      </c>
      <c r="BQ469" s="22"/>
      <c r="CH469" s="7" t="str">
        <f t="shared" si="120"/>
        <v/>
      </c>
    </row>
    <row r="470" spans="1:103">
      <c r="A470" s="7" t="s">
        <v>489</v>
      </c>
      <c r="B470" s="7">
        <v>355</v>
      </c>
      <c r="I470" s="24" t="str">
        <f t="shared" si="111"/>
        <v/>
      </c>
      <c r="L470" s="7" t="str">
        <f t="shared" si="112"/>
        <v/>
      </c>
      <c r="M470" s="21" t="str">
        <f t="shared" si="113"/>
        <v/>
      </c>
      <c r="N470" s="7" t="s">
        <v>1960</v>
      </c>
      <c r="T470" s="7" t="str">
        <f t="shared" si="114"/>
        <v>Nothing</v>
      </c>
      <c r="U470" s="7" t="s">
        <v>1963</v>
      </c>
      <c r="AD470" s="24">
        <v>35617</v>
      </c>
      <c r="AE470" s="7">
        <v>0.13500000000000001</v>
      </c>
      <c r="AF470" s="7" t="s">
        <v>2129</v>
      </c>
      <c r="AG470" s="7">
        <v>0.748</v>
      </c>
      <c r="AH470" s="7" t="s">
        <v>2128</v>
      </c>
      <c r="AI470" s="7">
        <v>35076</v>
      </c>
      <c r="AJ470" s="7">
        <v>45</v>
      </c>
      <c r="AK470" s="7">
        <v>7</v>
      </c>
      <c r="AT470" s="7" t="str">
        <f t="shared" si="110"/>
        <v>None</v>
      </c>
      <c r="AU470" s="7" t="str">
        <f t="shared" si="115"/>
        <v>None</v>
      </c>
      <c r="AV470" s="7" t="str">
        <f t="shared" si="116"/>
        <v/>
      </c>
      <c r="AW470" s="7" t="str">
        <f t="shared" si="117"/>
        <v/>
      </c>
      <c r="AX470" s="7" t="str">
        <f t="shared" si="118"/>
        <v/>
      </c>
      <c r="BB470" s="7" t="str">
        <f t="shared" si="109"/>
        <v/>
      </c>
      <c r="BC470" s="7" t="str">
        <f t="shared" si="119"/>
        <v>No</v>
      </c>
      <c r="BD470" s="7" t="s">
        <v>1963</v>
      </c>
      <c r="BQ470" s="22"/>
      <c r="CH470" s="7" t="str">
        <f t="shared" si="120"/>
        <v/>
      </c>
      <c r="CY470" s="7" t="s">
        <v>361</v>
      </c>
    </row>
    <row r="471" spans="1:103">
      <c r="A471" s="7" t="s">
        <v>705</v>
      </c>
      <c r="B471" s="7">
        <v>333</v>
      </c>
      <c r="C471" s="7" t="s">
        <v>68</v>
      </c>
      <c r="F471" s="7">
        <v>2050</v>
      </c>
      <c r="G471" s="7">
        <v>2020</v>
      </c>
      <c r="H471" s="26" t="s">
        <v>2123</v>
      </c>
      <c r="I471" s="24" t="str">
        <f t="shared" si="111"/>
        <v/>
      </c>
      <c r="L471" s="7" t="str">
        <f t="shared" si="112"/>
        <v>C</v>
      </c>
      <c r="M471" s="21" t="str">
        <f t="shared" si="113"/>
        <v/>
      </c>
      <c r="N471" s="7">
        <v>2019</v>
      </c>
      <c r="O471" s="7" t="s">
        <v>1957</v>
      </c>
      <c r="P471" s="7" t="s">
        <v>2126</v>
      </c>
      <c r="Q471" s="7">
        <v>2050</v>
      </c>
      <c r="R471" s="7">
        <v>2020</v>
      </c>
      <c r="S471" s="26" t="s">
        <v>2123</v>
      </c>
      <c r="T471" s="7" t="str">
        <f t="shared" si="114"/>
        <v/>
      </c>
      <c r="U471" s="7" t="s">
        <v>2080</v>
      </c>
      <c r="X471" s="7" t="s">
        <v>2127</v>
      </c>
      <c r="Y471" s="7" t="s">
        <v>2126</v>
      </c>
      <c r="Z471" s="7" t="s">
        <v>2125</v>
      </c>
      <c r="AA471" s="7" t="s">
        <v>2124</v>
      </c>
      <c r="AB471" s="26" t="s">
        <v>2123</v>
      </c>
      <c r="AC471" s="26" t="s">
        <v>2123</v>
      </c>
      <c r="AD471" s="24">
        <v>37570</v>
      </c>
      <c r="AE471" s="7">
        <v>2.4E-2</v>
      </c>
      <c r="AF471" s="7" t="s">
        <v>2122</v>
      </c>
      <c r="AG471" s="7">
        <v>-1.2450000000000001</v>
      </c>
      <c r="AH471" s="7" t="s">
        <v>2121</v>
      </c>
      <c r="AI471" s="7">
        <v>71149</v>
      </c>
      <c r="AJ471" s="7">
        <v>3</v>
      </c>
      <c r="AK471" s="7">
        <v>14</v>
      </c>
      <c r="AL471" s="7" t="s">
        <v>2120</v>
      </c>
      <c r="AN471" s="7" t="s">
        <v>2119</v>
      </c>
      <c r="AT471" s="7" t="str">
        <f t="shared" si="110"/>
        <v>SBT</v>
      </c>
      <c r="AU471" s="7" t="str">
        <f t="shared" si="115"/>
        <v>SBT</v>
      </c>
      <c r="AV471" s="7" t="str">
        <f t="shared" si="116"/>
        <v/>
      </c>
      <c r="AW471" s="7">
        <f t="shared" si="117"/>
        <v>2019</v>
      </c>
      <c r="AX471" s="7" t="str">
        <f t="shared" si="118"/>
        <v/>
      </c>
      <c r="BB471" s="7" t="str">
        <f t="shared" ref="BB471:BB501" si="121">IF(BH471="","","Yes")</f>
        <v>Yes</v>
      </c>
      <c r="BC471" s="7" t="str">
        <f t="shared" si="119"/>
        <v>No</v>
      </c>
      <c r="BD471" s="7" t="s">
        <v>2118</v>
      </c>
      <c r="BF471" s="23" t="s">
        <v>2117</v>
      </c>
      <c r="BG471" s="31" t="s">
        <v>2116</v>
      </c>
      <c r="BH471" s="7" t="s">
        <v>165</v>
      </c>
      <c r="BJ471" s="7" t="s">
        <v>2115</v>
      </c>
      <c r="BQ471" s="22"/>
      <c r="CD471" s="7" t="s">
        <v>361</v>
      </c>
      <c r="CF471" s="25"/>
      <c r="CH471" s="7" t="str">
        <f t="shared" si="120"/>
        <v/>
      </c>
      <c r="CW471" s="7" t="s">
        <v>361</v>
      </c>
    </row>
    <row r="472" spans="1:103">
      <c r="A472" s="7" t="s">
        <v>1698</v>
      </c>
      <c r="B472" s="7">
        <v>71</v>
      </c>
      <c r="C472" s="7" t="s">
        <v>127</v>
      </c>
      <c r="I472" s="24" t="str">
        <f t="shared" si="111"/>
        <v/>
      </c>
      <c r="L472" s="7" t="str">
        <f t="shared" si="112"/>
        <v/>
      </c>
      <c r="M472" s="21" t="str">
        <f t="shared" si="113"/>
        <v/>
      </c>
      <c r="N472" s="7" t="s">
        <v>1960</v>
      </c>
      <c r="T472" s="7" t="str">
        <f t="shared" si="114"/>
        <v>Nothing</v>
      </c>
      <c r="U472" s="7" t="s">
        <v>1</v>
      </c>
      <c r="AC472" s="8" t="s">
        <v>2114</v>
      </c>
      <c r="AD472" s="24">
        <v>102729</v>
      </c>
      <c r="AE472" s="7">
        <v>-7.8E-2</v>
      </c>
      <c r="AF472" s="7" t="s">
        <v>2113</v>
      </c>
      <c r="AG472" s="7">
        <v>-0.224</v>
      </c>
      <c r="AH472" s="7" t="s">
        <v>2112</v>
      </c>
      <c r="AI472" s="7">
        <v>10222</v>
      </c>
      <c r="AJ472" s="7">
        <v>-14</v>
      </c>
      <c r="AK472" s="7">
        <v>20</v>
      </c>
      <c r="AL472" t="s">
        <v>2111</v>
      </c>
      <c r="AT472" s="7" t="str">
        <f t="shared" si="110"/>
        <v>None</v>
      </c>
      <c r="AU472" s="7" t="str">
        <f t="shared" si="115"/>
        <v>None</v>
      </c>
      <c r="AV472" s="7" t="str">
        <f t="shared" si="116"/>
        <v/>
      </c>
      <c r="AW472" s="7" t="str">
        <f t="shared" si="117"/>
        <v/>
      </c>
      <c r="AX472" s="7" t="str">
        <f t="shared" si="118"/>
        <v/>
      </c>
      <c r="BB472" s="7" t="str">
        <f t="shared" si="121"/>
        <v/>
      </c>
      <c r="BC472" s="7" t="str">
        <f t="shared" si="119"/>
        <v>No</v>
      </c>
      <c r="BD472" s="7" t="s">
        <v>1</v>
      </c>
      <c r="BF472" s="7" t="s">
        <v>2110</v>
      </c>
      <c r="BQ472" s="22"/>
      <c r="CH472" s="7" t="str">
        <f t="shared" si="120"/>
        <v/>
      </c>
      <c r="CT472" s="7" t="s">
        <v>1698</v>
      </c>
      <c r="CU472" s="7" t="s">
        <v>2109</v>
      </c>
      <c r="CV472" s="7">
        <v>-28</v>
      </c>
    </row>
    <row r="473" spans="1:103">
      <c r="A473" s="7" t="s">
        <v>447</v>
      </c>
      <c r="B473" s="7">
        <v>412</v>
      </c>
      <c r="C473" s="7" t="s">
        <v>63</v>
      </c>
      <c r="H473" s="26" t="s">
        <v>2108</v>
      </c>
      <c r="I473" s="24" t="str">
        <f t="shared" si="111"/>
        <v/>
      </c>
      <c r="L473" s="7" t="str">
        <f t="shared" si="112"/>
        <v>T</v>
      </c>
      <c r="M473" s="21">
        <f t="shared" si="113"/>
        <v>2034</v>
      </c>
      <c r="N473" s="7">
        <v>2019</v>
      </c>
      <c r="T473" s="7" t="str">
        <f t="shared" si="114"/>
        <v>Nothing</v>
      </c>
      <c r="U473" s="7" t="s">
        <v>1</v>
      </c>
      <c r="X473" s="7" t="s">
        <v>2107</v>
      </c>
      <c r="AC473" s="26" t="s">
        <v>2106</v>
      </c>
      <c r="AD473" s="24">
        <v>30431</v>
      </c>
      <c r="AE473" s="7">
        <v>-5.0000000000000001E-3</v>
      </c>
      <c r="AF473" s="7" t="s">
        <v>2105</v>
      </c>
      <c r="AG473" s="7">
        <v>0.34899999999999998</v>
      </c>
      <c r="AH473" s="7" t="s">
        <v>2104</v>
      </c>
      <c r="AI473" s="7">
        <v>178021</v>
      </c>
      <c r="AJ473" s="7">
        <v>-5</v>
      </c>
      <c r="AK473" s="7">
        <v>18</v>
      </c>
      <c r="AL473" s="7" t="s">
        <v>448</v>
      </c>
      <c r="AN473" s="7" t="s">
        <v>1951</v>
      </c>
      <c r="AT473" s="7" t="str">
        <f t="shared" si="110"/>
        <v>SBT</v>
      </c>
      <c r="AU473" s="7" t="s">
        <v>2103</v>
      </c>
      <c r="AV473" s="7" t="str">
        <f t="shared" si="116"/>
        <v/>
      </c>
      <c r="AX473" s="7" t="str">
        <f t="shared" si="118"/>
        <v/>
      </c>
      <c r="BB473" s="7" t="str">
        <f t="shared" si="121"/>
        <v>Yes</v>
      </c>
      <c r="BC473" s="7" t="str">
        <f t="shared" si="119"/>
        <v>No</v>
      </c>
      <c r="BD473" s="7" t="s">
        <v>1</v>
      </c>
      <c r="BF473" s="7" t="s">
        <v>2102</v>
      </c>
      <c r="BG473" s="7" t="s">
        <v>2101</v>
      </c>
      <c r="BH473" s="7" t="s">
        <v>22</v>
      </c>
      <c r="BI473" s="7" t="s">
        <v>2040</v>
      </c>
      <c r="BJ473" s="7" t="s">
        <v>2100</v>
      </c>
      <c r="BM473" s="7" t="s">
        <v>2099</v>
      </c>
      <c r="BN473" s="7">
        <v>2034</v>
      </c>
      <c r="BO473" s="7">
        <v>2034</v>
      </c>
      <c r="BQ473" s="22"/>
      <c r="CD473" s="7" t="s">
        <v>361</v>
      </c>
      <c r="CH473" s="7" t="str">
        <f t="shared" si="120"/>
        <v/>
      </c>
      <c r="CW473" s="7" t="s">
        <v>361</v>
      </c>
    </row>
    <row r="474" spans="1:103">
      <c r="A474" s="7" t="s">
        <v>1742</v>
      </c>
      <c r="B474" s="7">
        <v>44</v>
      </c>
      <c r="C474" s="7" t="s">
        <v>127</v>
      </c>
      <c r="D474" s="7" t="s">
        <v>1957</v>
      </c>
      <c r="E474" s="7" t="s">
        <v>2098</v>
      </c>
      <c r="F474" s="7">
        <v>2035</v>
      </c>
      <c r="G474" s="7">
        <v>2019</v>
      </c>
      <c r="H474" s="26" t="s">
        <v>1739</v>
      </c>
      <c r="I474" s="24" t="str">
        <f t="shared" si="111"/>
        <v/>
      </c>
      <c r="L474" s="7" t="str">
        <f t="shared" si="112"/>
        <v>C</v>
      </c>
      <c r="M474" s="21" t="str">
        <f t="shared" si="113"/>
        <v/>
      </c>
      <c r="N474" s="7">
        <v>2019</v>
      </c>
      <c r="T474" s="7" t="str">
        <f t="shared" si="114"/>
        <v/>
      </c>
      <c r="U474" s="7" t="s">
        <v>1969</v>
      </c>
      <c r="V474" s="7" t="s">
        <v>2097</v>
      </c>
      <c r="AC474" s="26" t="s">
        <v>1739</v>
      </c>
      <c r="AD474" s="24">
        <v>131868</v>
      </c>
      <c r="AE474" s="7">
        <v>8.0000000000000002E-3</v>
      </c>
      <c r="AF474" s="7" t="s">
        <v>2096</v>
      </c>
      <c r="AG474" s="7">
        <v>0.24099999999999999</v>
      </c>
      <c r="AH474" s="7" t="s">
        <v>2095</v>
      </c>
      <c r="AI474" s="7">
        <v>135000</v>
      </c>
      <c r="AJ474" s="7">
        <v>-1</v>
      </c>
      <c r="AK474" s="7">
        <v>26</v>
      </c>
      <c r="AL474" s="7" t="s">
        <v>461</v>
      </c>
      <c r="AN474" s="7" t="s">
        <v>2029</v>
      </c>
      <c r="AT474" s="7" t="str">
        <f t="shared" si="110"/>
        <v>CN &amp; SBT</v>
      </c>
      <c r="AU474" s="7" t="str">
        <f t="shared" ref="AU474:AU501" si="122">IF((BC474="Carbon Neutral"),IF((OR(BH474="Committed",BH474="Targets Set")),IF(CH474="yes", "CN, SBT &amp; RE100", "CN &amp; SBT"),IF(CH474="yes", "CN &amp; RE100", "CN")),IF((OR(BH474="Committed",BH474="Targets Set")),IF(CH474="yes", "SBT &amp; RE100", "SBT"),IF(CH474="yes", "RE100", "None")))</f>
        <v>SBT</v>
      </c>
      <c r="AV474" s="7" t="str">
        <f t="shared" si="116"/>
        <v/>
      </c>
      <c r="AW474" s="7">
        <f t="shared" ref="AW474:AW501" si="123">IF(N474="","",N474)</f>
        <v>2019</v>
      </c>
      <c r="AX474" s="7" t="str">
        <f t="shared" si="118"/>
        <v/>
      </c>
      <c r="BB474" s="7" t="str">
        <f t="shared" si="121"/>
        <v>Yes</v>
      </c>
      <c r="BC474" s="7" t="str">
        <f t="shared" si="119"/>
        <v>No - but post-2030 commitment</v>
      </c>
      <c r="BD474" s="7" t="s">
        <v>1</v>
      </c>
      <c r="BF474" s="23" t="s">
        <v>2094</v>
      </c>
      <c r="BG474" s="7" t="s">
        <v>32</v>
      </c>
      <c r="BH474" s="7" t="s">
        <v>165</v>
      </c>
      <c r="BJ474" s="7" t="s">
        <v>2008</v>
      </c>
      <c r="BQ474" s="22"/>
      <c r="CE474" s="7" t="s">
        <v>2093</v>
      </c>
      <c r="CF474" s="7" t="s">
        <v>2092</v>
      </c>
      <c r="CH474" s="7" t="str">
        <f t="shared" si="120"/>
        <v/>
      </c>
      <c r="CW474" s="7" t="s">
        <v>361</v>
      </c>
      <c r="CX474" s="7" t="s">
        <v>361</v>
      </c>
      <c r="CY474" s="7" t="s">
        <v>361</v>
      </c>
    </row>
    <row r="475" spans="1:103">
      <c r="A475" s="7" t="s">
        <v>2091</v>
      </c>
      <c r="B475" s="7">
        <v>457</v>
      </c>
      <c r="I475" s="24" t="str">
        <f t="shared" si="111"/>
        <v/>
      </c>
      <c r="L475" s="7" t="str">
        <f t="shared" si="112"/>
        <v/>
      </c>
      <c r="M475" s="21" t="str">
        <f t="shared" si="113"/>
        <v/>
      </c>
      <c r="N475" s="7" t="s">
        <v>1960</v>
      </c>
      <c r="T475" s="7" t="str">
        <f t="shared" si="114"/>
        <v>Nothing</v>
      </c>
      <c r="U475" s="7" t="s">
        <v>1</v>
      </c>
      <c r="AD475" s="24">
        <v>27812</v>
      </c>
      <c r="AE475" s="7">
        <v>0.91600000000000004</v>
      </c>
      <c r="AF475" s="7" t="s">
        <v>2090</v>
      </c>
      <c r="AG475" s="7">
        <v>0.68799999999999994</v>
      </c>
      <c r="AH475" s="7" t="s">
        <v>2089</v>
      </c>
      <c r="AI475" s="7">
        <v>26280</v>
      </c>
      <c r="AJ475" s="7" t="s">
        <v>9</v>
      </c>
      <c r="AK475" s="7">
        <v>12</v>
      </c>
      <c r="AT475" s="7" t="str">
        <f t="shared" si="110"/>
        <v>None</v>
      </c>
      <c r="AU475" s="7" t="str">
        <f t="shared" si="122"/>
        <v>None</v>
      </c>
      <c r="AV475" s="7" t="str">
        <f t="shared" si="116"/>
        <v/>
      </c>
      <c r="AW475" s="7" t="str">
        <f t="shared" si="123"/>
        <v/>
      </c>
      <c r="AX475" s="7" t="str">
        <f t="shared" si="118"/>
        <v/>
      </c>
      <c r="BB475" s="7" t="str">
        <f t="shared" si="121"/>
        <v/>
      </c>
      <c r="BC475" s="7" t="str">
        <f t="shared" si="119"/>
        <v>No</v>
      </c>
      <c r="BD475" s="7" t="s">
        <v>1</v>
      </c>
      <c r="BQ475" s="22"/>
      <c r="CH475" s="7" t="str">
        <f t="shared" si="120"/>
        <v/>
      </c>
    </row>
    <row r="476" spans="1:103">
      <c r="A476" s="7" t="s">
        <v>1141</v>
      </c>
      <c r="B476" s="7">
        <v>195</v>
      </c>
      <c r="C476" s="7" t="s">
        <v>63</v>
      </c>
      <c r="D476" s="7" t="s">
        <v>1957</v>
      </c>
      <c r="E476" s="7" t="s">
        <v>2088</v>
      </c>
      <c r="F476" s="7">
        <v>2050</v>
      </c>
      <c r="G476" s="7">
        <v>2020</v>
      </c>
      <c r="H476" s="8" t="s">
        <v>2087</v>
      </c>
      <c r="I476" s="24" t="str">
        <f t="shared" si="111"/>
        <v/>
      </c>
      <c r="L476" s="7" t="str">
        <f t="shared" si="112"/>
        <v/>
      </c>
      <c r="M476" s="21" t="str">
        <f t="shared" si="113"/>
        <v/>
      </c>
      <c r="N476" s="7" t="s">
        <v>1960</v>
      </c>
      <c r="T476" s="7" t="str">
        <f t="shared" si="114"/>
        <v/>
      </c>
      <c r="U476" s="7" t="s">
        <v>1969</v>
      </c>
      <c r="V476" s="7" t="s">
        <v>2086</v>
      </c>
      <c r="AD476" s="24">
        <v>54788</v>
      </c>
      <c r="AE476" s="7">
        <v>4.7E-2</v>
      </c>
      <c r="AF476" s="7" t="s">
        <v>2085</v>
      </c>
      <c r="AG476" s="7">
        <v>3.5999999999999997E-2</v>
      </c>
      <c r="AH476" s="7" t="s">
        <v>2084</v>
      </c>
      <c r="AI476" s="7">
        <v>222397</v>
      </c>
      <c r="AJ476" s="7">
        <v>11</v>
      </c>
      <c r="AK476" s="7">
        <v>20</v>
      </c>
      <c r="AL476" s="7" t="s">
        <v>2083</v>
      </c>
      <c r="AN476" s="7" t="s">
        <v>1951</v>
      </c>
      <c r="AT476" s="7" t="str">
        <f t="shared" si="110"/>
        <v>CN</v>
      </c>
      <c r="AU476" s="7" t="str">
        <f t="shared" si="122"/>
        <v>None</v>
      </c>
      <c r="AV476" s="7" t="str">
        <f t="shared" si="116"/>
        <v/>
      </c>
      <c r="AW476" s="7" t="str">
        <f t="shared" si="123"/>
        <v/>
      </c>
      <c r="AX476" s="7" t="str">
        <f t="shared" si="118"/>
        <v/>
      </c>
      <c r="BB476" s="7" t="str">
        <f t="shared" si="121"/>
        <v/>
      </c>
      <c r="BC476" s="7" t="str">
        <f t="shared" si="119"/>
        <v>No - but post-2030 commitment</v>
      </c>
      <c r="BD476" s="7" t="s">
        <v>1</v>
      </c>
      <c r="BG476" s="7" t="s">
        <v>32</v>
      </c>
      <c r="BQ476" s="22"/>
      <c r="CD476" s="7" t="s">
        <v>361</v>
      </c>
      <c r="CF476" s="25"/>
      <c r="CH476" s="7" t="str">
        <f t="shared" si="120"/>
        <v/>
      </c>
      <c r="CX476" s="7" t="s">
        <v>361</v>
      </c>
    </row>
    <row r="477" spans="1:103">
      <c r="A477" s="7" t="s">
        <v>1111</v>
      </c>
      <c r="B477" s="7">
        <v>228</v>
      </c>
      <c r="C477" s="7" t="s">
        <v>2070</v>
      </c>
      <c r="F477" s="7">
        <v>2050</v>
      </c>
      <c r="G477" s="7">
        <v>2019</v>
      </c>
      <c r="H477" s="8" t="s">
        <v>2076</v>
      </c>
      <c r="I477" s="24" t="str">
        <f t="shared" si="111"/>
        <v>Yes</v>
      </c>
      <c r="J477" s="7">
        <v>2025</v>
      </c>
      <c r="K477" s="7">
        <v>2018</v>
      </c>
      <c r="L477" s="7" t="str">
        <f t="shared" si="112"/>
        <v>C</v>
      </c>
      <c r="M477" s="21" t="str">
        <f t="shared" si="113"/>
        <v/>
      </c>
      <c r="N477" s="7">
        <v>2019</v>
      </c>
      <c r="O477" s="7" t="s">
        <v>2082</v>
      </c>
      <c r="P477" s="7" t="s">
        <v>2081</v>
      </c>
      <c r="Q477" s="7">
        <v>2050</v>
      </c>
      <c r="R477" s="7">
        <v>2019</v>
      </c>
      <c r="S477" s="8" t="s">
        <v>2076</v>
      </c>
      <c r="T477" s="7" t="str">
        <f t="shared" si="114"/>
        <v/>
      </c>
      <c r="U477" s="7" t="s">
        <v>2080</v>
      </c>
      <c r="V477" s="7" t="s">
        <v>2079</v>
      </c>
      <c r="Y477" s="7" t="s">
        <v>2078</v>
      </c>
      <c r="Z477" s="7" t="s">
        <v>2077</v>
      </c>
      <c r="AB477" s="8" t="s">
        <v>2076</v>
      </c>
      <c r="AC477" s="8" t="s">
        <v>2076</v>
      </c>
      <c r="AD477" s="24">
        <v>49960</v>
      </c>
      <c r="AE477" s="7">
        <v>-1.0999999999999999E-2</v>
      </c>
      <c r="AF477" s="7" t="s">
        <v>2075</v>
      </c>
      <c r="AG477" s="7" t="s">
        <v>9</v>
      </c>
      <c r="AH477" s="7" t="s">
        <v>2074</v>
      </c>
      <c r="AI477" s="7">
        <v>95219</v>
      </c>
      <c r="AJ477" s="7">
        <v>-11</v>
      </c>
      <c r="AK477" s="7">
        <v>21</v>
      </c>
      <c r="AL477" s="7" t="s">
        <v>461</v>
      </c>
      <c r="AN477" s="7" t="s">
        <v>1951</v>
      </c>
      <c r="AT477" s="7" t="str">
        <f t="shared" si="110"/>
        <v>SBT &amp; RE100</v>
      </c>
      <c r="AU477" s="7" t="str">
        <f t="shared" si="122"/>
        <v>SBT &amp; RE100</v>
      </c>
      <c r="AV477" s="7" t="str">
        <f t="shared" si="116"/>
        <v/>
      </c>
      <c r="AW477" s="7">
        <f t="shared" si="123"/>
        <v>2019</v>
      </c>
      <c r="AX477" s="7">
        <f t="shared" si="118"/>
        <v>2018</v>
      </c>
      <c r="BB477" s="7" t="str">
        <f t="shared" si="121"/>
        <v>Yes</v>
      </c>
      <c r="BC477" s="7" t="str">
        <f t="shared" si="119"/>
        <v>No</v>
      </c>
      <c r="BD477" s="7" t="s">
        <v>1969</v>
      </c>
      <c r="BF477" s="7" t="s">
        <v>2073</v>
      </c>
      <c r="BG477" s="7" t="s">
        <v>2072</v>
      </c>
      <c r="BH477" s="7" t="s">
        <v>165</v>
      </c>
      <c r="BJ477" s="7" t="s">
        <v>1948</v>
      </c>
      <c r="BQ477" s="22"/>
      <c r="CD477" s="7" t="s">
        <v>361</v>
      </c>
      <c r="CF477" s="7" t="s">
        <v>2071</v>
      </c>
      <c r="CG477" s="7" t="s">
        <v>2070</v>
      </c>
      <c r="CH477" s="7" t="str">
        <f t="shared" si="120"/>
        <v>yes</v>
      </c>
      <c r="CI477" s="7" t="s">
        <v>13</v>
      </c>
      <c r="CJ477" s="7">
        <v>0.15</v>
      </c>
      <c r="CK477" s="7">
        <v>0.14000000000000001</v>
      </c>
      <c r="CL477" s="7" t="s">
        <v>13</v>
      </c>
      <c r="CM477" s="7" t="s">
        <v>13</v>
      </c>
      <c r="CN477" s="7" t="s">
        <v>13</v>
      </c>
      <c r="CO477" s="7" t="s">
        <v>2069</v>
      </c>
    </row>
    <row r="478" spans="1:103">
      <c r="A478" s="7" t="s">
        <v>1863</v>
      </c>
      <c r="B478" s="7">
        <v>7</v>
      </c>
      <c r="C478" s="7" t="s">
        <v>146</v>
      </c>
      <c r="D478" s="7" t="s">
        <v>1971</v>
      </c>
      <c r="E478" s="7" t="s">
        <v>2068</v>
      </c>
      <c r="F478" s="7">
        <v>2050</v>
      </c>
      <c r="G478" s="7">
        <v>2018</v>
      </c>
      <c r="H478" s="26" t="s">
        <v>2066</v>
      </c>
      <c r="I478" s="24" t="str">
        <f t="shared" si="111"/>
        <v/>
      </c>
      <c r="L478" s="7" t="str">
        <f t="shared" si="112"/>
        <v/>
      </c>
      <c r="M478" s="21" t="str">
        <f t="shared" si="113"/>
        <v/>
      </c>
      <c r="N478" s="7" t="s">
        <v>1960</v>
      </c>
      <c r="T478" s="7" t="str">
        <f t="shared" si="114"/>
        <v/>
      </c>
      <c r="U478" s="7" t="s">
        <v>1969</v>
      </c>
      <c r="V478" s="7" t="s">
        <v>2067</v>
      </c>
      <c r="AC478" s="26" t="s">
        <v>2066</v>
      </c>
      <c r="AD478" s="24">
        <v>282760</v>
      </c>
      <c r="AE478" s="7">
        <v>1.6E-2</v>
      </c>
      <c r="AF478" s="7" t="s">
        <v>2065</v>
      </c>
      <c r="AG478" s="7">
        <v>8.5000000000000006E-2</v>
      </c>
      <c r="AH478" s="7" t="s">
        <v>2064</v>
      </c>
      <c r="AI478" s="7">
        <v>671205</v>
      </c>
      <c r="AJ478" s="7">
        <v>2</v>
      </c>
      <c r="AK478" s="7">
        <v>26</v>
      </c>
      <c r="AL478" s="7" t="s">
        <v>166</v>
      </c>
      <c r="AN478" s="7" t="s">
        <v>1951</v>
      </c>
      <c r="AT478" s="7" t="str">
        <f t="shared" si="110"/>
        <v>CN</v>
      </c>
      <c r="AU478" s="7" t="str">
        <f t="shared" si="122"/>
        <v>None</v>
      </c>
      <c r="AV478" s="7" t="str">
        <f t="shared" si="116"/>
        <v/>
      </c>
      <c r="AW478" s="7" t="str">
        <f t="shared" si="123"/>
        <v/>
      </c>
      <c r="AX478" s="7" t="str">
        <f t="shared" si="118"/>
        <v/>
      </c>
      <c r="BB478" s="7" t="str">
        <f t="shared" si="121"/>
        <v/>
      </c>
      <c r="BC478" s="7" t="str">
        <f t="shared" si="119"/>
        <v>No - but post-2030 commitment</v>
      </c>
      <c r="BD478" s="7" t="s">
        <v>1</v>
      </c>
      <c r="BF478" s="7" t="s">
        <v>2063</v>
      </c>
      <c r="BQ478" s="22"/>
      <c r="CE478" s="7">
        <v>2050</v>
      </c>
      <c r="CH478" s="7" t="str">
        <f t="shared" si="120"/>
        <v/>
      </c>
      <c r="CW478" s="7" t="s">
        <v>361</v>
      </c>
    </row>
    <row r="479" spans="1:103">
      <c r="A479" s="7" t="s">
        <v>977</v>
      </c>
      <c r="B479" s="7">
        <v>259</v>
      </c>
      <c r="C479" s="7" t="s">
        <v>980</v>
      </c>
      <c r="D479" s="7" t="s">
        <v>2062</v>
      </c>
      <c r="E479" s="7" t="s">
        <v>2061</v>
      </c>
      <c r="F479" s="7">
        <v>2025</v>
      </c>
      <c r="G479" s="7">
        <v>2019</v>
      </c>
      <c r="H479" s="30" t="s">
        <v>2056</v>
      </c>
      <c r="I479" s="24" t="str">
        <f t="shared" si="111"/>
        <v/>
      </c>
      <c r="L479" s="7" t="str">
        <f t="shared" si="112"/>
        <v/>
      </c>
      <c r="M479" s="21" t="str">
        <f t="shared" si="113"/>
        <v/>
      </c>
      <c r="N479" s="7" t="s">
        <v>1960</v>
      </c>
      <c r="T479" s="7" t="str">
        <f t="shared" si="114"/>
        <v/>
      </c>
      <c r="U479" s="7" t="s">
        <v>2060</v>
      </c>
      <c r="V479" s="7" t="s">
        <v>2059</v>
      </c>
      <c r="X479" s="7" t="s">
        <v>2058</v>
      </c>
      <c r="Z479" s="7" t="s">
        <v>2057</v>
      </c>
      <c r="AC479" s="28" t="s">
        <v>2056</v>
      </c>
      <c r="AD479" s="24">
        <v>45690</v>
      </c>
      <c r="AE479" s="7">
        <v>1.6E-2</v>
      </c>
      <c r="AF479" s="7" t="s">
        <v>2055</v>
      </c>
      <c r="AG479" s="7">
        <v>0.32400000000000001</v>
      </c>
      <c r="AH479" s="7" t="s">
        <v>2054</v>
      </c>
      <c r="AI479" s="7">
        <v>98280</v>
      </c>
      <c r="AJ479" s="7">
        <v>-6</v>
      </c>
      <c r="AK479" s="7">
        <v>26</v>
      </c>
      <c r="AL479" s="7" t="s">
        <v>166</v>
      </c>
      <c r="AN479" s="7" t="s">
        <v>1951</v>
      </c>
      <c r="AT479" s="7" t="str">
        <f t="shared" si="110"/>
        <v>CN</v>
      </c>
      <c r="AU479" s="7" t="str">
        <f t="shared" si="122"/>
        <v>CN</v>
      </c>
      <c r="AV479" s="7">
        <f t="shared" si="116"/>
        <v>2019</v>
      </c>
      <c r="AW479" s="7" t="str">
        <f t="shared" si="123"/>
        <v/>
      </c>
      <c r="AX479" s="7" t="str">
        <f t="shared" si="118"/>
        <v/>
      </c>
      <c r="BB479" s="7" t="str">
        <f t="shared" si="121"/>
        <v/>
      </c>
      <c r="BC479" s="7" t="str">
        <f t="shared" si="119"/>
        <v>Carbon Neutral</v>
      </c>
      <c r="BD479" s="7" t="s">
        <v>2053</v>
      </c>
      <c r="BE479" s="1"/>
      <c r="BF479" s="7" t="s">
        <v>2052</v>
      </c>
      <c r="BG479" s="7" t="s">
        <v>2051</v>
      </c>
      <c r="BQ479" s="22"/>
      <c r="CD479" s="7" t="s">
        <v>361</v>
      </c>
      <c r="CF479" s="29" t="s">
        <v>2050</v>
      </c>
      <c r="CH479" s="7" t="str">
        <f t="shared" si="120"/>
        <v/>
      </c>
    </row>
    <row r="480" spans="1:103">
      <c r="A480" s="7" t="s">
        <v>1753</v>
      </c>
      <c r="B480" s="7">
        <v>41</v>
      </c>
      <c r="I480" s="24" t="str">
        <f t="shared" si="111"/>
        <v/>
      </c>
      <c r="L480" s="7" t="str">
        <f t="shared" si="112"/>
        <v/>
      </c>
      <c r="M480" s="21" t="str">
        <f t="shared" si="113"/>
        <v/>
      </c>
      <c r="N480" s="7" t="s">
        <v>1960</v>
      </c>
      <c r="T480" s="7" t="str">
        <f t="shared" si="114"/>
        <v>Nothing</v>
      </c>
      <c r="U480" s="7" t="s">
        <v>1</v>
      </c>
      <c r="AC480" s="26" t="s">
        <v>2049</v>
      </c>
      <c r="AD480" s="24">
        <v>136866</v>
      </c>
      <c r="AE480" s="7">
        <v>4.1000000000000002E-2</v>
      </c>
      <c r="AF480" s="7" t="s">
        <v>2048</v>
      </c>
      <c r="AG480" s="7">
        <v>-0.20699999999999999</v>
      </c>
      <c r="AH480" s="7" t="s">
        <v>2047</v>
      </c>
      <c r="AI480" s="7">
        <v>287000</v>
      </c>
      <c r="AJ480" s="7">
        <v>-1</v>
      </c>
      <c r="AK480" s="7">
        <v>26</v>
      </c>
      <c r="AT480" s="7" t="str">
        <f t="shared" si="110"/>
        <v>None</v>
      </c>
      <c r="AU480" s="7" t="str">
        <f t="shared" si="122"/>
        <v>None</v>
      </c>
      <c r="AV480" s="7" t="str">
        <f t="shared" si="116"/>
        <v/>
      </c>
      <c r="AW480" s="7" t="str">
        <f t="shared" si="123"/>
        <v/>
      </c>
      <c r="AX480" s="7" t="str">
        <f t="shared" si="118"/>
        <v/>
      </c>
      <c r="BB480" s="7" t="str">
        <f t="shared" si="121"/>
        <v/>
      </c>
      <c r="BC480" s="7" t="str">
        <f t="shared" si="119"/>
        <v>No</v>
      </c>
      <c r="BD480" s="7" t="s">
        <v>1</v>
      </c>
      <c r="BF480" s="23" t="s">
        <v>2046</v>
      </c>
      <c r="BQ480" s="22"/>
      <c r="CH480" s="7" t="str">
        <f t="shared" si="120"/>
        <v/>
      </c>
      <c r="CY480" s="7" t="s">
        <v>361</v>
      </c>
    </row>
    <row r="481" spans="1:103">
      <c r="A481" s="7" t="s">
        <v>1889</v>
      </c>
      <c r="B481" s="7">
        <v>1</v>
      </c>
      <c r="C481" s="7" t="s">
        <v>127</v>
      </c>
      <c r="H481" s="26" t="s">
        <v>2044</v>
      </c>
      <c r="I481" s="24" t="str">
        <f t="shared" si="111"/>
        <v>Yes</v>
      </c>
      <c r="J481" s="7">
        <v>2025</v>
      </c>
      <c r="K481" s="7">
        <v>2015</v>
      </c>
      <c r="L481" s="7" t="str">
        <f t="shared" si="112"/>
        <v>T</v>
      </c>
      <c r="M481" s="21">
        <f t="shared" si="113"/>
        <v>2026.6666666666667</v>
      </c>
      <c r="N481" s="7">
        <v>2016</v>
      </c>
      <c r="Q481" s="29"/>
      <c r="R481" s="29"/>
      <c r="T481" s="7" t="str">
        <f t="shared" si="114"/>
        <v>Nothing</v>
      </c>
      <c r="U481" s="7" t="s">
        <v>1</v>
      </c>
      <c r="X481" s="7" t="s">
        <v>2045</v>
      </c>
      <c r="Y481" s="29"/>
      <c r="Z481" s="25"/>
      <c r="AC481" s="26" t="s">
        <v>2044</v>
      </c>
      <c r="AD481" s="24">
        <v>523964</v>
      </c>
      <c r="AE481" s="7">
        <v>1.9E-2</v>
      </c>
      <c r="AF481" s="7" t="s">
        <v>2043</v>
      </c>
      <c r="AG481" s="7">
        <v>1.2310000000000001</v>
      </c>
      <c r="AH481" s="7" t="s">
        <v>2042</v>
      </c>
      <c r="AI481" s="7">
        <v>2200000</v>
      </c>
      <c r="AJ481" s="7" t="s">
        <v>9</v>
      </c>
      <c r="AK481" s="7">
        <v>26</v>
      </c>
      <c r="AL481" s="7" t="s">
        <v>942</v>
      </c>
      <c r="AN481" s="7" t="s">
        <v>2029</v>
      </c>
      <c r="AT481" s="7" t="str">
        <f t="shared" ref="AT481:AT501" si="124">IF(OR(BC481="Carbon Neutral",BC481="No - but post-2030 commitment"),IF((OR(BH481="Committed",BH481="Targets Set")),IF(J481="", "CN &amp; SBT","CN, SBT &amp; RE100"),IF(CH481="","CN","CN &amp; RE100")),IF((OR(BH481="Committed",BH481="Targets Set")),IF(CH481="", "SBT","SBT &amp; RE100"),IF(CH481="","None","RE100")))</f>
        <v>SBT &amp; RE100</v>
      </c>
      <c r="AU481" s="7" t="str">
        <f t="shared" si="122"/>
        <v>SBT &amp; RE100</v>
      </c>
      <c r="AV481" s="7" t="str">
        <f t="shared" si="116"/>
        <v/>
      </c>
      <c r="AW481" s="7">
        <f t="shared" si="123"/>
        <v>2016</v>
      </c>
      <c r="AX481" s="7">
        <f t="shared" si="118"/>
        <v>2015</v>
      </c>
      <c r="BB481" s="7" t="str">
        <f t="shared" si="121"/>
        <v>Yes</v>
      </c>
      <c r="BC481" s="7" t="str">
        <f t="shared" si="119"/>
        <v>No</v>
      </c>
      <c r="BD481" s="29" t="s">
        <v>1</v>
      </c>
      <c r="BE481" s="25"/>
      <c r="BF481" s="7" t="s">
        <v>2041</v>
      </c>
      <c r="BH481" s="7" t="s">
        <v>22</v>
      </c>
      <c r="BI481" s="7" t="s">
        <v>2040</v>
      </c>
      <c r="BJ481" s="7" t="s">
        <v>430</v>
      </c>
      <c r="BM481" s="7" t="s">
        <v>1890</v>
      </c>
      <c r="BN481" s="7">
        <v>2025</v>
      </c>
      <c r="BO481" s="7">
        <v>2025</v>
      </c>
      <c r="BP481" s="7">
        <v>2030</v>
      </c>
      <c r="BQ481" s="22"/>
      <c r="CG481" s="7" t="s">
        <v>2027</v>
      </c>
      <c r="CH481" s="7" t="str">
        <f t="shared" si="120"/>
        <v>yes</v>
      </c>
      <c r="CI481" s="7" t="s">
        <v>13</v>
      </c>
      <c r="CJ481" s="7">
        <v>0.09</v>
      </c>
      <c r="CK481" s="7">
        <v>0.09</v>
      </c>
      <c r="CL481" s="7">
        <v>0.26</v>
      </c>
      <c r="CM481" s="7" t="s">
        <v>13</v>
      </c>
      <c r="CN481" s="7">
        <v>0.26</v>
      </c>
      <c r="CO481" s="7" t="s">
        <v>2039</v>
      </c>
      <c r="CW481" s="7" t="s">
        <v>361</v>
      </c>
      <c r="CY481" s="7" t="s">
        <v>361</v>
      </c>
    </row>
    <row r="482" spans="1:103">
      <c r="A482" s="7" t="s">
        <v>1263</v>
      </c>
      <c r="B482" s="7">
        <v>150</v>
      </c>
      <c r="I482" s="24" t="str">
        <f t="shared" si="111"/>
        <v/>
      </c>
      <c r="L482" s="7" t="str">
        <f t="shared" si="112"/>
        <v/>
      </c>
      <c r="M482" s="21" t="str">
        <f t="shared" si="113"/>
        <v/>
      </c>
      <c r="N482" s="7" t="s">
        <v>1960</v>
      </c>
      <c r="T482" s="7" t="str">
        <f t="shared" si="114"/>
        <v>Nothing</v>
      </c>
      <c r="U482" s="7" t="s">
        <v>1</v>
      </c>
      <c r="AC482" s="8" t="s">
        <v>2038</v>
      </c>
      <c r="AD482" s="24">
        <v>69570</v>
      </c>
      <c r="AE482" s="7">
        <v>0.17100000000000001</v>
      </c>
      <c r="AF482" s="7" t="s">
        <v>2037</v>
      </c>
      <c r="AG482" s="7">
        <v>-0.123</v>
      </c>
      <c r="AH482" s="7" t="s">
        <v>2036</v>
      </c>
      <c r="AI482" s="7">
        <v>223000</v>
      </c>
      <c r="AJ482" s="7">
        <v>20</v>
      </c>
      <c r="AK482" s="7">
        <v>26</v>
      </c>
      <c r="AT482" s="7" t="str">
        <f t="shared" si="124"/>
        <v>None</v>
      </c>
      <c r="AU482" s="7" t="str">
        <f t="shared" si="122"/>
        <v>None</v>
      </c>
      <c r="AV482" s="7" t="str">
        <f t="shared" si="116"/>
        <v/>
      </c>
      <c r="AW482" s="7" t="str">
        <f t="shared" si="123"/>
        <v/>
      </c>
      <c r="AX482" s="7" t="str">
        <f t="shared" si="118"/>
        <v/>
      </c>
      <c r="BB482" s="7" t="str">
        <f t="shared" si="121"/>
        <v/>
      </c>
      <c r="BC482" s="7" t="str">
        <f t="shared" si="119"/>
        <v>No</v>
      </c>
      <c r="BD482" s="7" t="s">
        <v>1</v>
      </c>
      <c r="BF482" s="7" t="s">
        <v>2035</v>
      </c>
      <c r="BQ482" s="22"/>
      <c r="CH482" s="7" t="str">
        <f t="shared" si="120"/>
        <v/>
      </c>
      <c r="CX482" s="7" t="s">
        <v>361</v>
      </c>
    </row>
    <row r="483" spans="1:103">
      <c r="A483" s="7" t="s">
        <v>1661</v>
      </c>
      <c r="B483" s="7">
        <v>69</v>
      </c>
      <c r="C483" s="7" t="s">
        <v>127</v>
      </c>
      <c r="D483" s="7" t="s">
        <v>1957</v>
      </c>
      <c r="E483" s="7" t="s">
        <v>109</v>
      </c>
      <c r="F483" s="7">
        <v>2019</v>
      </c>
      <c r="G483" s="7">
        <v>2020</v>
      </c>
      <c r="H483" s="27" t="s">
        <v>2024</v>
      </c>
      <c r="I483" s="24" t="str">
        <f t="shared" si="111"/>
        <v>Yes</v>
      </c>
      <c r="J483" s="7" t="s">
        <v>2034</v>
      </c>
      <c r="K483" s="7">
        <v>2016</v>
      </c>
      <c r="L483" s="7" t="str">
        <f t="shared" si="112"/>
        <v/>
      </c>
      <c r="M483" s="21" t="str">
        <f t="shared" si="113"/>
        <v/>
      </c>
      <c r="N483" s="7" t="s">
        <v>1960</v>
      </c>
      <c r="T483" s="7" t="str">
        <f t="shared" si="114"/>
        <v/>
      </c>
      <c r="U483" s="7" t="s">
        <v>361</v>
      </c>
      <c r="V483" s="7" t="s">
        <v>2033</v>
      </c>
      <c r="AC483" s="8" t="s">
        <v>2032</v>
      </c>
      <c r="AD483" s="24">
        <v>103915</v>
      </c>
      <c r="AE483" s="7">
        <v>2.8000000000000001E-2</v>
      </c>
      <c r="AF483" s="7" t="s">
        <v>2031</v>
      </c>
      <c r="AG483" s="7">
        <v>-0.127</v>
      </c>
      <c r="AH483" s="7" t="s">
        <v>2030</v>
      </c>
      <c r="AI483" s="7">
        <v>259800</v>
      </c>
      <c r="AJ483" s="7" t="s">
        <v>9</v>
      </c>
      <c r="AK483" s="7">
        <v>23</v>
      </c>
      <c r="AL483" s="7" t="s">
        <v>93</v>
      </c>
      <c r="AN483" s="7" t="s">
        <v>2029</v>
      </c>
      <c r="AT483" s="7" t="str">
        <f t="shared" si="124"/>
        <v>CN</v>
      </c>
      <c r="AU483" s="7" t="str">
        <f t="shared" si="122"/>
        <v>CN</v>
      </c>
      <c r="AV483" s="7">
        <f t="shared" si="116"/>
        <v>2020</v>
      </c>
      <c r="AW483" s="7" t="str">
        <f t="shared" si="123"/>
        <v/>
      </c>
      <c r="AX483" s="7" t="str">
        <f t="shared" si="118"/>
        <v/>
      </c>
      <c r="BB483" s="7" t="str">
        <f t="shared" si="121"/>
        <v/>
      </c>
      <c r="BC483" s="7" t="str">
        <f t="shared" si="119"/>
        <v>Carbon Neutral</v>
      </c>
      <c r="BD483" s="7" t="s">
        <v>1</v>
      </c>
      <c r="BF483" s="7" t="s">
        <v>2028</v>
      </c>
      <c r="BQ483" s="22"/>
      <c r="CD483" s="7" t="s">
        <v>361</v>
      </c>
      <c r="CG483" s="7" t="s">
        <v>2027</v>
      </c>
      <c r="CH483" s="7" t="str">
        <f t="shared" si="120"/>
        <v/>
      </c>
      <c r="CI483" s="7" t="s">
        <v>13</v>
      </c>
      <c r="CJ483" s="7">
        <v>1</v>
      </c>
      <c r="CK483" s="7">
        <v>1</v>
      </c>
      <c r="CL483" s="7">
        <v>0.05</v>
      </c>
      <c r="CM483" s="7">
        <v>7.0000000000000007E-2</v>
      </c>
      <c r="CN483" s="7" t="s">
        <v>13</v>
      </c>
      <c r="CO483" s="7" t="s">
        <v>2026</v>
      </c>
      <c r="CQ483" s="7" t="s">
        <v>2025</v>
      </c>
      <c r="CR483" s="27" t="s">
        <v>2024</v>
      </c>
      <c r="CX483" s="7" t="s">
        <v>361</v>
      </c>
      <c r="CY483" s="7" t="s">
        <v>361</v>
      </c>
    </row>
    <row r="484" spans="1:103">
      <c r="A484" s="7" t="s">
        <v>324</v>
      </c>
      <c r="B484" s="7">
        <v>491</v>
      </c>
      <c r="C484" s="7" t="s">
        <v>161</v>
      </c>
      <c r="D484" s="7" t="s">
        <v>1957</v>
      </c>
      <c r="E484" s="7" t="s">
        <v>1659</v>
      </c>
      <c r="F484" s="7">
        <v>2013</v>
      </c>
      <c r="G484" s="7">
        <v>2013</v>
      </c>
      <c r="H484" s="8" t="s">
        <v>2023</v>
      </c>
      <c r="I484" s="24" t="str">
        <f t="shared" si="111"/>
        <v>Yes</v>
      </c>
      <c r="J484" s="7">
        <v>2025</v>
      </c>
      <c r="K484" s="7">
        <v>2019</v>
      </c>
      <c r="L484" s="7" t="str">
        <f t="shared" si="112"/>
        <v>C</v>
      </c>
      <c r="M484" s="21" t="str">
        <f t="shared" si="113"/>
        <v/>
      </c>
      <c r="N484" s="7">
        <v>2015</v>
      </c>
      <c r="T484" s="7" t="str">
        <f t="shared" si="114"/>
        <v/>
      </c>
      <c r="U484" s="7" t="s">
        <v>361</v>
      </c>
      <c r="V484" s="7" t="s">
        <v>2022</v>
      </c>
      <c r="AD484" s="24">
        <v>26001</v>
      </c>
      <c r="AE484" s="7">
        <v>-0.104</v>
      </c>
      <c r="AF484" s="7" t="s">
        <v>2021</v>
      </c>
      <c r="AG484" s="7">
        <v>-0.224</v>
      </c>
      <c r="AH484" s="7" t="s">
        <v>2020</v>
      </c>
      <c r="AI484" s="7">
        <v>33288</v>
      </c>
      <c r="AJ484" s="7">
        <v>-58</v>
      </c>
      <c r="AK484" s="7">
        <v>16</v>
      </c>
      <c r="AL484" s="7" t="s">
        <v>93</v>
      </c>
      <c r="AN484" s="7" t="s">
        <v>2010</v>
      </c>
      <c r="AT484" s="7" t="str">
        <f t="shared" si="124"/>
        <v>CN, SBT &amp; RE100</v>
      </c>
      <c r="AU484" s="7" t="str">
        <f t="shared" si="122"/>
        <v>CN, SBT &amp; RE100</v>
      </c>
      <c r="AV484" s="7">
        <f t="shared" si="116"/>
        <v>2013</v>
      </c>
      <c r="AW484" s="7">
        <f t="shared" si="123"/>
        <v>2015</v>
      </c>
      <c r="AX484" s="7">
        <f t="shared" si="118"/>
        <v>2019</v>
      </c>
      <c r="BB484" s="7" t="str">
        <f t="shared" si="121"/>
        <v>Yes</v>
      </c>
      <c r="BC484" s="7" t="str">
        <f t="shared" si="119"/>
        <v>Carbon Neutral</v>
      </c>
      <c r="BD484" s="7" t="s">
        <v>1</v>
      </c>
      <c r="BG484" s="7" t="s">
        <v>32</v>
      </c>
      <c r="BH484" s="7" t="s">
        <v>165</v>
      </c>
      <c r="BJ484" s="7" t="s">
        <v>1156</v>
      </c>
      <c r="BQ484" s="22"/>
      <c r="CG484" s="7" t="s">
        <v>161</v>
      </c>
      <c r="CH484" s="7" t="str">
        <f t="shared" si="120"/>
        <v>yes</v>
      </c>
      <c r="CI484" s="7" t="s">
        <v>13</v>
      </c>
      <c r="CJ484" s="7" t="s">
        <v>13</v>
      </c>
      <c r="CK484" s="7" t="s">
        <v>13</v>
      </c>
      <c r="CL484" s="7" t="s">
        <v>13</v>
      </c>
      <c r="CM484" s="7" t="s">
        <v>13</v>
      </c>
      <c r="CN484" s="7" t="s">
        <v>13</v>
      </c>
      <c r="CO484" s="7" t="s">
        <v>2019</v>
      </c>
      <c r="CP484" s="7" t="s">
        <v>1945</v>
      </c>
    </row>
    <row r="485" spans="1:103">
      <c r="A485" s="7" t="s">
        <v>962</v>
      </c>
      <c r="B485" s="7">
        <v>285</v>
      </c>
      <c r="I485" s="24" t="str">
        <f t="shared" si="111"/>
        <v/>
      </c>
      <c r="L485" s="7" t="str">
        <f t="shared" si="112"/>
        <v/>
      </c>
      <c r="M485" s="21" t="str">
        <f t="shared" si="113"/>
        <v/>
      </c>
      <c r="N485" s="7" t="s">
        <v>1960</v>
      </c>
      <c r="T485" s="7" t="str">
        <f t="shared" si="114"/>
        <v>Nothing</v>
      </c>
      <c r="U485" s="7" t="s">
        <v>1963</v>
      </c>
      <c r="AD485" s="24">
        <v>42641</v>
      </c>
      <c r="AE485" s="7">
        <v>-4.2000000000000003E-2</v>
      </c>
      <c r="AF485" s="7" t="s">
        <v>2018</v>
      </c>
      <c r="AG485" s="7">
        <v>0.14699999999999999</v>
      </c>
      <c r="AH485" s="7" t="s">
        <v>2017</v>
      </c>
      <c r="AI485" s="7">
        <v>90000</v>
      </c>
      <c r="AJ485" s="7">
        <v>-27</v>
      </c>
      <c r="AK485" s="7">
        <v>12</v>
      </c>
      <c r="AT485" s="7" t="str">
        <f t="shared" si="124"/>
        <v>None</v>
      </c>
      <c r="AU485" s="7" t="str">
        <f t="shared" si="122"/>
        <v>None</v>
      </c>
      <c r="AV485" s="7" t="str">
        <f t="shared" si="116"/>
        <v/>
      </c>
      <c r="AW485" s="7" t="str">
        <f t="shared" si="123"/>
        <v/>
      </c>
      <c r="AX485" s="7" t="str">
        <f t="shared" si="118"/>
        <v/>
      </c>
      <c r="BB485" s="7" t="str">
        <f t="shared" si="121"/>
        <v/>
      </c>
      <c r="BC485" s="7" t="str">
        <f t="shared" si="119"/>
        <v>No</v>
      </c>
      <c r="BD485" s="7" t="s">
        <v>1963</v>
      </c>
      <c r="BF485" s="7" t="s">
        <v>2016</v>
      </c>
      <c r="BG485" s="28" t="s">
        <v>2015</v>
      </c>
      <c r="BQ485" s="22"/>
      <c r="CH485" s="7" t="str">
        <f t="shared" si="120"/>
        <v/>
      </c>
    </row>
    <row r="486" spans="1:103">
      <c r="A486" s="7" t="s">
        <v>378</v>
      </c>
      <c r="B486" s="7">
        <v>452</v>
      </c>
      <c r="I486" s="24" t="str">
        <f t="shared" si="111"/>
        <v/>
      </c>
      <c r="L486" s="7" t="str">
        <f t="shared" si="112"/>
        <v/>
      </c>
      <c r="M486" s="21" t="str">
        <f t="shared" si="113"/>
        <v/>
      </c>
      <c r="N486" s="7" t="s">
        <v>1960</v>
      </c>
      <c r="T486" s="7" t="str">
        <f t="shared" si="114"/>
        <v>Nothing</v>
      </c>
      <c r="U486" s="7" t="s">
        <v>1</v>
      </c>
      <c r="AD486" s="24">
        <v>28416</v>
      </c>
      <c r="AE486" s="7">
        <v>-3.6999999999999998E-2</v>
      </c>
      <c r="AF486" s="7" t="s">
        <v>1983</v>
      </c>
      <c r="AG486" s="7">
        <v>0.35099999999999998</v>
      </c>
      <c r="AH486" s="7" t="s">
        <v>2014</v>
      </c>
      <c r="AI486" s="7">
        <v>70286</v>
      </c>
      <c r="AJ486" s="7">
        <v>-28</v>
      </c>
      <c r="AK486" s="7">
        <v>5</v>
      </c>
      <c r="AT486" s="7" t="str">
        <f t="shared" si="124"/>
        <v>None</v>
      </c>
      <c r="AU486" s="7" t="str">
        <f t="shared" si="122"/>
        <v>None</v>
      </c>
      <c r="AV486" s="7" t="str">
        <f t="shared" si="116"/>
        <v/>
      </c>
      <c r="AW486" s="7" t="str">
        <f t="shared" si="123"/>
        <v/>
      </c>
      <c r="AX486" s="7" t="str">
        <f t="shared" si="118"/>
        <v/>
      </c>
      <c r="BB486" s="7" t="str">
        <f t="shared" si="121"/>
        <v/>
      </c>
      <c r="BC486" s="7" t="str">
        <f t="shared" si="119"/>
        <v>No</v>
      </c>
      <c r="BD486" s="7" t="s">
        <v>1</v>
      </c>
      <c r="BQ486" s="22"/>
      <c r="CH486" s="7" t="str">
        <f t="shared" si="120"/>
        <v/>
      </c>
    </row>
    <row r="487" spans="1:103">
      <c r="A487" s="7" t="s">
        <v>1051</v>
      </c>
      <c r="B487" s="7">
        <v>260</v>
      </c>
      <c r="C487" s="7" t="s">
        <v>161</v>
      </c>
      <c r="I487" s="24" t="str">
        <f t="shared" si="111"/>
        <v/>
      </c>
      <c r="L487" s="7" t="str">
        <f t="shared" si="112"/>
        <v>C</v>
      </c>
      <c r="M487" s="21" t="str">
        <f t="shared" si="113"/>
        <v/>
      </c>
      <c r="N487" s="7">
        <v>2019</v>
      </c>
      <c r="T487" s="7" t="str">
        <f t="shared" si="114"/>
        <v>Nothing</v>
      </c>
      <c r="U487" s="7" t="s">
        <v>1</v>
      </c>
      <c r="AC487" s="28" t="s">
        <v>2013</v>
      </c>
      <c r="AD487" s="24">
        <v>45524</v>
      </c>
      <c r="AE487" s="7">
        <v>-4.8000000000000001E-2</v>
      </c>
      <c r="AF487" s="7" t="s">
        <v>2012</v>
      </c>
      <c r="AG487" s="7">
        <v>0.441</v>
      </c>
      <c r="AH487" s="7" t="s">
        <v>2011</v>
      </c>
      <c r="AI487" s="7">
        <v>196000</v>
      </c>
      <c r="AJ487" s="7">
        <v>-27</v>
      </c>
      <c r="AK487" s="7">
        <v>24</v>
      </c>
      <c r="AL487" s="7" t="s">
        <v>942</v>
      </c>
      <c r="AN487" s="7" t="s">
        <v>2010</v>
      </c>
      <c r="AT487" s="7" t="str">
        <f t="shared" si="124"/>
        <v>SBT</v>
      </c>
      <c r="AU487" s="7" t="str">
        <f t="shared" si="122"/>
        <v>SBT</v>
      </c>
      <c r="AV487" s="7" t="str">
        <f t="shared" si="116"/>
        <v/>
      </c>
      <c r="AW487" s="7">
        <f t="shared" si="123"/>
        <v>2019</v>
      </c>
      <c r="AX487" s="7" t="str">
        <f t="shared" si="118"/>
        <v/>
      </c>
      <c r="BB487" s="7" t="str">
        <f t="shared" si="121"/>
        <v>Yes</v>
      </c>
      <c r="BC487" s="7" t="str">
        <f t="shared" si="119"/>
        <v>No</v>
      </c>
      <c r="BD487" s="7" t="s">
        <v>1963</v>
      </c>
      <c r="BE487" s="1"/>
      <c r="BF487" s="7" t="s">
        <v>2009</v>
      </c>
      <c r="BH487" s="7" t="s">
        <v>165</v>
      </c>
      <c r="BJ487" s="7" t="s">
        <v>2008</v>
      </c>
      <c r="BQ487" s="22"/>
      <c r="CH487" s="7" t="str">
        <f t="shared" si="120"/>
        <v/>
      </c>
    </row>
    <row r="488" spans="1:103">
      <c r="A488" s="7" t="s">
        <v>796</v>
      </c>
      <c r="B488" s="7">
        <v>345</v>
      </c>
      <c r="H488" s="27"/>
      <c r="I488" s="24" t="str">
        <f t="shared" si="111"/>
        <v/>
      </c>
      <c r="L488" s="7" t="str">
        <f t="shared" si="112"/>
        <v/>
      </c>
      <c r="M488" s="21" t="str">
        <f t="shared" si="113"/>
        <v/>
      </c>
      <c r="N488" s="7" t="s">
        <v>1960</v>
      </c>
      <c r="T488" s="7" t="str">
        <f t="shared" si="114"/>
        <v>Nothing</v>
      </c>
      <c r="U488" s="7" t="s">
        <v>1963</v>
      </c>
      <c r="AC488" s="26" t="s">
        <v>2007</v>
      </c>
      <c r="AD488" s="24">
        <v>36819</v>
      </c>
      <c r="AE488" s="7">
        <v>-7.3999999999999996E-2</v>
      </c>
      <c r="AF488" s="7" t="s">
        <v>2006</v>
      </c>
      <c r="AG488" s="7">
        <v>0.40100000000000002</v>
      </c>
      <c r="AH488" s="7" t="s">
        <v>2005</v>
      </c>
      <c r="AI488" s="7">
        <v>5500</v>
      </c>
      <c r="AJ488" s="7">
        <v>-36</v>
      </c>
      <c r="AK488" s="7">
        <v>9</v>
      </c>
      <c r="AT488" s="7" t="str">
        <f t="shared" si="124"/>
        <v>None</v>
      </c>
      <c r="AU488" s="7" t="str">
        <f t="shared" si="122"/>
        <v>None</v>
      </c>
      <c r="AV488" s="7" t="str">
        <f t="shared" si="116"/>
        <v/>
      </c>
      <c r="AW488" s="7" t="str">
        <f t="shared" si="123"/>
        <v/>
      </c>
      <c r="AX488" s="7" t="str">
        <f t="shared" si="118"/>
        <v/>
      </c>
      <c r="BB488" s="7" t="str">
        <f t="shared" si="121"/>
        <v/>
      </c>
      <c r="BC488" s="7" t="str">
        <f t="shared" si="119"/>
        <v>No</v>
      </c>
      <c r="BD488" s="7" t="s">
        <v>1963</v>
      </c>
      <c r="BF488" t="s">
        <v>2004</v>
      </c>
      <c r="BQ488" s="22"/>
      <c r="CH488" s="7" t="str">
        <f t="shared" si="120"/>
        <v/>
      </c>
      <c r="CY488" s="7" t="s">
        <v>361</v>
      </c>
    </row>
    <row r="489" spans="1:103">
      <c r="A489" s="7" t="s">
        <v>991</v>
      </c>
      <c r="B489" s="7">
        <v>210</v>
      </c>
      <c r="C489" s="7" t="s">
        <v>73</v>
      </c>
      <c r="I489" s="24" t="str">
        <f t="shared" si="111"/>
        <v/>
      </c>
      <c r="L489" s="7" t="str">
        <f t="shared" si="112"/>
        <v/>
      </c>
      <c r="M489" s="21" t="str">
        <f t="shared" si="113"/>
        <v/>
      </c>
      <c r="N489" s="7" t="s">
        <v>1960</v>
      </c>
      <c r="T489" s="7" t="str">
        <f t="shared" si="114"/>
        <v>Nothing</v>
      </c>
      <c r="U489" s="7" t="s">
        <v>1986</v>
      </c>
      <c r="AD489" s="24">
        <v>51954</v>
      </c>
      <c r="AE489" s="7">
        <v>0.14299999999999999</v>
      </c>
      <c r="AF489" s="7" t="s">
        <v>2003</v>
      </c>
      <c r="AG489" s="7">
        <v>9.1999999999999998E-2</v>
      </c>
      <c r="AH489" s="7" t="s">
        <v>2002</v>
      </c>
      <c r="AI489" s="7">
        <v>20332</v>
      </c>
      <c r="AJ489" s="7">
        <v>39</v>
      </c>
      <c r="AK489" s="7">
        <v>10</v>
      </c>
      <c r="AT489" s="7" t="str">
        <f t="shared" si="124"/>
        <v>None</v>
      </c>
      <c r="AU489" s="7" t="str">
        <f t="shared" si="122"/>
        <v>None</v>
      </c>
      <c r="AV489" s="7" t="str">
        <f t="shared" si="116"/>
        <v/>
      </c>
      <c r="AW489" s="7" t="str">
        <f t="shared" si="123"/>
        <v/>
      </c>
      <c r="AX489" s="7" t="str">
        <f t="shared" si="118"/>
        <v/>
      </c>
      <c r="BB489" s="7" t="str">
        <f t="shared" si="121"/>
        <v/>
      </c>
      <c r="BC489" s="7" t="str">
        <f t="shared" si="119"/>
        <v>No</v>
      </c>
      <c r="BQ489" s="22"/>
      <c r="CH489" s="7" t="str">
        <f t="shared" si="120"/>
        <v/>
      </c>
    </row>
    <row r="490" spans="1:103">
      <c r="A490" s="7" t="s">
        <v>2001</v>
      </c>
      <c r="B490" s="7">
        <v>475</v>
      </c>
      <c r="I490" s="24" t="str">
        <f t="shared" si="111"/>
        <v/>
      </c>
      <c r="L490" s="7" t="str">
        <f t="shared" si="112"/>
        <v/>
      </c>
      <c r="M490" s="21" t="str">
        <f t="shared" si="113"/>
        <v/>
      </c>
      <c r="N490" s="7" t="s">
        <v>1960</v>
      </c>
      <c r="T490" s="7" t="str">
        <f t="shared" si="114"/>
        <v>Nothing</v>
      </c>
      <c r="U490" s="7" t="s">
        <v>1</v>
      </c>
      <c r="AD490" s="24">
        <v>26808</v>
      </c>
      <c r="AE490" s="7">
        <v>9.8000000000000004E-2</v>
      </c>
      <c r="AF490" s="7" t="s">
        <v>2000</v>
      </c>
      <c r="AG490" s="7">
        <v>-0.33900000000000002</v>
      </c>
      <c r="AH490" s="7" t="s">
        <v>1999</v>
      </c>
      <c r="AI490" s="7">
        <v>307444</v>
      </c>
      <c r="AJ490" s="7" t="s">
        <v>9</v>
      </c>
      <c r="AK490" s="7">
        <v>1</v>
      </c>
      <c r="AT490" s="7" t="str">
        <f t="shared" si="124"/>
        <v>None</v>
      </c>
      <c r="AU490" s="7" t="str">
        <f t="shared" si="122"/>
        <v>None</v>
      </c>
      <c r="AV490" s="7" t="str">
        <f t="shared" si="116"/>
        <v/>
      </c>
      <c r="AW490" s="7" t="str">
        <f t="shared" si="123"/>
        <v/>
      </c>
      <c r="AX490" s="7" t="str">
        <f t="shared" si="118"/>
        <v/>
      </c>
      <c r="BB490" s="7" t="str">
        <f t="shared" si="121"/>
        <v/>
      </c>
      <c r="BC490" s="7" t="str">
        <f t="shared" si="119"/>
        <v>No</v>
      </c>
      <c r="BD490" s="7" t="s">
        <v>1</v>
      </c>
      <c r="BQ490" s="22"/>
      <c r="CH490" s="7" t="str">
        <f t="shared" si="120"/>
        <v/>
      </c>
    </row>
    <row r="491" spans="1:103">
      <c r="A491" s="7" t="s">
        <v>911</v>
      </c>
      <c r="B491" s="7">
        <v>234</v>
      </c>
      <c r="I491" s="24" t="str">
        <f t="shared" si="111"/>
        <v/>
      </c>
      <c r="L491" s="7" t="str">
        <f t="shared" si="112"/>
        <v/>
      </c>
      <c r="M491" s="21" t="str">
        <f t="shared" si="113"/>
        <v/>
      </c>
      <c r="N491" s="7" t="s">
        <v>1960</v>
      </c>
      <c r="T491" s="7" t="str">
        <f t="shared" si="114"/>
        <v>Nothing</v>
      </c>
      <c r="U491" s="7" t="s">
        <v>1</v>
      </c>
      <c r="AD491" s="24">
        <v>49170</v>
      </c>
      <c r="AE491" s="7">
        <v>0.151</v>
      </c>
      <c r="AF491" s="7" t="s">
        <v>1998</v>
      </c>
      <c r="AG491" s="7">
        <v>5.7000000000000002E-2</v>
      </c>
      <c r="AH491" s="7" t="s">
        <v>1997</v>
      </c>
      <c r="AI491" s="7">
        <v>26732</v>
      </c>
      <c r="AJ491" s="7">
        <v>43</v>
      </c>
      <c r="AK491" s="7">
        <v>4</v>
      </c>
      <c r="AT491" s="7" t="str">
        <f t="shared" si="124"/>
        <v>None</v>
      </c>
      <c r="AU491" s="7" t="str">
        <f t="shared" si="122"/>
        <v>None</v>
      </c>
      <c r="AV491" s="7" t="str">
        <f t="shared" si="116"/>
        <v/>
      </c>
      <c r="AW491" s="7" t="str">
        <f t="shared" si="123"/>
        <v/>
      </c>
      <c r="AX491" s="7" t="str">
        <f t="shared" si="118"/>
        <v/>
      </c>
      <c r="BB491" s="7" t="str">
        <f t="shared" si="121"/>
        <v/>
      </c>
      <c r="BC491" s="7" t="str">
        <f t="shared" si="119"/>
        <v>No</v>
      </c>
      <c r="BD491" s="7" t="s">
        <v>1</v>
      </c>
      <c r="BQ491" s="22"/>
      <c r="CH491" s="7" t="str">
        <f t="shared" si="120"/>
        <v/>
      </c>
    </row>
    <row r="492" spans="1:103">
      <c r="A492" s="7" t="s">
        <v>873</v>
      </c>
      <c r="B492" s="7">
        <v>284</v>
      </c>
      <c r="C492" s="7" t="s">
        <v>73</v>
      </c>
      <c r="I492" s="24" t="str">
        <f t="shared" si="111"/>
        <v/>
      </c>
      <c r="L492" s="7" t="str">
        <f t="shared" si="112"/>
        <v>C</v>
      </c>
      <c r="M492" s="21" t="str">
        <f t="shared" si="113"/>
        <v/>
      </c>
      <c r="N492" s="7">
        <v>2020</v>
      </c>
      <c r="T492" s="7" t="str">
        <f t="shared" si="114"/>
        <v>Nothing</v>
      </c>
      <c r="U492" s="7" t="s">
        <v>1963</v>
      </c>
      <c r="AD492" s="24">
        <v>42790</v>
      </c>
      <c r="AE492" s="7">
        <v>3.3000000000000002E-2</v>
      </c>
      <c r="AF492" s="7" t="s">
        <v>1996</v>
      </c>
      <c r="AG492" s="7">
        <v>-0.33400000000000002</v>
      </c>
      <c r="AH492" s="7" t="s">
        <v>1995</v>
      </c>
      <c r="AI492" s="7">
        <v>15178</v>
      </c>
      <c r="AJ492" s="7">
        <v>7</v>
      </c>
      <c r="AK492" s="7">
        <v>4</v>
      </c>
      <c r="AL492" s="7" t="s">
        <v>204</v>
      </c>
      <c r="AN492" s="7" t="s">
        <v>1994</v>
      </c>
      <c r="AT492" s="7" t="str">
        <f t="shared" si="124"/>
        <v>SBT</v>
      </c>
      <c r="AU492" s="7" t="str">
        <f t="shared" si="122"/>
        <v>SBT</v>
      </c>
      <c r="AV492" s="7" t="str">
        <f t="shared" si="116"/>
        <v/>
      </c>
      <c r="AW492" s="7">
        <f t="shared" si="123"/>
        <v>2020</v>
      </c>
      <c r="AX492" s="7" t="str">
        <f t="shared" si="118"/>
        <v/>
      </c>
      <c r="BB492" s="7" t="str">
        <f t="shared" si="121"/>
        <v>Yes</v>
      </c>
      <c r="BC492" s="7" t="str">
        <f t="shared" si="119"/>
        <v>No</v>
      </c>
      <c r="BD492" s="7" t="s">
        <v>1963</v>
      </c>
      <c r="BF492" s="7" t="s">
        <v>1993</v>
      </c>
      <c r="BH492" s="7" t="s">
        <v>165</v>
      </c>
      <c r="BJ492" s="7" t="s">
        <v>1992</v>
      </c>
      <c r="BQ492" s="22"/>
      <c r="CH492" s="7" t="str">
        <f t="shared" si="120"/>
        <v/>
      </c>
    </row>
    <row r="493" spans="1:103">
      <c r="A493" s="7" t="s">
        <v>213</v>
      </c>
      <c r="B493" s="7">
        <v>422</v>
      </c>
      <c r="I493" s="24" t="str">
        <f t="shared" si="111"/>
        <v/>
      </c>
      <c r="L493" s="7" t="str">
        <f t="shared" si="112"/>
        <v/>
      </c>
      <c r="M493" s="21" t="str">
        <f t="shared" si="113"/>
        <v/>
      </c>
      <c r="N493" s="7" t="s">
        <v>1960</v>
      </c>
      <c r="T493" s="7" t="str">
        <f t="shared" si="114"/>
        <v>Nothing</v>
      </c>
      <c r="U493" s="7" t="s">
        <v>1963</v>
      </c>
      <c r="AD493" s="24">
        <v>29795</v>
      </c>
      <c r="AE493" s="7">
        <v>0.127</v>
      </c>
      <c r="AF493" s="7" t="s">
        <v>1991</v>
      </c>
      <c r="AG493" s="7">
        <v>-0.28999999999999998</v>
      </c>
      <c r="AH493" s="7" t="s">
        <v>1990</v>
      </c>
      <c r="AI493" s="7">
        <v>18170</v>
      </c>
      <c r="AJ493" s="7">
        <v>46</v>
      </c>
      <c r="AK493" s="7">
        <v>2</v>
      </c>
      <c r="AT493" s="7" t="str">
        <f t="shared" si="124"/>
        <v>None</v>
      </c>
      <c r="AU493" s="7" t="str">
        <f t="shared" si="122"/>
        <v>None</v>
      </c>
      <c r="AV493" s="7" t="str">
        <f t="shared" si="116"/>
        <v/>
      </c>
      <c r="AW493" s="7" t="str">
        <f t="shared" si="123"/>
        <v/>
      </c>
      <c r="AX493" s="7" t="str">
        <f t="shared" si="118"/>
        <v/>
      </c>
      <c r="BB493" s="7" t="str">
        <f t="shared" si="121"/>
        <v/>
      </c>
      <c r="BC493" s="7" t="str">
        <f t="shared" si="119"/>
        <v>No</v>
      </c>
      <c r="BD493" s="7" t="s">
        <v>1963</v>
      </c>
      <c r="BQ493" s="22"/>
      <c r="CH493" s="7" t="str">
        <f t="shared" si="120"/>
        <v/>
      </c>
    </row>
    <row r="494" spans="1:103">
      <c r="A494" s="7" t="s">
        <v>310</v>
      </c>
      <c r="B494" s="7">
        <v>443</v>
      </c>
      <c r="C494" s="7" t="s">
        <v>73</v>
      </c>
      <c r="I494" s="24" t="str">
        <f t="shared" si="111"/>
        <v/>
      </c>
      <c r="L494" s="7" t="str">
        <f t="shared" si="112"/>
        <v/>
      </c>
      <c r="M494" s="21" t="str">
        <f t="shared" si="113"/>
        <v/>
      </c>
      <c r="N494" s="7" t="s">
        <v>1960</v>
      </c>
      <c r="T494" s="7" t="str">
        <f t="shared" si="114"/>
        <v>Nothing</v>
      </c>
      <c r="U494" s="7" t="s">
        <v>1986</v>
      </c>
      <c r="AC494" s="26" t="s">
        <v>1989</v>
      </c>
      <c r="AD494" s="24">
        <v>28711</v>
      </c>
      <c r="AE494" s="7">
        <v>5.0000000000000001E-3</v>
      </c>
      <c r="AF494" s="7" t="s">
        <v>1988</v>
      </c>
      <c r="AG494" s="7">
        <v>-0.34499999999999997</v>
      </c>
      <c r="AH494" s="7" t="s">
        <v>1987</v>
      </c>
      <c r="AI494" s="7">
        <v>77400</v>
      </c>
      <c r="AJ494" s="7">
        <v>-4</v>
      </c>
      <c r="AK494" s="7">
        <v>4</v>
      </c>
      <c r="AT494" s="7" t="str">
        <f t="shared" si="124"/>
        <v>None</v>
      </c>
      <c r="AU494" s="7" t="str">
        <f t="shared" si="122"/>
        <v>None</v>
      </c>
      <c r="AV494" s="7" t="str">
        <f t="shared" si="116"/>
        <v/>
      </c>
      <c r="AW494" s="7" t="str">
        <f t="shared" si="123"/>
        <v/>
      </c>
      <c r="AX494" s="7" t="str">
        <f t="shared" si="118"/>
        <v/>
      </c>
      <c r="BB494" s="7" t="str">
        <f t="shared" si="121"/>
        <v/>
      </c>
      <c r="BC494" s="7" t="str">
        <f t="shared" si="119"/>
        <v>No</v>
      </c>
      <c r="BD494" s="7" t="s">
        <v>1986</v>
      </c>
      <c r="BF494" s="7" t="s">
        <v>1985</v>
      </c>
      <c r="BQ494" s="22"/>
      <c r="CD494" s="7" t="s">
        <v>361</v>
      </c>
      <c r="CH494" s="7" t="str">
        <f t="shared" si="120"/>
        <v/>
      </c>
    </row>
    <row r="495" spans="1:103">
      <c r="A495" s="7" t="s">
        <v>702</v>
      </c>
      <c r="B495" s="7">
        <v>298</v>
      </c>
      <c r="I495" s="24" t="str">
        <f t="shared" si="111"/>
        <v/>
      </c>
      <c r="L495" s="7" t="str">
        <f t="shared" si="112"/>
        <v/>
      </c>
      <c r="M495" s="21" t="str">
        <f t="shared" si="113"/>
        <v/>
      </c>
      <c r="N495" s="7" t="s">
        <v>1960</v>
      </c>
      <c r="T495" s="7" t="str">
        <f t="shared" si="114"/>
        <v>Nothing</v>
      </c>
      <c r="U495" s="7" t="s">
        <v>1963</v>
      </c>
      <c r="AC495" s="26" t="s">
        <v>1984</v>
      </c>
      <c r="AD495" s="24">
        <v>41135</v>
      </c>
      <c r="AE495" s="7">
        <v>0.127</v>
      </c>
      <c r="AF495" s="7" t="s">
        <v>1983</v>
      </c>
      <c r="AG495" s="7">
        <v>0.104</v>
      </c>
      <c r="AH495" s="7" t="s">
        <v>1982</v>
      </c>
      <c r="AI495" s="7">
        <v>11635</v>
      </c>
      <c r="AJ495" s="7">
        <v>40</v>
      </c>
      <c r="AK495" s="7">
        <v>3</v>
      </c>
      <c r="AT495" s="7" t="str">
        <f t="shared" si="124"/>
        <v>None</v>
      </c>
      <c r="AU495" s="7" t="str">
        <f t="shared" si="122"/>
        <v>None</v>
      </c>
      <c r="AV495" s="7" t="str">
        <f t="shared" si="116"/>
        <v/>
      </c>
      <c r="AW495" s="7" t="str">
        <f t="shared" si="123"/>
        <v/>
      </c>
      <c r="AX495" s="7" t="str">
        <f t="shared" si="118"/>
        <v/>
      </c>
      <c r="BB495" s="7" t="str">
        <f t="shared" si="121"/>
        <v/>
      </c>
      <c r="BC495" s="7" t="str">
        <f t="shared" si="119"/>
        <v>No</v>
      </c>
      <c r="BD495" s="7" t="s">
        <v>1963</v>
      </c>
      <c r="BF495" s="7" t="s">
        <v>1981</v>
      </c>
      <c r="BQ495" s="22"/>
      <c r="CH495" s="7" t="str">
        <f t="shared" si="120"/>
        <v/>
      </c>
    </row>
    <row r="496" spans="1:103">
      <c r="A496" s="7" t="s">
        <v>615</v>
      </c>
      <c r="B496" s="7">
        <v>354</v>
      </c>
      <c r="I496" s="24" t="str">
        <f t="shared" si="111"/>
        <v/>
      </c>
      <c r="L496" s="7" t="str">
        <f t="shared" si="112"/>
        <v/>
      </c>
      <c r="M496" s="21" t="str">
        <f t="shared" si="113"/>
        <v/>
      </c>
      <c r="N496" s="7" t="s">
        <v>1960</v>
      </c>
      <c r="T496" s="7" t="str">
        <f t="shared" si="114"/>
        <v>Nothing</v>
      </c>
      <c r="U496" s="7" t="s">
        <v>1963</v>
      </c>
      <c r="AD496" s="24">
        <v>35909</v>
      </c>
      <c r="AE496" s="7">
        <v>7.4999999999999997E-2</v>
      </c>
      <c r="AF496" s="7" t="s">
        <v>1980</v>
      </c>
      <c r="AG496" s="7">
        <v>1E-3</v>
      </c>
      <c r="AH496" s="7" t="s">
        <v>1979</v>
      </c>
      <c r="AI496" s="7">
        <v>26363</v>
      </c>
      <c r="AJ496" s="7">
        <v>14</v>
      </c>
      <c r="AK496" s="7">
        <v>4</v>
      </c>
      <c r="AT496" s="7" t="str">
        <f t="shared" si="124"/>
        <v>None</v>
      </c>
      <c r="AU496" s="7" t="str">
        <f t="shared" si="122"/>
        <v>None</v>
      </c>
      <c r="AV496" s="7" t="str">
        <f t="shared" si="116"/>
        <v/>
      </c>
      <c r="AW496" s="7" t="str">
        <f t="shared" si="123"/>
        <v/>
      </c>
      <c r="AX496" s="7" t="str">
        <f t="shared" si="118"/>
        <v/>
      </c>
      <c r="BB496" s="7" t="str">
        <f t="shared" si="121"/>
        <v/>
      </c>
      <c r="BC496" s="7" t="str">
        <f t="shared" si="119"/>
        <v>No</v>
      </c>
      <c r="BD496" s="7" t="s">
        <v>1963</v>
      </c>
      <c r="BF496" s="7" t="s">
        <v>1978</v>
      </c>
      <c r="BQ496" s="22"/>
      <c r="CH496" s="7" t="str">
        <f t="shared" si="120"/>
        <v/>
      </c>
    </row>
    <row r="497" spans="1:102">
      <c r="A497" s="7" t="s">
        <v>210</v>
      </c>
      <c r="B497" s="7">
        <v>499</v>
      </c>
      <c r="I497" s="24" t="str">
        <f t="shared" si="111"/>
        <v/>
      </c>
      <c r="L497" s="7" t="str">
        <f t="shared" si="112"/>
        <v/>
      </c>
      <c r="M497" s="21" t="str">
        <f t="shared" si="113"/>
        <v/>
      </c>
      <c r="N497" s="7" t="s">
        <v>1960</v>
      </c>
      <c r="T497" s="7" t="str">
        <f t="shared" si="114"/>
        <v>Nothing</v>
      </c>
      <c r="U497" s="7" t="s">
        <v>1</v>
      </c>
      <c r="AD497" s="24">
        <v>25491</v>
      </c>
      <c r="AE497" s="7">
        <v>-0.03</v>
      </c>
      <c r="AF497" s="7" t="s">
        <v>1977</v>
      </c>
      <c r="AG497" s="7" t="s">
        <v>9</v>
      </c>
      <c r="AH497" s="7" t="s">
        <v>1976</v>
      </c>
      <c r="AI497" s="7">
        <v>101817</v>
      </c>
      <c r="AJ497" s="7">
        <v>-30</v>
      </c>
      <c r="AK497" s="7">
        <v>8</v>
      </c>
      <c r="AT497" s="7" t="str">
        <f t="shared" si="124"/>
        <v>None</v>
      </c>
      <c r="AU497" s="7" t="str">
        <f t="shared" si="122"/>
        <v>None</v>
      </c>
      <c r="AV497" s="7" t="str">
        <f t="shared" si="116"/>
        <v/>
      </c>
      <c r="AW497" s="7" t="str">
        <f t="shared" si="123"/>
        <v/>
      </c>
      <c r="AX497" s="7" t="str">
        <f t="shared" si="118"/>
        <v/>
      </c>
      <c r="BB497" s="7" t="str">
        <f t="shared" si="121"/>
        <v/>
      </c>
      <c r="BC497" s="7" t="str">
        <f t="shared" si="119"/>
        <v>No</v>
      </c>
      <c r="BD497" s="7" t="s">
        <v>1</v>
      </c>
      <c r="BQ497" s="22"/>
      <c r="CH497" s="7" t="str">
        <f t="shared" si="120"/>
        <v/>
      </c>
    </row>
    <row r="498" spans="1:102">
      <c r="A498" s="7" t="s">
        <v>766</v>
      </c>
      <c r="B498" s="7">
        <v>295</v>
      </c>
      <c r="I498" s="24" t="str">
        <f t="shared" si="111"/>
        <v/>
      </c>
      <c r="L498" s="7" t="str">
        <f t="shared" si="112"/>
        <v/>
      </c>
      <c r="M498" s="21" t="str">
        <f t="shared" si="113"/>
        <v/>
      </c>
      <c r="N498" s="7" t="s">
        <v>1960</v>
      </c>
      <c r="T498" s="7" t="str">
        <f t="shared" si="114"/>
        <v>Nothing</v>
      </c>
      <c r="U498" s="7" t="s">
        <v>1963</v>
      </c>
      <c r="AC498" s="26" t="s">
        <v>1975</v>
      </c>
      <c r="AD498" s="24">
        <v>41323</v>
      </c>
      <c r="AE498" s="7">
        <v>6.3E-2</v>
      </c>
      <c r="AF498" s="7" t="s">
        <v>1974</v>
      </c>
      <c r="AG498" s="7" t="s">
        <v>9</v>
      </c>
      <c r="AH498" s="7" t="s">
        <v>1973</v>
      </c>
      <c r="AI498" s="7">
        <v>101166</v>
      </c>
      <c r="AJ498" s="7">
        <v>23</v>
      </c>
      <c r="AK498" s="7">
        <v>3</v>
      </c>
      <c r="AT498" s="7" t="str">
        <f t="shared" si="124"/>
        <v>None</v>
      </c>
      <c r="AU498" s="7" t="str">
        <f t="shared" si="122"/>
        <v>None</v>
      </c>
      <c r="AV498" s="7" t="str">
        <f t="shared" si="116"/>
        <v/>
      </c>
      <c r="AW498" s="7" t="str">
        <f t="shared" si="123"/>
        <v/>
      </c>
      <c r="AX498" s="7" t="str">
        <f t="shared" si="118"/>
        <v/>
      </c>
      <c r="BB498" s="7" t="str">
        <f t="shared" si="121"/>
        <v/>
      </c>
      <c r="BC498" s="7" t="str">
        <f t="shared" si="119"/>
        <v>No</v>
      </c>
      <c r="BD498" s="7" t="s">
        <v>1963</v>
      </c>
      <c r="BF498" s="7" t="s">
        <v>1972</v>
      </c>
      <c r="BQ498" s="22"/>
      <c r="CH498" s="7" t="str">
        <f t="shared" si="120"/>
        <v/>
      </c>
    </row>
    <row r="499" spans="1:102">
      <c r="A499" s="7" t="s">
        <v>944</v>
      </c>
      <c r="B499" s="7">
        <v>302</v>
      </c>
      <c r="C499" s="7" t="s">
        <v>146</v>
      </c>
      <c r="D499" s="7" t="s">
        <v>1971</v>
      </c>
      <c r="E499" s="7" t="s">
        <v>1970</v>
      </c>
      <c r="F499" s="7">
        <v>2040</v>
      </c>
      <c r="G499" s="7">
        <v>2019</v>
      </c>
      <c r="H499" s="26" t="s">
        <v>1966</v>
      </c>
      <c r="I499" s="24" t="str">
        <f t="shared" si="111"/>
        <v/>
      </c>
      <c r="L499" s="7" t="str">
        <f t="shared" si="112"/>
        <v/>
      </c>
      <c r="M499" s="21" t="str">
        <f t="shared" si="113"/>
        <v/>
      </c>
      <c r="N499" s="7" t="s">
        <v>1960</v>
      </c>
      <c r="T499" s="7" t="str">
        <f t="shared" si="114"/>
        <v/>
      </c>
      <c r="U499" s="7" t="s">
        <v>1969</v>
      </c>
      <c r="W499" s="7" t="s">
        <v>1968</v>
      </c>
      <c r="X499" s="7" t="s">
        <v>1967</v>
      </c>
      <c r="AC499" s="26" t="s">
        <v>1966</v>
      </c>
      <c r="AD499" s="24">
        <v>40873</v>
      </c>
      <c r="AE499" s="7">
        <v>-6.2E-2</v>
      </c>
      <c r="AF499" s="7" t="s">
        <v>1965</v>
      </c>
      <c r="AG499" s="7">
        <v>-0.63200000000000001</v>
      </c>
      <c r="AH499" s="7" t="s">
        <v>1964</v>
      </c>
      <c r="AI499" s="7">
        <v>147797</v>
      </c>
      <c r="AJ499" s="7">
        <v>-36</v>
      </c>
      <c r="AK499" s="7">
        <v>7</v>
      </c>
      <c r="AL499" s="7" t="s">
        <v>166</v>
      </c>
      <c r="AN499" s="7" t="s">
        <v>1951</v>
      </c>
      <c r="AT499" s="7" t="str">
        <f t="shared" si="124"/>
        <v>CN</v>
      </c>
      <c r="AU499" s="7" t="str">
        <f t="shared" si="122"/>
        <v>None</v>
      </c>
      <c r="AV499" s="7" t="str">
        <f t="shared" si="116"/>
        <v/>
      </c>
      <c r="AW499" s="7" t="str">
        <f t="shared" si="123"/>
        <v/>
      </c>
      <c r="AX499" s="7" t="str">
        <f t="shared" si="118"/>
        <v/>
      </c>
      <c r="BB499" s="7" t="str">
        <f t="shared" si="121"/>
        <v/>
      </c>
      <c r="BC499" s="7" t="str">
        <f t="shared" si="119"/>
        <v>No - but post-2030 commitment</v>
      </c>
      <c r="BD499" s="7" t="s">
        <v>1963</v>
      </c>
      <c r="BF499" t="s">
        <v>1962</v>
      </c>
      <c r="BG499" s="7" t="s">
        <v>1961</v>
      </c>
      <c r="BQ499" s="22"/>
      <c r="CD499" s="7" t="s">
        <v>361</v>
      </c>
      <c r="CF499" s="25"/>
      <c r="CH499" s="7" t="str">
        <f t="shared" si="120"/>
        <v/>
      </c>
    </row>
    <row r="500" spans="1:102">
      <c r="A500" s="7" t="s">
        <v>1102</v>
      </c>
      <c r="B500" s="7">
        <v>243</v>
      </c>
      <c r="I500" s="24" t="str">
        <f t="shared" si="111"/>
        <v/>
      </c>
      <c r="L500" s="7" t="str">
        <f t="shared" si="112"/>
        <v/>
      </c>
      <c r="M500" s="21" t="str">
        <f t="shared" si="113"/>
        <v/>
      </c>
      <c r="N500" s="7" t="s">
        <v>1960</v>
      </c>
      <c r="T500" s="7" t="str">
        <f t="shared" si="114"/>
        <v>Nothing</v>
      </c>
      <c r="U500" s="7" t="s">
        <v>1</v>
      </c>
      <c r="AD500" s="24">
        <v>47886</v>
      </c>
      <c r="AE500" s="7">
        <v>-3.5999999999999997E-2</v>
      </c>
      <c r="AF500" s="7" t="s">
        <v>1959</v>
      </c>
      <c r="AG500" s="7">
        <v>-0.374</v>
      </c>
      <c r="AH500" s="7" t="s">
        <v>1958</v>
      </c>
      <c r="AI500" s="7">
        <v>131426</v>
      </c>
      <c r="AJ500" s="7">
        <v>-23</v>
      </c>
      <c r="AK500" s="7">
        <v>9</v>
      </c>
      <c r="AT500" s="7" t="str">
        <f t="shared" si="124"/>
        <v>None</v>
      </c>
      <c r="AU500" s="7" t="str">
        <f t="shared" si="122"/>
        <v>None</v>
      </c>
      <c r="AV500" s="7" t="str">
        <f t="shared" si="116"/>
        <v/>
      </c>
      <c r="AW500" s="7" t="str">
        <f t="shared" si="123"/>
        <v/>
      </c>
      <c r="AX500" s="7" t="str">
        <f t="shared" si="118"/>
        <v/>
      </c>
      <c r="BB500" s="7" t="str">
        <f t="shared" si="121"/>
        <v/>
      </c>
      <c r="BC500" s="7" t="str">
        <f t="shared" si="119"/>
        <v>No</v>
      </c>
      <c r="BD500" s="7" t="s">
        <v>1</v>
      </c>
      <c r="BQ500" s="22"/>
      <c r="CH500" s="7" t="str">
        <f t="shared" si="120"/>
        <v/>
      </c>
    </row>
    <row r="501" spans="1:102">
      <c r="A501" s="7" t="s">
        <v>1027</v>
      </c>
      <c r="B501" s="7">
        <v>139</v>
      </c>
      <c r="C501" s="7" t="s">
        <v>287</v>
      </c>
      <c r="D501" s="7" t="s">
        <v>1957</v>
      </c>
      <c r="E501" s="7" t="s">
        <v>1659</v>
      </c>
      <c r="F501" s="7">
        <v>2014</v>
      </c>
      <c r="G501" s="7">
        <v>2014</v>
      </c>
      <c r="H501" s="8" t="s">
        <v>1956</v>
      </c>
      <c r="I501" s="24" t="str">
        <f t="shared" si="111"/>
        <v>Yes</v>
      </c>
      <c r="J501" s="7">
        <v>2022</v>
      </c>
      <c r="K501" s="7">
        <v>2019</v>
      </c>
      <c r="L501" s="7" t="str">
        <f t="shared" si="112"/>
        <v>C</v>
      </c>
      <c r="M501" s="21" t="str">
        <f t="shared" si="113"/>
        <v/>
      </c>
      <c r="N501" s="7">
        <v>2019</v>
      </c>
      <c r="T501" s="7" t="str">
        <f t="shared" si="114"/>
        <v/>
      </c>
      <c r="U501" s="7" t="s">
        <v>361</v>
      </c>
      <c r="V501" s="7" t="s">
        <v>1955</v>
      </c>
      <c r="AC501" s="8" t="s">
        <v>1954</v>
      </c>
      <c r="AD501" s="24">
        <v>71792</v>
      </c>
      <c r="AE501" s="7">
        <v>0.52200000000000002</v>
      </c>
      <c r="AF501" s="7" t="s">
        <v>1953</v>
      </c>
      <c r="AG501" s="7">
        <v>0.11600000000000001</v>
      </c>
      <c r="AH501" s="7" t="s">
        <v>1952</v>
      </c>
      <c r="AI501" s="7">
        <v>54030</v>
      </c>
      <c r="AJ501" s="7">
        <v>99</v>
      </c>
      <c r="AK501" s="7">
        <v>26</v>
      </c>
      <c r="AL501" s="7" t="s">
        <v>93</v>
      </c>
      <c r="AN501" s="7" t="s">
        <v>1951</v>
      </c>
      <c r="AT501" s="7" t="str">
        <f t="shared" si="124"/>
        <v>CN, SBT &amp; RE100</v>
      </c>
      <c r="AU501" s="7" t="str">
        <f t="shared" si="122"/>
        <v>CN, SBT &amp; RE100</v>
      </c>
      <c r="AV501" s="7">
        <f t="shared" si="116"/>
        <v>2014</v>
      </c>
      <c r="AW501" s="7">
        <f t="shared" si="123"/>
        <v>2019</v>
      </c>
      <c r="AX501" s="7">
        <f t="shared" si="118"/>
        <v>2019</v>
      </c>
      <c r="BB501" s="7" t="str">
        <f t="shared" si="121"/>
        <v>Yes</v>
      </c>
      <c r="BC501" s="7" t="str">
        <f t="shared" si="119"/>
        <v>Carbon Neutral</v>
      </c>
      <c r="BD501" s="7" t="s">
        <v>1</v>
      </c>
      <c r="BF501" s="23" t="s">
        <v>1950</v>
      </c>
      <c r="BG501" s="7" t="s">
        <v>1949</v>
      </c>
      <c r="BH501" s="7" t="s">
        <v>165</v>
      </c>
      <c r="BJ501" s="7" t="s">
        <v>1948</v>
      </c>
      <c r="BQ501" s="22"/>
      <c r="CE501" s="7" t="s">
        <v>1947</v>
      </c>
      <c r="CG501" s="7" t="s">
        <v>287</v>
      </c>
      <c r="CH501" s="7" t="str">
        <f t="shared" si="120"/>
        <v>yes</v>
      </c>
      <c r="CI501" s="7" t="s">
        <v>13</v>
      </c>
      <c r="CJ501" s="7">
        <v>0.55000000000000004</v>
      </c>
      <c r="CK501" s="7" t="s">
        <v>13</v>
      </c>
      <c r="CL501" s="7" t="s">
        <v>13</v>
      </c>
      <c r="CM501" s="7" t="s">
        <v>13</v>
      </c>
      <c r="CN501" s="7" t="s">
        <v>13</v>
      </c>
      <c r="CO501" s="7" t="s">
        <v>1946</v>
      </c>
      <c r="CP501" s="7" t="s">
        <v>1945</v>
      </c>
      <c r="CX501" s="7" t="s">
        <v>361</v>
      </c>
    </row>
    <row r="502" spans="1:102">
      <c r="BQ502" s="22"/>
    </row>
  </sheetData>
  <autoFilter ref="A1:CY501" xr:uid="{DDFACC3F-9AD5-4DCE-9763-9C07B87BCDEA}">
    <sortState xmlns:xlrd2="http://schemas.microsoft.com/office/spreadsheetml/2017/richdata2" ref="A2:CY501">
      <sortCondition ref="A1:A501"/>
    </sortState>
  </autoFilter>
  <mergeCells count="8">
    <mergeCell ref="DE1:DG1"/>
    <mergeCell ref="DH1:DJ1"/>
    <mergeCell ref="DK1:DM1"/>
    <mergeCell ref="DN1:DP1"/>
    <mergeCell ref="DE21:DG21"/>
    <mergeCell ref="DH21:DJ21"/>
    <mergeCell ref="DK21:DM21"/>
    <mergeCell ref="DN21:DP21"/>
  </mergeCells>
  <hyperlinks>
    <hyperlink ref="H481" r:id="rId1" xr:uid="{5B684871-FF0B-4228-8204-0D1A96893C5B}"/>
    <hyperlink ref="AC481" r:id="rId2" xr:uid="{88804C5F-F366-4FD2-A62B-1B3DC640F7BB}"/>
    <hyperlink ref="H409" r:id="rId3" xr:uid="{21D8EBE6-58C2-4CE6-9DB5-054191D9357B}"/>
    <hyperlink ref="AC409" r:id="rId4" xr:uid="{6F2D9703-BCA5-4826-9B60-A311B303174E}"/>
    <hyperlink ref="H420" r:id="rId5" xr:uid="{8CF037C0-B92A-4277-A649-B1C20F1B6B7C}"/>
    <hyperlink ref="AC420" r:id="rId6" xr:uid="{B3F04586-2FC6-419A-A783-ADCDCA8985E5}"/>
    <hyperlink ref="H118" r:id="rId7" xr:uid="{0B3A418B-E35D-4D4A-A4F0-222C66D8F1AF}"/>
    <hyperlink ref="AC118" r:id="rId8" xr:uid="{FF7E0642-362A-4531-90C3-B52BB3853E90}"/>
    <hyperlink ref="AC378" r:id="rId9" display="https://www.shell.com/energy-and-innovation/the-energy-future/what-is-shells-net-carbon-footprint-ambition/faq.html" xr:uid="{BF978CE6-C0AF-43AD-A354-84BA63DBADC0}"/>
    <hyperlink ref="H387" r:id="rId10" xr:uid="{E72142A2-5983-4726-ABC2-C7853E1A5C90}"/>
    <hyperlink ref="AC387" r:id="rId11" xr:uid="{78FF3A77-C0B8-480E-A54C-B400151D4823}"/>
    <hyperlink ref="H478" r:id="rId12" xr:uid="{DE8C76E7-AC65-42B6-BBBF-68741257C5A9}"/>
    <hyperlink ref="AC478" r:id="rId13" xr:uid="{1FEA5C7A-E809-4331-9B42-00E16B9E7E74}"/>
    <hyperlink ref="AC69" r:id="rId14" xr:uid="{F29DC25A-E9B5-4F30-81BC-EB970F4F6C37}"/>
    <hyperlink ref="AB69" r:id="rId15" display="https://www.bp.com/en/global/corporate/sustainability/climate-change/reducing-emissions-in-our-operations.html" xr:uid="{07A292D7-C352-4F49-B084-068C525EC635}"/>
    <hyperlink ref="H25" r:id="rId16" xr:uid="{FB6C361E-EADA-44AF-8E14-D0AF9972C61A}"/>
    <hyperlink ref="AB25" r:id="rId17" display="https://sustainability.aboutamazon.com/" xr:uid="{2229E85F-0984-4E94-BC73-508D004B9B43}"/>
    <hyperlink ref="AC25" r:id="rId18" xr:uid="{CB34BE02-C800-4137-B610-5C5676064DF4}"/>
    <hyperlink ref="AC454" r:id="rId19" xr:uid="{7E0CADF1-FDDA-45B9-8573-A09932C0336F}"/>
    <hyperlink ref="H454" r:id="rId20" xr:uid="{BF005E89-7C31-4DDE-9EB1-2656C89410D0}"/>
    <hyperlink ref="AB454" r:id="rId21" xr:uid="{0E0AE49D-87DC-47F7-BABB-2314FFD2DB67}"/>
    <hyperlink ref="AC194" r:id="rId22" display="https://corporate.exxonmobil.com/Energy-and-environment/Environmental-protection/Climate-change" xr:uid="{73D37D65-0C4D-4D11-8962-F41356A4FDD0}"/>
    <hyperlink ref="H37" r:id="rId23" xr:uid="{0A849EDD-268D-453F-85F7-4705367B90BD}"/>
    <hyperlink ref="AB37" r:id="rId24" xr:uid="{EE04F6AB-07BF-48DF-8038-F17A498AE3F0}"/>
    <hyperlink ref="AC162" r:id="rId25" xr:uid="{11542F07-5578-48FD-9F42-F7EC5B9B1A62}"/>
    <hyperlink ref="AC60" r:id="rId26" xr:uid="{0474F701-B067-4BF4-BD11-0557D9C7CB4A}"/>
    <hyperlink ref="AC468" r:id="rId27" xr:uid="{380004E7-0C71-4D6D-92B6-367FC1EAF75C}"/>
    <hyperlink ref="AC298" r:id="rId28" xr:uid="{30553917-618C-45D5-90C6-1F6FF8F27CB8}"/>
    <hyperlink ref="AC212" r:id="rId29" xr:uid="{61127426-2CD2-4C76-96E3-E075AA87003B}"/>
    <hyperlink ref="AC383" r:id="rId30" xr:uid="{6B375FC3-EE62-4788-AA4B-D38B00EE0C3E}"/>
    <hyperlink ref="H164" r:id="rId31" xr:uid="{DA0AEF49-4D7E-4556-B4E0-4849799A327C}"/>
    <hyperlink ref="AC164" r:id="rId32" xr:uid="{CE693F81-2440-4FBE-800F-73CDC50BFEB1}"/>
    <hyperlink ref="AC353" r:id="rId33" xr:uid="{853C1287-64FC-43C3-A09C-2F849E983192}"/>
    <hyperlink ref="AC42" r:id="rId34" xr:uid="{AB47E2B8-797F-49EA-96D3-85C839D2E3F6}"/>
    <hyperlink ref="AC31" r:id="rId35" xr:uid="{CD3F0C32-83C6-4E45-899F-899E2E9717FD}"/>
    <hyperlink ref="AC245" r:id="rId36" xr:uid="{6A5E89DA-7D8D-4177-966F-173711A9E1C4}"/>
    <hyperlink ref="AC453" r:id="rId37" xr:uid="{5CB03B08-9F91-4094-8720-4F28A0D17970}"/>
    <hyperlink ref="AC231" r:id="rId38" xr:uid="{F47096A1-8FF3-4E1E-9313-B95A8DADD05E}"/>
    <hyperlink ref="H231" r:id="rId39" xr:uid="{28B9B4B8-4D17-410F-8ED7-DB0002828345}"/>
    <hyperlink ref="AC193" r:id="rId40" display="https://www.exor.com/sites/default/files/2020/document-documents/EXOR 2019 ANNUAL REPORT_0.pdf" xr:uid="{C221C174-23B9-47DD-BC79-E769E3760DA0}"/>
    <hyperlink ref="H201" r:id="rId41" xr:uid="{0A09345B-0F69-4EBA-B872-D1F61FB84CFC}"/>
    <hyperlink ref="AC94" r:id="rId42" xr:uid="{40E84F3B-39C3-43AA-8047-E59F5425697A}"/>
    <hyperlink ref="AC137" r:id="rId43" xr:uid="{F3DD02BC-C501-4273-A788-B179AFE32A82}"/>
    <hyperlink ref="AC155" r:id="rId44" xr:uid="{6CBA84EF-B88E-4DE7-BA90-53805A8003AE}"/>
    <hyperlink ref="AC46" r:id="rId45" display="https://www.axa.com/en/press/press-releases/axa-launches-a-new-phase-in-its-climate-strategy-to-accelerate-its-contribution-to-a-low-carbon-and-more-resilient-economy" xr:uid="{2171A376-0087-4A6B-AE60-2194E05357E9}"/>
    <hyperlink ref="H46" r:id="rId46" xr:uid="{8E5B8CAC-DE25-4CA4-B7D7-72BF8078A32B}"/>
    <hyperlink ref="AC13" r:id="rId47" xr:uid="{608A596C-F6A7-4DE6-AAF8-9ED74C356336}"/>
    <hyperlink ref="AC89" r:id="rId48" xr:uid="{FB86E0D3-F8EB-45A2-A81E-A015162369C4}"/>
    <hyperlink ref="AC79" r:id="rId49" xr:uid="{27E50145-6346-43A4-813F-83606C10BB20}"/>
    <hyperlink ref="H232" r:id="rId50" xr:uid="{2EBE9A73-59F2-4DD1-9058-40A975AACF98}"/>
    <hyperlink ref="AC232" r:id="rId51" xr:uid="{19CD81DF-1A29-4089-8D5A-B46594B5423B}"/>
    <hyperlink ref="AC266" r:id="rId52" xr:uid="{685D7200-4503-43C2-9228-8AF67D2B70DF}"/>
    <hyperlink ref="H23" r:id="rId53" xr:uid="{13753229-76C8-4006-A21C-AC8FD3E28DE6}"/>
    <hyperlink ref="AB23" r:id="rId54" xr:uid="{B388221E-3F98-484D-98BE-15310F836C20}"/>
    <hyperlink ref="AC23" r:id="rId55" xr:uid="{940C69A2-983E-4C7F-B762-89E3C3D705FA}"/>
    <hyperlink ref="AC209" r:id="rId56" xr:uid="{25E61B3C-0604-4A16-BECB-1FF133E6F524}"/>
    <hyperlink ref="AC480" r:id="rId57" xr:uid="{7DE91244-30FB-47D1-8521-6EDC25127361}"/>
    <hyperlink ref="AC309" r:id="rId58" xr:uid="{43675ED0-B0B0-4CDE-93CC-89D47966AA59}"/>
    <hyperlink ref="AC52" r:id="rId59" xr:uid="{8A3BCA23-29F7-4D3A-833F-498BAF2D9B41}"/>
    <hyperlink ref="H474" r:id="rId60" xr:uid="{CCB045B4-5DAE-49AB-A027-8BF66CD4901F}"/>
    <hyperlink ref="AC474" r:id="rId61" xr:uid="{66400E60-6844-451B-87EC-98DFA5F17C92}"/>
    <hyperlink ref="AC21" r:id="rId62" xr:uid="{43CA4D44-34DD-44F0-8CE4-999F268142C0}"/>
    <hyperlink ref="AB21" r:id="rId63" xr:uid="{6C337D85-0156-433A-928E-F0FE45BACC49}"/>
    <hyperlink ref="AB306" r:id="rId64" xr:uid="{3CDDC8D4-D684-4ED2-A80D-F9C9E20EC80A}"/>
    <hyperlink ref="H306" r:id="rId65" xr:uid="{05EA4C99-0F1F-4DCE-A00C-A921A3599D9F}"/>
    <hyperlink ref="AC306" r:id="rId66" xr:uid="{C077A441-D26C-4C2B-A8B9-54C4FD1FA1D8}"/>
    <hyperlink ref="AC294" r:id="rId67" xr:uid="{D6D2CCAC-1B22-4731-B3D9-8E19491C1EDB}"/>
    <hyperlink ref="AC236" r:id="rId68" xr:uid="{3BE7E310-30A7-445E-B1F4-47BD159505F1}"/>
    <hyperlink ref="AC124" r:id="rId69" xr:uid="{DF47C715-61C9-4B5B-81A1-7A41EC41F2DC}"/>
    <hyperlink ref="AC273" r:id="rId70" xr:uid="{54741ECF-6B73-413D-8568-183142A99435}"/>
    <hyperlink ref="AC206" r:id="rId71" xr:uid="{3DC671E1-4285-47FF-A736-A43FA497A90D}"/>
    <hyperlink ref="AC64" r:id="rId72" xr:uid="{5641463A-5410-4103-878D-7667AA676DD1}"/>
    <hyperlink ref="AC287" r:id="rId73" xr:uid="{2EFAF497-C882-4497-BF96-E316E6BE8634}"/>
    <hyperlink ref="H51" r:id="rId74" xr:uid="{A2F9D0B0-790C-4B85-9CAF-2553B2CC2220}"/>
    <hyperlink ref="AB51" r:id="rId75" xr:uid="{B1196956-C0D5-41D4-A99A-526CBE5309D9}"/>
    <hyperlink ref="AC230" r:id="rId76" display="https://corporate.homedepot.com/sites/default/files/pdfs/The Home Depot Carbon Footprint update Aug 2019.pdf" xr:uid="{7A5B206D-BD07-400F-B39A-2027EF8FFDF4}"/>
    <hyperlink ref="AC255" r:id="rId77" xr:uid="{38F44750-9D6E-451F-816F-DF380EABDB43}"/>
    <hyperlink ref="AC350" r:id="rId78" xr:uid="{2612AEDA-D7AC-472E-BDA3-8CD2D88E08DB}"/>
    <hyperlink ref="AC328" r:id="rId79" xr:uid="{0981F2FD-159C-45DA-ADE3-5601117F4691}"/>
    <hyperlink ref="AC148" r:id="rId80" xr:uid="{A16F0871-0E1B-444F-83B7-DD1435D31FA6}"/>
    <hyperlink ref="AC117" r:id="rId81" xr:uid="{9A77DC53-2F70-4CCA-BB1A-3CD37E3293DB}"/>
    <hyperlink ref="AC112" r:id="rId82" xr:uid="{0D1CC76F-421C-4038-98B0-EA883DDAB4D3}"/>
    <hyperlink ref="AC41" r:id="rId83" xr:uid="{1B0B6B18-7F6A-4363-B13B-7987B29B82A1}"/>
    <hyperlink ref="AC158" r:id="rId84" xr:uid="{65242B1A-90FA-4005-A9AE-22494267D882}"/>
    <hyperlink ref="AC36" r:id="rId85" xr:uid="{8EF9BE72-83D5-47FD-92F4-CA570662D5D1}"/>
    <hyperlink ref="AC483" r:id="rId86" xr:uid="{0BFD23A3-8955-42B3-9397-A86D4E67E801}"/>
    <hyperlink ref="AC140" r:id="rId87" xr:uid="{DAB4C7E9-7F0A-4651-9FE1-751C38D2972F}"/>
    <hyperlink ref="AC472" r:id="rId88" display="https://www.valero.com/en-us/Documents/Climate Related Risks and Opportunities/Review_of_Climate-Related_Risks_and_Opportunities_Web.pdf" xr:uid="{3AFDECEF-2000-4682-BDC0-3FC2906D3B94}"/>
    <hyperlink ref="AC253" r:id="rId89" xr:uid="{FC6B5510-FB04-4BD5-B7A0-1A5F51485066}"/>
    <hyperlink ref="H235" r:id="rId90" xr:uid="{696A4382-8B3B-4F77-8D35-513F3BC11EB6}"/>
    <hyperlink ref="H406" r:id="rId91" xr:uid="{DC23C6D7-8BA3-497F-8B63-A1FAAC947849}"/>
    <hyperlink ref="AC375" r:id="rId92" xr:uid="{4848C3EB-F512-413D-83FC-CC92A5655D51}"/>
    <hyperlink ref="AC208" r:id="rId93" xr:uid="{60CA037C-3BF3-426A-96AD-63CC0B5AB1B6}"/>
    <hyperlink ref="AC125" r:id="rId94" xr:uid="{361F4E14-8FAB-4EFC-9263-37A0D26A75E1}"/>
    <hyperlink ref="AC362" r:id="rId95" xr:uid="{D6D14EB7-B004-450C-91AB-C30A53DEFD7A}"/>
    <hyperlink ref="AC169" r:id="rId96" xr:uid="{B315AAFF-8612-4B1F-AF34-8F95ABD6C573}"/>
    <hyperlink ref="AB323" r:id="rId97" xr:uid="{78B29010-C72A-4239-9D44-2EDA0BCE2B07}"/>
    <hyperlink ref="AC240" r:id="rId98" xr:uid="{D9B90DB7-73D3-4793-8C71-B9B8A6B06434}"/>
    <hyperlink ref="AC175" r:id="rId99" xr:uid="{3123C7CB-CB88-4C56-87CC-598FD6BC69A1}"/>
    <hyperlink ref="AB276" r:id="rId100" location=":~:text=Legal%20%26%20General%20announces%20that%20it,later%20living%20and%20affordable%20housing." xr:uid="{83B88F1A-3A2C-4C93-86E5-EBD72C2814BA}"/>
    <hyperlink ref="H276" r:id="rId101" xr:uid="{8E70ED01-6066-4284-A4B3-EB0A43325170}"/>
    <hyperlink ref="H45" r:id="rId102" xr:uid="{BBCB258F-9D88-4E1A-BBCE-3A021366FBC2}"/>
    <hyperlink ref="AC45" r:id="rId103" xr:uid="{837B55F6-3A60-45E9-AF68-0EF1BEC31038}"/>
    <hyperlink ref="H50" r:id="rId104" xr:uid="{432FB289-BBED-43BE-8B44-941AAA73C3D5}"/>
    <hyperlink ref="AC50" r:id="rId105" xr:uid="{466DD136-AE15-4FA0-AF91-2B37C7A494E6}"/>
    <hyperlink ref="H67" r:id="rId106" xr:uid="{F337FD2F-83AE-415A-BBDD-333C219AAAF8}"/>
    <hyperlink ref="AC67" r:id="rId107" xr:uid="{6E767464-6C04-4739-B18B-C340EF9DD542}"/>
    <hyperlink ref="AC80" r:id="rId108" display="https://www.carrefour.com/sites/default/files/2020-06/Climate - Press release Carrefour_05062020 Eng.pdf" xr:uid="{919FCF5E-273E-4758-B123-E5B6B7075B42}"/>
    <hyperlink ref="H65" r:id="rId109" xr:uid="{03F21666-6E7C-4566-AC84-31D3ADAA5444}"/>
    <hyperlink ref="AC65" r:id="rId110" xr:uid="{0317DAEE-8F16-44EF-956B-5455B84F8DDD}"/>
    <hyperlink ref="AC347" r:id="rId111" xr:uid="{BB8A999B-15E7-4954-9567-DB776DF7CC83}"/>
    <hyperlink ref="H443" r:id="rId112" xr:uid="{68871437-67A3-4840-A262-02A2E4DDD6C9}"/>
    <hyperlink ref="AC264" r:id="rId113" xr:uid="{1A161F1F-8CD9-450A-AD84-0B6EBF5AD95B}"/>
    <hyperlink ref="AC229" r:id="rId114" xr:uid="{4D2E0070-AA4E-44E5-8B06-7066BDFD2BC6}"/>
    <hyperlink ref="H183" r:id="rId115" xr:uid="{692668D5-316F-41BB-BAC4-96BF52270A47}"/>
    <hyperlink ref="AC183" r:id="rId116" xr:uid="{031CB82C-D8D6-44B5-9A80-89EF1EB8B558}"/>
    <hyperlink ref="AC189" r:id="rId117" xr:uid="{97B513F3-3F51-4BBB-BD94-CAC4F481F69C}"/>
    <hyperlink ref="H189" r:id="rId118" xr:uid="{5822006D-5542-47DE-8B3D-2FFFA31078B2}"/>
    <hyperlink ref="H12" r:id="rId119" xr:uid="{679A1760-3E14-4048-8E4A-F718EB75CA4A}"/>
    <hyperlink ref="AC16" r:id="rId120" xr:uid="{4C71C0ED-F112-40D8-A646-BD167E24FAED}"/>
    <hyperlink ref="H16" r:id="rId121" xr:uid="{2853E6FB-5002-4929-951B-184256BE2723}"/>
    <hyperlink ref="AC438" r:id="rId122" xr:uid="{B92F097E-14B9-43CF-A6AC-447FBF3F0038}"/>
    <hyperlink ref="AC250" r:id="rId123" xr:uid="{7D9C8C61-9776-4F9F-99DC-D3E8E407B244}"/>
    <hyperlink ref="H345" r:id="rId124" xr:uid="{8017FF6A-17C8-4582-A7E5-8EA0D52B7BFC}"/>
    <hyperlink ref="AC66" r:id="rId125" location=":~:text=2020%20Global%20Environment%20Report%20demonstrates%20Boeing's%20commitment%20to%20sustainability&amp;text=Boeing's%20commitment%20to%20energy%2Defficient,a%2050%25%20reduction%20by%202050." display="https://www.boeing.com/principles/environment/index.page - :~:text=2020%20Global%20Environment%20Report%20demonstrates%20Boeing's%20commitment%20to%20sustainability&amp;text=Boeing's%20commitment%20to%20energy%2Defficient,a%2050%25%20reduction%20by%202050." xr:uid="{0EA5FB04-833C-4E35-858F-5C1006878704}"/>
    <hyperlink ref="H416" r:id="rId126" xr:uid="{1A54F716-08BB-423E-AC80-08B6C7B3E479}"/>
    <hyperlink ref="AB416" r:id="rId127" xr:uid="{8EBAD3E6-BB5C-4C40-A070-B41153B86E87}"/>
    <hyperlink ref="AC186" r:id="rId128" xr:uid="{DB5FF4E8-5329-423B-9100-979B71A9B557}"/>
    <hyperlink ref="H11" r:id="rId129" xr:uid="{E9AC6758-1BAD-44FF-92E1-2EDF5B6A6521}"/>
    <hyperlink ref="AC376" r:id="rId130" xr:uid="{5180E5F5-ABF3-46B6-AD26-AC5BD7C8D7E5}"/>
    <hyperlink ref="AC467" r:id="rId131" xr:uid="{95FA356B-7A68-45CF-B397-C2EDE1A5F47A}"/>
    <hyperlink ref="AC342" r:id="rId132" xr:uid="{66931AB6-B65B-4C46-878F-AC47B0769398}"/>
    <hyperlink ref="H319" r:id="rId133" xr:uid="{F27A662C-902C-4124-8C0A-35B153499105}"/>
    <hyperlink ref="AC319" r:id="rId134" location="-1117147778" display="https://www.munichre.com/en/company/corporate-responsibility/environment.html - -1117147778" xr:uid="{9888D265-8FEE-48A7-A20E-ED4595CD31AF}"/>
    <hyperlink ref="AC248" r:id="rId135" xr:uid="{92F07C8B-9A2A-4E44-BC05-45EB8BC3AFBD}"/>
    <hyperlink ref="H248" r:id="rId136" xr:uid="{B9EAA781-05AF-42A6-A19B-C5E660BAEABC}"/>
    <hyperlink ref="H501" r:id="rId137" xr:uid="{FBBFB5F1-0CCA-4532-A5FA-A562402FD3A5}"/>
    <hyperlink ref="AC501" r:id="rId138" display="https://www.zurich.com/en/sustainability/our-role-in-society/climate-change/minimizing-our-environmental-footprint" xr:uid="{023F137C-A34E-487E-A3CF-937138FB87B3}"/>
    <hyperlink ref="AC364" r:id="rId139" xr:uid="{97AA7874-D297-4CC8-AB32-106DA4B7A8A1}"/>
    <hyperlink ref="H174" r:id="rId140" xr:uid="{B2B62E84-3FCA-40CA-BC95-E0AE8CD7DBC0}"/>
    <hyperlink ref="AB174" r:id="rId141" xr:uid="{7A7A0C31-232B-466D-A43C-8428F494A3F2}"/>
    <hyperlink ref="AC195" r:id="rId142" xr:uid="{2A798BB4-62DA-495E-86D5-BABC3D978C14}"/>
    <hyperlink ref="AC38" r:id="rId143" xr:uid="{A7456D71-D4E2-4CC9-8510-19A450C71DFB}"/>
    <hyperlink ref="AC197" r:id="rId144" xr:uid="{221D8D86-0EB9-4F14-ADB4-7CB1D6DBE368}"/>
    <hyperlink ref="AC303" r:id="rId145" xr:uid="{22C0EE5D-6442-4BB1-B36F-1F5FCCD993B0}"/>
    <hyperlink ref="AC482" r:id="rId146" xr:uid="{03ACFBCA-88E3-4346-87A0-5A930E814B51}"/>
    <hyperlink ref="AC340" r:id="rId147" xr:uid="{6876A712-0A94-475F-A719-95F0D97FC2AA}"/>
    <hyperlink ref="AB378" r:id="rId148" display="https://www.shell.com/energy-and-innovation/the-energy-future/what-is-shells-net-carbon-footprint-ambition/faq.html" xr:uid="{5B4CE905-84D9-4622-B17D-A7AAFBADFF10}"/>
    <hyperlink ref="H453" r:id="rId149" xr:uid="{8A1A51B8-B07B-460F-850F-395D57A1A206}"/>
    <hyperlink ref="H21" r:id="rId150" xr:uid="{75356492-3602-4B6C-8B52-DE1C59E92731}"/>
    <hyperlink ref="AC235" r:id="rId151" xr:uid="{3F89CEB9-5A60-47BA-8D86-E0693248DD89}"/>
    <hyperlink ref="H323" r:id="rId152" xr:uid="{6E23F77F-E826-4025-8CCC-C50658FD19BB}"/>
    <hyperlink ref="H329" r:id="rId153" xr:uid="{3C514BD6-306F-4CAF-B795-C30C1FD99D60}"/>
    <hyperlink ref="H175" r:id="rId154" display="https://www.telekom.com/en/media/media-information/archive/explicit-commitment-to-responsible-action-and-climate-protection-595704" xr:uid="{2A7E08AE-11BC-4A3C-9FAB-3E11A2EA029D}"/>
    <hyperlink ref="H185" r:id="rId155" xr:uid="{2323F331-AC51-4C9E-AA5F-7524CAE64500}"/>
    <hyperlink ref="H465" r:id="rId156" xr:uid="{7D99A35B-AA54-47EB-AF57-58ABEDCA8ACA}"/>
    <hyperlink ref="H303" r:id="rId157" location=":~:text=For%20MetLife%2C%20carbon%20neutrality%20involves,goals%20for%20the%20next%20horizon." display="https://www.metlife.com/sustainability/MetLife-sustainability/climate/energy-emissions/ - :~:text=For%20MetLife%2C%20carbon%20neutrality%20involves,goals%20for%20the%20next%20horizon." xr:uid="{6FFC9723-319D-4C5D-92E5-74BDEE950361}"/>
    <hyperlink ref="H119" r:id="rId158" xr:uid="{3E168D42-AE0B-4642-98A7-FD86071455E1}"/>
    <hyperlink ref="AC73" r:id="rId159" xr:uid="{57F392BD-42EA-4A65-BF88-F17A7478C0E0}"/>
    <hyperlink ref="H360" r:id="rId160" xr:uid="{B1910228-5A24-4CE4-8E64-5F37BDE6C7C2}"/>
    <hyperlink ref="AC360" r:id="rId161" xr:uid="{6C6CAA4E-C28D-4841-9E3F-0BB83F154FAC}"/>
    <hyperlink ref="AC188" r:id="rId162" xr:uid="{F98206CF-A448-4257-B3CF-55E26B698AB3}"/>
    <hyperlink ref="H188" r:id="rId163" xr:uid="{812D71A9-6180-4054-A62C-96C68F45DD3D}"/>
    <hyperlink ref="AC344" r:id="rId164" xr:uid="{A2BF38CD-6E76-4E3D-95C4-D45A401149B6}"/>
    <hyperlink ref="AC238" r:id="rId165" xr:uid="{BDDF052F-9642-402F-AD17-64BB72349105}"/>
    <hyperlink ref="AC363" r:id="rId166" xr:uid="{F645979D-B453-4CC1-9015-1690F915660E}"/>
    <hyperlink ref="AC39" r:id="rId167" xr:uid="{0D00872D-5EEC-4162-B1B9-A6B618928516}"/>
    <hyperlink ref="H191" r:id="rId168" xr:uid="{2FAF43B0-6428-4B8A-8B04-ACE9E50A29DD}"/>
    <hyperlink ref="AC191" r:id="rId169" xr:uid="{453CAACD-147E-4908-A18D-D415778AA5D5}"/>
    <hyperlink ref="AC281" r:id="rId170" xr:uid="{F9E433BF-17E7-4E0F-AE7C-F15326DC6327}"/>
    <hyperlink ref="AC374" r:id="rId171" xr:uid="{97CAEE0D-0059-40F4-BF3B-6EFAE26C46D7}"/>
    <hyperlink ref="AC314" r:id="rId172" xr:uid="{190502B3-5681-4C6F-8514-5E534662331B}"/>
    <hyperlink ref="AB314" r:id="rId173" xr:uid="{BD4AAF1C-1604-40FC-9105-A3D56117D93B}"/>
    <hyperlink ref="AC371" r:id="rId174" xr:uid="{97939404-ACC8-4AE2-9D68-3F5EA9BAC0E3}"/>
    <hyperlink ref="AC215" r:id="rId175" xr:uid="{8E7630E8-2A6E-4A5C-904A-DCD994EE4CDB}"/>
    <hyperlink ref="H133" r:id="rId176" xr:uid="{75756506-BD8B-484B-A352-5650F8D96ABA}"/>
    <hyperlink ref="AC282" r:id="rId177" xr:uid="{560AC4B5-77D2-4EF3-A91A-8557FE4AA458}"/>
    <hyperlink ref="AC391" r:id="rId178" xr:uid="{E7EE1AD5-6AB1-4928-B6B1-07772D31CC79}"/>
    <hyperlink ref="AC20" r:id="rId179" xr:uid="{919ECF63-0843-4797-B308-300DA2F94C9B}"/>
    <hyperlink ref="AC234" r:id="rId180" location="page=20" display="https://www8.hp.com/h20195/v2/GetPDF.aspx/c06601778.pdf - page=20" xr:uid="{2DA6126A-1CEF-4AFB-AEC4-86A53B93F96A}"/>
    <hyperlink ref="H464" r:id="rId181" display="https://www.unilever.com/sustainable-living/reducing-environmental-impact/greenhouse-gases/tackling-climate-impact-in-our-operations/" xr:uid="{FD3C7101-75E5-4518-85CB-7E0FF84AED95}"/>
    <hyperlink ref="AC464" r:id="rId182" xr:uid="{4DC282FC-E8A8-4F2E-9C78-356EFDD010A0}"/>
    <hyperlink ref="AC413" r:id="rId183" xr:uid="{940F1F60-41B0-4BFE-940B-6E737F2893CA}"/>
    <hyperlink ref="AC356" r:id="rId184" location="page=1" display="http://www.posco.com/homepage/docs/eng6/jsp/dn/irinfo/posco_report_2019_eng.pdf - page=1" xr:uid="{17418C0A-EBA2-43C1-8AB6-D8780B6B4947}"/>
    <hyperlink ref="AB29" r:id="rId185" xr:uid="{C16FACCC-8D88-4A2D-97BF-12E7FC872D24}"/>
    <hyperlink ref="H170" r:id="rId186" xr:uid="{B92844BC-370A-4F09-A0BE-E7CE787925B7}"/>
    <hyperlink ref="AB170" r:id="rId187" xr:uid="{9C1EEE56-B0AA-4B07-85A5-ABCD131B674D}"/>
    <hyperlink ref="AB101" r:id="rId188" xr:uid="{2778B6D3-530B-4409-971D-769FC71F8124}"/>
    <hyperlink ref="H47" r:id="rId189" xr:uid="{FCDBA6C3-20F9-41B0-B870-1383BCDFB551}"/>
    <hyperlink ref="AB87" r:id="rId190" xr:uid="{9873907B-5E79-48C0-8B2F-836F8D292E39}"/>
    <hyperlink ref="AC479" r:id="rId191" xr:uid="{DC1A7EA7-826B-47AB-B28E-9D7ED8C3212D}"/>
    <hyperlink ref="H451" r:id="rId192" xr:uid="{EF1CD25F-5A26-4563-9BBD-237A33A4623D}"/>
    <hyperlink ref="AC451" r:id="rId193" xr:uid="{D620C1C7-28B6-4919-AB7C-2B3B6C7AC0A9}"/>
    <hyperlink ref="AC487" r:id="rId194" xr:uid="{D997668A-2E11-457D-9564-103889E13AC8}"/>
    <hyperlink ref="AC106" r:id="rId195" xr:uid="{95893C96-D8DB-423F-8E6E-950BC412B538}"/>
    <hyperlink ref="AC47" r:id="rId196" xr:uid="{C79E949E-8BA3-425C-B766-1D473B3E8B76}"/>
    <hyperlink ref="AC180" r:id="rId197" xr:uid="{41AD8BAF-AB4B-46D3-A0A2-ADEFA56F6575}"/>
    <hyperlink ref="AC28" r:id="rId198" xr:uid="{87C877EA-2FEA-4EB9-9EEA-1ECE77D5C48C}"/>
    <hyperlink ref="H63" r:id="rId199" xr:uid="{2B29A615-7FCC-44E4-AFA6-66293D17789D}"/>
    <hyperlink ref="H48" r:id="rId200" xr:uid="{4F465D87-0BDC-48B0-8CC1-A8E204ED4893}"/>
    <hyperlink ref="AC48" r:id="rId201" xr:uid="{6C65951C-7F1F-44C2-8DDA-B5BE1218C09C}"/>
    <hyperlink ref="H341" r:id="rId202" xr:uid="{A306FE17-A233-4B0F-9A94-9B6AF11A176E}"/>
    <hyperlink ref="AC341" r:id="rId203" xr:uid="{F1460671-6C08-4E89-A4AC-39DAD5349172}"/>
    <hyperlink ref="H324" r:id="rId204" xr:uid="{5D38F474-3A8B-40B9-8843-83BDC5F90F1A}"/>
    <hyperlink ref="H437" r:id="rId205" xr:uid="{091F1180-B214-496D-9AF4-50F53A1EBE57}"/>
    <hyperlink ref="AC8" r:id="rId206" display="https://www.grupoacs.com/ficheros_editor/File/05_responsabilidad_corporativa/00 PDFS/6.1. Medio ambiente_en.pdf" xr:uid="{59E8016B-B1AB-4EEB-A7BA-463BCD954A51}"/>
    <hyperlink ref="AC392" r:id="rId207" xr:uid="{A91CBA09-AEDE-4EA0-B972-79087DE581B8}"/>
    <hyperlink ref="H61" r:id="rId208" xr:uid="{400CC564-11C8-4B2B-B01F-2B63C2D384B6}"/>
    <hyperlink ref="AC279" r:id="rId209" xr:uid="{5D61F9A1-BC7A-4799-B6A4-83117A34649F}"/>
    <hyperlink ref="AC6" r:id="rId210" location="zoom=40" display="https://www.accenture.com/_acnmedia/PDF-120/Accenture-Corporate-Citizenship-Report-2019.pdf - zoom=40" xr:uid="{21386DA8-1C5F-463F-936E-BF3D6B6E64DA}"/>
    <hyperlink ref="AB373" r:id="rId211" xr:uid="{92372C7A-EAE1-427E-A976-DB35BE6FFADE}"/>
    <hyperlink ref="H211" r:id="rId212" xr:uid="{4AF00D94-C4FD-410D-B0E6-6CBD3D002282}"/>
    <hyperlink ref="H178" r:id="rId213" xr:uid="{3AC8EBB0-E817-48BD-A2F1-71A5031EDD20}"/>
    <hyperlink ref="AC178" r:id="rId214" xr:uid="{19891ED8-D5D2-4033-A25A-75D534FF1294}"/>
    <hyperlink ref="AC68" r:id="rId215" xr:uid="{E0BC9CCF-DD26-4595-B2C5-2351C3160B5F}"/>
    <hyperlink ref="BG485" r:id="rId216" xr:uid="{B7C795E6-185C-485D-9BCE-82EABFE9C11C}"/>
    <hyperlink ref="AC385" r:id="rId217" xr:uid="{BCEB7F16-38B3-425B-B726-D5E55F17AA18}"/>
    <hyperlink ref="AC131" r:id="rId218" xr:uid="{5C7A48C3-8520-4E66-BB9C-AA9D44413C24}"/>
    <hyperlink ref="H173" r:id="rId219" display="https://responsibility.db.com/non-financial-report/2017/environment/carbon-neutrality.html" xr:uid="{2DB05708-F949-4496-9B4E-B2AE2F218B66}"/>
    <hyperlink ref="AC447" r:id="rId220" xr:uid="{186401D5-FCF9-4C36-ADD9-B8D67D5DB2CC}"/>
    <hyperlink ref="AC495" r:id="rId221" xr:uid="{33A3DC27-5452-4E15-90FF-2FA5EF7B9A1A}"/>
    <hyperlink ref="AC75" r:id="rId222" xr:uid="{4EAFE8DF-BC8F-4EBE-A1A2-DFAF0BFBFFC1}"/>
    <hyperlink ref="AC498" r:id="rId223" xr:uid="{8BD53637-163F-4695-ACF5-D6B0B912BF05}"/>
    <hyperlink ref="AC304" r:id="rId224" xr:uid="{A69CA497-B39C-48B7-B9E1-9C7F0262170D}"/>
    <hyperlink ref="AB289" r:id="rId225" xr:uid="{1C223DD5-E0EC-4109-9566-6064639DD487}"/>
    <hyperlink ref="AC311" r:id="rId226" xr:uid="{06474794-C299-4AAA-B54F-22CEAFE8A278}"/>
    <hyperlink ref="AC241" r:id="rId227" display="https://www.iberdrola.com/press-room/news/detail/iberdrola-se-compromete-a-ser-neutra-en-carbono-en-el-ano-2050-1733946320170314" xr:uid="{0CD71FEA-E508-4D9F-8B7F-39B216CE94D1}"/>
    <hyperlink ref="H241" r:id="rId228" xr:uid="{3CF67DFC-2894-42D5-9F83-787925811BDC}"/>
    <hyperlink ref="H499" r:id="rId229" xr:uid="{651D8827-1BD1-4E9E-B11B-E788AC99DBC5}"/>
    <hyperlink ref="AC499" r:id="rId230" xr:uid="{9459504C-6218-4315-88FC-C12E87C7350F}"/>
    <hyperlink ref="AC286" r:id="rId231" xr:uid="{23CAAB55-6D4E-4D73-9FC0-8CBD48A281BB}"/>
    <hyperlink ref="AC307" r:id="rId232" xr:uid="{76938541-8F5D-4605-A380-3B9814A2D768}"/>
    <hyperlink ref="AC251" r:id="rId233" xr:uid="{1CA40DD9-64FB-4CFD-9418-06218CDC04F4}"/>
    <hyperlink ref="AC182" r:id="rId234" display="https://www.edeka.de/nachhaltigkeit/unsere-wwf-partnerschaft/die-partnerschaft/intro.jsp" xr:uid="{C668779A-5B2E-4711-A54F-9A7AAA88B292}"/>
    <hyperlink ref="AC203" r:id="rId235" xr:uid="{93C9D6CB-BF60-4B0C-AED2-ACD35BAEF84B}"/>
    <hyperlink ref="AC165" r:id="rId236" xr:uid="{5597445F-A68B-4B12-8532-9E129828CB98}"/>
    <hyperlink ref="AC291" r:id="rId237" xr:uid="{3813C0E1-6BCB-4BE7-A9F1-0014AE53191A}"/>
    <hyperlink ref="AC421" r:id="rId238" xr:uid="{5FD855DA-05E7-41EF-8AB3-E652D1F06B87}"/>
    <hyperlink ref="AC207" r:id="rId239" xr:uid="{24047D63-1A51-496E-A89C-83E1F4628475}"/>
    <hyperlink ref="AC412" r:id="rId240" xr:uid="{052DBCE0-FBB6-4C6C-826F-6489EF1EC471}"/>
    <hyperlink ref="AC168" r:id="rId241" location="page=32" display="https://s22.q4cdn.com/253594569/files/doc_downloads/2019/09/2019_JD-Sustainability-Report.pdf - page=32" xr:uid="{BCDFF379-D544-4AF8-948C-84A9F5213F4D}"/>
    <hyperlink ref="AB290" r:id="rId242" display="https://www.maersk.com/news/articles/2020/07/21/nine-leading-businesses-launch-new-initiative-to-accelerate-progress-to-a-net-zero-future" xr:uid="{C349763A-09C1-4197-80A3-CA5D018DBCFD}"/>
    <hyperlink ref="AC179" r:id="rId243" xr:uid="{4940520B-21B7-4C11-B59F-DB766757471F}"/>
    <hyperlink ref="H290" r:id="rId244" display="https://www.maersk.com/news/articles/2020/07/21/nine-leading-businesses-launch-new-initiative-to-accelerate-progress-to-a-net-zero-future" xr:uid="{A51C689C-7576-4A10-BE4F-AAB32818B9E0}"/>
    <hyperlink ref="AC325" r:id="rId245" display="https://news.nike.com/news/nike-move-to-zero-climate-change-initiative" xr:uid="{39E3DD84-E6CB-49E5-91FC-9F05F9EB032A}"/>
    <hyperlink ref="AC361" r:id="rId246" xr:uid="{B41A39CB-28E2-48EA-B6A4-6D6B7D40400D}"/>
    <hyperlink ref="AB56" r:id="rId247" xr:uid="{8BE8A8C1-E511-47DF-95DF-15B7C384CABA}"/>
    <hyperlink ref="H471" r:id="rId248" xr:uid="{25646F7A-D882-4CA0-B9A6-E827AE29D69D}"/>
    <hyperlink ref="AC471" r:id="rId249" xr:uid="{F091AD6F-3054-4627-9638-6521FFF4C4EC}"/>
    <hyperlink ref="AC301" r:id="rId250" xr:uid="{A4433E16-82F1-44B9-8149-8F27BF74432A}"/>
    <hyperlink ref="AC145" r:id="rId251" location=":~:text=In%202017%2C%20it%20is%20estimated,19%25%20below%202010%20levels*.&amp;text=This%20is%20reflected%20in%20our,goal%20we%20set%20in%202013." display="https://www.coca-colacompany.com/news/reducing-carbon-in-our-value-chain - :~:text=In%202017%2C%20it%20is%20estimated,19%25%20below%202010%20levels*.&amp;text=This%20is%20reflected%20in%20our,goal%20we%20set%20in%202013." xr:uid="{26B0A169-EC11-4AAA-9A41-891FF9161886}"/>
    <hyperlink ref="H351" r:id="rId252" display="https://www.thephoenixgroup.com/~/media/Files/P/Phoenix-Group-v3/Attachments/pdf/environmental-and-sustainability-statement-2020.pdf" xr:uid="{A29219D5-262D-4585-90B7-6933A3E79989}"/>
    <hyperlink ref="AC312" r:id="rId253" xr:uid="{4FB28D72-2FD2-4010-AA02-8841051551D7}"/>
    <hyperlink ref="AC3" r:id="rId254" xr:uid="{8922F1F5-DAC8-4FAB-98B1-ABD3DFAB3119}"/>
    <hyperlink ref="H247" r:id="rId255" xr:uid="{7088D30C-96F6-4506-A05A-6903444A2D3D}"/>
    <hyperlink ref="AB247" r:id="rId256" display="https://www.ing.com/Sustainability/The-world-around-us-1/Reporting.htm" xr:uid="{F3951C5E-7842-4254-806C-707F3BCE3F6F}"/>
    <hyperlink ref="AC254" r:id="rId257" xr:uid="{1A37C48C-DA86-485D-9426-6DE5B0065F2D}"/>
    <hyperlink ref="H254" r:id="rId258" xr:uid="{17D7FBCE-42E4-4568-A253-CB29DBADFBF3}"/>
    <hyperlink ref="AB254" r:id="rId259" xr:uid="{9E8587EB-31B9-49D2-BB51-2167AB8DAEB7}"/>
    <hyperlink ref="AC488" r:id="rId260" display="https://ir.wfscorp.com/news-releases/news-release-details/world-fuel-services-corporation-join-getting-zero-coalition" xr:uid="{F9D303E8-3FAE-44C0-BFA3-82B187DF773B}"/>
    <hyperlink ref="AC152" r:id="rId261" xr:uid="{EEC6086B-AB69-4D0D-AA7F-CDB32A2A2AAB}"/>
    <hyperlink ref="AB205" r:id="rId262" xr:uid="{F2AE5C9A-B2E9-4134-B331-52E025A25873}"/>
    <hyperlink ref="AC159" r:id="rId263" xr:uid="{78F69ED8-55BF-41C5-B194-F1FBC14EE233}"/>
    <hyperlink ref="H159" r:id="rId264" xr:uid="{5D35F43C-CD64-4F60-9D15-B02C97B1E8C1}"/>
    <hyperlink ref="AC55" r:id="rId265" display="https://www.newswire.ca/news-releases/scotiabank-to-mobilize-100-billion-by-2025-to-support-the-transition-to-a-lower-carbon-and-more-resilient-economy-818158127.html" xr:uid="{349798A2-9030-4D47-88B7-C230A38BFF55}"/>
    <hyperlink ref="AB17" r:id="rId266" xr:uid="{BB1E11CA-6648-4FA4-9643-1521AF760507}"/>
    <hyperlink ref="AC288" r:id="rId267" xr:uid="{05637718-5129-485D-8F75-D739017D4377}"/>
    <hyperlink ref="AC415" r:id="rId268" display="http://www.sompo-hd.com/~/media/hd/en/files/csr/communications/pdf/2013/e_report2013_5.pdf" xr:uid="{37894BE0-26C1-430A-ADF4-5FB339ABF326}"/>
    <hyperlink ref="AC135" r:id="rId269" xr:uid="{7E1316C7-D3C0-4292-86ED-EF91150DD15B}"/>
    <hyperlink ref="AC284" r:id="rId270" xr:uid="{606FEE46-4836-4CDD-9063-132EED994614}"/>
    <hyperlink ref="H78" r:id="rId271" xr:uid="{650E2F0D-8AD7-4F0E-8ADE-D12B6D9E0172}"/>
    <hyperlink ref="AC78" r:id="rId272" xr:uid="{2E670584-F1DA-4D0E-8412-A917CD6FC106}"/>
    <hyperlink ref="H283" r:id="rId273" xr:uid="{89884890-40E2-4FFD-83FD-EE37F5A1414E}"/>
    <hyperlink ref="H56" r:id="rId274" display="https://home.barclays/society/our-position-on-climate-change/" xr:uid="{7822A6DF-2EA3-4581-B97B-1161F827A04E}"/>
    <hyperlink ref="AB283" r:id="rId275" xr:uid="{C2538AF6-4F36-4662-9171-DDE1989E1DC9}"/>
    <hyperlink ref="H72" r:id="rId276" xr:uid="{ED5ACA49-7A08-477A-B453-BAE519DFE2E0}"/>
    <hyperlink ref="AC77" r:id="rId277" xr:uid="{3643114D-0258-494E-ABD3-A884594C881A}"/>
    <hyperlink ref="AC389" r:id="rId278" xr:uid="{2A35FEBA-BF65-456C-84C8-A647A67E833D}"/>
    <hyperlink ref="AC239" r:id="rId279" xr:uid="{817F55BF-6534-4828-9EC7-87E1BD8956DD}"/>
    <hyperlink ref="AC70" r:id="rId280" xr:uid="{C3747D2E-A948-4E18-A168-9F079EBB522B}"/>
    <hyperlink ref="AC426" r:id="rId281" xr:uid="{C22DE1E3-E20C-46E6-9342-6E0BC3FCC87C}"/>
    <hyperlink ref="AC4" r:id="rId282" location="page=43" display="https://dam.abbott.com/en-us/documents/pdfs/abbott-citizenship/Abbott2018GlobalSustainabilityReport.pdf - page=43" xr:uid="{43233924-4D50-4814-8B84-45F2A3E62FD2}"/>
    <hyperlink ref="H160" r:id="rId283" xr:uid="{01425789-20DF-4353-BC08-756CC355090E}"/>
    <hyperlink ref="AC244" r:id="rId284" xr:uid="{6FB3AF02-1940-4961-AFCC-692BE24552FC}"/>
    <hyperlink ref="AC297" r:id="rId285" xr:uid="{4D48A15F-C085-436E-9830-F76AB533FBAC}"/>
    <hyperlink ref="AC452" r:id="rId286" display="https://www.toshibatec.co.uk/assets/brochures/BR_Carbon Zero_1019.pdf" xr:uid="{07A46F3A-D396-420A-8C01-BEEF7C159BAA}"/>
    <hyperlink ref="H386" r:id="rId287" xr:uid="{D8AD4D00-64B4-44ED-A9D3-467FB96A1BC3}"/>
    <hyperlink ref="AC423" r:id="rId288" xr:uid="{ED23213B-107F-415D-AA6A-F560B068D0E1}"/>
    <hyperlink ref="AC147" r:id="rId289" xr:uid="{73D2BCFE-41B9-43E8-8D0E-25A2245A8EC4}"/>
    <hyperlink ref="AC15" r:id="rId290" xr:uid="{65498DEB-B56C-4CD2-9D6C-1690FF05C983}"/>
    <hyperlink ref="AC473" r:id="rId291" display="https://www.veolia.com/en/csr-climate-change" xr:uid="{B1EF0E2C-F1B9-4052-BF1D-E0C4149D01D7}"/>
    <hyperlink ref="H390" r:id="rId292" display="https://www.prnewswire.com/news-releases/schneider-electric-cuts-five-years-from-its-carbon-neutrality-goal-establishing-roadmap-for-the-carbon-neutral-world-300922871.html" xr:uid="{6E430AAD-ADE5-4CBD-90D7-58A416C193C7}"/>
    <hyperlink ref="AB390" r:id="rId293" xr:uid="{C53A5EB3-B4E8-47F9-8B75-6240654BE033}"/>
    <hyperlink ref="H436" r:id="rId294" xr:uid="{D815AAD1-764E-4ACA-B6FB-1BB496CBC05F}"/>
    <hyperlink ref="H143" r:id="rId295" xr:uid="{2DF56943-2D94-402C-83AF-312D2BB3D69A}"/>
    <hyperlink ref="AC428" r:id="rId296" xr:uid="{7D451643-59CD-4E16-90C5-F59C22E8462E}"/>
    <hyperlink ref="H32" r:id="rId297" xr:uid="{9B847E70-9BDA-4305-970B-A4E682F8FD24}"/>
    <hyperlink ref="H349" r:id="rId298" xr:uid="{67D921F8-83A3-4996-8ADC-33E453F1B989}"/>
    <hyperlink ref="AC349" r:id="rId299" xr:uid="{D168727D-215E-43E2-B07F-91A7A07A1C3B}"/>
    <hyperlink ref="AC268" r:id="rId300" xr:uid="{3C64CB26-94CD-4342-8E49-F29FFD52BAE2}"/>
    <hyperlink ref="AC429" r:id="rId301" xr:uid="{B5AC06D8-09C6-4EA8-9298-7C737279FECA}"/>
    <hyperlink ref="H54" r:id="rId302" display="https://www.bmo.com/cr/images/BMO_CDP2011en.pdf" xr:uid="{7D60A074-AFEA-4C3B-BB27-277E7B7A9378}"/>
    <hyperlink ref="AC228" r:id="rId303" location=":~:text=Press%20Releases-,HP%20commits%20to%20reduce%20greenhouse%20gas%20emissions,global%20operations%20another%2025%20percent&amp;text=announces%20a%20new%20target%20to,by%202025%2C%20compared%20to%202015." display="https://press.hp.com/us/en/press-releases/2017/hp-commits-to-reduce-greenhouse-gas-emissions-from-its-global-op.html - :~:text=Press%20Releases-,HP%20commits%20to%20reduce%20greenhouse%20gas%20emissions,global%20operations%20another%2025%20percent&amp;text=announces%20a%20new%20target%20to,by%202025%2C%20compared%20to%202015." xr:uid="{58304E1C-BE30-4874-AC17-8D0CCACB47E7}"/>
    <hyperlink ref="AC74" r:id="rId304" location="accordion-3" xr:uid="{AC229459-AB9E-429D-A9D8-76FEC047FBF4}"/>
    <hyperlink ref="H74" r:id="rId305" location="accordion-3" display="https://www.bt.com/about/digital-impact-and-sustainability/tackling-climate-change/the-road-to-net-zero - accordion-3" xr:uid="{9E377E9E-4CB8-4FD7-85D8-CFB7F99B6F32}"/>
    <hyperlink ref="H274" r:id="rId306" xr:uid="{BF5A75A3-C3C5-4CA9-9BB5-683EA8840A9B}"/>
    <hyperlink ref="AC354" r:id="rId307" xr:uid="{DBA6301E-B9E3-4335-8E56-61215A3ACE70}"/>
    <hyperlink ref="AC265" r:id="rId308" xr:uid="{C61CC9C7-2E45-4B1E-8318-A4A6549EBA82}"/>
    <hyperlink ref="AB85" r:id="rId309" xr:uid="{594D9950-BFAB-451B-B669-2A1876D4F377}"/>
    <hyperlink ref="H180" r:id="rId310" xr:uid="{3C445C83-D307-48BF-A291-002F41692A92}"/>
    <hyperlink ref="H479" r:id="rId311" xr:uid="{6BE25A93-5FB8-45F1-848C-5047E447EF35}"/>
    <hyperlink ref="AC49" r:id="rId312" display="https://apicatalog.mziq.com/filemanager/v2/d/5760dff3-15e1-4962-9e81-322a0b3d0bbd/977f3853-0277-a712-6d3f-9ea407621e0a?origin=2" xr:uid="{90DE56D4-891F-4740-BD6E-94294C550170}"/>
    <hyperlink ref="H49" r:id="rId313" xr:uid="{6F15E60F-1935-4788-957E-D1E69CB3C772}"/>
    <hyperlink ref="H76" r:id="rId314" xr:uid="{4C2F06B7-3DC3-4084-8EA1-34631FAF5F1A}"/>
    <hyperlink ref="AC494" r:id="rId315" xr:uid="{3B1556FF-3AD1-4851-8792-3E13DC5FBD29}"/>
    <hyperlink ref="H425" r:id="rId316" xr:uid="{17C57F27-C484-4012-A720-30593571B3FE}"/>
    <hyperlink ref="H249" r:id="rId317" xr:uid="{7D10AD13-6A11-480B-806C-88CF04372371}"/>
    <hyperlink ref="AB249" r:id="rId318" xr:uid="{AD3AB4D8-3D25-4B97-BCCD-4230133AF5AF}"/>
    <hyperlink ref="AC249" r:id="rId319" xr:uid="{A993803C-0DB2-4986-B86F-D58AF55725AD}"/>
    <hyperlink ref="H473" r:id="rId320" display="https://www.veolia.com/en/csr-climate-change" xr:uid="{A84C21FE-43E1-4990-92C3-C64207372CED}"/>
    <hyperlink ref="AC437" r:id="rId321" xr:uid="{635C0088-5FF7-4E5F-B249-702FE57620BF}"/>
    <hyperlink ref="AC61" r:id="rId322" xr:uid="{C13918F7-B971-4F68-AE96-25A4B0D2ECB8}"/>
    <hyperlink ref="AC466" r:id="rId323" xr:uid="{FB8D900D-7D7D-4A8E-B6BB-E67904C88637}"/>
    <hyperlink ref="AC211" r:id="rId324" xr:uid="{94BF2C84-C737-47BE-AFF5-2176307A9815}"/>
    <hyperlink ref="AC459" r:id="rId325" xr:uid="{C7E9D960-5305-4085-B029-2F4700DF5426}"/>
    <hyperlink ref="AC336" r:id="rId326" display="https://blogs.oracle.com/sustainability/oracle-streamlines-tracking-of-global-carbon-footprint-and-greenhouse-gas-emissions" xr:uid="{5F43AC3E-76D7-456F-A7E6-96DAAA080E52}"/>
    <hyperlink ref="AC290" r:id="rId327" display="https://www.maersk.com/news/articles/2020/07/21/nine-leading-businesses-launch-new-initiative-to-accelerate-progress-to-a-net-zero-future" xr:uid="{161D3B29-FB40-4A8D-BEB3-7AF5715A9C29}"/>
    <hyperlink ref="AC5" r:id="rId328" display="https://www.abbvie.com/content/dam/abbvie-dotcom/uploads/PDFs/our-position-on-global-climate-change.pdf" xr:uid="{6318DC2A-1CC7-4C76-9727-B841C2CC6165}"/>
    <hyperlink ref="AC300" r:id="rId329" location="page=45" display="https://www.medtronic.com/content/dam/medtronic-com/global/Corporate/citizenship/documents/2019-integrated-performance-report.pdf - page=45" xr:uid="{EFBCF0C8-C151-46A9-B034-6085325BBDE0}"/>
    <hyperlink ref="AC149" r:id="rId330" display="https://www.commbank.com.au/guidance/newsroom/our-climate-commitment-201708.html" xr:uid="{457798B9-66E0-48DD-AA66-CDAB206A866F}"/>
    <hyperlink ref="AC425" r:id="rId331" xr:uid="{6EC0911B-4E75-420C-8AEF-9854CB322A3A}"/>
    <hyperlink ref="H17" r:id="rId332" xr:uid="{3112657A-B152-4522-972E-2166410CD929}"/>
    <hyperlink ref="AC274" r:id="rId333" xr:uid="{8FC7F582-5AE4-4E04-9692-E34CF408BEFA}"/>
    <hyperlink ref="H154" r:id="rId334" xr:uid="{EC43B01A-AF4E-4B24-A8AF-87D23CF6DEF0}"/>
    <hyperlink ref="H85" r:id="rId335" xr:uid="{3F5E0A3D-7BC0-4E94-994A-9CCC1D4C9721}"/>
    <hyperlink ref="H29" r:id="rId336" xr:uid="{C29E9500-8E47-4C54-9437-D3F39C933088}"/>
    <hyperlink ref="AC37" r:id="rId337" xr:uid="{EDAFB141-2DF0-4DFB-AE54-3DAE8065C183}"/>
    <hyperlink ref="AC56" r:id="rId338" xr:uid="{256C2277-F244-4EF2-ADC0-2C2BAE27BEB2}"/>
    <hyperlink ref="AC201" r:id="rId339" xr:uid="{7A1674F6-938F-4EAE-975C-030237487762}"/>
    <hyperlink ref="H314" r:id="rId340" xr:uid="{EE88738B-428D-4EC2-90ED-898E94AD8D1D}"/>
    <hyperlink ref="H476" r:id="rId341" xr:uid="{7D681F21-44D7-40E2-952A-2A942BF4BB60}"/>
    <hyperlink ref="H43" r:id="rId342" xr:uid="{F30B90D7-0C48-4EBF-A57D-258E8D27E6CB}"/>
    <hyperlink ref="AC144" r:id="rId343" xr:uid="{A16A60CE-EC60-4C97-A43D-878F13DC3B98}"/>
    <hyperlink ref="H441" r:id="rId344" xr:uid="{58E951BE-F0CF-4BA5-B77B-461889F5ABC5}"/>
    <hyperlink ref="AC441" r:id="rId345" xr:uid="{286F5595-06F3-4138-B9C3-F5BA4CD60E5F}"/>
    <hyperlink ref="AC213" r:id="rId346" xr:uid="{000C51DB-B0EE-4E46-876C-43558A769CC6}"/>
    <hyperlink ref="H213" r:id="rId347" xr:uid="{E344E157-E4B5-4480-BB5E-774EC23D018D}"/>
    <hyperlink ref="H317" r:id="rId348" display="https://www.morganstanley.com/press-releases/morgan-stanley-announces-new-goal-of-carbon-neutrality-for-globa" xr:uid="{98CF6BE8-17BC-45BE-9324-B0D27B58E6BF}"/>
    <hyperlink ref="AC317" r:id="rId349" xr:uid="{3AD5BDA1-81C9-4B67-8FA1-BCAF7165E128}"/>
    <hyperlink ref="H278" r:id="rId350" xr:uid="{1888C75A-B78A-4556-B818-48CA458909B4}"/>
    <hyperlink ref="AB278" r:id="rId351" xr:uid="{89B3DFE3-DFB9-44A8-B9D4-D811D5FCF231}"/>
    <hyperlink ref="H27" r:id="rId352" xr:uid="{1CA41CB7-7883-4D61-9CEF-7BE0F64AA0DB}"/>
    <hyperlink ref="AC138" r:id="rId353" xr:uid="{635D51BF-AEAF-4444-B5DA-A71035F8D191}"/>
    <hyperlink ref="H58" r:id="rId354" xr:uid="{65B1A286-B90F-4096-93CE-6CCA5010D335}"/>
    <hyperlink ref="AC348" r:id="rId355" xr:uid="{A699634F-9B7D-4D02-A7FA-ACAA54E058E8}"/>
    <hyperlink ref="H377" r:id="rId356" xr:uid="{ECFE760E-1381-4575-9575-36B2A2F9A2AD}"/>
    <hyperlink ref="AC377" r:id="rId357" xr:uid="{3D283C7E-648E-440C-9B34-8F45B02D1097}"/>
    <hyperlink ref="H333" r:id="rId358" xr:uid="{4E5A178A-3752-4AB9-98F5-F8F2FE0C0407}"/>
    <hyperlink ref="AC333" r:id="rId359" xr:uid="{E1C272AE-997B-49FA-9B82-5ECE29B3360E}"/>
    <hyperlink ref="H448" r:id="rId360" xr:uid="{11742203-9E3A-465E-9A6C-62A8AF6AEDC7}"/>
    <hyperlink ref="H477" r:id="rId361" xr:uid="{2C0565E0-FC47-415A-A824-55E4046C8BD6}"/>
    <hyperlink ref="AB477" r:id="rId362" xr:uid="{3B946A92-BDCA-4CB5-8DF7-CAB6F3FB2524}"/>
    <hyperlink ref="AC270" r:id="rId363" xr:uid="{0B3A1ADB-D0E2-4992-827F-D7858E88F7DB}"/>
    <hyperlink ref="H153" r:id="rId364" display="https://www.continental.com/en/press/press-releases/continental-press-conference-iaa-2019-186292" xr:uid="{A3098E0E-A78F-4678-8F9B-2AA7CFE00147}"/>
    <hyperlink ref="H172" r:id="rId365" xr:uid="{74842313-9235-454E-97B2-8DBABAA025F3}"/>
    <hyperlink ref="H432" r:id="rId366" xr:uid="{02D1A3A0-4B46-4621-8F32-CD934A8F8493}"/>
    <hyperlink ref="AB432" r:id="rId367" xr:uid="{33D3A84E-A406-444B-9FF6-862D963DE258}"/>
    <hyperlink ref="AC432" r:id="rId368" xr:uid="{781B7BF8-D246-43A9-B5E9-743085FAF60C}"/>
    <hyperlink ref="AC242" r:id="rId369" xr:uid="{6BE2D907-3292-4A7A-A5A8-152F3A09D800}"/>
    <hyperlink ref="H381" r:id="rId370" xr:uid="{F4C86A75-EC61-4C53-A39F-274B370CA618}"/>
    <hyperlink ref="AB381" r:id="rId371" xr:uid="{863A1DF6-CD03-4D95-A164-8E827EDA12BA}"/>
    <hyperlink ref="H372" r:id="rId372" xr:uid="{A05F5D27-8861-49AC-83D3-23E1B3736C44}"/>
    <hyperlink ref="AB372" r:id="rId373" xr:uid="{57314C4D-A058-4985-8D4C-2289340091B7}"/>
    <hyperlink ref="AC318" r:id="rId374" location="002" display="https://www.ms-ad-hd.com/en/csr/summary/kpi.html - 002" xr:uid="{237D6A5D-400C-47B4-BE78-A26C3C859D00}"/>
    <hyperlink ref="AC337" r:id="rId375" xr:uid="{F4699778-6D69-4C5E-8730-52ECEF0FD720}"/>
    <hyperlink ref="H337" r:id="rId376" xr:uid="{5E45CB41-2614-43E6-BFC9-32ECBF7E2FB5}"/>
    <hyperlink ref="AB337" r:id="rId377" xr:uid="{7525522B-CA12-4321-8655-1E8061A60D8E}"/>
    <hyperlink ref="AC14" r:id="rId378" xr:uid="{C5691B20-D577-4F5B-8B41-7D33D2FB073B}"/>
    <hyperlink ref="H322" r:id="rId379" display="https://www.nec.com/en/global/csr/pdf/2019_report.pdf" xr:uid="{6D5CA2D7-9772-405E-90C8-BD2E9980473C}"/>
    <hyperlink ref="AC379" r:id="rId380" xr:uid="{904A10E6-8905-4B5F-B41E-36ABE522E61F}"/>
    <hyperlink ref="H166" r:id="rId381" xr:uid="{1609219C-27D7-4C2D-8D03-37757EBBF08C}"/>
    <hyperlink ref="AB166" r:id="rId382" xr:uid="{0B07DF50-A340-4162-A519-512C94F70879}"/>
    <hyperlink ref="H7" r:id="rId383" xr:uid="{4C3D0FA8-2C66-4614-A385-BFFC71BE3713}"/>
    <hyperlink ref="H293" r:id="rId384" xr:uid="{A80D0CA6-53E3-44F9-97A9-1DDE66383E11}"/>
    <hyperlink ref="AC460" r:id="rId385" xr:uid="{6FED5D8E-CD01-480C-AC7D-B5232873B932}"/>
    <hyperlink ref="AC463" r:id="rId386" xr:uid="{C5A4ABA1-9EEB-4757-8781-731240E8CFD6}"/>
    <hyperlink ref="AC181" r:id="rId387" xr:uid="{609727B0-41F4-4D86-87DA-9A53D7018478}"/>
    <hyperlink ref="AC305" r:id="rId388" xr:uid="{2DDF092B-AE27-4624-B9DD-96877C1D7C1B}"/>
    <hyperlink ref="AC225" r:id="rId389" xr:uid="{77D0F956-642D-4A90-9A4A-0A88ED76DC47}"/>
    <hyperlink ref="AC275" r:id="rId390" xr:uid="{7B1692A4-F436-4407-B95D-F96270F68773}"/>
    <hyperlink ref="H417" r:id="rId391" xr:uid="{7F8033A7-0D6F-46C0-89BE-4F7D2D2E8055}"/>
    <hyperlink ref="AB417" r:id="rId392" xr:uid="{001943F2-4898-47F0-B78F-A8DF631A4A4F}"/>
    <hyperlink ref="AC368" r:id="rId393" xr:uid="{3901612E-9E94-4E57-9FB7-BC6F26A75990}"/>
    <hyperlink ref="H10" r:id="rId394" location="/unser-ansatz/unser-ansatz/green-company-initiative-fur-eigene-standorte/" xr:uid="{51D2F690-5173-4A58-B290-54D930323101}"/>
    <hyperlink ref="H335" r:id="rId395" display="https://www.omv.com/en/about-us/energy/omv-and-the-climate" xr:uid="{90AEB76B-4F06-4F88-AA7E-6DC25EE0399F}"/>
    <hyperlink ref="H9" r:id="rId396" xr:uid="{3EAB17DC-28CE-4AE9-A8C7-EA2D86D517BB}"/>
    <hyperlink ref="AC330" r:id="rId397" xr:uid="{012847EC-8E52-4CFF-9329-E84DFCAF1DA8}"/>
    <hyperlink ref="H484" r:id="rId398" xr:uid="{AB601435-7F8F-4B31-86E1-BA52E41B124F}"/>
    <hyperlink ref="AC321" r:id="rId399" xr:uid="{9680995E-ED76-4311-8F17-8F043A6F3F54}"/>
    <hyperlink ref="AB27" r:id="rId400" xr:uid="{88486423-2822-4C7C-8569-02E4CF0446FD}"/>
    <hyperlink ref="AB377" r:id="rId401" xr:uid="{F44D553D-C4A8-4D66-92AD-5F871EC694AA}"/>
    <hyperlink ref="AB335" r:id="rId402" display="https://www.omv.com/en/about-us/energy/omv-and-the-climate" xr:uid="{63860EDA-5E47-42B8-B2D3-D90CA7AEDC95}"/>
    <hyperlink ref="AB164" r:id="rId403" xr:uid="{7C596471-55D5-42F7-8656-659FBAE166D5}"/>
    <hyperlink ref="AB464" r:id="rId404" display="https://www.unilever.com/sustainable-living/reducing-environmental-impact/greenhouse-gases/tackling-climate-impact-in-our-operations/" xr:uid="{45F98332-1C6B-40F3-AF16-C34974C965FF}"/>
    <hyperlink ref="AB441" r:id="rId405" display="https://www.telefonica.com/en/web/press-office/-/telefonica-s-contribution-to-a-green-recovery" xr:uid="{DA7E9E37-4519-4B6B-8030-E4F91A069005}"/>
    <hyperlink ref="AC477" r:id="rId406" xr:uid="{1407E902-43DC-478F-9724-59E8631B5EFB}"/>
    <hyperlink ref="AB63" r:id="rId407" xr:uid="{EE971007-4FF3-4DF9-95E4-F66901B4F48B}"/>
    <hyperlink ref="AB471" r:id="rId408" xr:uid="{D89C0141-E26D-4D90-A8EA-CABEE0031356}"/>
    <hyperlink ref="AC320" r:id="rId409" xr:uid="{3F51CBF1-F840-4000-B3EC-AF0F0632AAB4}"/>
    <hyperlink ref="H240" r:id="rId410" xr:uid="{5664B402-0F73-4DAF-BBAB-1E154640F496}"/>
    <hyperlink ref="AC166" r:id="rId411" xr:uid="{E63FFEF9-C1F1-46C2-82E7-91E2535561C9}"/>
    <hyperlink ref="CR140" r:id="rId412" xr:uid="{1F14890B-185F-4C4F-866C-D0703592D3A1}"/>
    <hyperlink ref="CR74" r:id="rId413" location="accordion-1" xr:uid="{913D7834-94B1-4137-AFC2-61A3B0FB1EBF}"/>
    <hyperlink ref="CR195" r:id="rId414" xr:uid="{D0F4832A-3969-4F2E-ABA2-4CF3B3660DE4}"/>
    <hyperlink ref="CR213" r:id="rId415" xr:uid="{80328192-05F5-4AB7-BFFB-1D2C7AD9DBA9}"/>
    <hyperlink ref="CR247" r:id="rId416" xr:uid="{AA91EF83-545A-48AC-B72C-9C8FFECB8803}"/>
    <hyperlink ref="CR274" r:id="rId417" xr:uid="{E644E865-8A52-4F41-A948-0789CFC7BE52}"/>
    <hyperlink ref="CR266" r:id="rId418" xr:uid="{0F28140D-129E-4DE4-A6A2-81292F0B913C}"/>
    <hyperlink ref="CR281" r:id="rId419" xr:uid="{DB5273A6-EE0D-47BA-9023-D88601E3E34A}"/>
    <hyperlink ref="CR417" r:id="rId420" xr:uid="{B08259DC-5682-440E-BEC3-F438297C70B9}"/>
    <hyperlink ref="CR432" r:id="rId421" xr:uid="{D7C4FDC0-EA94-4E8A-A1A0-660F13C01449}"/>
    <hyperlink ref="CR462" r:id="rId422" xr:uid="{31402E23-A6C1-4D1E-89B1-CF5C4E8AF722}"/>
    <hyperlink ref="CR464" r:id="rId423" xr:uid="{AD884A27-B54C-4BF2-8D97-BD6D9F87E3B6}"/>
    <hyperlink ref="CR483" r:id="rId424" xr:uid="{A0C0B46E-8125-447F-823F-845D84FCBEC9}"/>
    <hyperlink ref="H483" r:id="rId425" xr:uid="{4538346A-2B37-4C1A-8081-0804C60C9A7A}"/>
    <hyperlink ref="H418" r:id="rId426" xr:uid="{64BA4C21-8D6E-432B-8FB1-AD9A1273108B}"/>
    <hyperlink ref="S378" r:id="rId427" xr:uid="{9CB00606-DDFB-4CD2-B60C-DD2420AFDFD7}"/>
    <hyperlink ref="S69" r:id="rId428" xr:uid="{9C954CB0-9AAA-4E20-A85B-358856E4E3CC}"/>
    <hyperlink ref="S25" r:id="rId429" xr:uid="{41A9C672-B1C7-4BE6-A1C6-FF08D4B1A0E4}"/>
    <hyperlink ref="S454" r:id="rId430" xr:uid="{0256A8E5-9537-4730-85B5-BB0225D2FB87}"/>
    <hyperlink ref="S453" r:id="rId431" xr:uid="{A748E865-30EE-4129-817F-DC5AD62537A5}"/>
    <hyperlink ref="S37" r:id="rId432" xr:uid="{635B6D83-9B0D-4E90-A26A-45DC777ABDF3}"/>
    <hyperlink ref="S23" r:id="rId433" xr:uid="{07B02DFC-EBD3-4473-97AC-2038235C1E9A}"/>
    <hyperlink ref="S306" r:id="rId434" xr:uid="{A939DB3E-C671-4C69-B479-8A942FE3BA54}"/>
    <hyperlink ref="S323" r:id="rId435" xr:uid="{102B6731-D44D-4014-AD01-15F9BC3DAFFB}"/>
    <hyperlink ref="S416" r:id="rId436" xr:uid="{F198395C-74E7-4226-B3D7-C5771F9C86EA}"/>
    <hyperlink ref="S276" r:id="rId437" xr:uid="{C69AD428-9EE8-4D03-80D9-23A6BB3DFED5}"/>
    <hyperlink ref="S174" r:id="rId438" xr:uid="{A5A61144-5214-45E0-AC61-E3BDA5DBEFFF}"/>
    <hyperlink ref="S314" r:id="rId439" xr:uid="{777CB7E7-E0D2-4A82-A497-C8279BF3672C}"/>
    <hyperlink ref="S464" r:id="rId440" xr:uid="{AC4717A3-5A39-4A1B-82B4-4E0428307467}"/>
    <hyperlink ref="S441" r:id="rId441" xr:uid="{39766E03-7F08-4E97-A2E5-63E45E04E12F}"/>
    <hyperlink ref="S278" r:id="rId442" xr:uid="{AAEBF5A4-CAFF-4DDD-8A61-636BC91FB695}"/>
    <hyperlink ref="S27" r:id="rId443" xr:uid="{D3A187EA-189D-4FF0-B694-853FF5971EDF}"/>
    <hyperlink ref="S477" r:id="rId444" xr:uid="{49D2E2CC-96D2-4612-8CA0-208D1102E1DE}"/>
    <hyperlink ref="S432" r:id="rId445" xr:uid="{938EB637-FAA6-4463-A854-ABF013193AC4}"/>
    <hyperlink ref="S381" r:id="rId446" xr:uid="{7032FB7E-DAAC-4A9A-AF83-BD0B896378BE}"/>
    <hyperlink ref="S372" r:id="rId447" xr:uid="{914F0B38-9B1F-4AE2-9227-207E862AF41F}"/>
    <hyperlink ref="S337" r:id="rId448" xr:uid="{201AFBF6-3ADC-4671-97D1-E4A37B91C93D}"/>
    <hyperlink ref="S63" r:id="rId449" xr:uid="{AE32B861-C2E2-4F87-A7BF-1594D305210B}"/>
    <hyperlink ref="S373" r:id="rId450" xr:uid="{CF23A4B0-BEA9-46E0-925F-1A6E15D990E1}"/>
    <hyperlink ref="S289" r:id="rId451" xr:uid="{0DB0F940-C8A6-45E2-9B1F-2670BAEC0F1F}"/>
    <hyperlink ref="S290" r:id="rId452" xr:uid="{9939BDAA-8B0D-45C7-BB8B-641A7F7E5089}"/>
    <hyperlink ref="S56" r:id="rId453" xr:uid="{820BDC56-CF9A-410E-99E5-AA834D5D196D}"/>
    <hyperlink ref="S471" r:id="rId454" xr:uid="{E90C55A9-65FC-4343-86C5-A09ADE5AB8E9}"/>
    <hyperlink ref="S254" r:id="rId455" xr:uid="{10440D69-9140-4091-ADFB-217F6493B959}"/>
    <hyperlink ref="S17" r:id="rId456" xr:uid="{21458778-73CA-4E41-8D5D-CD8741BCA0D8}"/>
    <hyperlink ref="S283" r:id="rId457" xr:uid="{1CE29F40-BEA4-4885-9822-DFC34240A8B5}"/>
    <hyperlink ref="S390" r:id="rId458" xr:uid="{24470441-45CC-480B-94FC-DE6831E61208}"/>
    <hyperlink ref="S74" r:id="rId459" xr:uid="{D517C6B5-C517-4989-A66C-5C781A89C616}"/>
    <hyperlink ref="S85" r:id="rId460" xr:uid="{2C05B9D3-1F85-48A6-BDBF-E43F60A7CC56}"/>
    <hyperlink ref="S249" r:id="rId461" xr:uid="{257B4B26-DDF7-49EF-B9C9-A5F80E7C8B02}"/>
    <hyperlink ref="S166" r:id="rId462" xr:uid="{5CA191FE-1B9A-475B-B1FD-ABF6CEAC658C}"/>
    <hyperlink ref="S335" r:id="rId463" display="https://www.omv.com/en/about-us/energy/omv-and-the-climate" xr:uid="{32254ABE-6881-48F0-BDF4-DDFD8B61CA01}"/>
    <hyperlink ref="S205" r:id="rId464" xr:uid="{3D561594-B5D5-4B15-957B-012F83A19BE5}"/>
    <hyperlink ref="S340" r:id="rId465" xr:uid="{632FF032-20CC-48BB-882F-2C4FC3F0E153}"/>
  </hyperlinks>
  <pageMargins left="0.7" right="0.7" top="0.75" bottom="0.75" header="0.3" footer="0.3"/>
  <pageSetup paperSize="9" orientation="portrait" horizontalDpi="4294967293" verticalDpi="300" r:id="rId46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D0B5A-4E52-4D1B-B71A-57B3EFA22582}">
  <dimension ref="A1:AW553"/>
  <sheetViews>
    <sheetView topLeftCell="AI1" zoomScaleNormal="100" workbookViewId="0">
      <pane ySplit="1" topLeftCell="A2" activePane="bottomLeft" state="frozen"/>
      <selection pane="bottomLeft" activeCell="Y223" sqref="Y223"/>
    </sheetView>
  </sheetViews>
  <sheetFormatPr defaultColWidth="9.1796875" defaultRowHeight="14.5"/>
  <cols>
    <col min="1" max="1" width="10.54296875" style="1" bestFit="1" customWidth="1"/>
    <col min="2" max="2" width="24.453125" style="1" customWidth="1"/>
    <col min="3" max="3" width="9.81640625" style="1" bestFit="1" customWidth="1"/>
    <col min="4" max="4" width="17.1796875" style="1" customWidth="1"/>
    <col min="5" max="6" width="9.81640625" style="1" customWidth="1"/>
    <col min="7" max="7" width="9.1796875" style="1" customWidth="1"/>
    <col min="8" max="8" width="22.1796875" style="1" bestFit="1" customWidth="1"/>
    <col min="9" max="9" width="21.54296875" style="1" bestFit="1" customWidth="1"/>
    <col min="10" max="10" width="6.26953125" style="1" customWidth="1"/>
    <col min="11" max="11" width="17.54296875" style="1" customWidth="1"/>
    <col min="12" max="12" width="15.81640625" style="1" customWidth="1"/>
    <col min="13" max="13" width="11.1796875" style="1" customWidth="1"/>
    <col min="14" max="14" width="9.1796875" style="1" customWidth="1"/>
    <col min="15" max="15" width="10" style="3" customWidth="1"/>
    <col min="16" max="20" width="9.1796875" style="1" customWidth="1"/>
    <col min="21" max="38" width="9.1796875" style="1"/>
    <col min="39" max="39" width="27.26953125" style="1" customWidth="1"/>
    <col min="40" max="42" width="9.1796875" style="1"/>
    <col min="43" max="46" width="9.1796875" style="2"/>
    <col min="47" max="47" width="9.1796875" style="1"/>
    <col min="48" max="48" width="14.1796875" style="1" customWidth="1"/>
    <col min="49" max="16384" width="9.1796875" style="1"/>
  </cols>
  <sheetData>
    <row r="1" spans="1:48" s="9" customFormat="1">
      <c r="A1" s="17" t="s">
        <v>1944</v>
      </c>
      <c r="B1" s="17" t="s">
        <v>1943</v>
      </c>
      <c r="C1" s="17" t="s">
        <v>1942</v>
      </c>
      <c r="D1" s="20" t="s">
        <v>1941</v>
      </c>
      <c r="E1" s="17" t="s">
        <v>1940</v>
      </c>
      <c r="F1" s="19" t="s">
        <v>1939</v>
      </c>
      <c r="G1" s="18" t="s">
        <v>1938</v>
      </c>
      <c r="H1" s="17" t="s">
        <v>1937</v>
      </c>
      <c r="I1" s="9" t="s">
        <v>1915</v>
      </c>
      <c r="J1" s="9" t="s">
        <v>1936</v>
      </c>
      <c r="K1" s="9" t="s">
        <v>1935</v>
      </c>
      <c r="L1" s="9" t="s">
        <v>1917</v>
      </c>
      <c r="M1" s="9" t="s">
        <v>1934</v>
      </c>
      <c r="N1" s="9" t="s">
        <v>1933</v>
      </c>
      <c r="O1" s="16" t="s">
        <v>1932</v>
      </c>
      <c r="P1" s="9" t="s">
        <v>1931</v>
      </c>
      <c r="Q1" s="9" t="s">
        <v>1930</v>
      </c>
      <c r="R1" s="9" t="s">
        <v>1929</v>
      </c>
      <c r="S1" s="9" t="s">
        <v>1928</v>
      </c>
      <c r="T1" s="9" t="s">
        <v>1927</v>
      </c>
      <c r="U1" s="9" t="s">
        <v>1926</v>
      </c>
      <c r="V1" s="15" t="s">
        <v>1925</v>
      </c>
      <c r="W1" s="15" t="s">
        <v>1924</v>
      </c>
      <c r="X1" s="15" t="s">
        <v>1923</v>
      </c>
      <c r="Y1" s="15" t="s">
        <v>1922</v>
      </c>
      <c r="Z1" s="15" t="s">
        <v>1921</v>
      </c>
      <c r="AA1" s="15" t="s">
        <v>1920</v>
      </c>
      <c r="AB1" s="15" t="s">
        <v>1919</v>
      </c>
      <c r="AC1" s="15" t="s">
        <v>1918</v>
      </c>
      <c r="AD1" s="15" t="s">
        <v>1917</v>
      </c>
      <c r="AE1" s="15" t="s">
        <v>1916</v>
      </c>
      <c r="AF1" s="15" t="s">
        <v>1915</v>
      </c>
      <c r="AG1" s="14" t="s">
        <v>1914</v>
      </c>
      <c r="AH1" s="14" t="s">
        <v>1913</v>
      </c>
      <c r="AI1" s="14" t="s">
        <v>1912</v>
      </c>
      <c r="AJ1" s="14" t="s">
        <v>1911</v>
      </c>
      <c r="AK1" s="14" t="s">
        <v>1910</v>
      </c>
      <c r="AL1" s="13" t="s">
        <v>1909</v>
      </c>
      <c r="AM1" s="9" t="s">
        <v>1908</v>
      </c>
      <c r="AN1" s="10" t="s">
        <v>1907</v>
      </c>
      <c r="AO1" s="10" t="s">
        <v>1906</v>
      </c>
      <c r="AP1" s="10" t="s">
        <v>1905</v>
      </c>
      <c r="AQ1" s="12" t="s">
        <v>1904</v>
      </c>
      <c r="AR1" s="11" t="s">
        <v>1903</v>
      </c>
      <c r="AS1" s="11" t="s">
        <v>1902</v>
      </c>
      <c r="AT1" s="11" t="s">
        <v>1901</v>
      </c>
      <c r="AU1" s="10" t="s">
        <v>1900</v>
      </c>
      <c r="AV1" s="9" t="s">
        <v>1899</v>
      </c>
    </row>
    <row r="2" spans="1:48" customFormat="1">
      <c r="A2" s="1">
        <v>1</v>
      </c>
      <c r="B2" t="s">
        <v>1889</v>
      </c>
      <c r="C2" t="s">
        <v>1</v>
      </c>
      <c r="D2">
        <f>IF(G2="n","",MIN(X2,AI2,AN2))</f>
        <v>2015</v>
      </c>
      <c r="E2" t="s">
        <v>369</v>
      </c>
      <c r="F2">
        <f t="shared" ref="F2:F14" si="0">IF(G2="n","",MIN(IF(V2="Carbon Neutral",X2,"3000"),AI2,IF(AO2&gt;2030,"3000",AN2)))</f>
        <v>2015</v>
      </c>
      <c r="G2" t="str">
        <f t="shared" ref="G2:G14" si="1">IF( V2="Carbon Neutral", "y",   IF(AI2&gt;1, "y", IF(AND(AO2&lt;=2030, AO2&gt;0),"y","n" )    )       )</f>
        <v>y</v>
      </c>
      <c r="H2" t="str">
        <f t="shared" ref="H2:H65" si="2">IF((OR(V2="Carbon Neutral",V2="No - but have a post-2030 commitment")),           IF((OR(AG2="Committed",AG2="Targets Set")),                    IF(AN2&gt;1, "CN, SBT &amp; RE100", "CN &amp; SBT"),                   IF(AN2&gt;1, "CN &amp; RE100", "CN")      ),                                                                                             IF((OR(AG2="Committed",AG2="Targets Set")),                IF(AN2&gt;1, "SBT &amp; RE100", " SBT"),                                 IF(AN2&gt;1, "RE100", "None")           )                         )</f>
        <v>SBT &amp; RE100</v>
      </c>
      <c r="I2" t="s">
        <v>119</v>
      </c>
      <c r="J2" t="s">
        <v>129</v>
      </c>
      <c r="M2">
        <v>514405</v>
      </c>
      <c r="N2">
        <v>2.8000000000000001E-2</v>
      </c>
      <c r="O2">
        <v>6670</v>
      </c>
      <c r="P2" t="s">
        <v>1894</v>
      </c>
      <c r="Q2">
        <v>-0.32400000000000001</v>
      </c>
      <c r="R2">
        <v>2200000</v>
      </c>
      <c r="S2" t="s">
        <v>9</v>
      </c>
      <c r="T2" t="s">
        <v>88</v>
      </c>
      <c r="U2" t="s">
        <v>127</v>
      </c>
      <c r="V2" t="s">
        <v>1</v>
      </c>
      <c r="W2" t="s">
        <v>1898</v>
      </c>
      <c r="X2" t="s">
        <v>9</v>
      </c>
      <c r="Y2">
        <v>2017</v>
      </c>
      <c r="Z2" t="s">
        <v>9</v>
      </c>
      <c r="AA2">
        <v>2030</v>
      </c>
      <c r="AB2" t="s">
        <v>1897</v>
      </c>
      <c r="AC2">
        <v>0</v>
      </c>
      <c r="AD2" t="s">
        <v>1896</v>
      </c>
      <c r="AE2" t="s">
        <v>1895</v>
      </c>
      <c r="AF2" t="s">
        <v>942</v>
      </c>
      <c r="AG2" t="s">
        <v>22</v>
      </c>
      <c r="AH2" t="s">
        <v>430</v>
      </c>
      <c r="AI2">
        <v>2016</v>
      </c>
      <c r="AJ2">
        <v>2025</v>
      </c>
      <c r="AK2" t="s">
        <v>20</v>
      </c>
      <c r="AL2" t="s">
        <v>1890</v>
      </c>
      <c r="AM2" t="s">
        <v>1889</v>
      </c>
      <c r="AN2">
        <v>2015</v>
      </c>
      <c r="AO2">
        <v>2025</v>
      </c>
      <c r="AP2" t="s">
        <v>13</v>
      </c>
      <c r="AQ2">
        <v>0.09</v>
      </c>
      <c r="AR2">
        <v>0.26</v>
      </c>
      <c r="AS2" t="s">
        <v>13</v>
      </c>
      <c r="AT2">
        <v>0.26</v>
      </c>
      <c r="AU2" t="s">
        <v>1492</v>
      </c>
    </row>
    <row r="3" spans="1:48" customFormat="1">
      <c r="A3" s="1">
        <v>1</v>
      </c>
      <c r="B3" t="s">
        <v>1889</v>
      </c>
      <c r="C3" t="s">
        <v>361</v>
      </c>
      <c r="D3">
        <f>IF(G3="n","",MIN(X3,AI3,AN3))</f>
        <v>2015</v>
      </c>
      <c r="F3">
        <f t="shared" si="0"/>
        <v>2015</v>
      </c>
      <c r="G3" t="str">
        <f t="shared" si="1"/>
        <v>y</v>
      </c>
      <c r="H3" t="str">
        <f t="shared" si="2"/>
        <v>SBT &amp; RE100</v>
      </c>
      <c r="M3">
        <v>514405</v>
      </c>
      <c r="N3">
        <v>2.8000000000000001E-2</v>
      </c>
      <c r="O3">
        <v>6670</v>
      </c>
      <c r="P3" t="s">
        <v>1894</v>
      </c>
      <c r="Q3">
        <v>-0.32400000000000001</v>
      </c>
      <c r="R3">
        <v>2200000</v>
      </c>
      <c r="S3" t="s">
        <v>9</v>
      </c>
      <c r="T3" t="s">
        <v>88</v>
      </c>
      <c r="U3" t="s">
        <v>127</v>
      </c>
      <c r="V3" t="s">
        <v>1</v>
      </c>
      <c r="W3" t="s">
        <v>1893</v>
      </c>
      <c r="X3">
        <v>2017</v>
      </c>
      <c r="Y3" t="s">
        <v>9</v>
      </c>
      <c r="Z3">
        <v>2015</v>
      </c>
      <c r="AA3">
        <v>2030</v>
      </c>
      <c r="AB3" t="s">
        <v>1892</v>
      </c>
      <c r="AE3" t="s">
        <v>1891</v>
      </c>
      <c r="AF3" t="s">
        <v>942</v>
      </c>
      <c r="AG3" t="s">
        <v>22</v>
      </c>
      <c r="AH3" t="s">
        <v>430</v>
      </c>
      <c r="AI3">
        <v>2016</v>
      </c>
      <c r="AJ3">
        <v>2025</v>
      </c>
      <c r="AK3" t="s">
        <v>20</v>
      </c>
      <c r="AL3" t="s">
        <v>1890</v>
      </c>
      <c r="AM3" t="s">
        <v>1889</v>
      </c>
      <c r="AN3">
        <v>2015</v>
      </c>
      <c r="AO3">
        <v>2025</v>
      </c>
      <c r="AP3" t="s">
        <v>13</v>
      </c>
      <c r="AQ3">
        <v>0.09</v>
      </c>
      <c r="AR3">
        <v>0.26</v>
      </c>
      <c r="AS3" t="s">
        <v>13</v>
      </c>
      <c r="AT3">
        <v>0.26</v>
      </c>
      <c r="AU3" t="s">
        <v>1492</v>
      </c>
    </row>
    <row r="4" spans="1:48" customFormat="1">
      <c r="A4" s="1">
        <v>2</v>
      </c>
      <c r="B4" t="s">
        <v>1887</v>
      </c>
      <c r="C4" t="s">
        <v>1</v>
      </c>
      <c r="D4" t="str">
        <f>IF(G4="n","-",MIN(X4,AI4,AN4))</f>
        <v>-</v>
      </c>
      <c r="E4" t="s">
        <v>9</v>
      </c>
      <c r="F4" t="str">
        <f t="shared" si="0"/>
        <v/>
      </c>
      <c r="G4" t="str">
        <f t="shared" si="1"/>
        <v>n</v>
      </c>
      <c r="H4" t="str">
        <f t="shared" si="2"/>
        <v>None</v>
      </c>
      <c r="I4" t="s">
        <v>71</v>
      </c>
      <c r="J4" t="s">
        <v>105</v>
      </c>
      <c r="M4">
        <v>414649.9</v>
      </c>
      <c r="N4">
        <v>0.26800000000000002</v>
      </c>
      <c r="O4">
        <v>5845</v>
      </c>
      <c r="P4" t="s">
        <v>1888</v>
      </c>
      <c r="Q4">
        <v>2.8010000000000002</v>
      </c>
      <c r="R4">
        <v>619151</v>
      </c>
      <c r="S4">
        <v>1</v>
      </c>
      <c r="T4" t="s">
        <v>88</v>
      </c>
      <c r="U4" t="s">
        <v>73</v>
      </c>
      <c r="V4" t="s">
        <v>1</v>
      </c>
      <c r="W4" t="s">
        <v>9</v>
      </c>
      <c r="X4" t="s">
        <v>9</v>
      </c>
      <c r="Y4" t="s">
        <v>9</v>
      </c>
      <c r="Z4" t="s">
        <v>9</v>
      </c>
      <c r="AA4" t="s">
        <v>9</v>
      </c>
      <c r="AB4">
        <v>0</v>
      </c>
      <c r="AC4">
        <v>0</v>
      </c>
      <c r="AD4">
        <v>0</v>
      </c>
      <c r="AE4">
        <v>0</v>
      </c>
      <c r="AF4">
        <v>0</v>
      </c>
      <c r="AG4">
        <v>0</v>
      </c>
      <c r="AH4">
        <v>0</v>
      </c>
      <c r="AI4">
        <v>0</v>
      </c>
      <c r="AL4">
        <v>0</v>
      </c>
      <c r="AM4" t="s">
        <v>1887</v>
      </c>
    </row>
    <row r="5" spans="1:48" customFormat="1">
      <c r="A5" s="1">
        <v>3</v>
      </c>
      <c r="B5" t="s">
        <v>1882</v>
      </c>
      <c r="C5" t="s">
        <v>1</v>
      </c>
      <c r="D5" t="str">
        <f>IF(G5="n","-",MIN(X5,AI5,AN5))</f>
        <v>-</v>
      </c>
      <c r="E5" t="s">
        <v>9</v>
      </c>
      <c r="F5" t="str">
        <f t="shared" si="0"/>
        <v/>
      </c>
      <c r="G5" t="str">
        <f t="shared" si="1"/>
        <v>n</v>
      </c>
      <c r="H5" t="str">
        <f t="shared" si="2"/>
        <v>None</v>
      </c>
      <c r="I5" t="s">
        <v>71</v>
      </c>
      <c r="J5" t="s">
        <v>105</v>
      </c>
      <c r="K5" s="7" t="s">
        <v>1886</v>
      </c>
      <c r="M5">
        <v>396556</v>
      </c>
      <c r="N5">
        <v>0.27200000000000002</v>
      </c>
      <c r="O5">
        <v>23352</v>
      </c>
      <c r="P5" t="s">
        <v>1885</v>
      </c>
      <c r="Q5">
        <v>0.79900000000000004</v>
      </c>
      <c r="R5">
        <v>81000</v>
      </c>
      <c r="S5">
        <v>2</v>
      </c>
      <c r="T5" t="s">
        <v>88</v>
      </c>
      <c r="U5" t="s">
        <v>96</v>
      </c>
      <c r="V5" t="s">
        <v>1</v>
      </c>
      <c r="W5" t="s">
        <v>967</v>
      </c>
      <c r="X5" t="s">
        <v>9</v>
      </c>
      <c r="Y5">
        <v>2018</v>
      </c>
      <c r="Z5" t="s">
        <v>9</v>
      </c>
      <c r="AA5">
        <v>2050</v>
      </c>
      <c r="AB5" t="s">
        <v>1884</v>
      </c>
      <c r="AC5">
        <v>0</v>
      </c>
      <c r="AD5">
        <v>0</v>
      </c>
      <c r="AE5" t="s">
        <v>1883</v>
      </c>
      <c r="AF5">
        <v>0</v>
      </c>
      <c r="AG5">
        <v>0</v>
      </c>
      <c r="AH5">
        <v>0</v>
      </c>
      <c r="AI5">
        <v>0</v>
      </c>
      <c r="AL5">
        <v>0</v>
      </c>
      <c r="AM5" t="s">
        <v>1882</v>
      </c>
    </row>
    <row r="6" spans="1:48" customFormat="1">
      <c r="A6" s="1">
        <v>4</v>
      </c>
      <c r="B6" t="s">
        <v>1880</v>
      </c>
      <c r="C6" t="s">
        <v>1</v>
      </c>
      <c r="D6" t="str">
        <f>IF(G6="n","-",MIN(X6,AI6,AN6))</f>
        <v>-</v>
      </c>
      <c r="E6" t="s">
        <v>9</v>
      </c>
      <c r="F6" t="str">
        <f t="shared" si="0"/>
        <v/>
      </c>
      <c r="G6" t="str">
        <f t="shared" si="1"/>
        <v>n</v>
      </c>
      <c r="H6" t="str">
        <f t="shared" si="2"/>
        <v>None</v>
      </c>
      <c r="I6" t="s">
        <v>71</v>
      </c>
      <c r="J6" t="s">
        <v>105</v>
      </c>
      <c r="M6">
        <v>392976.6</v>
      </c>
      <c r="N6">
        <v>0.20499999999999999</v>
      </c>
      <c r="O6">
        <v>2270.5</v>
      </c>
      <c r="P6" t="s">
        <v>1881</v>
      </c>
      <c r="Q6" t="s">
        <v>9</v>
      </c>
      <c r="R6">
        <v>1382401</v>
      </c>
      <c r="S6" t="s">
        <v>9</v>
      </c>
      <c r="T6" t="s">
        <v>180</v>
      </c>
      <c r="U6" t="s">
        <v>73</v>
      </c>
      <c r="V6" t="s">
        <v>1</v>
      </c>
      <c r="W6" t="s">
        <v>9</v>
      </c>
      <c r="X6" t="s">
        <v>9</v>
      </c>
      <c r="Y6" t="s">
        <v>9</v>
      </c>
      <c r="Z6" t="s">
        <v>9</v>
      </c>
      <c r="AA6" t="s">
        <v>9</v>
      </c>
      <c r="AB6">
        <v>0</v>
      </c>
      <c r="AC6">
        <v>0</v>
      </c>
      <c r="AD6">
        <v>0</v>
      </c>
      <c r="AE6">
        <v>0</v>
      </c>
      <c r="AF6">
        <v>0</v>
      </c>
      <c r="AG6">
        <v>0</v>
      </c>
      <c r="AH6">
        <v>0</v>
      </c>
      <c r="AI6">
        <v>0</v>
      </c>
      <c r="AL6">
        <v>0</v>
      </c>
      <c r="AM6" t="s">
        <v>1880</v>
      </c>
    </row>
    <row r="7" spans="1:48" customFormat="1">
      <c r="A7" s="1">
        <v>5</v>
      </c>
      <c r="B7" t="s">
        <v>1877</v>
      </c>
      <c r="C7" t="s">
        <v>1</v>
      </c>
      <c r="D7" t="str">
        <f>IF(G7="n","-",MIN(X7,AI7,AN7))</f>
        <v>-</v>
      </c>
      <c r="E7" t="s">
        <v>9</v>
      </c>
      <c r="F7" t="str">
        <f t="shared" si="0"/>
        <v/>
      </c>
      <c r="G7" t="str">
        <f t="shared" si="1"/>
        <v>n</v>
      </c>
      <c r="H7" t="str">
        <f t="shared" si="2"/>
        <v>None</v>
      </c>
      <c r="I7" t="s">
        <v>71</v>
      </c>
      <c r="J7" t="s">
        <v>265</v>
      </c>
      <c r="M7">
        <v>387056</v>
      </c>
      <c r="N7">
        <v>0.109</v>
      </c>
      <c r="O7">
        <v>8174.8</v>
      </c>
      <c r="P7" t="s">
        <v>1879</v>
      </c>
      <c r="Q7">
        <v>-0.14299999999999999</v>
      </c>
      <c r="R7">
        <v>917717</v>
      </c>
      <c r="S7">
        <v>-3</v>
      </c>
      <c r="T7" t="s">
        <v>180</v>
      </c>
      <c r="U7" t="s">
        <v>73</v>
      </c>
      <c r="V7" t="s">
        <v>1</v>
      </c>
      <c r="W7" t="s">
        <v>9</v>
      </c>
      <c r="X7" t="s">
        <v>9</v>
      </c>
      <c r="Y7" t="s">
        <v>9</v>
      </c>
      <c r="Z7" t="s">
        <v>9</v>
      </c>
      <c r="AA7" t="s">
        <v>9</v>
      </c>
      <c r="AB7">
        <v>0</v>
      </c>
      <c r="AC7">
        <v>0</v>
      </c>
      <c r="AD7">
        <v>0</v>
      </c>
      <c r="AE7" t="s">
        <v>1878</v>
      </c>
      <c r="AF7">
        <v>0</v>
      </c>
      <c r="AG7">
        <v>0</v>
      </c>
      <c r="AH7">
        <v>0</v>
      </c>
      <c r="AI7">
        <v>0</v>
      </c>
      <c r="AL7">
        <v>0</v>
      </c>
      <c r="AM7" t="s">
        <v>1877</v>
      </c>
    </row>
    <row r="8" spans="1:48" customFormat="1">
      <c r="A8" s="6">
        <v>6</v>
      </c>
      <c r="B8" t="s">
        <v>1875</v>
      </c>
      <c r="C8" t="s">
        <v>1</v>
      </c>
      <c r="D8" t="str">
        <f>IF(G8="n","",MIN(X8,-I8,-N8))</f>
        <v/>
      </c>
      <c r="F8" t="str">
        <f t="shared" si="0"/>
        <v/>
      </c>
      <c r="G8" t="str">
        <f t="shared" si="1"/>
        <v>n</v>
      </c>
      <c r="H8" t="str">
        <f t="shared" si="2"/>
        <v>None</v>
      </c>
      <c r="I8" t="s">
        <v>71</v>
      </c>
      <c r="J8" t="s">
        <v>138</v>
      </c>
      <c r="M8">
        <v>355905</v>
      </c>
      <c r="N8">
        <v>0.35299999999999998</v>
      </c>
      <c r="O8">
        <v>110974.5</v>
      </c>
      <c r="P8" t="s">
        <v>1876</v>
      </c>
      <c r="Q8">
        <v>0.46899999999999997</v>
      </c>
      <c r="R8">
        <v>76418</v>
      </c>
      <c r="S8" t="s">
        <v>64</v>
      </c>
      <c r="T8" t="e">
        <v>#N/A</v>
      </c>
      <c r="U8" t="s">
        <v>985</v>
      </c>
      <c r="V8" t="s">
        <v>1</v>
      </c>
      <c r="W8" t="s">
        <v>9</v>
      </c>
      <c r="X8" t="s">
        <v>9</v>
      </c>
      <c r="Y8" t="s">
        <v>9</v>
      </c>
      <c r="Z8" t="s">
        <v>9</v>
      </c>
      <c r="AM8" t="s">
        <v>1875</v>
      </c>
    </row>
    <row r="9" spans="1:48" customFormat="1">
      <c r="A9" s="1">
        <v>7</v>
      </c>
      <c r="B9" t="s">
        <v>1873</v>
      </c>
      <c r="C9" t="s">
        <v>1</v>
      </c>
      <c r="D9" t="str">
        <f>IF(G9="n","-",MIN(X9,AI9,AN9))</f>
        <v>-</v>
      </c>
      <c r="E9" t="s">
        <v>9</v>
      </c>
      <c r="F9" t="str">
        <f t="shared" si="0"/>
        <v/>
      </c>
      <c r="G9" t="str">
        <f t="shared" si="1"/>
        <v>n</v>
      </c>
      <c r="H9" t="str">
        <f t="shared" si="2"/>
        <v>None</v>
      </c>
      <c r="I9" t="s">
        <v>71</v>
      </c>
      <c r="J9" t="s">
        <v>105</v>
      </c>
      <c r="M9">
        <v>303738</v>
      </c>
      <c r="N9">
        <v>0.24199999999999999</v>
      </c>
      <c r="O9">
        <v>9383</v>
      </c>
      <c r="P9" t="s">
        <v>1874</v>
      </c>
      <c r="Q9">
        <v>1.7689999999999999</v>
      </c>
      <c r="R9">
        <v>73000</v>
      </c>
      <c r="S9">
        <v>1</v>
      </c>
      <c r="T9" t="s">
        <v>88</v>
      </c>
      <c r="U9" t="s">
        <v>275</v>
      </c>
      <c r="V9" t="s">
        <v>1</v>
      </c>
      <c r="W9" t="s">
        <v>9</v>
      </c>
      <c r="X9" t="s">
        <v>9</v>
      </c>
      <c r="Y9" t="s">
        <v>9</v>
      </c>
      <c r="Z9" t="s">
        <v>9</v>
      </c>
      <c r="AA9" t="s">
        <v>9</v>
      </c>
      <c r="AB9">
        <v>0</v>
      </c>
      <c r="AC9">
        <v>0</v>
      </c>
      <c r="AD9">
        <v>0</v>
      </c>
      <c r="AE9">
        <v>0</v>
      </c>
      <c r="AF9">
        <v>0</v>
      </c>
      <c r="AG9">
        <v>0</v>
      </c>
      <c r="AH9">
        <v>0</v>
      </c>
      <c r="AI9">
        <v>0</v>
      </c>
      <c r="AL9">
        <v>0</v>
      </c>
      <c r="AM9" t="s">
        <v>1873</v>
      </c>
    </row>
    <row r="10" spans="1:48" customFormat="1">
      <c r="A10" s="1">
        <v>8</v>
      </c>
      <c r="B10" t="s">
        <v>1868</v>
      </c>
      <c r="C10" t="s">
        <v>1</v>
      </c>
      <c r="D10" t="str">
        <f>IF(G10="n","-",MIN(X10,AI10,AN10))</f>
        <v>-</v>
      </c>
      <c r="E10" t="s">
        <v>9</v>
      </c>
      <c r="F10" t="str">
        <f t="shared" si="0"/>
        <v/>
      </c>
      <c r="G10" t="str">
        <f t="shared" si="1"/>
        <v>n</v>
      </c>
      <c r="H10" t="str">
        <f t="shared" si="2"/>
        <v>None</v>
      </c>
      <c r="I10" t="s">
        <v>71</v>
      </c>
      <c r="J10" t="s">
        <v>105</v>
      </c>
      <c r="M10">
        <v>290212</v>
      </c>
      <c r="N10">
        <v>0.188</v>
      </c>
      <c r="O10">
        <v>20840</v>
      </c>
      <c r="P10" t="s">
        <v>1872</v>
      </c>
      <c r="Q10">
        <v>5.7000000000000002E-2</v>
      </c>
      <c r="R10">
        <v>71000</v>
      </c>
      <c r="S10">
        <v>1</v>
      </c>
      <c r="T10" t="s">
        <v>88</v>
      </c>
      <c r="U10" t="s">
        <v>127</v>
      </c>
      <c r="V10" t="s">
        <v>1</v>
      </c>
      <c r="W10" t="s">
        <v>1871</v>
      </c>
      <c r="X10" t="s">
        <v>9</v>
      </c>
      <c r="Y10">
        <v>2018</v>
      </c>
      <c r="Z10">
        <v>2016</v>
      </c>
      <c r="AA10">
        <v>2020</v>
      </c>
      <c r="AB10" t="s">
        <v>1870</v>
      </c>
      <c r="AC10">
        <v>0</v>
      </c>
      <c r="AD10">
        <v>0</v>
      </c>
      <c r="AE10" t="s">
        <v>1869</v>
      </c>
      <c r="AF10">
        <v>0</v>
      </c>
      <c r="AG10">
        <v>0</v>
      </c>
      <c r="AH10">
        <v>0</v>
      </c>
      <c r="AI10">
        <v>0</v>
      </c>
      <c r="AL10">
        <v>0</v>
      </c>
      <c r="AM10" t="s">
        <v>1868</v>
      </c>
    </row>
    <row r="11" spans="1:48" customFormat="1">
      <c r="A11" s="1">
        <v>9</v>
      </c>
      <c r="B11" t="s">
        <v>1863</v>
      </c>
      <c r="C11" t="s">
        <v>1</v>
      </c>
      <c r="D11" t="str">
        <f>IF(G11="n","-",MIN(X11,AI11,AN11))</f>
        <v>-</v>
      </c>
      <c r="E11" t="s">
        <v>9</v>
      </c>
      <c r="F11" t="str">
        <f t="shared" si="0"/>
        <v/>
      </c>
      <c r="G11" t="str">
        <f t="shared" si="1"/>
        <v>n</v>
      </c>
      <c r="H11" t="str">
        <f t="shared" si="2"/>
        <v>CN</v>
      </c>
      <c r="I11" t="s">
        <v>171</v>
      </c>
      <c r="J11" t="s">
        <v>171</v>
      </c>
      <c r="M11">
        <v>278341.5</v>
      </c>
      <c r="N11">
        <v>7.0000000000000007E-2</v>
      </c>
      <c r="O11">
        <v>14322.5</v>
      </c>
      <c r="P11" t="s">
        <v>1867</v>
      </c>
      <c r="Q11">
        <v>9.2999999999999999E-2</v>
      </c>
      <c r="R11">
        <v>664496</v>
      </c>
      <c r="S11">
        <v>-2</v>
      </c>
      <c r="T11" t="s">
        <v>88</v>
      </c>
      <c r="U11" t="s">
        <v>146</v>
      </c>
      <c r="V11" t="s">
        <v>337</v>
      </c>
      <c r="W11" t="s">
        <v>9</v>
      </c>
      <c r="X11">
        <v>2018</v>
      </c>
      <c r="Y11">
        <v>2018</v>
      </c>
      <c r="Z11" t="s">
        <v>9</v>
      </c>
      <c r="AA11">
        <v>2050</v>
      </c>
      <c r="AB11" t="s">
        <v>1866</v>
      </c>
      <c r="AC11">
        <v>0</v>
      </c>
      <c r="AD11" t="s">
        <v>1865</v>
      </c>
      <c r="AE11" t="s">
        <v>1864</v>
      </c>
      <c r="AF11">
        <v>0</v>
      </c>
      <c r="AG11">
        <v>0</v>
      </c>
      <c r="AH11">
        <v>0</v>
      </c>
      <c r="AL11">
        <v>0</v>
      </c>
      <c r="AM11" t="s">
        <v>1863</v>
      </c>
    </row>
    <row r="12" spans="1:48" customFormat="1">
      <c r="A12" s="1">
        <v>10</v>
      </c>
      <c r="B12" t="s">
        <v>1851</v>
      </c>
      <c r="C12" t="s">
        <v>361</v>
      </c>
      <c r="D12">
        <f>IF(G12="n","",MIN(X12,AI12,AN12))</f>
        <v>2016</v>
      </c>
      <c r="F12">
        <f t="shared" si="0"/>
        <v>2016</v>
      </c>
      <c r="G12" t="str">
        <f t="shared" si="1"/>
        <v>y</v>
      </c>
      <c r="H12" t="str">
        <f t="shared" si="2"/>
        <v xml:space="preserve"> SBT</v>
      </c>
      <c r="M12">
        <v>272612</v>
      </c>
      <c r="N12">
        <v>2.8000000000000001E-2</v>
      </c>
      <c r="O12">
        <v>16982</v>
      </c>
      <c r="P12" t="s">
        <v>1856</v>
      </c>
      <c r="Q12">
        <v>-0.246</v>
      </c>
      <c r="R12">
        <v>370870</v>
      </c>
      <c r="S12">
        <v>-4</v>
      </c>
      <c r="T12" t="s">
        <v>88</v>
      </c>
      <c r="U12" t="s">
        <v>207</v>
      </c>
      <c r="W12" t="s">
        <v>572</v>
      </c>
      <c r="X12" t="s">
        <v>9</v>
      </c>
      <c r="Y12" t="s">
        <v>9</v>
      </c>
      <c r="Z12">
        <v>2013</v>
      </c>
      <c r="AA12">
        <v>2030</v>
      </c>
      <c r="AB12" t="s">
        <v>1862</v>
      </c>
      <c r="AE12" t="s">
        <v>1861</v>
      </c>
      <c r="AF12" t="s">
        <v>166</v>
      </c>
      <c r="AG12" t="s">
        <v>165</v>
      </c>
      <c r="AH12" t="s">
        <v>1852</v>
      </c>
      <c r="AI12">
        <v>2016</v>
      </c>
    </row>
    <row r="13" spans="1:48" customFormat="1">
      <c r="A13" s="1">
        <v>10</v>
      </c>
      <c r="B13" t="s">
        <v>1851</v>
      </c>
      <c r="C13" t="s">
        <v>361</v>
      </c>
      <c r="D13">
        <f>IF(G13="n","",MIN(X13,AI13,AN13))</f>
        <v>2016</v>
      </c>
      <c r="F13">
        <f t="shared" si="0"/>
        <v>2016</v>
      </c>
      <c r="G13" t="str">
        <f t="shared" si="1"/>
        <v>y</v>
      </c>
      <c r="H13" t="str">
        <f t="shared" si="2"/>
        <v xml:space="preserve"> SBT</v>
      </c>
      <c r="M13">
        <v>272612</v>
      </c>
      <c r="N13">
        <v>2.8000000000000001E-2</v>
      </c>
      <c r="O13">
        <v>16982</v>
      </c>
      <c r="P13" t="s">
        <v>1856</v>
      </c>
      <c r="Q13">
        <v>-0.246</v>
      </c>
      <c r="R13">
        <v>370870</v>
      </c>
      <c r="S13">
        <v>-4</v>
      </c>
      <c r="T13" t="s">
        <v>88</v>
      </c>
      <c r="U13" t="s">
        <v>207</v>
      </c>
      <c r="W13" t="s">
        <v>1860</v>
      </c>
      <c r="X13" t="s">
        <v>9</v>
      </c>
      <c r="Y13" t="s">
        <v>9</v>
      </c>
      <c r="Z13">
        <v>2013</v>
      </c>
      <c r="AA13">
        <v>2030</v>
      </c>
      <c r="AB13" t="s">
        <v>1859</v>
      </c>
      <c r="AD13" t="s">
        <v>1858</v>
      </c>
      <c r="AE13" t="s">
        <v>1857</v>
      </c>
      <c r="AF13" t="s">
        <v>166</v>
      </c>
      <c r="AG13" t="s">
        <v>165</v>
      </c>
      <c r="AH13" t="s">
        <v>1852</v>
      </c>
      <c r="AI13">
        <v>2016</v>
      </c>
    </row>
    <row r="14" spans="1:48" customFormat="1">
      <c r="A14" s="1">
        <v>10</v>
      </c>
      <c r="B14" t="s">
        <v>1851</v>
      </c>
      <c r="C14" t="s">
        <v>1</v>
      </c>
      <c r="D14">
        <f>IF(G14="n","",MIN(X14,AI14,AN14))</f>
        <v>2015</v>
      </c>
      <c r="F14">
        <f t="shared" si="0"/>
        <v>2016</v>
      </c>
      <c r="G14" t="str">
        <f t="shared" si="1"/>
        <v>y</v>
      </c>
      <c r="H14" t="str">
        <f t="shared" si="2"/>
        <v>CN &amp; SBT</v>
      </c>
      <c r="I14" t="s">
        <v>171</v>
      </c>
      <c r="J14" t="s">
        <v>171</v>
      </c>
      <c r="M14">
        <v>272612</v>
      </c>
      <c r="N14">
        <v>2.8000000000000001E-2</v>
      </c>
      <c r="O14">
        <v>16982</v>
      </c>
      <c r="P14" t="s">
        <v>1856</v>
      </c>
      <c r="Q14">
        <v>-0.246</v>
      </c>
      <c r="R14">
        <v>370870</v>
      </c>
      <c r="S14">
        <v>-4</v>
      </c>
      <c r="T14" t="s">
        <v>88</v>
      </c>
      <c r="U14" t="s">
        <v>207</v>
      </c>
      <c r="V14" t="s">
        <v>337</v>
      </c>
      <c r="W14" t="s">
        <v>9</v>
      </c>
      <c r="X14">
        <v>2015</v>
      </c>
      <c r="Y14" t="s">
        <v>9</v>
      </c>
      <c r="Z14" t="s">
        <v>9</v>
      </c>
      <c r="AA14">
        <v>2050</v>
      </c>
      <c r="AB14" t="s">
        <v>1855</v>
      </c>
      <c r="AC14">
        <v>0</v>
      </c>
      <c r="AD14" t="s">
        <v>1854</v>
      </c>
      <c r="AE14" t="s">
        <v>1853</v>
      </c>
      <c r="AF14" t="s">
        <v>166</v>
      </c>
      <c r="AG14" t="s">
        <v>165</v>
      </c>
      <c r="AH14" t="s">
        <v>1852</v>
      </c>
      <c r="AI14">
        <v>2016</v>
      </c>
      <c r="AL14">
        <v>0</v>
      </c>
      <c r="AM14" t="s">
        <v>1851</v>
      </c>
    </row>
    <row r="15" spans="1:48" customFormat="1">
      <c r="A15" s="1">
        <v>11</v>
      </c>
      <c r="B15" t="s">
        <v>1846</v>
      </c>
      <c r="C15" t="s">
        <v>1</v>
      </c>
      <c r="D15">
        <f>IF(G15="n","",MIN(X15,AI15,AN15))</f>
        <v>2016</v>
      </c>
      <c r="F15">
        <v>2016</v>
      </c>
      <c r="G15" t="s">
        <v>1850</v>
      </c>
      <c r="H15" t="str">
        <f t="shared" si="2"/>
        <v>RE100</v>
      </c>
      <c r="I15" t="s">
        <v>186</v>
      </c>
      <c r="J15" t="s">
        <v>380</v>
      </c>
      <c r="M15">
        <v>265595</v>
      </c>
      <c r="N15">
        <v>0.159</v>
      </c>
      <c r="O15">
        <v>59531</v>
      </c>
      <c r="P15" t="s">
        <v>1849</v>
      </c>
      <c r="Q15">
        <v>0.23100000000000001</v>
      </c>
      <c r="R15">
        <v>132000</v>
      </c>
      <c r="S15" t="s">
        <v>9</v>
      </c>
      <c r="T15" t="s">
        <v>88</v>
      </c>
      <c r="U15" t="s">
        <v>127</v>
      </c>
      <c r="V15" t="s">
        <v>1</v>
      </c>
      <c r="W15" t="s">
        <v>9</v>
      </c>
      <c r="X15" t="s">
        <v>9</v>
      </c>
      <c r="Y15" t="s">
        <v>9</v>
      </c>
      <c r="Z15" t="s">
        <v>9</v>
      </c>
      <c r="AA15" t="s">
        <v>9</v>
      </c>
      <c r="AB15">
        <v>0</v>
      </c>
      <c r="AC15">
        <v>0</v>
      </c>
      <c r="AD15" t="s">
        <v>1848</v>
      </c>
      <c r="AE15" t="s">
        <v>1847</v>
      </c>
      <c r="AF15">
        <v>0</v>
      </c>
      <c r="AG15">
        <v>0</v>
      </c>
      <c r="AH15">
        <v>0</v>
      </c>
      <c r="AL15">
        <v>0</v>
      </c>
      <c r="AM15" t="s">
        <v>1846</v>
      </c>
      <c r="AN15">
        <v>2016</v>
      </c>
      <c r="AO15" t="s">
        <v>1251</v>
      </c>
      <c r="AP15" t="s">
        <v>13</v>
      </c>
      <c r="AQ15">
        <v>0.97</v>
      </c>
      <c r="AR15">
        <v>0.95</v>
      </c>
      <c r="AS15">
        <v>0.93</v>
      </c>
      <c r="AT15" t="s">
        <v>13</v>
      </c>
      <c r="AU15" t="s">
        <v>1492</v>
      </c>
    </row>
    <row r="16" spans="1:48" customFormat="1">
      <c r="A16" s="1">
        <v>12</v>
      </c>
      <c r="B16" t="s">
        <v>1843</v>
      </c>
      <c r="C16" t="s">
        <v>1</v>
      </c>
      <c r="D16" t="str">
        <f t="shared" ref="D16:D21" si="3">IF(G16="n","-",MIN(X16,AI16,AN16))</f>
        <v>-</v>
      </c>
      <c r="E16" t="s">
        <v>9</v>
      </c>
      <c r="F16" t="str">
        <f t="shared" ref="F16:F79" si="4">IF(G16="n","",MIN(IF(V16="Carbon Neutral",X16,"3000"),AI16,IF(AO16&gt;2030,"3000",AN16)))</f>
        <v/>
      </c>
      <c r="G16" t="str">
        <f t="shared" ref="G16:G79" si="5">IF( V16="Carbon Neutral", "y",   IF(AI16&gt;1, "y", IF(AND(AO16&lt;=2030, AO16&gt;0),"y","n" )    )       )</f>
        <v>n</v>
      </c>
      <c r="H16" t="str">
        <f t="shared" si="2"/>
        <v>None</v>
      </c>
      <c r="I16" t="s">
        <v>76</v>
      </c>
      <c r="J16" t="s">
        <v>488</v>
      </c>
      <c r="M16">
        <v>247837</v>
      </c>
      <c r="N16">
        <v>2.4E-2</v>
      </c>
      <c r="O16">
        <v>4021</v>
      </c>
      <c r="P16" t="s">
        <v>1845</v>
      </c>
      <c r="Q16">
        <v>-0.91100000000000003</v>
      </c>
      <c r="R16">
        <v>389000</v>
      </c>
      <c r="S16">
        <v>-2</v>
      </c>
      <c r="T16" t="s">
        <v>88</v>
      </c>
      <c r="U16" t="s">
        <v>127</v>
      </c>
      <c r="V16" t="s">
        <v>1</v>
      </c>
      <c r="W16" t="s">
        <v>9</v>
      </c>
      <c r="X16" t="s">
        <v>9</v>
      </c>
      <c r="Y16" t="s">
        <v>9</v>
      </c>
      <c r="Z16" t="s">
        <v>9</v>
      </c>
      <c r="AA16" t="s">
        <v>9</v>
      </c>
      <c r="AB16">
        <v>0</v>
      </c>
      <c r="AC16">
        <v>0</v>
      </c>
      <c r="AD16" t="s">
        <v>1844</v>
      </c>
      <c r="AE16">
        <v>0</v>
      </c>
      <c r="AF16">
        <v>0</v>
      </c>
      <c r="AG16">
        <v>0</v>
      </c>
      <c r="AH16">
        <v>0</v>
      </c>
      <c r="AI16">
        <v>0</v>
      </c>
      <c r="AL16">
        <v>0</v>
      </c>
      <c r="AM16" t="s">
        <v>1843</v>
      </c>
    </row>
    <row r="17" spans="1:39" customFormat="1">
      <c r="A17" s="1">
        <v>13</v>
      </c>
      <c r="B17" t="s">
        <v>1837</v>
      </c>
      <c r="C17" t="s">
        <v>1</v>
      </c>
      <c r="D17" t="str">
        <f t="shared" si="3"/>
        <v>-</v>
      </c>
      <c r="E17" t="s">
        <v>9</v>
      </c>
      <c r="F17" t="str">
        <f t="shared" si="4"/>
        <v/>
      </c>
      <c r="G17" t="str">
        <f t="shared" si="5"/>
        <v>n</v>
      </c>
      <c r="H17" t="str">
        <f t="shared" si="2"/>
        <v>None</v>
      </c>
      <c r="I17" t="s">
        <v>119</v>
      </c>
      <c r="J17" t="s">
        <v>1369</v>
      </c>
      <c r="M17">
        <v>232887</v>
      </c>
      <c r="N17">
        <v>0.309</v>
      </c>
      <c r="O17">
        <v>10073</v>
      </c>
      <c r="P17" t="s">
        <v>1842</v>
      </c>
      <c r="Q17">
        <v>2.3210000000000002</v>
      </c>
      <c r="R17">
        <v>647500</v>
      </c>
      <c r="S17">
        <v>5</v>
      </c>
      <c r="T17" t="s">
        <v>88</v>
      </c>
      <c r="U17" t="s">
        <v>127</v>
      </c>
      <c r="V17" t="s">
        <v>1</v>
      </c>
      <c r="W17" t="s">
        <v>1841</v>
      </c>
      <c r="X17" t="s">
        <v>9</v>
      </c>
      <c r="Y17">
        <v>2019</v>
      </c>
      <c r="Z17" t="s">
        <v>9</v>
      </c>
      <c r="AA17">
        <v>2030</v>
      </c>
      <c r="AB17" t="s">
        <v>1840</v>
      </c>
      <c r="AC17">
        <v>0</v>
      </c>
      <c r="AD17" t="s">
        <v>1839</v>
      </c>
      <c r="AE17" t="s">
        <v>1838</v>
      </c>
      <c r="AF17">
        <v>0</v>
      </c>
      <c r="AG17">
        <v>0</v>
      </c>
      <c r="AH17">
        <v>0</v>
      </c>
      <c r="AI17">
        <v>0</v>
      </c>
      <c r="AL17">
        <v>0</v>
      </c>
      <c r="AM17" t="s">
        <v>1837</v>
      </c>
    </row>
    <row r="18" spans="1:39" customFormat="1">
      <c r="A18" s="1">
        <v>14</v>
      </c>
      <c r="B18" t="s">
        <v>1835</v>
      </c>
      <c r="C18" t="s">
        <v>1</v>
      </c>
      <c r="D18" t="str">
        <f t="shared" si="3"/>
        <v>-</v>
      </c>
      <c r="E18" t="s">
        <v>9</v>
      </c>
      <c r="F18" t="str">
        <f t="shared" si="4"/>
        <v/>
      </c>
      <c r="G18" t="str">
        <f t="shared" si="5"/>
        <v>n</v>
      </c>
      <c r="H18" t="str">
        <f t="shared" si="2"/>
        <v>None</v>
      </c>
      <c r="I18" t="s">
        <v>319</v>
      </c>
      <c r="J18" t="s">
        <v>1068</v>
      </c>
      <c r="M18">
        <v>226247</v>
      </c>
      <c r="N18">
        <v>0.125</v>
      </c>
      <c r="O18">
        <v>11986</v>
      </c>
      <c r="P18" t="s">
        <v>1836</v>
      </c>
      <c r="Q18">
        <v>0.13500000000000001</v>
      </c>
      <c r="R18">
        <v>300000</v>
      </c>
      <c r="S18">
        <v>1</v>
      </c>
      <c r="T18" t="s">
        <v>88</v>
      </c>
      <c r="U18" t="s">
        <v>127</v>
      </c>
      <c r="V18" t="s">
        <v>1</v>
      </c>
      <c r="W18" t="s">
        <v>9</v>
      </c>
      <c r="X18" t="s">
        <v>9</v>
      </c>
      <c r="Y18" t="s">
        <v>9</v>
      </c>
      <c r="Z18" t="s">
        <v>9</v>
      </c>
      <c r="AA18" t="s">
        <v>9</v>
      </c>
      <c r="AB18">
        <v>0</v>
      </c>
      <c r="AC18">
        <v>0</v>
      </c>
      <c r="AD18">
        <v>0</v>
      </c>
      <c r="AE18">
        <v>0</v>
      </c>
      <c r="AF18">
        <v>0</v>
      </c>
      <c r="AG18">
        <v>0</v>
      </c>
      <c r="AH18">
        <v>0</v>
      </c>
      <c r="AI18">
        <v>0</v>
      </c>
      <c r="AL18">
        <v>0</v>
      </c>
      <c r="AM18" t="s">
        <v>1835</v>
      </c>
    </row>
    <row r="19" spans="1:39" customFormat="1">
      <c r="A19" s="1">
        <v>15</v>
      </c>
      <c r="B19" t="s">
        <v>1833</v>
      </c>
      <c r="C19" t="s">
        <v>1</v>
      </c>
      <c r="D19" t="str">
        <f t="shared" si="3"/>
        <v>-</v>
      </c>
      <c r="E19" t="s">
        <v>9</v>
      </c>
      <c r="F19" t="str">
        <f t="shared" si="4"/>
        <v/>
      </c>
      <c r="G19" t="str">
        <f t="shared" si="5"/>
        <v>n</v>
      </c>
      <c r="H19" t="str">
        <f t="shared" si="2"/>
        <v>None</v>
      </c>
      <c r="I19" t="s">
        <v>186</v>
      </c>
      <c r="J19" t="s">
        <v>282</v>
      </c>
      <c r="M19">
        <v>221579.4</v>
      </c>
      <c r="N19">
        <v>4.4999999999999998E-2</v>
      </c>
      <c r="O19">
        <v>39895.199999999997</v>
      </c>
      <c r="P19" t="s">
        <v>1834</v>
      </c>
      <c r="Q19">
        <v>9.0999999999999998E-2</v>
      </c>
      <c r="R19">
        <v>309630</v>
      </c>
      <c r="S19">
        <v>-3</v>
      </c>
      <c r="T19" t="s">
        <v>88</v>
      </c>
      <c r="U19" t="s">
        <v>114</v>
      </c>
      <c r="V19" t="s">
        <v>1</v>
      </c>
      <c r="W19" t="s">
        <v>9</v>
      </c>
      <c r="X19" t="s">
        <v>9</v>
      </c>
      <c r="Y19" t="s">
        <v>9</v>
      </c>
      <c r="Z19" t="s">
        <v>9</v>
      </c>
      <c r="AA19" t="s">
        <v>9</v>
      </c>
      <c r="AB19">
        <v>0</v>
      </c>
      <c r="AC19">
        <v>0</v>
      </c>
      <c r="AD19">
        <v>0</v>
      </c>
      <c r="AE19">
        <v>0</v>
      </c>
      <c r="AF19">
        <v>0</v>
      </c>
      <c r="AG19">
        <v>0</v>
      </c>
      <c r="AH19">
        <v>0</v>
      </c>
      <c r="AI19">
        <v>0</v>
      </c>
      <c r="AL19">
        <v>0</v>
      </c>
      <c r="AM19" t="s">
        <v>1833</v>
      </c>
    </row>
    <row r="20" spans="1:39" customFormat="1">
      <c r="A20" s="1">
        <v>16</v>
      </c>
      <c r="B20" t="s">
        <v>1828</v>
      </c>
      <c r="C20" t="s">
        <v>1</v>
      </c>
      <c r="D20" t="str">
        <f t="shared" si="3"/>
        <v>-</v>
      </c>
      <c r="E20" t="s">
        <v>9</v>
      </c>
      <c r="F20" t="str">
        <f t="shared" si="4"/>
        <v/>
      </c>
      <c r="G20" t="str">
        <f t="shared" si="5"/>
        <v>n</v>
      </c>
      <c r="H20" t="str">
        <f t="shared" si="2"/>
        <v>None</v>
      </c>
      <c r="I20" t="s">
        <v>71</v>
      </c>
      <c r="J20" t="s">
        <v>138</v>
      </c>
      <c r="K20" s="7" t="s">
        <v>1832</v>
      </c>
      <c r="M20">
        <v>219754</v>
      </c>
      <c r="N20">
        <v>6.9000000000000006E-2</v>
      </c>
      <c r="O20">
        <v>3408</v>
      </c>
      <c r="P20" t="s">
        <v>1831</v>
      </c>
      <c r="Q20">
        <v>-0.41</v>
      </c>
      <c r="R20">
        <v>85504</v>
      </c>
      <c r="S20">
        <v>-2</v>
      </c>
      <c r="T20" t="s">
        <v>88</v>
      </c>
      <c r="U20" t="s">
        <v>287</v>
      </c>
      <c r="V20" t="s">
        <v>1</v>
      </c>
      <c r="W20" t="s">
        <v>1830</v>
      </c>
      <c r="X20" t="s">
        <v>9</v>
      </c>
      <c r="Y20">
        <v>2017</v>
      </c>
      <c r="Z20">
        <v>2016</v>
      </c>
      <c r="AA20">
        <v>2020</v>
      </c>
      <c r="AB20" t="s">
        <v>894</v>
      </c>
      <c r="AC20">
        <v>0</v>
      </c>
      <c r="AD20">
        <v>0</v>
      </c>
      <c r="AE20" t="s">
        <v>1829</v>
      </c>
      <c r="AF20">
        <v>0</v>
      </c>
      <c r="AG20">
        <v>0</v>
      </c>
      <c r="AH20">
        <v>0</v>
      </c>
      <c r="AI20">
        <v>0</v>
      </c>
      <c r="AL20">
        <v>0</v>
      </c>
      <c r="AM20" t="s">
        <v>1828</v>
      </c>
    </row>
    <row r="21" spans="1:39" customFormat="1">
      <c r="A21" s="1">
        <v>17</v>
      </c>
      <c r="B21" t="s">
        <v>1826</v>
      </c>
      <c r="C21" t="s">
        <v>1</v>
      </c>
      <c r="D21" t="str">
        <f t="shared" si="3"/>
        <v>-</v>
      </c>
      <c r="E21" t="s">
        <v>9</v>
      </c>
      <c r="F21" t="str">
        <f t="shared" si="4"/>
        <v/>
      </c>
      <c r="G21" t="str">
        <f t="shared" si="5"/>
        <v>n</v>
      </c>
      <c r="H21" t="str">
        <f t="shared" si="2"/>
        <v>None</v>
      </c>
      <c r="I21" t="s">
        <v>319</v>
      </c>
      <c r="J21" t="s">
        <v>318</v>
      </c>
      <c r="M21">
        <v>214319</v>
      </c>
      <c r="N21">
        <v>2.9000000000000001E-2</v>
      </c>
      <c r="O21">
        <v>34</v>
      </c>
      <c r="P21" t="s">
        <v>1827</v>
      </c>
      <c r="Q21">
        <v>-0.49299999999999999</v>
      </c>
      <c r="R21">
        <v>70000</v>
      </c>
      <c r="S21">
        <v>-4</v>
      </c>
      <c r="T21" t="s">
        <v>88</v>
      </c>
      <c r="U21" t="s">
        <v>127</v>
      </c>
      <c r="V21" t="s">
        <v>1</v>
      </c>
      <c r="W21" t="s">
        <v>9</v>
      </c>
      <c r="X21" t="s">
        <v>9</v>
      </c>
      <c r="Y21" t="s">
        <v>9</v>
      </c>
      <c r="Z21" t="s">
        <v>9</v>
      </c>
      <c r="AA21" t="s">
        <v>9</v>
      </c>
      <c r="AB21">
        <v>0</v>
      </c>
      <c r="AC21">
        <v>0</v>
      </c>
      <c r="AD21">
        <v>0</v>
      </c>
      <c r="AE21">
        <v>0</v>
      </c>
      <c r="AF21">
        <v>0</v>
      </c>
      <c r="AG21">
        <v>0</v>
      </c>
      <c r="AH21">
        <v>0</v>
      </c>
      <c r="AI21">
        <v>0</v>
      </c>
      <c r="AL21">
        <v>0</v>
      </c>
      <c r="AM21" t="s">
        <v>1826</v>
      </c>
    </row>
    <row r="22" spans="1:39" customFormat="1">
      <c r="A22" s="1">
        <v>18</v>
      </c>
      <c r="B22" t="s">
        <v>1821</v>
      </c>
      <c r="C22" t="s">
        <v>1</v>
      </c>
      <c r="D22">
        <f>IF(G22="n","",MIN(X22,AI22,AN22))</f>
        <v>2016</v>
      </c>
      <c r="F22">
        <f t="shared" si="4"/>
        <v>2016</v>
      </c>
      <c r="G22" t="str">
        <f t="shared" si="5"/>
        <v>y</v>
      </c>
      <c r="H22" t="str">
        <f t="shared" si="2"/>
        <v>CN &amp; SBT</v>
      </c>
      <c r="I22" t="s">
        <v>171</v>
      </c>
      <c r="J22" t="s">
        <v>171</v>
      </c>
      <c r="M22">
        <v>197515.3</v>
      </c>
      <c r="N22">
        <v>6.6000000000000003E-2</v>
      </c>
      <c r="O22">
        <v>8555</v>
      </c>
      <c r="P22" t="s">
        <v>1825</v>
      </c>
      <c r="Q22">
        <v>-0.27900000000000003</v>
      </c>
      <c r="R22">
        <v>298683</v>
      </c>
      <c r="S22">
        <v>-2</v>
      </c>
      <c r="T22" t="s">
        <v>88</v>
      </c>
      <c r="U22" t="s">
        <v>146</v>
      </c>
      <c r="V22" t="s">
        <v>337</v>
      </c>
      <c r="W22" t="s">
        <v>9</v>
      </c>
      <c r="X22">
        <v>2019</v>
      </c>
      <c r="Y22" t="s">
        <v>9</v>
      </c>
      <c r="Z22" t="s">
        <v>9</v>
      </c>
      <c r="AA22">
        <v>2039</v>
      </c>
      <c r="AB22" t="s">
        <v>1824</v>
      </c>
      <c r="AC22">
        <v>0</v>
      </c>
      <c r="AD22" t="s">
        <v>1823</v>
      </c>
      <c r="AE22" t="s">
        <v>1822</v>
      </c>
      <c r="AF22" t="s">
        <v>166</v>
      </c>
      <c r="AG22" t="s">
        <v>165</v>
      </c>
      <c r="AH22" t="s">
        <v>1568</v>
      </c>
      <c r="AI22">
        <v>2016</v>
      </c>
      <c r="AL22">
        <v>0</v>
      </c>
      <c r="AM22" t="s">
        <v>1821</v>
      </c>
    </row>
    <row r="23" spans="1:39" customFormat="1">
      <c r="A23" s="1">
        <v>19</v>
      </c>
      <c r="B23" t="s">
        <v>1815</v>
      </c>
      <c r="C23" t="s">
        <v>1</v>
      </c>
      <c r="D23">
        <f>IF(G23="n","",MIN(X23,AI23,AN23))</f>
        <v>2018</v>
      </c>
      <c r="F23">
        <f t="shared" si="4"/>
        <v>2018</v>
      </c>
      <c r="G23" t="str">
        <f t="shared" si="5"/>
        <v>y</v>
      </c>
      <c r="H23" t="str">
        <f t="shared" si="2"/>
        <v xml:space="preserve"> SBT</v>
      </c>
      <c r="I23" t="s">
        <v>319</v>
      </c>
      <c r="J23" t="s">
        <v>1820</v>
      </c>
      <c r="M23">
        <v>194579</v>
      </c>
      <c r="N23">
        <v>5.2999999999999999E-2</v>
      </c>
      <c r="O23">
        <v>-594</v>
      </c>
      <c r="P23" t="s">
        <v>1819</v>
      </c>
      <c r="Q23">
        <v>-1.0900000000000001</v>
      </c>
      <c r="R23">
        <v>295000</v>
      </c>
      <c r="S23">
        <v>-2</v>
      </c>
      <c r="T23" t="s">
        <v>88</v>
      </c>
      <c r="U23" t="s">
        <v>127</v>
      </c>
      <c r="V23" t="s">
        <v>1</v>
      </c>
      <c r="W23" t="s">
        <v>1818</v>
      </c>
      <c r="X23" t="s">
        <v>9</v>
      </c>
      <c r="Y23">
        <v>2018</v>
      </c>
      <c r="Z23">
        <v>2010</v>
      </c>
      <c r="AA23">
        <v>2030</v>
      </c>
      <c r="AB23" t="s">
        <v>109</v>
      </c>
      <c r="AC23">
        <v>0</v>
      </c>
      <c r="AD23">
        <v>0</v>
      </c>
      <c r="AE23" t="s">
        <v>1817</v>
      </c>
      <c r="AF23" t="s">
        <v>942</v>
      </c>
      <c r="AG23" t="s">
        <v>22</v>
      </c>
      <c r="AH23" t="s">
        <v>1057</v>
      </c>
      <c r="AI23">
        <v>2018</v>
      </c>
      <c r="AJ23">
        <v>2030</v>
      </c>
      <c r="AK23" t="s">
        <v>1056</v>
      </c>
      <c r="AL23" t="s">
        <v>1816</v>
      </c>
      <c r="AM23" t="s">
        <v>1815</v>
      </c>
    </row>
    <row r="24" spans="1:39" customFormat="1">
      <c r="A24" s="1">
        <v>20</v>
      </c>
      <c r="B24" t="s">
        <v>1813</v>
      </c>
      <c r="C24" t="s">
        <v>1</v>
      </c>
      <c r="D24" t="str">
        <f t="shared" ref="D24:D37" si="6">IF(G24="n","-",MIN(X24,AI24,AN24))</f>
        <v>-</v>
      </c>
      <c r="E24" t="s">
        <v>9</v>
      </c>
      <c r="F24" t="str">
        <f t="shared" si="4"/>
        <v/>
      </c>
      <c r="G24" t="str">
        <f t="shared" si="5"/>
        <v>n</v>
      </c>
      <c r="H24" t="str">
        <f t="shared" si="2"/>
        <v>None</v>
      </c>
      <c r="I24" t="s">
        <v>71</v>
      </c>
      <c r="J24" t="s">
        <v>105</v>
      </c>
      <c r="M24">
        <v>184106</v>
      </c>
      <c r="N24">
        <v>0.23499999999999999</v>
      </c>
      <c r="O24">
        <v>11446</v>
      </c>
      <c r="P24" t="s">
        <v>1814</v>
      </c>
      <c r="Q24">
        <v>0.32600000000000001</v>
      </c>
      <c r="R24">
        <v>104460</v>
      </c>
      <c r="S24">
        <v>8</v>
      </c>
      <c r="T24" t="s">
        <v>88</v>
      </c>
      <c r="U24" t="s">
        <v>63</v>
      </c>
      <c r="V24" t="s">
        <v>1</v>
      </c>
      <c r="W24" t="s">
        <v>9</v>
      </c>
      <c r="X24" t="s">
        <v>9</v>
      </c>
      <c r="Y24" t="s">
        <v>9</v>
      </c>
      <c r="Z24" t="s">
        <v>9</v>
      </c>
      <c r="AA24" t="s">
        <v>9</v>
      </c>
      <c r="AB24">
        <v>0</v>
      </c>
      <c r="AC24">
        <v>0</v>
      </c>
      <c r="AD24">
        <v>0</v>
      </c>
      <c r="AE24">
        <v>0</v>
      </c>
      <c r="AF24">
        <v>0</v>
      </c>
      <c r="AG24">
        <v>0</v>
      </c>
      <c r="AH24">
        <v>0</v>
      </c>
      <c r="AI24">
        <v>0</v>
      </c>
      <c r="AL24">
        <v>0</v>
      </c>
      <c r="AM24" t="s">
        <v>1813</v>
      </c>
    </row>
    <row r="25" spans="1:39" customFormat="1">
      <c r="A25" s="1">
        <v>21</v>
      </c>
      <c r="B25" t="s">
        <v>1811</v>
      </c>
      <c r="C25" t="s">
        <v>1</v>
      </c>
      <c r="D25" t="str">
        <f t="shared" si="6"/>
        <v>-</v>
      </c>
      <c r="E25" t="s">
        <v>9</v>
      </c>
      <c r="F25" t="str">
        <f t="shared" si="4"/>
        <v/>
      </c>
      <c r="G25" t="str">
        <f t="shared" si="5"/>
        <v>n</v>
      </c>
      <c r="H25" t="str">
        <f t="shared" si="2"/>
        <v>None</v>
      </c>
      <c r="I25" t="s">
        <v>135</v>
      </c>
      <c r="J25" t="s">
        <v>135</v>
      </c>
      <c r="M25">
        <v>181524.5</v>
      </c>
      <c r="N25">
        <v>0.16300000000000001</v>
      </c>
      <c r="O25">
        <v>3159.5</v>
      </c>
      <c r="P25" t="s">
        <v>1812</v>
      </c>
      <c r="Q25">
        <v>0.18099999999999999</v>
      </c>
      <c r="R25">
        <v>302827</v>
      </c>
      <c r="S25">
        <v>2</v>
      </c>
      <c r="T25" t="s">
        <v>88</v>
      </c>
      <c r="U25" t="s">
        <v>73</v>
      </c>
      <c r="V25" t="s">
        <v>1</v>
      </c>
      <c r="W25" t="s">
        <v>9</v>
      </c>
      <c r="X25" t="s">
        <v>9</v>
      </c>
      <c r="Y25" t="s">
        <v>9</v>
      </c>
      <c r="Z25" t="s">
        <v>9</v>
      </c>
      <c r="AA25" t="s">
        <v>9</v>
      </c>
      <c r="AB25">
        <v>0</v>
      </c>
      <c r="AC25">
        <v>0</v>
      </c>
      <c r="AD25">
        <v>0</v>
      </c>
      <c r="AE25">
        <v>0</v>
      </c>
      <c r="AF25">
        <v>0</v>
      </c>
      <c r="AG25">
        <v>0</v>
      </c>
      <c r="AH25">
        <v>0</v>
      </c>
      <c r="AI25">
        <v>0</v>
      </c>
      <c r="AL25">
        <v>0</v>
      </c>
      <c r="AM25" t="s">
        <v>1811</v>
      </c>
    </row>
    <row r="26" spans="1:39" customFormat="1">
      <c r="A26" s="1">
        <v>22</v>
      </c>
      <c r="B26" t="s">
        <v>1810</v>
      </c>
      <c r="C26" t="s">
        <v>1</v>
      </c>
      <c r="D26" t="str">
        <f t="shared" si="6"/>
        <v>-</v>
      </c>
      <c r="E26" t="s">
        <v>9</v>
      </c>
      <c r="F26" t="str">
        <f t="shared" si="4"/>
        <v/>
      </c>
      <c r="G26" t="str">
        <f t="shared" si="5"/>
        <v>n</v>
      </c>
      <c r="H26" t="str">
        <f t="shared" si="2"/>
        <v>None</v>
      </c>
      <c r="I26" t="s">
        <v>91</v>
      </c>
      <c r="J26" t="s">
        <v>90</v>
      </c>
      <c r="M26">
        <v>180744.1</v>
      </c>
      <c r="N26">
        <v>0.32500000000000001</v>
      </c>
      <c r="O26">
        <v>849.2</v>
      </c>
      <c r="P26" t="s">
        <v>1809</v>
      </c>
      <c r="Q26">
        <v>2E-3</v>
      </c>
      <c r="R26">
        <v>4316</v>
      </c>
      <c r="S26">
        <v>10</v>
      </c>
      <c r="T26" t="s">
        <v>350</v>
      </c>
      <c r="U26" t="s">
        <v>96</v>
      </c>
      <c r="V26" t="s">
        <v>1</v>
      </c>
      <c r="W26" t="s">
        <v>9</v>
      </c>
      <c r="X26" t="s">
        <v>9</v>
      </c>
      <c r="Y26" t="s">
        <v>9</v>
      </c>
      <c r="Z26" t="s">
        <v>9</v>
      </c>
      <c r="AA26" t="s">
        <v>9</v>
      </c>
      <c r="AB26">
        <v>0</v>
      </c>
      <c r="AC26">
        <v>0</v>
      </c>
      <c r="AD26">
        <v>0</v>
      </c>
      <c r="AE26">
        <v>0</v>
      </c>
      <c r="AF26">
        <v>0</v>
      </c>
      <c r="AG26">
        <v>0</v>
      </c>
      <c r="AH26">
        <v>0</v>
      </c>
      <c r="AI26">
        <v>0</v>
      </c>
      <c r="AL26">
        <v>0</v>
      </c>
      <c r="AM26" t="s">
        <v>1808</v>
      </c>
    </row>
    <row r="27" spans="1:39" customFormat="1">
      <c r="A27" s="1">
        <v>23</v>
      </c>
      <c r="B27" t="s">
        <v>1806</v>
      </c>
      <c r="C27" t="s">
        <v>1</v>
      </c>
      <c r="D27" t="str">
        <f t="shared" si="6"/>
        <v>-</v>
      </c>
      <c r="E27" t="s">
        <v>9</v>
      </c>
      <c r="F27" t="str">
        <f t="shared" si="4"/>
        <v/>
      </c>
      <c r="G27" t="str">
        <f t="shared" si="5"/>
        <v>n</v>
      </c>
      <c r="H27" t="str">
        <f t="shared" si="2"/>
        <v>None</v>
      </c>
      <c r="I27" t="s">
        <v>186</v>
      </c>
      <c r="J27" t="s">
        <v>282</v>
      </c>
      <c r="M27">
        <v>175617</v>
      </c>
      <c r="N27">
        <v>0.13500000000000001</v>
      </c>
      <c r="O27">
        <v>4281.6000000000004</v>
      </c>
      <c r="P27" t="s">
        <v>1807</v>
      </c>
      <c r="Q27">
        <v>-6.0999999999999999E-2</v>
      </c>
      <c r="R27">
        <v>667680</v>
      </c>
      <c r="S27">
        <v>1</v>
      </c>
      <c r="T27" t="s">
        <v>88</v>
      </c>
      <c r="U27" t="s">
        <v>103</v>
      </c>
      <c r="V27" t="s">
        <v>1</v>
      </c>
      <c r="W27" t="s">
        <v>9</v>
      </c>
      <c r="X27" t="s">
        <v>9</v>
      </c>
      <c r="Y27" t="s">
        <v>9</v>
      </c>
      <c r="Z27" t="s">
        <v>9</v>
      </c>
      <c r="AA27" t="s">
        <v>9</v>
      </c>
      <c r="AB27">
        <v>0</v>
      </c>
      <c r="AC27">
        <v>0</v>
      </c>
      <c r="AD27">
        <v>0</v>
      </c>
      <c r="AE27">
        <v>0</v>
      </c>
      <c r="AF27">
        <v>0</v>
      </c>
      <c r="AG27">
        <v>0</v>
      </c>
      <c r="AH27">
        <v>0</v>
      </c>
      <c r="AI27">
        <v>0</v>
      </c>
      <c r="AL27">
        <v>0</v>
      </c>
      <c r="AM27" t="s">
        <v>1806</v>
      </c>
    </row>
    <row r="28" spans="1:39" customFormat="1">
      <c r="A28" s="1">
        <v>24</v>
      </c>
      <c r="B28" t="s">
        <v>1804</v>
      </c>
      <c r="C28" t="s">
        <v>1</v>
      </c>
      <c r="D28" t="str">
        <f t="shared" si="6"/>
        <v>-</v>
      </c>
      <c r="E28" t="s">
        <v>9</v>
      </c>
      <c r="F28" t="str">
        <f t="shared" si="4"/>
        <v/>
      </c>
      <c r="G28" t="str">
        <f t="shared" si="5"/>
        <v>n</v>
      </c>
      <c r="H28" t="str">
        <f t="shared" si="2"/>
        <v>None</v>
      </c>
      <c r="I28" t="s">
        <v>76</v>
      </c>
      <c r="J28" t="s">
        <v>112</v>
      </c>
      <c r="M28">
        <v>175009.5</v>
      </c>
      <c r="N28">
        <v>8.2000000000000003E-2</v>
      </c>
      <c r="O28">
        <v>1589.7</v>
      </c>
      <c r="P28" t="s">
        <v>1805</v>
      </c>
      <c r="Q28">
        <v>1.2999999999999999E-2</v>
      </c>
      <c r="R28">
        <v>314790</v>
      </c>
      <c r="S28">
        <v>-5</v>
      </c>
      <c r="T28" t="s">
        <v>88</v>
      </c>
      <c r="U28" t="s">
        <v>376</v>
      </c>
      <c r="V28" t="s">
        <v>1</v>
      </c>
      <c r="W28" t="s">
        <v>9</v>
      </c>
      <c r="X28" t="s">
        <v>9</v>
      </c>
      <c r="Y28" t="s">
        <v>9</v>
      </c>
      <c r="Z28" t="s">
        <v>9</v>
      </c>
      <c r="AA28" t="s">
        <v>9</v>
      </c>
      <c r="AB28">
        <v>0</v>
      </c>
      <c r="AC28">
        <v>0</v>
      </c>
      <c r="AD28">
        <v>0</v>
      </c>
      <c r="AE28">
        <v>0</v>
      </c>
      <c r="AF28">
        <v>0</v>
      </c>
      <c r="AG28">
        <v>0</v>
      </c>
      <c r="AH28">
        <v>0</v>
      </c>
      <c r="AI28">
        <v>0</v>
      </c>
      <c r="AL28">
        <v>0</v>
      </c>
      <c r="AM28" t="s">
        <v>1804</v>
      </c>
    </row>
    <row r="29" spans="1:39" customFormat="1">
      <c r="A29" s="1">
        <v>25</v>
      </c>
      <c r="B29" t="s">
        <v>1800</v>
      </c>
      <c r="C29" t="s">
        <v>1</v>
      </c>
      <c r="D29" t="str">
        <f t="shared" si="6"/>
        <v>-</v>
      </c>
      <c r="E29" t="s">
        <v>9</v>
      </c>
      <c r="F29" t="str">
        <f t="shared" si="4"/>
        <v/>
      </c>
      <c r="G29" t="str">
        <f t="shared" si="5"/>
        <v>n</v>
      </c>
      <c r="H29" t="str">
        <f t="shared" si="2"/>
        <v>None</v>
      </c>
      <c r="I29" t="s">
        <v>461</v>
      </c>
      <c r="J29" t="s">
        <v>461</v>
      </c>
      <c r="M29">
        <v>170756</v>
      </c>
      <c r="N29">
        <v>6.4000000000000001E-2</v>
      </c>
      <c r="O29">
        <v>19370</v>
      </c>
      <c r="P29" t="s">
        <v>1803</v>
      </c>
      <c r="Q29">
        <v>-0.34200000000000003</v>
      </c>
      <c r="R29">
        <v>268220</v>
      </c>
      <c r="S29">
        <v>-5</v>
      </c>
      <c r="T29" t="s">
        <v>88</v>
      </c>
      <c r="U29" t="s">
        <v>127</v>
      </c>
      <c r="V29" t="s">
        <v>1</v>
      </c>
      <c r="W29" t="s">
        <v>9</v>
      </c>
      <c r="X29" t="s">
        <v>9</v>
      </c>
      <c r="Y29" t="s">
        <v>9</v>
      </c>
      <c r="Z29" t="s">
        <v>9</v>
      </c>
      <c r="AA29" t="s">
        <v>9</v>
      </c>
      <c r="AB29">
        <v>0</v>
      </c>
      <c r="AC29">
        <v>0</v>
      </c>
      <c r="AD29" t="s">
        <v>1802</v>
      </c>
      <c r="AE29" t="s">
        <v>1801</v>
      </c>
      <c r="AF29">
        <v>0</v>
      </c>
      <c r="AG29">
        <v>0</v>
      </c>
      <c r="AH29">
        <v>0</v>
      </c>
      <c r="AI29">
        <v>0</v>
      </c>
      <c r="AL29">
        <v>0</v>
      </c>
      <c r="AM29" t="s">
        <v>1800</v>
      </c>
    </row>
    <row r="30" spans="1:39" customFormat="1">
      <c r="A30" s="1">
        <v>26</v>
      </c>
      <c r="B30" t="s">
        <v>1799</v>
      </c>
      <c r="C30" t="s">
        <v>1</v>
      </c>
      <c r="D30" t="str">
        <f t="shared" si="6"/>
        <v>-</v>
      </c>
      <c r="E30" t="s">
        <v>9</v>
      </c>
      <c r="F30" t="str">
        <f t="shared" si="4"/>
        <v/>
      </c>
      <c r="G30" t="str">
        <f t="shared" si="5"/>
        <v>n</v>
      </c>
      <c r="H30" t="str">
        <f t="shared" si="2"/>
        <v>None</v>
      </c>
      <c r="I30" t="s">
        <v>76</v>
      </c>
      <c r="J30" t="s">
        <v>80</v>
      </c>
      <c r="M30">
        <v>168979</v>
      </c>
      <c r="N30">
        <v>0.104</v>
      </c>
      <c r="O30">
        <v>45002.3</v>
      </c>
      <c r="P30" t="s">
        <v>1798</v>
      </c>
      <c r="Q30">
        <v>6.3E-2</v>
      </c>
      <c r="R30">
        <v>449296</v>
      </c>
      <c r="S30" t="s">
        <v>9</v>
      </c>
      <c r="T30" t="s">
        <v>88</v>
      </c>
      <c r="U30" t="s">
        <v>73</v>
      </c>
      <c r="V30" t="s">
        <v>1</v>
      </c>
      <c r="W30" t="s">
        <v>9</v>
      </c>
      <c r="X30" t="s">
        <v>9</v>
      </c>
      <c r="Y30" t="s">
        <v>9</v>
      </c>
      <c r="Z30" t="s">
        <v>9</v>
      </c>
      <c r="AA30" t="s">
        <v>9</v>
      </c>
      <c r="AB30">
        <v>0</v>
      </c>
      <c r="AC30">
        <v>0</v>
      </c>
      <c r="AD30">
        <v>0</v>
      </c>
      <c r="AE30">
        <v>0</v>
      </c>
      <c r="AF30">
        <v>0</v>
      </c>
      <c r="AG30">
        <v>0</v>
      </c>
      <c r="AH30">
        <v>0</v>
      </c>
      <c r="AI30">
        <v>0</v>
      </c>
      <c r="AL30">
        <v>0</v>
      </c>
      <c r="AM30" t="s">
        <v>1797</v>
      </c>
    </row>
    <row r="31" spans="1:39" customFormat="1">
      <c r="A31" s="1">
        <v>27</v>
      </c>
      <c r="B31" t="s">
        <v>1795</v>
      </c>
      <c r="C31" t="s">
        <v>1</v>
      </c>
      <c r="D31" t="str">
        <f t="shared" si="6"/>
        <v>-</v>
      </c>
      <c r="E31" t="s">
        <v>9</v>
      </c>
      <c r="F31" t="str">
        <f t="shared" si="4"/>
        <v/>
      </c>
      <c r="G31" t="str">
        <f t="shared" si="5"/>
        <v>n</v>
      </c>
      <c r="H31" t="str">
        <f t="shared" si="2"/>
        <v>None</v>
      </c>
      <c r="I31" t="s">
        <v>319</v>
      </c>
      <c r="J31" t="s">
        <v>318</v>
      </c>
      <c r="M31">
        <v>167939.6</v>
      </c>
      <c r="N31">
        <v>9.7000000000000003E-2</v>
      </c>
      <c r="O31">
        <v>1658.4</v>
      </c>
      <c r="P31" t="s">
        <v>1796</v>
      </c>
      <c r="Q31">
        <v>3.55</v>
      </c>
      <c r="R31">
        <v>20500</v>
      </c>
      <c r="S31">
        <v>-2</v>
      </c>
      <c r="T31" t="s">
        <v>88</v>
      </c>
      <c r="U31" t="s">
        <v>127</v>
      </c>
      <c r="V31" t="s">
        <v>1</v>
      </c>
      <c r="W31" t="s">
        <v>9</v>
      </c>
      <c r="X31" t="s">
        <v>9</v>
      </c>
      <c r="Y31" t="s">
        <v>9</v>
      </c>
      <c r="Z31" t="s">
        <v>9</v>
      </c>
      <c r="AA31" t="s">
        <v>9</v>
      </c>
      <c r="AB31">
        <v>0</v>
      </c>
      <c r="AC31">
        <v>0</v>
      </c>
      <c r="AD31">
        <v>0</v>
      </c>
      <c r="AE31">
        <v>0</v>
      </c>
      <c r="AF31">
        <v>0</v>
      </c>
      <c r="AG31">
        <v>0</v>
      </c>
      <c r="AH31">
        <v>0</v>
      </c>
      <c r="AI31">
        <v>0</v>
      </c>
      <c r="AL31">
        <v>0</v>
      </c>
      <c r="AM31" t="s">
        <v>1795</v>
      </c>
    </row>
    <row r="32" spans="1:39" customFormat="1">
      <c r="A32" s="1">
        <v>28</v>
      </c>
      <c r="B32" t="s">
        <v>1793</v>
      </c>
      <c r="C32" t="s">
        <v>1</v>
      </c>
      <c r="D32" t="str">
        <f t="shared" si="6"/>
        <v>-</v>
      </c>
      <c r="E32" t="s">
        <v>9</v>
      </c>
      <c r="F32" t="str">
        <f t="shared" si="4"/>
        <v/>
      </c>
      <c r="G32" t="str">
        <f t="shared" si="5"/>
        <v>n</v>
      </c>
      <c r="H32" t="str">
        <f t="shared" si="2"/>
        <v>None</v>
      </c>
      <c r="I32" t="s">
        <v>71</v>
      </c>
      <c r="J32" t="s">
        <v>105</v>
      </c>
      <c r="M32">
        <v>166339</v>
      </c>
      <c r="N32">
        <v>0.23599999999999999</v>
      </c>
      <c r="O32">
        <v>14824</v>
      </c>
      <c r="P32" t="s">
        <v>1794</v>
      </c>
      <c r="Q32">
        <v>0.61199999999999999</v>
      </c>
      <c r="R32">
        <v>48600</v>
      </c>
      <c r="S32">
        <v>5</v>
      </c>
      <c r="T32" t="s">
        <v>88</v>
      </c>
      <c r="U32" t="s">
        <v>127</v>
      </c>
      <c r="V32" t="s">
        <v>1</v>
      </c>
      <c r="W32" t="s">
        <v>9</v>
      </c>
      <c r="X32" t="s">
        <v>9</v>
      </c>
      <c r="Y32" t="s">
        <v>9</v>
      </c>
      <c r="Z32" t="s">
        <v>9</v>
      </c>
      <c r="AA32" t="s">
        <v>9</v>
      </c>
      <c r="AB32">
        <v>0</v>
      </c>
      <c r="AC32">
        <v>0</v>
      </c>
      <c r="AD32">
        <v>0</v>
      </c>
      <c r="AE32">
        <v>0</v>
      </c>
      <c r="AF32">
        <v>0</v>
      </c>
      <c r="AG32">
        <v>0</v>
      </c>
      <c r="AH32">
        <v>0</v>
      </c>
      <c r="AI32">
        <v>0</v>
      </c>
      <c r="AL32">
        <v>0</v>
      </c>
      <c r="AM32" t="s">
        <v>1793</v>
      </c>
    </row>
    <row r="33" spans="1:47" customFormat="1">
      <c r="A33" s="1">
        <v>29</v>
      </c>
      <c r="B33" t="s">
        <v>1791</v>
      </c>
      <c r="C33" t="s">
        <v>1</v>
      </c>
      <c r="D33" t="str">
        <f t="shared" si="6"/>
        <v>-</v>
      </c>
      <c r="E33" t="s">
        <v>9</v>
      </c>
      <c r="F33" t="str">
        <f t="shared" si="4"/>
        <v/>
      </c>
      <c r="G33" t="str">
        <f t="shared" si="5"/>
        <v>n</v>
      </c>
      <c r="H33" t="str">
        <f t="shared" si="2"/>
        <v>None</v>
      </c>
      <c r="I33" t="s">
        <v>76</v>
      </c>
      <c r="J33" t="s">
        <v>199</v>
      </c>
      <c r="M33">
        <v>163597.4</v>
      </c>
      <c r="N33">
        <v>0.13500000000000001</v>
      </c>
      <c r="O33">
        <v>16237.2</v>
      </c>
      <c r="P33" t="s">
        <v>1792</v>
      </c>
      <c r="Q33">
        <v>0.23200000000000001</v>
      </c>
      <c r="R33">
        <v>376900</v>
      </c>
      <c r="S33" t="s">
        <v>9</v>
      </c>
      <c r="T33" t="s">
        <v>88</v>
      </c>
      <c r="U33" t="s">
        <v>73</v>
      </c>
      <c r="V33" t="s">
        <v>1</v>
      </c>
      <c r="W33" t="s">
        <v>9</v>
      </c>
      <c r="X33" t="s">
        <v>9</v>
      </c>
      <c r="Y33" t="s">
        <v>9</v>
      </c>
      <c r="Z33" t="s">
        <v>9</v>
      </c>
      <c r="AA33" t="s">
        <v>9</v>
      </c>
      <c r="AB33">
        <v>0</v>
      </c>
      <c r="AC33">
        <v>0</v>
      </c>
      <c r="AD33">
        <v>0</v>
      </c>
      <c r="AE33">
        <v>0</v>
      </c>
      <c r="AF33">
        <v>0</v>
      </c>
      <c r="AG33">
        <v>0</v>
      </c>
      <c r="AH33">
        <v>0</v>
      </c>
      <c r="AI33">
        <v>0</v>
      </c>
      <c r="AL33">
        <v>0</v>
      </c>
      <c r="AM33" t="s">
        <v>1791</v>
      </c>
    </row>
    <row r="34" spans="1:47" customFormat="1">
      <c r="A34" s="1">
        <v>30</v>
      </c>
      <c r="B34" t="s">
        <v>1787</v>
      </c>
      <c r="C34" t="s">
        <v>1</v>
      </c>
      <c r="D34" t="str">
        <f t="shared" si="6"/>
        <v>-</v>
      </c>
      <c r="E34" t="s">
        <v>9</v>
      </c>
      <c r="F34" t="str">
        <f t="shared" si="4"/>
        <v/>
      </c>
      <c r="G34" t="str">
        <f t="shared" si="5"/>
        <v>n</v>
      </c>
      <c r="H34" t="str">
        <f t="shared" si="2"/>
        <v>None</v>
      </c>
      <c r="I34" t="s">
        <v>171</v>
      </c>
      <c r="J34" t="s">
        <v>171</v>
      </c>
      <c r="M34">
        <v>160338</v>
      </c>
      <c r="N34">
        <v>2.3E-2</v>
      </c>
      <c r="O34">
        <v>3677</v>
      </c>
      <c r="P34" t="s">
        <v>1790</v>
      </c>
      <c r="Q34">
        <v>-0.51600000000000001</v>
      </c>
      <c r="R34">
        <v>199000</v>
      </c>
      <c r="S34">
        <v>-8</v>
      </c>
      <c r="T34" t="s">
        <v>88</v>
      </c>
      <c r="U34" t="s">
        <v>127</v>
      </c>
      <c r="V34" t="s">
        <v>1</v>
      </c>
      <c r="W34" t="s">
        <v>9</v>
      </c>
      <c r="X34" t="s">
        <v>9</v>
      </c>
      <c r="Y34" t="s">
        <v>9</v>
      </c>
      <c r="Z34" t="s">
        <v>9</v>
      </c>
      <c r="AA34" t="s">
        <v>9</v>
      </c>
      <c r="AB34">
        <v>0</v>
      </c>
      <c r="AC34">
        <v>0</v>
      </c>
      <c r="AD34" t="s">
        <v>1789</v>
      </c>
      <c r="AE34" t="s">
        <v>1788</v>
      </c>
      <c r="AF34">
        <v>0</v>
      </c>
      <c r="AG34">
        <v>0</v>
      </c>
      <c r="AH34">
        <v>0</v>
      </c>
      <c r="AI34">
        <v>0</v>
      </c>
      <c r="AL34">
        <v>0</v>
      </c>
      <c r="AM34" t="s">
        <v>1787</v>
      </c>
    </row>
    <row r="35" spans="1:47" customFormat="1">
      <c r="A35" s="1">
        <v>31</v>
      </c>
      <c r="B35" t="s">
        <v>1785</v>
      </c>
      <c r="C35" t="s">
        <v>1</v>
      </c>
      <c r="D35" t="str">
        <f t="shared" si="6"/>
        <v>-</v>
      </c>
      <c r="E35" t="s">
        <v>9</v>
      </c>
      <c r="F35" t="str">
        <f t="shared" si="4"/>
        <v/>
      </c>
      <c r="G35" t="str">
        <f t="shared" si="5"/>
        <v>n</v>
      </c>
      <c r="H35" t="str">
        <f t="shared" si="2"/>
        <v>None</v>
      </c>
      <c r="I35" t="s">
        <v>76</v>
      </c>
      <c r="J35" t="s">
        <v>80</v>
      </c>
      <c r="M35">
        <v>151110.79999999999</v>
      </c>
      <c r="N35">
        <v>0.09</v>
      </c>
      <c r="O35">
        <v>38498.400000000001</v>
      </c>
      <c r="P35" t="s">
        <v>1786</v>
      </c>
      <c r="Q35">
        <v>7.3999999999999996E-2</v>
      </c>
      <c r="R35">
        <v>366996</v>
      </c>
      <c r="S35" t="s">
        <v>9</v>
      </c>
      <c r="T35" t="s">
        <v>88</v>
      </c>
      <c r="U35" t="s">
        <v>73</v>
      </c>
      <c r="V35" t="s">
        <v>1</v>
      </c>
      <c r="W35" t="s">
        <v>9</v>
      </c>
      <c r="X35" t="s">
        <v>9</v>
      </c>
      <c r="Y35" t="s">
        <v>9</v>
      </c>
      <c r="Z35" t="s">
        <v>9</v>
      </c>
      <c r="AA35" t="s">
        <v>9</v>
      </c>
      <c r="AB35">
        <v>0</v>
      </c>
      <c r="AC35">
        <v>0</v>
      </c>
      <c r="AD35">
        <v>0</v>
      </c>
      <c r="AE35">
        <v>0</v>
      </c>
      <c r="AF35">
        <v>0</v>
      </c>
      <c r="AG35">
        <v>0</v>
      </c>
      <c r="AH35">
        <v>0</v>
      </c>
      <c r="AI35">
        <v>0</v>
      </c>
      <c r="AL35">
        <v>0</v>
      </c>
      <c r="AM35" t="s">
        <v>1785</v>
      </c>
    </row>
    <row r="36" spans="1:47" customFormat="1">
      <c r="A36" s="1">
        <v>32</v>
      </c>
      <c r="B36" t="s">
        <v>1781</v>
      </c>
      <c r="C36" t="s">
        <v>1</v>
      </c>
      <c r="D36" t="str">
        <f t="shared" si="6"/>
        <v>-</v>
      </c>
      <c r="E36" t="s">
        <v>9</v>
      </c>
      <c r="F36" t="str">
        <f t="shared" si="4"/>
        <v/>
      </c>
      <c r="G36" t="str">
        <f t="shared" si="5"/>
        <v>n</v>
      </c>
      <c r="H36" t="str">
        <f t="shared" si="2"/>
        <v>RE100</v>
      </c>
      <c r="I36" t="s">
        <v>171</v>
      </c>
      <c r="J36" t="s">
        <v>171</v>
      </c>
      <c r="K36" s="7" t="s">
        <v>1784</v>
      </c>
      <c r="L36" t="s">
        <v>1783</v>
      </c>
      <c r="M36">
        <v>147049</v>
      </c>
      <c r="N36">
        <v>-6.5000000000000002E-2</v>
      </c>
      <c r="O36">
        <v>8014</v>
      </c>
      <c r="P36" t="s">
        <v>1782</v>
      </c>
      <c r="Q36" t="s">
        <v>9</v>
      </c>
      <c r="R36">
        <v>173000</v>
      </c>
      <c r="S36">
        <v>-11</v>
      </c>
      <c r="T36" t="s">
        <v>88</v>
      </c>
      <c r="U36" t="s">
        <v>127</v>
      </c>
      <c r="V36" t="s">
        <v>1</v>
      </c>
      <c r="W36" t="s">
        <v>9</v>
      </c>
      <c r="X36" t="s">
        <v>9</v>
      </c>
      <c r="Y36" t="s">
        <v>9</v>
      </c>
      <c r="Z36" t="s">
        <v>9</v>
      </c>
      <c r="AA36" t="s">
        <v>9</v>
      </c>
      <c r="AB36">
        <v>0</v>
      </c>
      <c r="AC36">
        <v>0</v>
      </c>
      <c r="AD36">
        <v>0</v>
      </c>
      <c r="AE36">
        <v>0</v>
      </c>
      <c r="AF36">
        <v>0</v>
      </c>
      <c r="AG36">
        <v>0</v>
      </c>
      <c r="AH36">
        <v>0</v>
      </c>
      <c r="AL36">
        <v>0</v>
      </c>
      <c r="AM36" t="s">
        <v>1781</v>
      </c>
      <c r="AN36">
        <v>2016</v>
      </c>
      <c r="AO36">
        <v>2050</v>
      </c>
      <c r="AP36" t="s">
        <v>13</v>
      </c>
      <c r="AQ36">
        <v>0.05</v>
      </c>
      <c r="AR36">
        <v>0.03</v>
      </c>
      <c r="AS36">
        <v>0.01</v>
      </c>
      <c r="AT36" t="s">
        <v>13</v>
      </c>
      <c r="AU36" t="s">
        <v>1780</v>
      </c>
    </row>
    <row r="37" spans="1:47" customFormat="1">
      <c r="A37" s="1">
        <v>33</v>
      </c>
      <c r="B37" t="s">
        <v>1779</v>
      </c>
      <c r="C37" t="s">
        <v>1</v>
      </c>
      <c r="D37" t="str">
        <f t="shared" si="6"/>
        <v>-</v>
      </c>
      <c r="E37" t="s">
        <v>9</v>
      </c>
      <c r="F37" t="str">
        <f t="shared" si="4"/>
        <v/>
      </c>
      <c r="G37" t="str">
        <f t="shared" si="5"/>
        <v>n</v>
      </c>
      <c r="H37" t="str">
        <f t="shared" si="2"/>
        <v>None</v>
      </c>
      <c r="I37" t="s">
        <v>91</v>
      </c>
      <c r="J37" t="s">
        <v>899</v>
      </c>
      <c r="M37">
        <v>145243.29999999999</v>
      </c>
      <c r="N37">
        <v>1.127</v>
      </c>
      <c r="O37">
        <v>5328</v>
      </c>
      <c r="P37" t="s">
        <v>1778</v>
      </c>
      <c r="Q37">
        <v>5.3999999999999999E-2</v>
      </c>
      <c r="R37">
        <v>79994</v>
      </c>
      <c r="S37">
        <v>96</v>
      </c>
      <c r="T37" t="s">
        <v>88</v>
      </c>
      <c r="U37" t="s">
        <v>207</v>
      </c>
      <c r="V37" t="s">
        <v>1</v>
      </c>
      <c r="W37" t="s">
        <v>1777</v>
      </c>
      <c r="X37" t="s">
        <v>9</v>
      </c>
      <c r="Y37" t="s">
        <v>9</v>
      </c>
      <c r="Z37">
        <v>2017</v>
      </c>
      <c r="AA37">
        <v>2030</v>
      </c>
      <c r="AB37" t="s">
        <v>1776</v>
      </c>
      <c r="AC37">
        <v>0</v>
      </c>
      <c r="AD37">
        <v>0</v>
      </c>
      <c r="AE37" t="s">
        <v>1775</v>
      </c>
      <c r="AF37">
        <v>0</v>
      </c>
      <c r="AG37">
        <v>0</v>
      </c>
      <c r="AH37">
        <v>0</v>
      </c>
      <c r="AI37">
        <v>0</v>
      </c>
      <c r="AL37">
        <v>0</v>
      </c>
      <c r="AM37" t="s">
        <v>1774</v>
      </c>
    </row>
    <row r="38" spans="1:47" customFormat="1">
      <c r="A38" s="1">
        <v>34</v>
      </c>
      <c r="B38" t="s">
        <v>1768</v>
      </c>
      <c r="C38" t="s">
        <v>1</v>
      </c>
      <c r="D38">
        <f>IF(G38="n","",MIN(X38,AI38,AN38))</f>
        <v>2015</v>
      </c>
      <c r="E38" t="s">
        <v>1773</v>
      </c>
      <c r="F38">
        <f t="shared" si="4"/>
        <v>2015</v>
      </c>
      <c r="G38" t="str">
        <f t="shared" si="5"/>
        <v>y</v>
      </c>
      <c r="H38" t="str">
        <f t="shared" si="2"/>
        <v xml:space="preserve"> SBT</v>
      </c>
      <c r="I38" t="s">
        <v>171</v>
      </c>
      <c r="J38" t="s">
        <v>171</v>
      </c>
      <c r="M38">
        <v>143302.9</v>
      </c>
      <c r="N38">
        <v>3.4000000000000002E-2</v>
      </c>
      <c r="O38">
        <v>5504.6</v>
      </c>
      <c r="P38" t="s">
        <v>1772</v>
      </c>
      <c r="Q38">
        <v>-0.42399999999999999</v>
      </c>
      <c r="R38">
        <v>219722</v>
      </c>
      <c r="S38">
        <v>-4</v>
      </c>
      <c r="T38" t="s">
        <v>88</v>
      </c>
      <c r="U38" t="s">
        <v>207</v>
      </c>
      <c r="V38" t="s">
        <v>1</v>
      </c>
      <c r="W38" t="s">
        <v>967</v>
      </c>
      <c r="X38" t="s">
        <v>9</v>
      </c>
      <c r="Y38">
        <v>2014</v>
      </c>
      <c r="Z38">
        <v>2000</v>
      </c>
      <c r="AA38">
        <v>2050</v>
      </c>
      <c r="AB38" t="s">
        <v>1771</v>
      </c>
      <c r="AC38">
        <v>0</v>
      </c>
      <c r="AD38" t="s">
        <v>1770</v>
      </c>
      <c r="AE38" t="s">
        <v>1769</v>
      </c>
      <c r="AF38" t="s">
        <v>166</v>
      </c>
      <c r="AG38" t="s">
        <v>165</v>
      </c>
      <c r="AH38" t="s">
        <v>791</v>
      </c>
      <c r="AI38">
        <v>2015</v>
      </c>
      <c r="AL38">
        <v>0</v>
      </c>
      <c r="AM38" t="s">
        <v>1768</v>
      </c>
    </row>
    <row r="39" spans="1:47" customFormat="1">
      <c r="A39" s="1">
        <v>35</v>
      </c>
      <c r="B39" t="s">
        <v>1767</v>
      </c>
      <c r="C39" t="s">
        <v>1</v>
      </c>
      <c r="D39" t="str">
        <f>IF(G39="n","-",MIN(X39,AI39,AN39))</f>
        <v>-</v>
      </c>
      <c r="E39" t="s">
        <v>9</v>
      </c>
      <c r="F39" t="str">
        <f t="shared" si="4"/>
        <v/>
      </c>
      <c r="G39" t="str">
        <f t="shared" si="5"/>
        <v>n</v>
      </c>
      <c r="H39" t="str">
        <f t="shared" si="2"/>
        <v>None</v>
      </c>
      <c r="I39" t="s">
        <v>119</v>
      </c>
      <c r="J39" t="s">
        <v>129</v>
      </c>
      <c r="M39">
        <v>141576</v>
      </c>
      <c r="N39">
        <v>9.7000000000000003E-2</v>
      </c>
      <c r="O39">
        <v>3134</v>
      </c>
      <c r="P39" t="s">
        <v>1766</v>
      </c>
      <c r="Q39">
        <v>0.17</v>
      </c>
      <c r="R39">
        <v>194000</v>
      </c>
      <c r="S39" t="s">
        <v>9</v>
      </c>
      <c r="T39" t="s">
        <v>88</v>
      </c>
      <c r="U39" t="s">
        <v>127</v>
      </c>
      <c r="V39" t="s">
        <v>1</v>
      </c>
      <c r="W39" t="s">
        <v>9</v>
      </c>
      <c r="X39" t="s">
        <v>9</v>
      </c>
      <c r="Y39" t="s">
        <v>9</v>
      </c>
      <c r="Z39" t="s">
        <v>9</v>
      </c>
      <c r="AA39" t="s">
        <v>9</v>
      </c>
      <c r="AB39">
        <v>0</v>
      </c>
      <c r="AC39">
        <v>0</v>
      </c>
      <c r="AD39">
        <v>0</v>
      </c>
      <c r="AE39">
        <v>0</v>
      </c>
      <c r="AF39">
        <v>0</v>
      </c>
      <c r="AG39">
        <v>0</v>
      </c>
      <c r="AH39">
        <v>0</v>
      </c>
      <c r="AI39">
        <v>0</v>
      </c>
      <c r="AL39">
        <v>0</v>
      </c>
      <c r="AM39" t="s">
        <v>1765</v>
      </c>
    </row>
    <row r="40" spans="1:47" customFormat="1">
      <c r="A40" s="1">
        <v>36</v>
      </c>
      <c r="B40" t="s">
        <v>1763</v>
      </c>
      <c r="C40" t="s">
        <v>1</v>
      </c>
      <c r="D40" t="str">
        <f>IF(G40="n","-",MIN(X40,AI40,AN40))</f>
        <v>-</v>
      </c>
      <c r="E40" t="s">
        <v>9</v>
      </c>
      <c r="F40" t="str">
        <f t="shared" si="4"/>
        <v/>
      </c>
      <c r="G40" t="str">
        <f t="shared" si="5"/>
        <v>n</v>
      </c>
      <c r="H40" t="str">
        <f t="shared" si="2"/>
        <v>None</v>
      </c>
      <c r="I40" t="s">
        <v>76</v>
      </c>
      <c r="J40" t="s">
        <v>80</v>
      </c>
      <c r="M40">
        <v>139523.6</v>
      </c>
      <c r="N40">
        <v>0.14000000000000001</v>
      </c>
      <c r="O40">
        <v>30656.5</v>
      </c>
      <c r="P40" t="s">
        <v>1764</v>
      </c>
      <c r="Q40">
        <v>7.3999999999999996E-2</v>
      </c>
      <c r="R40">
        <v>477526</v>
      </c>
      <c r="S40">
        <v>4</v>
      </c>
      <c r="T40" t="s">
        <v>88</v>
      </c>
      <c r="U40" t="s">
        <v>73</v>
      </c>
      <c r="V40" t="s">
        <v>1</v>
      </c>
      <c r="W40" t="s">
        <v>9</v>
      </c>
      <c r="X40" t="s">
        <v>9</v>
      </c>
      <c r="Y40" t="s">
        <v>9</v>
      </c>
      <c r="Z40" t="s">
        <v>9</v>
      </c>
      <c r="AA40" t="s">
        <v>9</v>
      </c>
      <c r="AB40">
        <v>0</v>
      </c>
      <c r="AC40">
        <v>0</v>
      </c>
      <c r="AD40">
        <v>0</v>
      </c>
      <c r="AE40">
        <v>0</v>
      </c>
      <c r="AF40">
        <v>0</v>
      </c>
      <c r="AG40">
        <v>0</v>
      </c>
      <c r="AH40">
        <v>0</v>
      </c>
      <c r="AI40">
        <v>0</v>
      </c>
      <c r="AL40">
        <v>0</v>
      </c>
      <c r="AM40" t="s">
        <v>1763</v>
      </c>
    </row>
    <row r="41" spans="1:47" customFormat="1">
      <c r="A41" s="1">
        <v>37</v>
      </c>
      <c r="B41" t="s">
        <v>1759</v>
      </c>
      <c r="C41" t="s">
        <v>1</v>
      </c>
      <c r="D41">
        <f>IF(G41="n","",MIN(X41,AI41,AN41))</f>
        <v>2007</v>
      </c>
      <c r="F41">
        <f t="shared" si="4"/>
        <v>2007</v>
      </c>
      <c r="G41" t="str">
        <f t="shared" si="5"/>
        <v>y</v>
      </c>
      <c r="H41" t="str">
        <f t="shared" si="2"/>
        <v>CN &amp; RE100</v>
      </c>
      <c r="I41" t="s">
        <v>186</v>
      </c>
      <c r="J41" t="s">
        <v>1369</v>
      </c>
      <c r="M41">
        <v>136819</v>
      </c>
      <c r="N41">
        <v>0.23400000000000001</v>
      </c>
      <c r="O41">
        <v>30736</v>
      </c>
      <c r="P41" t="s">
        <v>1762</v>
      </c>
      <c r="Q41">
        <v>1.427</v>
      </c>
      <c r="R41">
        <v>98771</v>
      </c>
      <c r="S41">
        <v>15</v>
      </c>
      <c r="T41" t="s">
        <v>88</v>
      </c>
      <c r="U41" t="s">
        <v>127</v>
      </c>
      <c r="V41" t="s">
        <v>32</v>
      </c>
      <c r="W41" t="s">
        <v>9</v>
      </c>
      <c r="X41">
        <v>2007</v>
      </c>
      <c r="Y41" t="s">
        <v>9</v>
      </c>
      <c r="Z41" t="s">
        <v>9</v>
      </c>
      <c r="AA41" t="s">
        <v>9</v>
      </c>
      <c r="AB41" t="s">
        <v>1513</v>
      </c>
      <c r="AC41">
        <v>0</v>
      </c>
      <c r="AD41" t="s">
        <v>1761</v>
      </c>
      <c r="AE41" t="s">
        <v>1760</v>
      </c>
      <c r="AF41">
        <v>0</v>
      </c>
      <c r="AG41">
        <v>0</v>
      </c>
      <c r="AH41">
        <v>0</v>
      </c>
      <c r="AL41">
        <v>0</v>
      </c>
      <c r="AM41" t="s">
        <v>1759</v>
      </c>
      <c r="AN41">
        <v>2015</v>
      </c>
      <c r="AO41">
        <v>2017</v>
      </c>
      <c r="AP41" t="s">
        <v>13</v>
      </c>
      <c r="AQ41">
        <v>1</v>
      </c>
      <c r="AR41">
        <v>0.61</v>
      </c>
      <c r="AS41">
        <v>0.48</v>
      </c>
      <c r="AT41">
        <v>0.37</v>
      </c>
      <c r="AU41" t="s">
        <v>1758</v>
      </c>
    </row>
    <row r="42" spans="1:47" customFormat="1">
      <c r="A42" s="1">
        <v>38</v>
      </c>
      <c r="B42" t="s">
        <v>1756</v>
      </c>
      <c r="C42" t="s">
        <v>1</v>
      </c>
      <c r="D42" t="str">
        <f>IF(G42="n","-",MIN(X42,AI42,AN42))</f>
        <v>-</v>
      </c>
      <c r="E42" t="s">
        <v>9</v>
      </c>
      <c r="F42" t="str">
        <f t="shared" si="4"/>
        <v/>
      </c>
      <c r="G42" t="str">
        <f t="shared" si="5"/>
        <v>n</v>
      </c>
      <c r="H42" t="str">
        <f t="shared" si="2"/>
        <v>None</v>
      </c>
      <c r="I42" t="s">
        <v>319</v>
      </c>
      <c r="J42" t="s">
        <v>318</v>
      </c>
      <c r="M42">
        <v>136809</v>
      </c>
      <c r="N42">
        <v>5.2999999999999999E-2</v>
      </c>
      <c r="O42">
        <v>256</v>
      </c>
      <c r="P42" t="s">
        <v>1757</v>
      </c>
      <c r="Q42">
        <v>-0.80100000000000005</v>
      </c>
      <c r="R42">
        <v>50200</v>
      </c>
      <c r="S42">
        <v>-4</v>
      </c>
      <c r="T42" t="s">
        <v>88</v>
      </c>
      <c r="U42" t="s">
        <v>127</v>
      </c>
      <c r="V42" t="s">
        <v>1</v>
      </c>
      <c r="W42" t="s">
        <v>9</v>
      </c>
      <c r="X42" t="s">
        <v>9</v>
      </c>
      <c r="Y42" t="s">
        <v>9</v>
      </c>
      <c r="Z42" t="s">
        <v>9</v>
      </c>
      <c r="AA42" t="s">
        <v>9</v>
      </c>
      <c r="AB42">
        <v>0</v>
      </c>
      <c r="AC42">
        <v>0</v>
      </c>
      <c r="AD42">
        <v>0</v>
      </c>
      <c r="AE42">
        <v>0</v>
      </c>
      <c r="AF42">
        <v>0</v>
      </c>
      <c r="AG42">
        <v>0</v>
      </c>
      <c r="AH42">
        <v>0</v>
      </c>
      <c r="AI42">
        <v>0</v>
      </c>
      <c r="AL42">
        <v>0</v>
      </c>
      <c r="AM42" t="s">
        <v>1756</v>
      </c>
    </row>
    <row r="43" spans="1:47" customFormat="1">
      <c r="A43" s="1">
        <v>39</v>
      </c>
      <c r="B43" t="s">
        <v>1754</v>
      </c>
      <c r="C43" t="s">
        <v>1</v>
      </c>
      <c r="D43" t="str">
        <f>IF(G43="n","-",MIN(X43,AI43,AN43))</f>
        <v>-</v>
      </c>
      <c r="E43" t="s">
        <v>9</v>
      </c>
      <c r="F43" t="str">
        <f t="shared" si="4"/>
        <v/>
      </c>
      <c r="G43" t="str">
        <f t="shared" si="5"/>
        <v>n</v>
      </c>
      <c r="H43" t="str">
        <f t="shared" si="2"/>
        <v>None</v>
      </c>
      <c r="I43" t="s">
        <v>171</v>
      </c>
      <c r="J43" t="s">
        <v>171</v>
      </c>
      <c r="M43">
        <v>136392.5</v>
      </c>
      <c r="N43">
        <v>5.8999999999999997E-2</v>
      </c>
      <c r="O43">
        <v>5443.8</v>
      </c>
      <c r="P43" t="s">
        <v>1755</v>
      </c>
      <c r="Q43">
        <v>6.9000000000000006E-2</v>
      </c>
      <c r="R43">
        <v>147738</v>
      </c>
      <c r="S43">
        <v>-3</v>
      </c>
      <c r="T43" t="s">
        <v>88</v>
      </c>
      <c r="U43" t="s">
        <v>73</v>
      </c>
      <c r="V43" t="s">
        <v>1</v>
      </c>
      <c r="W43" t="s">
        <v>9</v>
      </c>
      <c r="X43" t="s">
        <v>9</v>
      </c>
      <c r="Y43" t="s">
        <v>9</v>
      </c>
      <c r="Z43" t="s">
        <v>9</v>
      </c>
      <c r="AA43" t="s">
        <v>9</v>
      </c>
      <c r="AB43">
        <v>0</v>
      </c>
      <c r="AC43">
        <v>0</v>
      </c>
      <c r="AD43">
        <v>0</v>
      </c>
      <c r="AE43">
        <v>0</v>
      </c>
      <c r="AF43">
        <v>0</v>
      </c>
      <c r="AG43">
        <v>0</v>
      </c>
      <c r="AH43">
        <v>0</v>
      </c>
      <c r="AI43">
        <v>0</v>
      </c>
      <c r="AL43">
        <v>0</v>
      </c>
      <c r="AM43" t="s">
        <v>1754</v>
      </c>
    </row>
    <row r="44" spans="1:47" customFormat="1">
      <c r="A44" s="1">
        <v>40</v>
      </c>
      <c r="B44" t="s">
        <v>1753</v>
      </c>
      <c r="C44" t="s">
        <v>1</v>
      </c>
      <c r="D44" t="str">
        <f>IF(G44="n","-",MIN(X44,AI44,AN44))</f>
        <v>-</v>
      </c>
      <c r="E44" t="s">
        <v>9</v>
      </c>
      <c r="F44" t="str">
        <f t="shared" si="4"/>
        <v/>
      </c>
      <c r="G44" t="str">
        <f t="shared" si="5"/>
        <v>n</v>
      </c>
      <c r="H44" t="str">
        <f t="shared" si="2"/>
        <v>None</v>
      </c>
      <c r="I44" t="s">
        <v>342</v>
      </c>
      <c r="J44" t="s">
        <v>342</v>
      </c>
      <c r="M44">
        <v>131537</v>
      </c>
      <c r="N44">
        <v>0.113</v>
      </c>
      <c r="O44">
        <v>5024</v>
      </c>
      <c r="P44" t="s">
        <v>1752</v>
      </c>
      <c r="Q44">
        <v>0.23200000000000001</v>
      </c>
      <c r="R44">
        <v>299000</v>
      </c>
      <c r="S44">
        <v>3</v>
      </c>
      <c r="T44" t="s">
        <v>88</v>
      </c>
      <c r="U44" t="s">
        <v>127</v>
      </c>
      <c r="V44" t="s">
        <v>1</v>
      </c>
      <c r="W44" t="s">
        <v>9</v>
      </c>
      <c r="X44" t="s">
        <v>9</v>
      </c>
      <c r="Y44" t="s">
        <v>9</v>
      </c>
      <c r="Z44" t="s">
        <v>9</v>
      </c>
      <c r="AA44" t="s">
        <v>9</v>
      </c>
      <c r="AB44">
        <v>0</v>
      </c>
      <c r="AC44">
        <v>0</v>
      </c>
      <c r="AD44" t="s">
        <v>1751</v>
      </c>
      <c r="AE44" t="s">
        <v>1750</v>
      </c>
      <c r="AF44">
        <v>0</v>
      </c>
      <c r="AG44">
        <v>0</v>
      </c>
      <c r="AH44">
        <v>0</v>
      </c>
      <c r="AI44">
        <v>0</v>
      </c>
      <c r="AL44">
        <v>0</v>
      </c>
      <c r="AM44" t="s">
        <v>1749</v>
      </c>
    </row>
    <row r="45" spans="1:47" customFormat="1">
      <c r="A45" s="1">
        <v>41</v>
      </c>
      <c r="B45" t="s">
        <v>1748</v>
      </c>
      <c r="C45" t="s">
        <v>1</v>
      </c>
      <c r="D45">
        <f>IF(G45="n","",MIN(X45,AI45,AN45))</f>
        <v>2017</v>
      </c>
      <c r="F45">
        <f t="shared" si="4"/>
        <v>2017</v>
      </c>
      <c r="G45" t="str">
        <f t="shared" si="5"/>
        <v>y</v>
      </c>
      <c r="H45" t="str">
        <f t="shared" si="2"/>
        <v>RE100</v>
      </c>
      <c r="I45" t="s">
        <v>76</v>
      </c>
      <c r="J45" t="s">
        <v>80</v>
      </c>
      <c r="M45">
        <v>131412</v>
      </c>
      <c r="N45">
        <v>0.154</v>
      </c>
      <c r="O45">
        <v>32474</v>
      </c>
      <c r="P45" t="s">
        <v>1747</v>
      </c>
      <c r="Q45">
        <v>0.32900000000000001</v>
      </c>
      <c r="R45">
        <v>256105</v>
      </c>
      <c r="S45">
        <v>6</v>
      </c>
      <c r="T45" t="s">
        <v>88</v>
      </c>
      <c r="U45" t="s">
        <v>127</v>
      </c>
      <c r="V45" t="s">
        <v>1</v>
      </c>
      <c r="W45" t="s">
        <v>9</v>
      </c>
      <c r="X45" t="s">
        <v>9</v>
      </c>
      <c r="Y45" t="s">
        <v>9</v>
      </c>
      <c r="Z45" t="s">
        <v>9</v>
      </c>
      <c r="AA45" t="s">
        <v>9</v>
      </c>
      <c r="AB45">
        <v>0</v>
      </c>
      <c r="AC45">
        <v>0</v>
      </c>
      <c r="AD45">
        <v>0</v>
      </c>
      <c r="AE45">
        <v>0</v>
      </c>
      <c r="AF45">
        <v>0</v>
      </c>
      <c r="AG45">
        <v>0</v>
      </c>
      <c r="AH45">
        <v>0</v>
      </c>
      <c r="AL45">
        <v>0</v>
      </c>
      <c r="AM45" t="s">
        <v>1746</v>
      </c>
      <c r="AN45">
        <v>2017</v>
      </c>
      <c r="AO45">
        <v>2020</v>
      </c>
      <c r="AP45" t="s">
        <v>13</v>
      </c>
      <c r="AQ45">
        <v>0.11</v>
      </c>
      <c r="AR45">
        <v>0.11</v>
      </c>
      <c r="AS45" t="s">
        <v>13</v>
      </c>
      <c r="AT45" t="s">
        <v>13</v>
      </c>
      <c r="AU45" t="s">
        <v>1745</v>
      </c>
    </row>
    <row r="46" spans="1:47" customFormat="1">
      <c r="A46" s="1">
        <v>42</v>
      </c>
      <c r="B46" t="s">
        <v>1743</v>
      </c>
      <c r="C46" t="s">
        <v>1</v>
      </c>
      <c r="D46" t="str">
        <f>IF(G46="n","-",MIN(X46,AI46,AN46))</f>
        <v>-</v>
      </c>
      <c r="E46" t="s">
        <v>9</v>
      </c>
      <c r="F46" t="str">
        <f t="shared" si="4"/>
        <v/>
      </c>
      <c r="G46" t="str">
        <f t="shared" si="5"/>
        <v>n</v>
      </c>
      <c r="H46" t="str">
        <f t="shared" si="2"/>
        <v>None</v>
      </c>
      <c r="I46" t="s">
        <v>71</v>
      </c>
      <c r="J46" t="s">
        <v>71</v>
      </c>
      <c r="M46">
        <v>131302</v>
      </c>
      <c r="N46">
        <v>0.17299999999999999</v>
      </c>
      <c r="O46">
        <v>23199.1</v>
      </c>
      <c r="P46" t="s">
        <v>1744</v>
      </c>
      <c r="Q46">
        <v>0.89400000000000002</v>
      </c>
      <c r="R46">
        <v>466100</v>
      </c>
      <c r="S46">
        <v>7</v>
      </c>
      <c r="T46" t="s">
        <v>88</v>
      </c>
      <c r="U46" t="s">
        <v>972</v>
      </c>
      <c r="V46" t="s">
        <v>1</v>
      </c>
      <c r="W46" t="s">
        <v>9</v>
      </c>
      <c r="X46" t="s">
        <v>9</v>
      </c>
      <c r="Y46" t="s">
        <v>9</v>
      </c>
      <c r="Z46" t="s">
        <v>9</v>
      </c>
      <c r="AA46" t="s">
        <v>9</v>
      </c>
      <c r="AB46">
        <v>0</v>
      </c>
      <c r="AC46">
        <v>0</v>
      </c>
      <c r="AD46">
        <v>0</v>
      </c>
      <c r="AE46">
        <v>0</v>
      </c>
      <c r="AF46">
        <v>0</v>
      </c>
      <c r="AG46">
        <v>0</v>
      </c>
      <c r="AH46">
        <v>0</v>
      </c>
      <c r="AI46">
        <v>0</v>
      </c>
      <c r="AL46">
        <v>0</v>
      </c>
      <c r="AM46" t="s">
        <v>1743</v>
      </c>
    </row>
    <row r="47" spans="1:47" customFormat="1">
      <c r="A47" s="1">
        <v>43</v>
      </c>
      <c r="B47" t="s">
        <v>1742</v>
      </c>
      <c r="C47" t="s">
        <v>1</v>
      </c>
      <c r="D47" t="str">
        <f>IF(G47="n","-",MIN(X47,AI47,AN47))</f>
        <v>-</v>
      </c>
      <c r="E47" t="s">
        <v>9</v>
      </c>
      <c r="F47" t="str">
        <f t="shared" si="4"/>
        <v/>
      </c>
      <c r="G47" t="str">
        <f t="shared" si="5"/>
        <v>n</v>
      </c>
      <c r="H47" t="str">
        <f t="shared" si="2"/>
        <v>CN</v>
      </c>
      <c r="I47" t="s">
        <v>461</v>
      </c>
      <c r="J47" t="s">
        <v>461</v>
      </c>
      <c r="M47">
        <v>130863</v>
      </c>
      <c r="N47">
        <v>3.7999999999999999E-2</v>
      </c>
      <c r="O47">
        <v>15528</v>
      </c>
      <c r="P47" t="s">
        <v>1741</v>
      </c>
      <c r="Q47">
        <v>-0.48399999999999999</v>
      </c>
      <c r="R47">
        <v>144500</v>
      </c>
      <c r="S47">
        <v>-6</v>
      </c>
      <c r="T47" t="s">
        <v>88</v>
      </c>
      <c r="U47" t="s">
        <v>127</v>
      </c>
      <c r="V47" t="s">
        <v>337</v>
      </c>
      <c r="W47" t="s">
        <v>9</v>
      </c>
      <c r="X47">
        <v>2019</v>
      </c>
      <c r="Y47" t="s">
        <v>9</v>
      </c>
      <c r="Z47" t="s">
        <v>9</v>
      </c>
      <c r="AA47">
        <v>2035</v>
      </c>
      <c r="AB47" t="s">
        <v>109</v>
      </c>
      <c r="AC47">
        <v>0</v>
      </c>
      <c r="AD47" t="s">
        <v>1740</v>
      </c>
      <c r="AE47" t="s">
        <v>1739</v>
      </c>
      <c r="AF47">
        <v>0</v>
      </c>
      <c r="AG47">
        <v>0</v>
      </c>
      <c r="AH47">
        <v>0</v>
      </c>
      <c r="AL47">
        <v>0</v>
      </c>
      <c r="AM47" t="s">
        <v>1738</v>
      </c>
    </row>
    <row r="48" spans="1:47" customFormat="1">
      <c r="A48" s="1">
        <v>44</v>
      </c>
      <c r="B48" t="s">
        <v>1736</v>
      </c>
      <c r="C48" t="s">
        <v>1</v>
      </c>
      <c r="D48" t="str">
        <f>IF(G48="n","-",MIN(X48,AI48,AN48))</f>
        <v>-</v>
      </c>
      <c r="E48" t="s">
        <v>9</v>
      </c>
      <c r="F48" t="str">
        <f t="shared" si="4"/>
        <v/>
      </c>
      <c r="G48" t="str">
        <f t="shared" si="5"/>
        <v>n</v>
      </c>
      <c r="H48" t="str">
        <f t="shared" si="2"/>
        <v>None</v>
      </c>
      <c r="I48" t="s">
        <v>76</v>
      </c>
      <c r="M48">
        <v>127714.1</v>
      </c>
      <c r="N48">
        <v>0.106</v>
      </c>
      <c r="O48">
        <v>27225.200000000001</v>
      </c>
      <c r="P48" t="s">
        <v>1737</v>
      </c>
      <c r="Q48">
        <v>6.7000000000000004E-2</v>
      </c>
      <c r="R48">
        <v>310119</v>
      </c>
      <c r="S48">
        <v>2</v>
      </c>
      <c r="T48" t="s">
        <v>88</v>
      </c>
      <c r="U48" t="s">
        <v>73</v>
      </c>
      <c r="V48" t="s">
        <v>1</v>
      </c>
      <c r="W48" t="s">
        <v>9</v>
      </c>
      <c r="X48" t="s">
        <v>9</v>
      </c>
      <c r="Y48" t="s">
        <v>9</v>
      </c>
      <c r="Z48" t="s">
        <v>9</v>
      </c>
      <c r="AA48" t="s">
        <v>9</v>
      </c>
      <c r="AB48">
        <v>0</v>
      </c>
      <c r="AC48">
        <v>0</v>
      </c>
      <c r="AD48">
        <v>0</v>
      </c>
      <c r="AE48">
        <v>0</v>
      </c>
      <c r="AF48">
        <v>0</v>
      </c>
      <c r="AG48">
        <v>0</v>
      </c>
      <c r="AH48">
        <v>0</v>
      </c>
      <c r="AI48">
        <v>0</v>
      </c>
      <c r="AL48">
        <v>0</v>
      </c>
      <c r="AM48" t="s">
        <v>1736</v>
      </c>
    </row>
    <row r="49" spans="1:47" customFormat="1">
      <c r="A49" s="1">
        <v>45</v>
      </c>
      <c r="B49" t="s">
        <v>1731</v>
      </c>
      <c r="C49" t="s">
        <v>1</v>
      </c>
      <c r="D49">
        <f>IF(G49="n","",MIN(X49,AI49,AN49))</f>
        <v>2012</v>
      </c>
      <c r="F49">
        <f t="shared" si="4"/>
        <v>2012</v>
      </c>
      <c r="G49" t="str">
        <f t="shared" si="5"/>
        <v>y</v>
      </c>
      <c r="H49" t="str">
        <f t="shared" si="2"/>
        <v>CN &amp; SBT</v>
      </c>
      <c r="I49" t="s">
        <v>76</v>
      </c>
      <c r="J49" t="s">
        <v>199</v>
      </c>
      <c r="M49">
        <v>126799.6</v>
      </c>
      <c r="N49">
        <v>2.5999999999999999E-2</v>
      </c>
      <c r="O49">
        <v>8806.4</v>
      </c>
      <c r="P49" t="s">
        <v>1735</v>
      </c>
      <c r="Q49">
        <v>0.14799999999999999</v>
      </c>
      <c r="R49">
        <v>142460</v>
      </c>
      <c r="S49">
        <v>-7</v>
      </c>
      <c r="T49" t="s">
        <v>88</v>
      </c>
      <c r="U49" t="s">
        <v>146</v>
      </c>
      <c r="V49" t="s">
        <v>32</v>
      </c>
      <c r="W49" t="s">
        <v>9</v>
      </c>
      <c r="X49">
        <v>2012</v>
      </c>
      <c r="Y49" t="s">
        <v>9</v>
      </c>
      <c r="Z49" t="s">
        <v>9</v>
      </c>
      <c r="AA49" t="s">
        <v>9</v>
      </c>
      <c r="AB49" t="s">
        <v>1309</v>
      </c>
      <c r="AC49" t="s">
        <v>1734</v>
      </c>
      <c r="AD49" t="s">
        <v>1733</v>
      </c>
      <c r="AE49" t="s">
        <v>1732</v>
      </c>
      <c r="AF49" t="s">
        <v>93</v>
      </c>
      <c r="AG49" t="s">
        <v>165</v>
      </c>
      <c r="AH49" t="s">
        <v>164</v>
      </c>
      <c r="AI49">
        <v>2018</v>
      </c>
      <c r="AL49">
        <v>0</v>
      </c>
      <c r="AM49" t="s">
        <v>1731</v>
      </c>
    </row>
    <row r="50" spans="1:47" customFormat="1">
      <c r="A50" s="1">
        <v>46</v>
      </c>
      <c r="B50" t="s">
        <v>1725</v>
      </c>
      <c r="C50" t="s">
        <v>1</v>
      </c>
      <c r="D50">
        <f>IF(G50="n","",MIN(X50,AI50,AN50))</f>
        <v>2015</v>
      </c>
      <c r="E50" t="s">
        <v>369</v>
      </c>
      <c r="F50">
        <f t="shared" si="4"/>
        <v>2015</v>
      </c>
      <c r="G50" t="str">
        <f t="shared" si="5"/>
        <v>y</v>
      </c>
      <c r="H50" t="str">
        <f t="shared" si="2"/>
        <v>SBT &amp; RE100</v>
      </c>
      <c r="I50" t="s">
        <v>76</v>
      </c>
      <c r="J50" t="s">
        <v>199</v>
      </c>
      <c r="M50">
        <v>125578.2</v>
      </c>
      <c r="N50">
        <v>-0.16</v>
      </c>
      <c r="O50">
        <v>2525.6</v>
      </c>
      <c r="P50" t="s">
        <v>1730</v>
      </c>
      <c r="Q50">
        <v>-0.63900000000000001</v>
      </c>
      <c r="R50">
        <v>104065</v>
      </c>
      <c r="S50">
        <v>-19</v>
      </c>
      <c r="T50" t="s">
        <v>88</v>
      </c>
      <c r="U50" t="s">
        <v>63</v>
      </c>
      <c r="V50" t="s">
        <v>1</v>
      </c>
      <c r="W50" t="s">
        <v>1729</v>
      </c>
      <c r="X50" t="s">
        <v>9</v>
      </c>
      <c r="Y50">
        <v>2013</v>
      </c>
      <c r="Z50">
        <v>2012</v>
      </c>
      <c r="AA50">
        <v>2020</v>
      </c>
      <c r="AB50" t="s">
        <v>52</v>
      </c>
      <c r="AC50" t="s">
        <v>1728</v>
      </c>
      <c r="AD50" t="s">
        <v>1727</v>
      </c>
      <c r="AE50" t="s">
        <v>1726</v>
      </c>
      <c r="AF50" t="s">
        <v>93</v>
      </c>
      <c r="AG50" t="s">
        <v>165</v>
      </c>
      <c r="AH50" t="s">
        <v>791</v>
      </c>
      <c r="AI50">
        <v>2015</v>
      </c>
      <c r="AL50">
        <v>0</v>
      </c>
      <c r="AM50" t="s">
        <v>1725</v>
      </c>
      <c r="AN50">
        <v>2017</v>
      </c>
      <c r="AO50">
        <v>2025</v>
      </c>
      <c r="AP50" t="s">
        <v>13</v>
      </c>
      <c r="AQ50">
        <v>0.5</v>
      </c>
      <c r="AR50">
        <v>0.53</v>
      </c>
      <c r="AS50" t="s">
        <v>13</v>
      </c>
      <c r="AT50" t="s">
        <v>1724</v>
      </c>
    </row>
    <row r="51" spans="1:47" customFormat="1">
      <c r="A51" s="1">
        <v>47</v>
      </c>
      <c r="B51" t="s">
        <v>1722</v>
      </c>
      <c r="C51" t="s">
        <v>1</v>
      </c>
      <c r="D51" t="str">
        <f t="shared" ref="D51:D56" si="7">IF(G51="n","-",MIN(X51,AI51,AN51))</f>
        <v>-</v>
      </c>
      <c r="E51" t="s">
        <v>9</v>
      </c>
      <c r="F51" t="str">
        <f t="shared" si="4"/>
        <v/>
      </c>
      <c r="G51" t="str">
        <f t="shared" si="5"/>
        <v>n</v>
      </c>
      <c r="H51" t="str">
        <f t="shared" si="2"/>
        <v>None</v>
      </c>
      <c r="I51" t="s">
        <v>342</v>
      </c>
      <c r="J51" t="s">
        <v>342</v>
      </c>
      <c r="M51">
        <v>121162</v>
      </c>
      <c r="N51">
        <v>-1.2E-2</v>
      </c>
      <c r="O51">
        <v>3110</v>
      </c>
      <c r="P51" t="s">
        <v>1723</v>
      </c>
      <c r="Q51">
        <v>0.63100000000000001</v>
      </c>
      <c r="R51">
        <v>453000</v>
      </c>
      <c r="S51">
        <v>-8</v>
      </c>
      <c r="T51" t="s">
        <v>88</v>
      </c>
      <c r="U51" t="s">
        <v>127</v>
      </c>
      <c r="V51" t="s">
        <v>1</v>
      </c>
      <c r="W51" t="s">
        <v>9</v>
      </c>
      <c r="X51" t="s">
        <v>9</v>
      </c>
      <c r="Y51" t="s">
        <v>9</v>
      </c>
      <c r="Z51" t="s">
        <v>9</v>
      </c>
      <c r="AA51" t="s">
        <v>9</v>
      </c>
      <c r="AB51">
        <v>0</v>
      </c>
      <c r="AC51">
        <v>0</v>
      </c>
      <c r="AD51">
        <v>0</v>
      </c>
      <c r="AE51">
        <v>0</v>
      </c>
      <c r="AF51">
        <v>0</v>
      </c>
      <c r="AG51">
        <v>0</v>
      </c>
      <c r="AH51">
        <v>0</v>
      </c>
      <c r="AI51">
        <v>0</v>
      </c>
      <c r="AL51">
        <v>0</v>
      </c>
      <c r="AM51" t="s">
        <v>1722</v>
      </c>
    </row>
    <row r="52" spans="1:47" customFormat="1">
      <c r="A52" s="1">
        <v>48</v>
      </c>
      <c r="B52" t="s">
        <v>1720</v>
      </c>
      <c r="C52" t="s">
        <v>1</v>
      </c>
      <c r="D52" t="str">
        <f t="shared" si="7"/>
        <v>-</v>
      </c>
      <c r="E52" t="s">
        <v>9</v>
      </c>
      <c r="F52" t="str">
        <f t="shared" si="4"/>
        <v/>
      </c>
      <c r="G52" t="str">
        <f t="shared" si="5"/>
        <v>n</v>
      </c>
      <c r="H52" t="str">
        <f t="shared" si="2"/>
        <v>None</v>
      </c>
      <c r="I52" t="s">
        <v>283</v>
      </c>
      <c r="J52" t="s">
        <v>495</v>
      </c>
      <c r="M52">
        <v>120268</v>
      </c>
      <c r="N52">
        <v>-1.6E-2</v>
      </c>
      <c r="O52">
        <v>-22355</v>
      </c>
      <c r="P52" t="s">
        <v>1721</v>
      </c>
      <c r="Q52" t="s">
        <v>9</v>
      </c>
      <c r="R52">
        <v>283000</v>
      </c>
      <c r="S52">
        <v>-7</v>
      </c>
      <c r="T52" t="s">
        <v>88</v>
      </c>
      <c r="U52" t="s">
        <v>127</v>
      </c>
      <c r="V52" t="s">
        <v>1</v>
      </c>
      <c r="W52" t="s">
        <v>9</v>
      </c>
      <c r="X52" t="s">
        <v>9</v>
      </c>
      <c r="Y52" t="s">
        <v>9</v>
      </c>
      <c r="Z52" t="s">
        <v>9</v>
      </c>
      <c r="AA52" t="s">
        <v>9</v>
      </c>
      <c r="AB52">
        <v>0</v>
      </c>
      <c r="AC52">
        <v>0</v>
      </c>
      <c r="AD52">
        <v>0</v>
      </c>
      <c r="AE52">
        <v>0</v>
      </c>
      <c r="AF52">
        <v>0</v>
      </c>
      <c r="AG52">
        <v>0</v>
      </c>
      <c r="AH52">
        <v>0</v>
      </c>
      <c r="AI52">
        <v>0</v>
      </c>
      <c r="AL52">
        <v>0</v>
      </c>
      <c r="AM52" t="s">
        <v>1720</v>
      </c>
    </row>
    <row r="53" spans="1:47" customFormat="1">
      <c r="A53" s="1">
        <v>49</v>
      </c>
      <c r="B53" t="s">
        <v>1718</v>
      </c>
      <c r="C53" t="s">
        <v>1</v>
      </c>
      <c r="D53" t="str">
        <f t="shared" si="7"/>
        <v>-</v>
      </c>
      <c r="E53" t="s">
        <v>9</v>
      </c>
      <c r="F53" t="str">
        <f t="shared" si="4"/>
        <v/>
      </c>
      <c r="G53" t="str">
        <f t="shared" si="5"/>
        <v>n</v>
      </c>
      <c r="H53" t="str">
        <f t="shared" si="2"/>
        <v>None</v>
      </c>
      <c r="I53" t="s">
        <v>76</v>
      </c>
      <c r="J53" t="s">
        <v>112</v>
      </c>
      <c r="M53">
        <v>120101</v>
      </c>
      <c r="N53">
        <v>6.9000000000000006E-2</v>
      </c>
      <c r="O53">
        <v>15959</v>
      </c>
      <c r="P53" t="s">
        <v>1719</v>
      </c>
      <c r="Q53">
        <v>5.4790000000000001</v>
      </c>
      <c r="R53">
        <v>7400</v>
      </c>
      <c r="S53">
        <v>-1</v>
      </c>
      <c r="T53" t="s">
        <v>88</v>
      </c>
      <c r="U53" t="s">
        <v>127</v>
      </c>
      <c r="V53" t="s">
        <v>1</v>
      </c>
      <c r="W53" t="s">
        <v>9</v>
      </c>
      <c r="X53" t="s">
        <v>9</v>
      </c>
      <c r="Y53" t="s">
        <v>9</v>
      </c>
      <c r="Z53" t="s">
        <v>9</v>
      </c>
      <c r="AA53" t="s">
        <v>9</v>
      </c>
      <c r="AB53">
        <v>0</v>
      </c>
      <c r="AC53">
        <v>0</v>
      </c>
      <c r="AD53">
        <v>0</v>
      </c>
      <c r="AE53">
        <v>0</v>
      </c>
      <c r="AF53">
        <v>0</v>
      </c>
      <c r="AG53">
        <v>0</v>
      </c>
      <c r="AH53">
        <v>0</v>
      </c>
      <c r="AI53">
        <v>0</v>
      </c>
      <c r="AL53">
        <v>0</v>
      </c>
      <c r="AM53" t="s">
        <v>1718</v>
      </c>
    </row>
    <row r="54" spans="1:47" customFormat="1">
      <c r="A54" s="1">
        <v>50</v>
      </c>
      <c r="B54" t="s">
        <v>1716</v>
      </c>
      <c r="C54" t="s">
        <v>1</v>
      </c>
      <c r="D54" t="str">
        <f t="shared" si="7"/>
        <v>-</v>
      </c>
      <c r="E54" t="s">
        <v>9</v>
      </c>
      <c r="F54" t="str">
        <f t="shared" si="4"/>
        <v/>
      </c>
      <c r="G54" t="str">
        <f t="shared" si="5"/>
        <v>n</v>
      </c>
      <c r="H54" t="str">
        <f t="shared" si="2"/>
        <v>None</v>
      </c>
      <c r="I54" t="s">
        <v>71</v>
      </c>
      <c r="J54" t="s">
        <v>1166</v>
      </c>
      <c r="M54">
        <v>119145</v>
      </c>
      <c r="N54">
        <v>0.26900000000000002</v>
      </c>
      <c r="O54">
        <v>9863.7000000000007</v>
      </c>
      <c r="P54" t="s">
        <v>1717</v>
      </c>
      <c r="Q54">
        <v>0.373</v>
      </c>
      <c r="R54">
        <v>102500</v>
      </c>
      <c r="S54">
        <v>13</v>
      </c>
      <c r="T54" t="s">
        <v>88</v>
      </c>
      <c r="U54" t="s">
        <v>972</v>
      </c>
      <c r="V54" t="s">
        <v>1</v>
      </c>
      <c r="W54" t="s">
        <v>9</v>
      </c>
      <c r="X54" t="s">
        <v>9</v>
      </c>
      <c r="Y54" t="s">
        <v>9</v>
      </c>
      <c r="Z54" t="s">
        <v>9</v>
      </c>
      <c r="AA54" t="s">
        <v>9</v>
      </c>
      <c r="AB54">
        <v>0</v>
      </c>
      <c r="AC54">
        <v>0</v>
      </c>
      <c r="AD54">
        <v>0</v>
      </c>
      <c r="AE54">
        <v>0</v>
      </c>
      <c r="AF54">
        <v>0</v>
      </c>
      <c r="AG54">
        <v>0</v>
      </c>
      <c r="AH54">
        <v>0</v>
      </c>
      <c r="AI54">
        <v>0</v>
      </c>
      <c r="AL54">
        <v>0</v>
      </c>
      <c r="AM54" t="s">
        <v>1716</v>
      </c>
    </row>
    <row r="55" spans="1:47" customFormat="1">
      <c r="A55" s="1">
        <v>51</v>
      </c>
      <c r="B55" t="s">
        <v>1714</v>
      </c>
      <c r="C55" t="s">
        <v>1</v>
      </c>
      <c r="D55" t="str">
        <f t="shared" si="7"/>
        <v>-</v>
      </c>
      <c r="E55" t="s">
        <v>9</v>
      </c>
      <c r="F55" t="str">
        <f t="shared" si="4"/>
        <v/>
      </c>
      <c r="G55" t="str">
        <f t="shared" si="5"/>
        <v>n</v>
      </c>
      <c r="H55" t="str">
        <f t="shared" si="2"/>
        <v>None</v>
      </c>
      <c r="I55" t="s">
        <v>76</v>
      </c>
      <c r="J55" t="s">
        <v>199</v>
      </c>
      <c r="M55">
        <v>116171.5</v>
      </c>
      <c r="N55">
        <v>-3.4000000000000002E-2</v>
      </c>
      <c r="O55">
        <v>-2566.9</v>
      </c>
      <c r="P55" t="s">
        <v>1715</v>
      </c>
      <c r="Q55">
        <v>-10.631</v>
      </c>
      <c r="R55">
        <v>175077</v>
      </c>
      <c r="S55">
        <v>-9</v>
      </c>
      <c r="T55" t="s">
        <v>88</v>
      </c>
      <c r="U55" t="s">
        <v>73</v>
      </c>
      <c r="V55" t="s">
        <v>1</v>
      </c>
      <c r="W55" t="s">
        <v>9</v>
      </c>
      <c r="X55" t="s">
        <v>9</v>
      </c>
      <c r="Y55" t="s">
        <v>9</v>
      </c>
      <c r="Z55" t="s">
        <v>9</v>
      </c>
      <c r="AA55" t="s">
        <v>9</v>
      </c>
      <c r="AB55">
        <v>0</v>
      </c>
      <c r="AC55">
        <v>0</v>
      </c>
      <c r="AD55">
        <v>0</v>
      </c>
      <c r="AE55">
        <v>0</v>
      </c>
      <c r="AF55">
        <v>0</v>
      </c>
      <c r="AG55">
        <v>0</v>
      </c>
      <c r="AH55">
        <v>0</v>
      </c>
      <c r="AI55">
        <v>0</v>
      </c>
      <c r="AL55">
        <v>0</v>
      </c>
      <c r="AM55" t="s">
        <v>1714</v>
      </c>
    </row>
    <row r="56" spans="1:47" customFormat="1">
      <c r="A56" s="1">
        <v>52</v>
      </c>
      <c r="B56" t="s">
        <v>1712</v>
      </c>
      <c r="C56" t="s">
        <v>1</v>
      </c>
      <c r="D56" t="str">
        <f t="shared" si="7"/>
        <v>-</v>
      </c>
      <c r="E56" t="s">
        <v>9</v>
      </c>
      <c r="F56" t="str">
        <f t="shared" si="4"/>
        <v/>
      </c>
      <c r="G56" t="str">
        <f t="shared" si="5"/>
        <v>n</v>
      </c>
      <c r="H56" t="str">
        <f t="shared" si="2"/>
        <v>None</v>
      </c>
      <c r="I56" t="s">
        <v>76</v>
      </c>
      <c r="J56" t="s">
        <v>199</v>
      </c>
      <c r="M56">
        <v>115220.5</v>
      </c>
      <c r="N56">
        <v>-1.2E-2</v>
      </c>
      <c r="O56">
        <v>4324</v>
      </c>
      <c r="P56" t="s">
        <v>1713</v>
      </c>
      <c r="Q56">
        <v>0.04</v>
      </c>
      <c r="R56">
        <v>245922</v>
      </c>
      <c r="S56">
        <v>-7</v>
      </c>
      <c r="T56" t="s">
        <v>88</v>
      </c>
      <c r="U56" t="s">
        <v>207</v>
      </c>
      <c r="V56" t="s">
        <v>1</v>
      </c>
      <c r="W56" t="s">
        <v>9</v>
      </c>
      <c r="X56" t="s">
        <v>9</v>
      </c>
      <c r="Y56" t="s">
        <v>9</v>
      </c>
      <c r="Z56" t="s">
        <v>9</v>
      </c>
      <c r="AA56" t="s">
        <v>9</v>
      </c>
      <c r="AB56">
        <v>0</v>
      </c>
      <c r="AC56">
        <v>0</v>
      </c>
      <c r="AD56">
        <v>0</v>
      </c>
      <c r="AE56">
        <v>0</v>
      </c>
      <c r="AF56">
        <v>0</v>
      </c>
      <c r="AG56">
        <v>0</v>
      </c>
      <c r="AH56">
        <v>0</v>
      </c>
      <c r="AI56">
        <v>0</v>
      </c>
      <c r="AL56">
        <v>0</v>
      </c>
      <c r="AM56" t="s">
        <v>1712</v>
      </c>
    </row>
    <row r="57" spans="1:47" customFormat="1">
      <c r="A57" s="1">
        <v>53</v>
      </c>
      <c r="B57" t="s">
        <v>1711</v>
      </c>
      <c r="C57" t="s">
        <v>1</v>
      </c>
      <c r="D57">
        <f>IF(G57="n","",MIN(X57,AI57,AN57))</f>
        <v>2015</v>
      </c>
      <c r="E57" t="s">
        <v>1175</v>
      </c>
      <c r="F57">
        <f t="shared" si="4"/>
        <v>2015</v>
      </c>
      <c r="G57" t="str">
        <f t="shared" si="5"/>
        <v>y</v>
      </c>
      <c r="H57" t="str">
        <f t="shared" si="2"/>
        <v>RE100</v>
      </c>
      <c r="I57" t="s">
        <v>171</v>
      </c>
      <c r="J57" t="s">
        <v>171</v>
      </c>
      <c r="M57">
        <v>115042.8</v>
      </c>
      <c r="N57">
        <v>3.4000000000000002E-2</v>
      </c>
      <c r="O57">
        <v>8399.2999999999993</v>
      </c>
      <c r="P57" t="s">
        <v>1710</v>
      </c>
      <c r="Q57">
        <v>-0.13600000000000001</v>
      </c>
      <c r="R57">
        <v>134682</v>
      </c>
      <c r="S57">
        <v>-2</v>
      </c>
      <c r="T57" t="s">
        <v>88</v>
      </c>
      <c r="U57" t="s">
        <v>146</v>
      </c>
      <c r="V57" t="s">
        <v>1</v>
      </c>
      <c r="W57" t="s">
        <v>9</v>
      </c>
      <c r="X57" t="s">
        <v>9</v>
      </c>
      <c r="Y57" t="s">
        <v>9</v>
      </c>
      <c r="Z57" t="s">
        <v>9</v>
      </c>
      <c r="AA57" t="s">
        <v>9</v>
      </c>
      <c r="AB57">
        <v>0</v>
      </c>
      <c r="AC57">
        <v>0</v>
      </c>
      <c r="AD57">
        <v>0</v>
      </c>
      <c r="AE57">
        <v>0</v>
      </c>
      <c r="AF57">
        <v>0</v>
      </c>
      <c r="AG57">
        <v>0</v>
      </c>
      <c r="AH57">
        <v>0</v>
      </c>
      <c r="AL57">
        <v>0</v>
      </c>
      <c r="AM57" t="s">
        <v>1709</v>
      </c>
      <c r="AN57">
        <v>2015</v>
      </c>
      <c r="AO57">
        <v>2020</v>
      </c>
      <c r="AP57" t="s">
        <v>1708</v>
      </c>
      <c r="AQ57">
        <v>0.62</v>
      </c>
      <c r="AR57">
        <v>0.67</v>
      </c>
      <c r="AS57">
        <v>0.42</v>
      </c>
      <c r="AT57" t="s">
        <v>1707</v>
      </c>
    </row>
    <row r="58" spans="1:47" customFormat="1">
      <c r="A58" s="1">
        <v>54</v>
      </c>
      <c r="B58" t="s">
        <v>1705</v>
      </c>
      <c r="C58" t="s">
        <v>1</v>
      </c>
      <c r="D58" t="str">
        <f>IF(G58="n","-",MIN(X58,AI58,AN58))</f>
        <v>-</v>
      </c>
      <c r="E58" t="s">
        <v>9</v>
      </c>
      <c r="F58" t="str">
        <f t="shared" si="4"/>
        <v/>
      </c>
      <c r="G58" t="str">
        <f t="shared" si="5"/>
        <v>n</v>
      </c>
      <c r="H58" t="str">
        <f t="shared" si="2"/>
        <v>None</v>
      </c>
      <c r="I58" t="s">
        <v>71</v>
      </c>
      <c r="J58" t="s">
        <v>1166</v>
      </c>
      <c r="M58">
        <v>114217</v>
      </c>
      <c r="N58">
        <v>0.247</v>
      </c>
      <c r="O58">
        <v>5595</v>
      </c>
      <c r="P58" t="s">
        <v>1706</v>
      </c>
      <c r="Q58">
        <v>9.6000000000000002E-2</v>
      </c>
      <c r="R58">
        <v>14200</v>
      </c>
      <c r="S58">
        <v>13</v>
      </c>
      <c r="T58" t="s">
        <v>88</v>
      </c>
      <c r="U58" t="s">
        <v>127</v>
      </c>
      <c r="V58" t="s">
        <v>1</v>
      </c>
      <c r="W58" t="s">
        <v>9</v>
      </c>
      <c r="X58" t="s">
        <v>9</v>
      </c>
      <c r="Y58" t="s">
        <v>9</v>
      </c>
      <c r="Z58" t="s">
        <v>9</v>
      </c>
      <c r="AA58" t="s">
        <v>9</v>
      </c>
      <c r="AB58">
        <v>0</v>
      </c>
      <c r="AC58">
        <v>0</v>
      </c>
      <c r="AD58">
        <v>0</v>
      </c>
      <c r="AE58">
        <v>0</v>
      </c>
      <c r="AF58">
        <v>0</v>
      </c>
      <c r="AG58">
        <v>0</v>
      </c>
      <c r="AH58">
        <v>0</v>
      </c>
      <c r="AI58">
        <v>0</v>
      </c>
      <c r="AL58">
        <v>0</v>
      </c>
      <c r="AM58" t="s">
        <v>1705</v>
      </c>
    </row>
    <row r="59" spans="1:47" customFormat="1">
      <c r="A59" s="1">
        <v>55</v>
      </c>
      <c r="B59" t="s">
        <v>1704</v>
      </c>
      <c r="C59" t="s">
        <v>1</v>
      </c>
      <c r="D59" t="str">
        <f>IF(G59="n","-",MIN(X59,AI59,AN59))</f>
        <v>-</v>
      </c>
      <c r="E59" t="s">
        <v>9</v>
      </c>
      <c r="F59" t="str">
        <f t="shared" si="4"/>
        <v/>
      </c>
      <c r="G59" t="str">
        <f t="shared" si="5"/>
        <v>n</v>
      </c>
      <c r="H59" t="str">
        <f t="shared" si="2"/>
        <v>None</v>
      </c>
      <c r="I59" t="s">
        <v>135</v>
      </c>
      <c r="J59" t="s">
        <v>135</v>
      </c>
      <c r="M59">
        <v>112132.7</v>
      </c>
      <c r="N59">
        <v>9.0999999999999998E-2</v>
      </c>
      <c r="O59">
        <v>1240.9000000000001</v>
      </c>
      <c r="P59" t="s">
        <v>1703</v>
      </c>
      <c r="Q59">
        <v>6.0999999999999999E-2</v>
      </c>
      <c r="R59">
        <v>307992</v>
      </c>
      <c r="S59">
        <v>1</v>
      </c>
      <c r="T59" t="s">
        <v>88</v>
      </c>
      <c r="U59" t="s">
        <v>73</v>
      </c>
      <c r="V59" t="s">
        <v>1</v>
      </c>
      <c r="W59" t="s">
        <v>9</v>
      </c>
      <c r="X59" t="s">
        <v>9</v>
      </c>
      <c r="Y59" t="s">
        <v>9</v>
      </c>
      <c r="Z59" t="s">
        <v>9</v>
      </c>
      <c r="AA59" t="s">
        <v>9</v>
      </c>
      <c r="AB59">
        <v>0</v>
      </c>
      <c r="AC59">
        <v>0</v>
      </c>
      <c r="AD59">
        <v>0</v>
      </c>
      <c r="AE59">
        <v>0</v>
      </c>
      <c r="AF59">
        <v>0</v>
      </c>
      <c r="AG59">
        <v>0</v>
      </c>
      <c r="AH59">
        <v>0</v>
      </c>
      <c r="AI59">
        <v>0</v>
      </c>
      <c r="AL59">
        <v>0</v>
      </c>
      <c r="AM59" t="s">
        <v>1702</v>
      </c>
    </row>
    <row r="60" spans="1:47" customFormat="1">
      <c r="A60" s="1">
        <v>56</v>
      </c>
      <c r="B60" t="s">
        <v>1700</v>
      </c>
      <c r="C60" t="s">
        <v>1</v>
      </c>
      <c r="D60" t="str">
        <f>IF(G60="n","-",MIN(X60,AI60,AN60))</f>
        <v>-</v>
      </c>
      <c r="E60" t="s">
        <v>9</v>
      </c>
      <c r="F60" t="str">
        <f t="shared" si="4"/>
        <v/>
      </c>
      <c r="G60" t="str">
        <f t="shared" si="5"/>
        <v>n</v>
      </c>
      <c r="H60" t="str">
        <f t="shared" si="2"/>
        <v>None</v>
      </c>
      <c r="I60" t="s">
        <v>461</v>
      </c>
      <c r="J60" t="s">
        <v>461</v>
      </c>
      <c r="M60">
        <v>112096</v>
      </c>
      <c r="N60">
        <v>1.7999999999999999E-2</v>
      </c>
      <c r="O60">
        <v>11745.3</v>
      </c>
      <c r="P60" t="s">
        <v>1701</v>
      </c>
      <c r="Q60">
        <v>7.3999999999999996E-2</v>
      </c>
      <c r="R60">
        <v>462046</v>
      </c>
      <c r="S60">
        <v>-3</v>
      </c>
      <c r="T60" t="s">
        <v>88</v>
      </c>
      <c r="U60" t="s">
        <v>73</v>
      </c>
      <c r="V60" t="s">
        <v>1</v>
      </c>
      <c r="W60" t="s">
        <v>9</v>
      </c>
      <c r="X60" t="s">
        <v>9</v>
      </c>
      <c r="Y60" t="s">
        <v>9</v>
      </c>
      <c r="Z60" t="s">
        <v>9</v>
      </c>
      <c r="AA60" t="s">
        <v>9</v>
      </c>
      <c r="AB60">
        <v>0</v>
      </c>
      <c r="AC60">
        <v>0</v>
      </c>
      <c r="AD60">
        <v>0</v>
      </c>
      <c r="AE60">
        <v>0</v>
      </c>
      <c r="AF60">
        <v>0</v>
      </c>
      <c r="AG60">
        <v>0</v>
      </c>
      <c r="AH60">
        <v>0</v>
      </c>
      <c r="AI60">
        <v>0</v>
      </c>
      <c r="AL60">
        <v>0</v>
      </c>
      <c r="AM60" t="s">
        <v>1700</v>
      </c>
    </row>
    <row r="61" spans="1:47" customFormat="1">
      <c r="A61" s="1">
        <v>57</v>
      </c>
      <c r="B61" t="s">
        <v>1698</v>
      </c>
      <c r="C61" t="s">
        <v>1</v>
      </c>
      <c r="D61" t="str">
        <f>IF(G61="n","-",MIN(X61,AI61,AN61))</f>
        <v>-</v>
      </c>
      <c r="E61" t="s">
        <v>9</v>
      </c>
      <c r="F61" t="str">
        <f t="shared" si="4"/>
        <v/>
      </c>
      <c r="G61" t="str">
        <f t="shared" si="5"/>
        <v>n</v>
      </c>
      <c r="H61" t="str">
        <f t="shared" si="2"/>
        <v>None</v>
      </c>
      <c r="I61" t="s">
        <v>71</v>
      </c>
      <c r="J61" t="s">
        <v>1166</v>
      </c>
      <c r="M61">
        <v>111407</v>
      </c>
      <c r="N61">
        <v>0.26</v>
      </c>
      <c r="O61">
        <v>3122</v>
      </c>
      <c r="P61" t="s">
        <v>1699</v>
      </c>
      <c r="Q61">
        <v>-0.23200000000000001</v>
      </c>
      <c r="R61">
        <v>10261</v>
      </c>
      <c r="S61">
        <v>17</v>
      </c>
      <c r="T61" t="s">
        <v>88</v>
      </c>
      <c r="U61" t="s">
        <v>127</v>
      </c>
      <c r="V61" t="s">
        <v>1</v>
      </c>
      <c r="W61" t="s">
        <v>9</v>
      </c>
      <c r="X61" t="s">
        <v>9</v>
      </c>
      <c r="Y61" t="s">
        <v>9</v>
      </c>
      <c r="Z61" t="s">
        <v>9</v>
      </c>
      <c r="AA61" t="s">
        <v>9</v>
      </c>
      <c r="AB61">
        <v>0</v>
      </c>
      <c r="AC61">
        <v>0</v>
      </c>
      <c r="AD61">
        <v>0</v>
      </c>
      <c r="AE61">
        <v>0</v>
      </c>
      <c r="AF61">
        <v>0</v>
      </c>
      <c r="AG61">
        <v>0</v>
      </c>
      <c r="AH61">
        <v>0</v>
      </c>
      <c r="AI61">
        <v>0</v>
      </c>
      <c r="AL61">
        <v>0</v>
      </c>
      <c r="AM61" t="s">
        <v>1698</v>
      </c>
    </row>
    <row r="62" spans="1:47" customFormat="1">
      <c r="A62" s="1">
        <v>58</v>
      </c>
      <c r="B62" t="s">
        <v>1694</v>
      </c>
      <c r="C62" t="s">
        <v>1</v>
      </c>
      <c r="D62">
        <f>IF(G62="n","",MIN(X62,AI62,AN62))</f>
        <v>2016</v>
      </c>
      <c r="F62">
        <f t="shared" si="4"/>
        <v>2016</v>
      </c>
      <c r="G62" t="str">
        <f t="shared" si="5"/>
        <v>y</v>
      </c>
      <c r="H62" t="str">
        <f t="shared" si="2"/>
        <v>CN &amp; RE100</v>
      </c>
      <c r="I62" t="s">
        <v>76</v>
      </c>
      <c r="J62" t="s">
        <v>80</v>
      </c>
      <c r="M62">
        <v>110584</v>
      </c>
      <c r="N62">
        <v>0.10299999999999999</v>
      </c>
      <c r="O62">
        <v>28147</v>
      </c>
      <c r="P62" t="s">
        <v>1697</v>
      </c>
      <c r="Q62">
        <v>0.54400000000000004</v>
      </c>
      <c r="R62">
        <v>204489</v>
      </c>
      <c r="S62">
        <v>2</v>
      </c>
      <c r="T62" t="s">
        <v>88</v>
      </c>
      <c r="U62" t="s">
        <v>127</v>
      </c>
      <c r="V62" t="s">
        <v>32</v>
      </c>
      <c r="W62" t="s">
        <v>9</v>
      </c>
      <c r="X62">
        <v>2016</v>
      </c>
      <c r="Y62" t="s">
        <v>9</v>
      </c>
      <c r="Z62" t="s">
        <v>9</v>
      </c>
      <c r="AA62">
        <v>2020</v>
      </c>
      <c r="AB62" t="s">
        <v>52</v>
      </c>
      <c r="AC62">
        <v>0</v>
      </c>
      <c r="AD62" t="s">
        <v>1696</v>
      </c>
      <c r="AE62" t="s">
        <v>1695</v>
      </c>
      <c r="AF62">
        <v>0</v>
      </c>
      <c r="AG62">
        <v>0</v>
      </c>
      <c r="AH62">
        <v>0</v>
      </c>
      <c r="AL62">
        <v>0</v>
      </c>
      <c r="AM62" t="s">
        <v>1694</v>
      </c>
      <c r="AN62">
        <v>2016</v>
      </c>
      <c r="AO62">
        <v>2020</v>
      </c>
      <c r="AP62" t="s">
        <v>13</v>
      </c>
      <c r="AQ62">
        <v>0.83</v>
      </c>
      <c r="AR62">
        <v>0.64</v>
      </c>
      <c r="AS62">
        <v>2E-3</v>
      </c>
      <c r="AT62" t="s">
        <v>1693</v>
      </c>
    </row>
    <row r="63" spans="1:47" customFormat="1">
      <c r="A63" s="1">
        <v>59</v>
      </c>
      <c r="B63" t="s">
        <v>1691</v>
      </c>
      <c r="C63" t="s">
        <v>1</v>
      </c>
      <c r="D63" t="str">
        <f>IF(G63="n","-",MIN(X63,AI63,AN63))</f>
        <v>-</v>
      </c>
      <c r="E63" t="s">
        <v>9</v>
      </c>
      <c r="F63" t="str">
        <f t="shared" si="4"/>
        <v/>
      </c>
      <c r="G63" t="str">
        <f t="shared" si="5"/>
        <v>n</v>
      </c>
      <c r="H63" t="str">
        <f t="shared" si="2"/>
        <v>None</v>
      </c>
      <c r="I63" t="s">
        <v>135</v>
      </c>
      <c r="J63" t="s">
        <v>135</v>
      </c>
      <c r="M63">
        <v>110455.9</v>
      </c>
      <c r="N63">
        <v>9.5000000000000001E-2</v>
      </c>
      <c r="O63">
        <v>1186.9000000000001</v>
      </c>
      <c r="P63" t="s">
        <v>1692</v>
      </c>
      <c r="Q63">
        <v>-9.2999999999999999E-2</v>
      </c>
      <c r="R63">
        <v>356326</v>
      </c>
      <c r="S63">
        <v>-1</v>
      </c>
      <c r="T63" t="s">
        <v>88</v>
      </c>
      <c r="U63" t="s">
        <v>73</v>
      </c>
      <c r="V63" t="s">
        <v>1</v>
      </c>
      <c r="W63" t="s">
        <v>9</v>
      </c>
      <c r="X63" t="s">
        <v>9</v>
      </c>
      <c r="Y63" t="s">
        <v>9</v>
      </c>
      <c r="Z63" t="s">
        <v>9</v>
      </c>
      <c r="AA63" t="s">
        <v>9</v>
      </c>
      <c r="AB63">
        <v>0</v>
      </c>
      <c r="AC63">
        <v>0</v>
      </c>
      <c r="AD63">
        <v>0</v>
      </c>
      <c r="AE63">
        <v>0</v>
      </c>
      <c r="AF63">
        <v>0</v>
      </c>
      <c r="AG63">
        <v>0</v>
      </c>
      <c r="AH63">
        <v>0</v>
      </c>
      <c r="AI63">
        <v>0</v>
      </c>
      <c r="AL63">
        <v>0</v>
      </c>
      <c r="AM63" t="s">
        <v>1691</v>
      </c>
    </row>
    <row r="64" spans="1:47" customFormat="1">
      <c r="A64" s="1">
        <v>60</v>
      </c>
      <c r="B64" t="s">
        <v>1686</v>
      </c>
      <c r="C64" t="s">
        <v>1</v>
      </c>
      <c r="D64">
        <f>IF(G64="n","",MIN(X64,AI64,AN64))</f>
        <v>2012</v>
      </c>
      <c r="F64">
        <f t="shared" si="4"/>
        <v>2012</v>
      </c>
      <c r="G64" t="str">
        <f t="shared" si="5"/>
        <v>y</v>
      </c>
      <c r="H64" t="str">
        <f t="shared" si="2"/>
        <v>CN &amp; RE100</v>
      </c>
      <c r="I64" t="s">
        <v>186</v>
      </c>
      <c r="J64" t="s">
        <v>368</v>
      </c>
      <c r="K64" s="7" t="s">
        <v>1690</v>
      </c>
      <c r="M64">
        <v>110360</v>
      </c>
      <c r="N64">
        <v>0.22700000000000001</v>
      </c>
      <c r="O64">
        <v>16571</v>
      </c>
      <c r="P64" t="s">
        <v>1689</v>
      </c>
      <c r="Q64">
        <v>-0.218</v>
      </c>
      <c r="R64">
        <v>131000</v>
      </c>
      <c r="S64">
        <v>11</v>
      </c>
      <c r="T64" t="s">
        <v>88</v>
      </c>
      <c r="U64" t="s">
        <v>127</v>
      </c>
      <c r="V64" t="s">
        <v>32</v>
      </c>
      <c r="W64" t="s">
        <v>9</v>
      </c>
      <c r="X64">
        <v>2012</v>
      </c>
      <c r="Y64" t="s">
        <v>9</v>
      </c>
      <c r="Z64" t="s">
        <v>9</v>
      </c>
      <c r="AA64" t="s">
        <v>9</v>
      </c>
      <c r="AB64" t="s">
        <v>1211</v>
      </c>
      <c r="AC64">
        <v>0</v>
      </c>
      <c r="AD64" t="s">
        <v>1688</v>
      </c>
      <c r="AE64" t="s">
        <v>1687</v>
      </c>
      <c r="AF64">
        <v>0</v>
      </c>
      <c r="AG64">
        <v>0</v>
      </c>
      <c r="AH64">
        <v>0</v>
      </c>
      <c r="AL64">
        <v>0</v>
      </c>
      <c r="AM64" t="s">
        <v>1686</v>
      </c>
      <c r="AN64">
        <v>2015</v>
      </c>
      <c r="AO64">
        <v>2017</v>
      </c>
      <c r="AP64" t="s">
        <v>13</v>
      </c>
      <c r="AQ64">
        <v>0.96</v>
      </c>
      <c r="AR64">
        <v>1</v>
      </c>
      <c r="AS64">
        <v>1</v>
      </c>
      <c r="AT64">
        <v>1</v>
      </c>
      <c r="AU64" t="s">
        <v>1685</v>
      </c>
    </row>
    <row r="65" spans="1:47" customFormat="1">
      <c r="A65" s="1">
        <v>61</v>
      </c>
      <c r="B65" t="s">
        <v>1683</v>
      </c>
      <c r="C65" t="s">
        <v>1</v>
      </c>
      <c r="D65" t="str">
        <f>IF(G65="n","-",MIN(X65,AI65,AN65))</f>
        <v>-</v>
      </c>
      <c r="E65" t="s">
        <v>9</v>
      </c>
      <c r="F65" t="str">
        <f t="shared" si="4"/>
        <v/>
      </c>
      <c r="G65" t="str">
        <f t="shared" si="5"/>
        <v>n</v>
      </c>
      <c r="H65" t="str">
        <f t="shared" si="2"/>
        <v>None</v>
      </c>
      <c r="I65" t="s">
        <v>186</v>
      </c>
      <c r="J65" t="s">
        <v>1084</v>
      </c>
      <c r="M65">
        <v>109030.39999999999</v>
      </c>
      <c r="N65">
        <v>0.221</v>
      </c>
      <c r="O65">
        <v>8953.9</v>
      </c>
      <c r="P65" t="s">
        <v>1684</v>
      </c>
      <c r="Q65">
        <v>0.27500000000000002</v>
      </c>
      <c r="R65">
        <v>188000</v>
      </c>
      <c r="S65">
        <v>11</v>
      </c>
      <c r="T65" t="s">
        <v>88</v>
      </c>
      <c r="U65" t="s">
        <v>73</v>
      </c>
      <c r="V65" t="s">
        <v>1</v>
      </c>
      <c r="W65" t="s">
        <v>9</v>
      </c>
      <c r="X65" t="s">
        <v>9</v>
      </c>
      <c r="Y65" t="s">
        <v>9</v>
      </c>
      <c r="Z65" t="s">
        <v>9</v>
      </c>
      <c r="AA65" t="s">
        <v>9</v>
      </c>
      <c r="AB65">
        <v>0</v>
      </c>
      <c r="AC65">
        <v>0</v>
      </c>
      <c r="AD65">
        <v>0</v>
      </c>
      <c r="AE65">
        <v>0</v>
      </c>
      <c r="AF65">
        <v>0</v>
      </c>
      <c r="AG65">
        <v>0</v>
      </c>
      <c r="AH65">
        <v>0</v>
      </c>
      <c r="AI65">
        <v>0</v>
      </c>
      <c r="AL65">
        <v>0</v>
      </c>
      <c r="AM65" t="s">
        <v>1683</v>
      </c>
    </row>
    <row r="66" spans="1:47" customFormat="1">
      <c r="A66" s="1">
        <v>62</v>
      </c>
      <c r="B66" t="s">
        <v>1681</v>
      </c>
      <c r="C66" t="s">
        <v>1</v>
      </c>
      <c r="D66" t="str">
        <f>IF(G66="n","-",MIN(X66,AI66,AN66))</f>
        <v>-</v>
      </c>
      <c r="E66" t="s">
        <v>9</v>
      </c>
      <c r="F66" t="str">
        <f t="shared" si="4"/>
        <v/>
      </c>
      <c r="G66" t="str">
        <f t="shared" si="5"/>
        <v>n</v>
      </c>
      <c r="H66" t="str">
        <f t="shared" ref="H66:H129" si="8">IF((OR(V66="Carbon Neutral",V66="No - but have a post-2030 commitment")),           IF((OR(AG66="Committed",AG66="Targets Set")),                    IF(AN66&gt;1, "CN, SBT &amp; RE100", "CN &amp; SBT"),                   IF(AN66&gt;1, "CN &amp; RE100", "CN")      ),                                                                                             IF((OR(AG66="Committed",AG66="Targets Set")),                IF(AN66&gt;1, "SBT &amp; RE100", " SBT"),                                 IF(AN66&gt;1, "RE100", "None")           )                         )</f>
        <v>None</v>
      </c>
      <c r="I66" t="s">
        <v>119</v>
      </c>
      <c r="J66" t="s">
        <v>1393</v>
      </c>
      <c r="M66">
        <v>108203</v>
      </c>
      <c r="N66">
        <v>7.1999999999999995E-2</v>
      </c>
      <c r="O66">
        <v>11121</v>
      </c>
      <c r="P66" t="s">
        <v>1682</v>
      </c>
      <c r="Q66">
        <v>0.28899999999999998</v>
      </c>
      <c r="R66">
        <v>413000</v>
      </c>
      <c r="S66">
        <v>-5</v>
      </c>
      <c r="T66" t="s">
        <v>88</v>
      </c>
      <c r="U66" t="s">
        <v>127</v>
      </c>
      <c r="V66" t="s">
        <v>1</v>
      </c>
      <c r="W66" t="s">
        <v>9</v>
      </c>
      <c r="X66" t="s">
        <v>9</v>
      </c>
      <c r="Y66" t="s">
        <v>9</v>
      </c>
      <c r="Z66" t="s">
        <v>9</v>
      </c>
      <c r="AA66" t="s">
        <v>9</v>
      </c>
      <c r="AB66">
        <v>0</v>
      </c>
      <c r="AC66">
        <v>0</v>
      </c>
      <c r="AD66">
        <v>0</v>
      </c>
      <c r="AE66">
        <v>0</v>
      </c>
      <c r="AF66">
        <v>0</v>
      </c>
      <c r="AG66">
        <v>0</v>
      </c>
      <c r="AH66">
        <v>0</v>
      </c>
      <c r="AI66">
        <v>0</v>
      </c>
      <c r="AL66">
        <v>0</v>
      </c>
      <c r="AM66" t="s">
        <v>1681</v>
      </c>
    </row>
    <row r="67" spans="1:47" customFormat="1">
      <c r="A67" s="1">
        <v>63</v>
      </c>
      <c r="B67" t="s">
        <v>1679</v>
      </c>
      <c r="C67" t="s">
        <v>1</v>
      </c>
      <c r="D67" t="str">
        <f>IF(G67="n","-",MIN(X67,AI67,AN67))</f>
        <v>-</v>
      </c>
      <c r="E67" t="s">
        <v>9</v>
      </c>
      <c r="F67" t="str">
        <f t="shared" si="4"/>
        <v/>
      </c>
      <c r="G67" t="str">
        <f t="shared" si="5"/>
        <v>n</v>
      </c>
      <c r="H67" t="str">
        <f t="shared" si="8"/>
        <v>None</v>
      </c>
      <c r="I67" t="s">
        <v>71</v>
      </c>
      <c r="J67" t="s">
        <v>138</v>
      </c>
      <c r="M67">
        <v>108130.4</v>
      </c>
      <c r="N67">
        <v>0.32700000000000001</v>
      </c>
      <c r="O67">
        <v>7331.1</v>
      </c>
      <c r="P67" t="s">
        <v>1680</v>
      </c>
      <c r="Q67">
        <v>1.429</v>
      </c>
      <c r="R67">
        <v>93601</v>
      </c>
      <c r="S67">
        <v>24</v>
      </c>
      <c r="T67" t="s">
        <v>88</v>
      </c>
      <c r="U67" t="s">
        <v>73</v>
      </c>
      <c r="V67" t="s">
        <v>1</v>
      </c>
      <c r="W67" t="s">
        <v>9</v>
      </c>
      <c r="X67" t="s">
        <v>9</v>
      </c>
      <c r="Y67" t="s">
        <v>9</v>
      </c>
      <c r="Z67" t="s">
        <v>9</v>
      </c>
      <c r="AA67" t="s">
        <v>9</v>
      </c>
      <c r="AB67">
        <v>0</v>
      </c>
      <c r="AC67">
        <v>0</v>
      </c>
      <c r="AD67">
        <v>0</v>
      </c>
      <c r="AE67">
        <v>0</v>
      </c>
      <c r="AF67">
        <v>0</v>
      </c>
      <c r="AG67">
        <v>0</v>
      </c>
      <c r="AH67">
        <v>0</v>
      </c>
      <c r="AI67">
        <v>0</v>
      </c>
      <c r="AL67">
        <v>0</v>
      </c>
      <c r="AM67" t="s">
        <v>1679</v>
      </c>
    </row>
    <row r="68" spans="1:47" customFormat="1">
      <c r="A68" s="1">
        <v>64</v>
      </c>
      <c r="B68" t="s">
        <v>1678</v>
      </c>
      <c r="C68" t="s">
        <v>1</v>
      </c>
      <c r="D68" t="str">
        <f>IF(G68="n","-",MIN(X68,AI68,AN68))</f>
        <v>-</v>
      </c>
      <c r="E68" t="s">
        <v>9</v>
      </c>
      <c r="F68" t="str">
        <f t="shared" si="4"/>
        <v/>
      </c>
      <c r="G68" t="str">
        <f t="shared" si="5"/>
        <v>n</v>
      </c>
      <c r="H68" t="str">
        <f t="shared" si="8"/>
        <v>None</v>
      </c>
      <c r="I68" t="s">
        <v>461</v>
      </c>
      <c r="J68" t="s">
        <v>461</v>
      </c>
      <c r="M68">
        <v>107146.9</v>
      </c>
      <c r="N68">
        <v>6.0000000000000001E-3</v>
      </c>
      <c r="O68">
        <v>7707.5</v>
      </c>
      <c r="P68" t="s">
        <v>1677</v>
      </c>
      <c r="Q68">
        <v>-6.0999999999999999E-2</v>
      </c>
      <c r="R68">
        <v>303351</v>
      </c>
      <c r="S68">
        <v>-9</v>
      </c>
      <c r="T68" t="s">
        <v>88</v>
      </c>
      <c r="U68" t="s">
        <v>207</v>
      </c>
      <c r="V68" t="s">
        <v>1</v>
      </c>
      <c r="W68" t="s">
        <v>9</v>
      </c>
      <c r="X68" t="s">
        <v>9</v>
      </c>
      <c r="Y68" t="s">
        <v>9</v>
      </c>
      <c r="Z68" t="s">
        <v>9</v>
      </c>
      <c r="AA68" t="s">
        <v>9</v>
      </c>
      <c r="AB68">
        <v>0</v>
      </c>
      <c r="AC68">
        <v>0</v>
      </c>
      <c r="AD68">
        <v>0</v>
      </c>
      <c r="AE68">
        <v>0</v>
      </c>
      <c r="AF68">
        <v>0</v>
      </c>
      <c r="AG68">
        <v>0</v>
      </c>
      <c r="AH68">
        <v>0</v>
      </c>
      <c r="AI68">
        <v>0</v>
      </c>
      <c r="AL68">
        <v>0</v>
      </c>
      <c r="AM68" t="s">
        <v>1676</v>
      </c>
    </row>
    <row r="69" spans="1:47" customFormat="1">
      <c r="A69" s="1">
        <v>65</v>
      </c>
      <c r="B69" t="s">
        <v>1672</v>
      </c>
      <c r="C69" t="s">
        <v>1</v>
      </c>
      <c r="D69" t="str">
        <f>IF(G69="n","-",MIN(X69,AI69,AN69))</f>
        <v>-</v>
      </c>
      <c r="E69" t="s">
        <v>9</v>
      </c>
      <c r="F69" t="str">
        <f t="shared" si="4"/>
        <v/>
      </c>
      <c r="G69" t="str">
        <f t="shared" si="5"/>
        <v>n</v>
      </c>
      <c r="H69" t="str">
        <f t="shared" si="8"/>
        <v>None</v>
      </c>
      <c r="I69" t="s">
        <v>91</v>
      </c>
      <c r="J69" t="s">
        <v>90</v>
      </c>
      <c r="M69">
        <v>104627.3</v>
      </c>
      <c r="N69">
        <v>1.1040000000000001</v>
      </c>
      <c r="O69">
        <v>4514.3</v>
      </c>
      <c r="P69" t="s">
        <v>1675</v>
      </c>
      <c r="Q69">
        <v>0.249</v>
      </c>
      <c r="R69">
        <v>139157</v>
      </c>
      <c r="S69">
        <v>139</v>
      </c>
      <c r="T69" t="s">
        <v>88</v>
      </c>
      <c r="U69" t="s">
        <v>207</v>
      </c>
      <c r="V69" t="s">
        <v>1</v>
      </c>
      <c r="W69" t="s">
        <v>9</v>
      </c>
      <c r="X69" t="s">
        <v>9</v>
      </c>
      <c r="Y69" t="s">
        <v>9</v>
      </c>
      <c r="Z69" t="s">
        <v>9</v>
      </c>
      <c r="AA69" t="s">
        <v>9</v>
      </c>
      <c r="AB69">
        <v>0</v>
      </c>
      <c r="AC69">
        <v>0</v>
      </c>
      <c r="AD69" t="s">
        <v>1674</v>
      </c>
      <c r="AE69" t="s">
        <v>1673</v>
      </c>
      <c r="AF69">
        <v>0</v>
      </c>
      <c r="AG69">
        <v>0</v>
      </c>
      <c r="AH69">
        <v>0</v>
      </c>
      <c r="AI69">
        <v>0</v>
      </c>
      <c r="AL69">
        <v>0</v>
      </c>
      <c r="AM69" t="s">
        <v>1672</v>
      </c>
    </row>
    <row r="70" spans="1:47" customFormat="1">
      <c r="A70" s="1">
        <v>66</v>
      </c>
      <c r="B70" t="s">
        <v>1671</v>
      </c>
      <c r="C70" t="s">
        <v>1</v>
      </c>
      <c r="D70">
        <f>IF(G70="n","",MIN(X70,AI70,AN70))</f>
        <v>2015</v>
      </c>
      <c r="E70" t="s">
        <v>369</v>
      </c>
      <c r="F70">
        <f t="shared" si="4"/>
        <v>2015</v>
      </c>
      <c r="G70" t="str">
        <f t="shared" si="5"/>
        <v>y</v>
      </c>
      <c r="H70" t="str">
        <f t="shared" si="8"/>
        <v xml:space="preserve"> SBT</v>
      </c>
      <c r="I70" t="s">
        <v>171</v>
      </c>
      <c r="J70" t="s">
        <v>171</v>
      </c>
      <c r="M70">
        <v>104390.6</v>
      </c>
      <c r="N70">
        <v>-3.2000000000000001E-2</v>
      </c>
      <c r="O70">
        <v>2878.4</v>
      </c>
      <c r="P70" t="s">
        <v>1670</v>
      </c>
      <c r="Q70">
        <v>-0.57299999999999995</v>
      </c>
      <c r="R70">
        <v>148513</v>
      </c>
      <c r="S70">
        <v>-12</v>
      </c>
      <c r="T70" t="s">
        <v>88</v>
      </c>
      <c r="U70" t="s">
        <v>207</v>
      </c>
      <c r="V70" t="s">
        <v>1</v>
      </c>
      <c r="W70" t="s">
        <v>391</v>
      </c>
      <c r="X70" t="s">
        <v>9</v>
      </c>
      <c r="Y70">
        <v>2011</v>
      </c>
      <c r="Z70">
        <v>2005</v>
      </c>
      <c r="AA70">
        <v>2022</v>
      </c>
      <c r="AB70" t="s">
        <v>1669</v>
      </c>
      <c r="AC70">
        <v>0</v>
      </c>
      <c r="AD70">
        <v>0</v>
      </c>
      <c r="AE70" t="s">
        <v>1668</v>
      </c>
      <c r="AF70" t="s">
        <v>166</v>
      </c>
      <c r="AG70" t="s">
        <v>165</v>
      </c>
      <c r="AH70" t="s">
        <v>791</v>
      </c>
      <c r="AI70">
        <v>2015</v>
      </c>
      <c r="AL70">
        <v>0</v>
      </c>
      <c r="AM70" t="s">
        <v>1671</v>
      </c>
    </row>
    <row r="71" spans="1:47" customFormat="1">
      <c r="A71" s="1">
        <v>66</v>
      </c>
      <c r="B71" t="s">
        <v>1671</v>
      </c>
      <c r="C71" t="s">
        <v>361</v>
      </c>
      <c r="D71">
        <f>IF(G71="n","",MIN(X71,AI71,AN71))</f>
        <v>2011</v>
      </c>
      <c r="F71">
        <f t="shared" si="4"/>
        <v>2015</v>
      </c>
      <c r="G71" t="str">
        <f t="shared" si="5"/>
        <v>y</v>
      </c>
      <c r="H71" t="str">
        <f t="shared" si="8"/>
        <v xml:space="preserve"> SBT</v>
      </c>
      <c r="M71">
        <v>104390.6</v>
      </c>
      <c r="N71">
        <v>-3.2000000000000001E-2</v>
      </c>
      <c r="O71">
        <v>2878.4</v>
      </c>
      <c r="P71" t="s">
        <v>1670</v>
      </c>
      <c r="Q71">
        <v>-0.57299999999999995</v>
      </c>
      <c r="R71">
        <v>148513</v>
      </c>
      <c r="S71">
        <v>-12</v>
      </c>
      <c r="T71" t="s">
        <v>88</v>
      </c>
      <c r="U71" t="s">
        <v>207</v>
      </c>
      <c r="V71" t="s">
        <v>1</v>
      </c>
      <c r="W71" t="s">
        <v>220</v>
      </c>
      <c r="X71">
        <v>2011</v>
      </c>
      <c r="Y71" t="s">
        <v>9</v>
      </c>
      <c r="Z71">
        <v>2005</v>
      </c>
      <c r="AA71">
        <v>2050</v>
      </c>
      <c r="AB71" t="s">
        <v>1669</v>
      </c>
      <c r="AE71" t="s">
        <v>1668</v>
      </c>
      <c r="AF71" t="s">
        <v>166</v>
      </c>
      <c r="AG71" t="s">
        <v>165</v>
      </c>
      <c r="AH71" t="s">
        <v>791</v>
      </c>
      <c r="AI71">
        <v>2015</v>
      </c>
    </row>
    <row r="72" spans="1:47" customFormat="1">
      <c r="A72" s="6">
        <v>67</v>
      </c>
      <c r="B72" t="s">
        <v>1666</v>
      </c>
      <c r="C72" t="s">
        <v>1</v>
      </c>
      <c r="D72" t="str">
        <f>IF(G72="n","",MIN(X72,-I72,-N72))</f>
        <v/>
      </c>
      <c r="F72" t="str">
        <f t="shared" si="4"/>
        <v/>
      </c>
      <c r="G72" t="str">
        <f t="shared" si="5"/>
        <v>n</v>
      </c>
      <c r="H72" t="str">
        <f t="shared" si="8"/>
        <v>None</v>
      </c>
      <c r="I72" t="s">
        <v>76</v>
      </c>
      <c r="J72" t="s">
        <v>80</v>
      </c>
      <c r="M72">
        <v>103072.9</v>
      </c>
      <c r="N72">
        <v>0.28299999999999997</v>
      </c>
      <c r="O72">
        <v>16744.3</v>
      </c>
      <c r="P72" t="s">
        <v>1667</v>
      </c>
      <c r="Q72">
        <v>7.0000000000000001E-3</v>
      </c>
      <c r="R72">
        <v>9507</v>
      </c>
      <c r="S72" t="s">
        <v>64</v>
      </c>
      <c r="T72" t="e">
        <v>#N/A</v>
      </c>
      <c r="U72" t="s">
        <v>73</v>
      </c>
      <c r="V72" t="s">
        <v>1</v>
      </c>
      <c r="W72" t="s">
        <v>9</v>
      </c>
      <c r="X72" t="s">
        <v>9</v>
      </c>
      <c r="Y72" t="s">
        <v>9</v>
      </c>
      <c r="Z72" t="s">
        <v>9</v>
      </c>
      <c r="AM72" t="s">
        <v>1666</v>
      </c>
    </row>
    <row r="73" spans="1:47" customFormat="1">
      <c r="A73" s="1">
        <v>68</v>
      </c>
      <c r="B73" t="s">
        <v>1664</v>
      </c>
      <c r="C73" t="s">
        <v>1</v>
      </c>
      <c r="D73" t="str">
        <f>IF(G73="n","-",MIN(X73,AI73,AN73))</f>
        <v>-</v>
      </c>
      <c r="E73" t="s">
        <v>9</v>
      </c>
      <c r="F73" t="str">
        <f t="shared" si="4"/>
        <v/>
      </c>
      <c r="G73" t="str">
        <f t="shared" si="5"/>
        <v>n</v>
      </c>
      <c r="H73" t="str">
        <f t="shared" si="8"/>
        <v>None</v>
      </c>
      <c r="I73" t="s">
        <v>101</v>
      </c>
      <c r="J73" t="s">
        <v>101</v>
      </c>
      <c r="M73">
        <v>101127</v>
      </c>
      <c r="N73">
        <v>8.3000000000000004E-2</v>
      </c>
      <c r="O73">
        <v>10460</v>
      </c>
      <c r="P73" t="s">
        <v>1665</v>
      </c>
      <c r="Q73">
        <v>0.27600000000000002</v>
      </c>
      <c r="R73">
        <v>153000</v>
      </c>
      <c r="S73">
        <v>-4</v>
      </c>
      <c r="T73" t="s">
        <v>88</v>
      </c>
      <c r="U73" t="s">
        <v>127</v>
      </c>
      <c r="V73" t="s">
        <v>1</v>
      </c>
      <c r="W73" t="s">
        <v>9</v>
      </c>
      <c r="X73" t="s">
        <v>9</v>
      </c>
      <c r="Y73" t="s">
        <v>9</v>
      </c>
      <c r="Z73" t="s">
        <v>9</v>
      </c>
      <c r="AA73" t="s">
        <v>9</v>
      </c>
      <c r="AB73">
        <v>0</v>
      </c>
      <c r="AC73">
        <v>0</v>
      </c>
      <c r="AD73">
        <v>0</v>
      </c>
      <c r="AE73">
        <v>0</v>
      </c>
      <c r="AF73">
        <v>0</v>
      </c>
      <c r="AG73">
        <v>0</v>
      </c>
      <c r="AH73">
        <v>0</v>
      </c>
      <c r="AI73">
        <v>0</v>
      </c>
      <c r="AL73">
        <v>0</v>
      </c>
      <c r="AM73" t="s">
        <v>1664</v>
      </c>
    </row>
    <row r="74" spans="1:47" customFormat="1">
      <c r="A74" s="1">
        <v>69</v>
      </c>
      <c r="B74" t="s">
        <v>1661</v>
      </c>
      <c r="C74" t="s">
        <v>1</v>
      </c>
      <c r="D74">
        <f>IF(G74="n","",MIN(X74,AI74,AN74))</f>
        <v>2016</v>
      </c>
      <c r="F74">
        <f t="shared" si="4"/>
        <v>2016</v>
      </c>
      <c r="G74" t="str">
        <f t="shared" si="5"/>
        <v>y</v>
      </c>
      <c r="H74" t="str">
        <f t="shared" si="8"/>
        <v>RE100</v>
      </c>
      <c r="I74" t="s">
        <v>76</v>
      </c>
      <c r="J74" t="s">
        <v>80</v>
      </c>
      <c r="M74">
        <v>101060</v>
      </c>
      <c r="N74">
        <v>3.4000000000000002E-2</v>
      </c>
      <c r="O74">
        <v>22393</v>
      </c>
      <c r="P74" t="s">
        <v>1663</v>
      </c>
      <c r="Q74">
        <v>8.9999999999999993E-3</v>
      </c>
      <c r="R74">
        <v>258700</v>
      </c>
      <c r="S74">
        <v>-7</v>
      </c>
      <c r="T74" t="s">
        <v>88</v>
      </c>
      <c r="U74" t="s">
        <v>127</v>
      </c>
      <c r="V74" t="s">
        <v>1</v>
      </c>
      <c r="W74" t="s">
        <v>1662</v>
      </c>
      <c r="X74" t="s">
        <v>9</v>
      </c>
      <c r="Y74" t="s">
        <v>9</v>
      </c>
      <c r="Z74">
        <v>2008</v>
      </c>
      <c r="AA74">
        <v>2020</v>
      </c>
      <c r="AB74" t="s">
        <v>52</v>
      </c>
      <c r="AC74">
        <v>0</v>
      </c>
      <c r="AD74">
        <v>0</v>
      </c>
      <c r="AE74">
        <v>0</v>
      </c>
      <c r="AF74">
        <v>0</v>
      </c>
      <c r="AG74">
        <v>0</v>
      </c>
      <c r="AH74">
        <v>0</v>
      </c>
      <c r="AL74">
        <v>0</v>
      </c>
      <c r="AM74" t="s">
        <v>1661</v>
      </c>
      <c r="AN74">
        <v>2016</v>
      </c>
      <c r="AO74">
        <v>2020</v>
      </c>
      <c r="AP74" t="s">
        <v>13</v>
      </c>
      <c r="AQ74">
        <v>1</v>
      </c>
      <c r="AR74">
        <v>0.05</v>
      </c>
      <c r="AS74">
        <v>0.23</v>
      </c>
      <c r="AT74" t="s">
        <v>13</v>
      </c>
      <c r="AU74" t="s">
        <v>352</v>
      </c>
    </row>
    <row r="75" spans="1:47" customFormat="1">
      <c r="A75" s="1">
        <v>70</v>
      </c>
      <c r="B75" t="s">
        <v>1656</v>
      </c>
      <c r="C75" t="s">
        <v>1</v>
      </c>
      <c r="D75">
        <f>IF(G75="n","",MIN(X75,AI75,AN75))</f>
        <v>2015</v>
      </c>
      <c r="E75" t="s">
        <v>369</v>
      </c>
      <c r="F75">
        <f t="shared" si="4"/>
        <v>2015</v>
      </c>
      <c r="G75" t="str">
        <f t="shared" si="5"/>
        <v>y</v>
      </c>
      <c r="H75" t="str">
        <f t="shared" si="8"/>
        <v>CN &amp; SBT</v>
      </c>
      <c r="I75" t="s">
        <v>283</v>
      </c>
      <c r="J75" t="s">
        <v>495</v>
      </c>
      <c r="M75">
        <v>98802</v>
      </c>
      <c r="N75">
        <v>7.9000000000000001E-2</v>
      </c>
      <c r="O75">
        <v>6908.9</v>
      </c>
      <c r="P75" t="s">
        <v>1660</v>
      </c>
      <c r="Q75">
        <v>3.5999999999999997E-2</v>
      </c>
      <c r="R75">
        <v>379000</v>
      </c>
      <c r="S75">
        <v>-4</v>
      </c>
      <c r="T75" t="s">
        <v>88</v>
      </c>
      <c r="U75" t="s">
        <v>146</v>
      </c>
      <c r="V75" t="s">
        <v>32</v>
      </c>
      <c r="W75" t="s">
        <v>9</v>
      </c>
      <c r="X75">
        <v>2015</v>
      </c>
      <c r="Y75" t="s">
        <v>9</v>
      </c>
      <c r="Z75" t="s">
        <v>9</v>
      </c>
      <c r="AA75">
        <v>2030</v>
      </c>
      <c r="AB75" t="s">
        <v>1659</v>
      </c>
      <c r="AC75">
        <v>0</v>
      </c>
      <c r="AD75" t="s">
        <v>1658</v>
      </c>
      <c r="AE75" t="s">
        <v>1657</v>
      </c>
      <c r="AF75" t="s">
        <v>869</v>
      </c>
      <c r="AG75" t="s">
        <v>165</v>
      </c>
      <c r="AH75" t="s">
        <v>808</v>
      </c>
      <c r="AI75">
        <v>2018</v>
      </c>
      <c r="AL75">
        <v>0</v>
      </c>
      <c r="AM75" t="s">
        <v>1656</v>
      </c>
    </row>
    <row r="76" spans="1:47" customFormat="1">
      <c r="A76" s="1">
        <v>71</v>
      </c>
      <c r="B76" t="s">
        <v>1653</v>
      </c>
      <c r="C76" t="s">
        <v>1</v>
      </c>
      <c r="D76">
        <f>IF(G76="n","",MIN(X76,AI76,AN76))</f>
        <v>2017</v>
      </c>
      <c r="F76">
        <f t="shared" si="4"/>
        <v>2017</v>
      </c>
      <c r="G76" t="str">
        <f t="shared" si="5"/>
        <v>y</v>
      </c>
      <c r="H76" t="str">
        <f t="shared" si="8"/>
        <v>RE100</v>
      </c>
      <c r="I76" t="s">
        <v>76</v>
      </c>
      <c r="J76" t="s">
        <v>80</v>
      </c>
      <c r="M76">
        <v>97120</v>
      </c>
      <c r="N76">
        <v>0.104</v>
      </c>
      <c r="O76">
        <v>18045</v>
      </c>
      <c r="P76" t="s">
        <v>1655</v>
      </c>
      <c r="Q76" t="s">
        <v>9</v>
      </c>
      <c r="R76">
        <v>204000</v>
      </c>
      <c r="S76">
        <v>5</v>
      </c>
      <c r="T76" t="s">
        <v>88</v>
      </c>
      <c r="U76" t="s">
        <v>127</v>
      </c>
      <c r="V76" t="s">
        <v>1</v>
      </c>
      <c r="W76" t="s">
        <v>1654</v>
      </c>
      <c r="X76" t="s">
        <v>9</v>
      </c>
      <c r="Y76" t="s">
        <v>9</v>
      </c>
      <c r="Z76">
        <v>2015</v>
      </c>
      <c r="AA76">
        <v>2020</v>
      </c>
      <c r="AB76" t="s">
        <v>390</v>
      </c>
      <c r="AC76">
        <v>0</v>
      </c>
      <c r="AD76">
        <v>0</v>
      </c>
      <c r="AE76">
        <v>0</v>
      </c>
      <c r="AF76">
        <v>0</v>
      </c>
      <c r="AG76">
        <v>0</v>
      </c>
      <c r="AH76">
        <v>0</v>
      </c>
      <c r="AL76">
        <v>0</v>
      </c>
      <c r="AM76" t="s">
        <v>1653</v>
      </c>
      <c r="AN76">
        <v>2017</v>
      </c>
      <c r="AO76">
        <v>2020</v>
      </c>
      <c r="AP76" t="s">
        <v>13</v>
      </c>
      <c r="AQ76">
        <v>0.18</v>
      </c>
      <c r="AR76" t="s">
        <v>1652</v>
      </c>
      <c r="AS76" t="s">
        <v>13</v>
      </c>
      <c r="AT76" t="s">
        <v>13</v>
      </c>
      <c r="AU76" t="s">
        <v>1651</v>
      </c>
    </row>
    <row r="77" spans="1:47" customFormat="1">
      <c r="A77" s="1">
        <v>72</v>
      </c>
      <c r="B77" t="s">
        <v>1649</v>
      </c>
      <c r="C77" t="s">
        <v>1</v>
      </c>
      <c r="D77" t="str">
        <f>IF(G77="n","-",MIN(X77,AI77,AN77))</f>
        <v>-</v>
      </c>
      <c r="E77" t="s">
        <v>9</v>
      </c>
      <c r="F77" t="str">
        <f t="shared" si="4"/>
        <v/>
      </c>
      <c r="G77" t="str">
        <f t="shared" si="5"/>
        <v>n</v>
      </c>
      <c r="H77" t="str">
        <f t="shared" si="8"/>
        <v>None</v>
      </c>
      <c r="I77" t="s">
        <v>71</v>
      </c>
      <c r="J77" t="s">
        <v>105</v>
      </c>
      <c r="M77">
        <v>97102</v>
      </c>
      <c r="N77">
        <v>0.436</v>
      </c>
      <c r="O77">
        <v>2780</v>
      </c>
      <c r="P77" t="s">
        <v>1650</v>
      </c>
      <c r="Q77">
        <v>-0.19</v>
      </c>
      <c r="R77">
        <v>60350</v>
      </c>
      <c r="S77">
        <v>59</v>
      </c>
      <c r="T77" t="s">
        <v>88</v>
      </c>
      <c r="U77" t="s">
        <v>127</v>
      </c>
      <c r="V77" t="s">
        <v>1</v>
      </c>
      <c r="W77" t="s">
        <v>9</v>
      </c>
      <c r="X77" t="s">
        <v>9</v>
      </c>
      <c r="Y77" t="s">
        <v>9</v>
      </c>
      <c r="Z77" t="s">
        <v>9</v>
      </c>
      <c r="AA77" t="s">
        <v>9</v>
      </c>
      <c r="AB77">
        <v>0</v>
      </c>
      <c r="AC77">
        <v>0</v>
      </c>
      <c r="AD77">
        <v>0</v>
      </c>
      <c r="AE77">
        <v>0</v>
      </c>
      <c r="AF77">
        <v>0</v>
      </c>
      <c r="AG77">
        <v>0</v>
      </c>
      <c r="AH77">
        <v>0</v>
      </c>
      <c r="AI77">
        <v>0</v>
      </c>
      <c r="AL77">
        <v>0</v>
      </c>
      <c r="AM77" t="s">
        <v>1649</v>
      </c>
    </row>
    <row r="78" spans="1:47" customFormat="1">
      <c r="A78" s="1">
        <v>73</v>
      </c>
      <c r="B78" t="s">
        <v>1647</v>
      </c>
      <c r="C78" t="s">
        <v>1</v>
      </c>
      <c r="D78" t="str">
        <f>IF(G78="n","-",MIN(X78,AI78,AN78))</f>
        <v>-</v>
      </c>
      <c r="E78" t="s">
        <v>9</v>
      </c>
      <c r="F78" t="str">
        <f t="shared" si="4"/>
        <v/>
      </c>
      <c r="G78" t="str">
        <f t="shared" si="5"/>
        <v>n</v>
      </c>
      <c r="H78" t="str">
        <f t="shared" si="8"/>
        <v>None</v>
      </c>
      <c r="I78" t="s">
        <v>71</v>
      </c>
      <c r="J78" t="s">
        <v>105</v>
      </c>
      <c r="M78">
        <v>95904.5</v>
      </c>
      <c r="N78">
        <v>0.14799999999999999</v>
      </c>
      <c r="O78">
        <v>2048</v>
      </c>
      <c r="P78" t="s">
        <v>1648</v>
      </c>
      <c r="Q78">
        <v>0.38</v>
      </c>
      <c r="R78">
        <v>104374</v>
      </c>
      <c r="S78">
        <v>11</v>
      </c>
      <c r="T78" t="s">
        <v>88</v>
      </c>
      <c r="U78" t="s">
        <v>114</v>
      </c>
      <c r="V78" t="s">
        <v>1</v>
      </c>
      <c r="W78" t="s">
        <v>9</v>
      </c>
      <c r="X78" t="s">
        <v>9</v>
      </c>
      <c r="Y78" t="s">
        <v>9</v>
      </c>
      <c r="Z78" t="s">
        <v>9</v>
      </c>
      <c r="AA78" t="s">
        <v>9</v>
      </c>
      <c r="AB78">
        <v>0</v>
      </c>
      <c r="AC78">
        <v>0</v>
      </c>
      <c r="AD78">
        <v>0</v>
      </c>
      <c r="AE78">
        <v>0</v>
      </c>
      <c r="AF78">
        <v>0</v>
      </c>
      <c r="AG78">
        <v>0</v>
      </c>
      <c r="AH78">
        <v>0</v>
      </c>
      <c r="AI78">
        <v>0</v>
      </c>
      <c r="AL78">
        <v>0</v>
      </c>
      <c r="AM78" t="s">
        <v>1647</v>
      </c>
    </row>
    <row r="79" spans="1:47" customFormat="1">
      <c r="A79" s="1">
        <v>74</v>
      </c>
      <c r="B79" t="s">
        <v>1645</v>
      </c>
      <c r="C79" t="s">
        <v>1</v>
      </c>
      <c r="D79" t="str">
        <f>IF(G79="n","-",MIN(X79,AI79,AN79))</f>
        <v>-</v>
      </c>
      <c r="E79" t="s">
        <v>9</v>
      </c>
      <c r="F79" t="str">
        <f t="shared" si="4"/>
        <v/>
      </c>
      <c r="G79" t="str">
        <f t="shared" si="5"/>
        <v>n</v>
      </c>
      <c r="H79" t="str">
        <f t="shared" si="8"/>
        <v>None</v>
      </c>
      <c r="I79" t="s">
        <v>71</v>
      </c>
      <c r="J79" t="s">
        <v>105</v>
      </c>
      <c r="M79">
        <v>95584</v>
      </c>
      <c r="N79">
        <v>7.5999999999999998E-2</v>
      </c>
      <c r="O79">
        <v>7173</v>
      </c>
      <c r="P79" t="s">
        <v>1646</v>
      </c>
      <c r="Q79" t="s">
        <v>9</v>
      </c>
      <c r="R79">
        <v>63361</v>
      </c>
      <c r="S79">
        <v>-1</v>
      </c>
      <c r="T79" t="s">
        <v>88</v>
      </c>
      <c r="U79" t="s">
        <v>68</v>
      </c>
      <c r="V79" t="s">
        <v>1</v>
      </c>
      <c r="W79" t="s">
        <v>9</v>
      </c>
      <c r="X79" t="s">
        <v>9</v>
      </c>
      <c r="Y79" t="s">
        <v>9</v>
      </c>
      <c r="Z79" t="s">
        <v>9</v>
      </c>
      <c r="AA79" t="s">
        <v>9</v>
      </c>
      <c r="AB79">
        <v>0</v>
      </c>
      <c r="AC79">
        <v>0</v>
      </c>
      <c r="AD79">
        <v>0</v>
      </c>
      <c r="AE79">
        <v>0</v>
      </c>
      <c r="AF79">
        <v>0</v>
      </c>
      <c r="AG79">
        <v>0</v>
      </c>
      <c r="AH79">
        <v>0</v>
      </c>
      <c r="AI79">
        <v>0</v>
      </c>
      <c r="AL79">
        <v>0</v>
      </c>
      <c r="AM79" t="s">
        <v>1645</v>
      </c>
    </row>
    <row r="80" spans="1:47" customFormat="1">
      <c r="A80" s="1">
        <v>75</v>
      </c>
      <c r="B80" t="s">
        <v>1642</v>
      </c>
      <c r="C80" t="s">
        <v>1</v>
      </c>
      <c r="D80" t="str">
        <f>IF(G80="n","-",MIN(X80,AI80,AN80))</f>
        <v>-</v>
      </c>
      <c r="E80" t="s">
        <v>9</v>
      </c>
      <c r="F80" t="str">
        <f t="shared" ref="F80:F143" si="9">IF(G80="n","",MIN(IF(V80="Carbon Neutral",X80,"3000"),AI80,IF(AO80&gt;2030,"3000",AN80)))</f>
        <v/>
      </c>
      <c r="G80" t="str">
        <f t="shared" ref="G80:G143" si="10">IF( V80="Carbon Neutral", "y",   IF(AI80&gt;1, "y", IF(AND(AO80&lt;=2030, AO80&gt;0),"y","n" )    )       )</f>
        <v>n</v>
      </c>
      <c r="H80" t="str">
        <f t="shared" si="8"/>
        <v>None</v>
      </c>
      <c r="I80" t="s">
        <v>461</v>
      </c>
      <c r="J80" t="s">
        <v>461</v>
      </c>
      <c r="M80">
        <v>94507</v>
      </c>
      <c r="N80">
        <v>0.11799999999999999</v>
      </c>
      <c r="O80">
        <v>11731</v>
      </c>
      <c r="P80" t="s">
        <v>1644</v>
      </c>
      <c r="Q80">
        <v>-0.48399999999999999</v>
      </c>
      <c r="R80">
        <v>184000</v>
      </c>
      <c r="S80">
        <v>5</v>
      </c>
      <c r="T80" t="s">
        <v>88</v>
      </c>
      <c r="U80" t="s">
        <v>127</v>
      </c>
      <c r="V80" t="s">
        <v>1</v>
      </c>
      <c r="W80" t="s">
        <v>9</v>
      </c>
      <c r="X80" t="s">
        <v>9</v>
      </c>
      <c r="Y80" t="s">
        <v>9</v>
      </c>
      <c r="Z80" t="s">
        <v>9</v>
      </c>
      <c r="AA80" t="s">
        <v>9</v>
      </c>
      <c r="AB80">
        <v>0</v>
      </c>
      <c r="AC80">
        <v>0</v>
      </c>
      <c r="AD80" t="s">
        <v>1643</v>
      </c>
      <c r="AE80">
        <v>0</v>
      </c>
      <c r="AF80">
        <v>0</v>
      </c>
      <c r="AG80">
        <v>0</v>
      </c>
      <c r="AH80">
        <v>0</v>
      </c>
      <c r="AI80">
        <v>0</v>
      </c>
      <c r="AL80">
        <v>0</v>
      </c>
      <c r="AM80" t="s">
        <v>1642</v>
      </c>
    </row>
    <row r="81" spans="1:48" customFormat="1">
      <c r="A81" s="1">
        <v>76</v>
      </c>
      <c r="B81" t="s">
        <v>1636</v>
      </c>
      <c r="C81" t="s">
        <v>1</v>
      </c>
      <c r="D81">
        <f>IF(G81="n","",MIN(X81,AI81,AN81))</f>
        <v>2014</v>
      </c>
      <c r="F81">
        <f t="shared" si="9"/>
        <v>2017</v>
      </c>
      <c r="G81" t="str">
        <f t="shared" si="10"/>
        <v>y</v>
      </c>
      <c r="H81" t="str">
        <f t="shared" si="8"/>
        <v>SBT &amp; RE100</v>
      </c>
      <c r="I81" t="s">
        <v>124</v>
      </c>
      <c r="J81" t="s">
        <v>155</v>
      </c>
      <c r="M81">
        <v>93512.5</v>
      </c>
      <c r="N81">
        <v>2.5000000000000001E-2</v>
      </c>
      <c r="O81">
        <v>10364.799999999999</v>
      </c>
      <c r="P81" t="s">
        <v>1641</v>
      </c>
      <c r="Q81">
        <v>0.42</v>
      </c>
      <c r="R81">
        <v>308000</v>
      </c>
      <c r="S81">
        <v>-7</v>
      </c>
      <c r="T81" t="s">
        <v>88</v>
      </c>
      <c r="U81" t="s">
        <v>287</v>
      </c>
      <c r="V81" t="s">
        <v>1</v>
      </c>
      <c r="W81" t="s">
        <v>1640</v>
      </c>
      <c r="X81" t="s">
        <v>9</v>
      </c>
      <c r="Y81" t="s">
        <v>9</v>
      </c>
      <c r="Z81">
        <v>2010</v>
      </c>
      <c r="AA81">
        <v>2020</v>
      </c>
      <c r="AB81" t="s">
        <v>109</v>
      </c>
      <c r="AC81">
        <v>0</v>
      </c>
      <c r="AD81">
        <v>0</v>
      </c>
      <c r="AE81" t="s">
        <v>1639</v>
      </c>
      <c r="AF81" t="s">
        <v>23</v>
      </c>
      <c r="AG81" t="s">
        <v>22</v>
      </c>
      <c r="AH81" t="s">
        <v>1638</v>
      </c>
      <c r="AI81">
        <v>2017</v>
      </c>
      <c r="AJ81">
        <v>2020</v>
      </c>
      <c r="AK81" t="s">
        <v>20</v>
      </c>
      <c r="AL81" t="s">
        <v>1637</v>
      </c>
      <c r="AM81" t="s">
        <v>1636</v>
      </c>
      <c r="AN81">
        <v>2014</v>
      </c>
      <c r="AO81" t="s">
        <v>1251</v>
      </c>
      <c r="AP81" t="s">
        <v>13</v>
      </c>
      <c r="AQ81">
        <v>0.26</v>
      </c>
      <c r="AR81">
        <v>0.13</v>
      </c>
      <c r="AS81">
        <v>0.08</v>
      </c>
      <c r="AT81">
        <v>0.05</v>
      </c>
      <c r="AU81" t="s">
        <v>427</v>
      </c>
    </row>
    <row r="82" spans="1:48" customFormat="1">
      <c r="A82" s="1">
        <v>77</v>
      </c>
      <c r="B82" t="s">
        <v>1635</v>
      </c>
      <c r="C82" t="s">
        <v>1</v>
      </c>
      <c r="D82">
        <f>IF(G82="n","",MIN(X82,AI82,AN82))</f>
        <v>2019</v>
      </c>
      <c r="F82">
        <f t="shared" si="9"/>
        <v>2019</v>
      </c>
      <c r="G82" t="str">
        <f t="shared" si="10"/>
        <v>y</v>
      </c>
      <c r="H82" t="str">
        <f t="shared" si="8"/>
        <v>CN</v>
      </c>
      <c r="I82" t="s">
        <v>171</v>
      </c>
      <c r="J82" t="s">
        <v>171</v>
      </c>
      <c r="M82">
        <v>92601.9</v>
      </c>
      <c r="N82">
        <v>5.1999999999999998E-2</v>
      </c>
      <c r="O82">
        <v>3596</v>
      </c>
      <c r="P82" t="s">
        <v>1634</v>
      </c>
      <c r="Q82">
        <v>0.159</v>
      </c>
      <c r="R82">
        <v>409881</v>
      </c>
      <c r="S82">
        <v>-2</v>
      </c>
      <c r="T82" t="s">
        <v>88</v>
      </c>
      <c r="U82" t="s">
        <v>146</v>
      </c>
      <c r="V82" t="s">
        <v>32</v>
      </c>
      <c r="W82" t="s">
        <v>9</v>
      </c>
      <c r="X82">
        <v>2019</v>
      </c>
      <c r="Y82" t="s">
        <v>9</v>
      </c>
      <c r="Z82" t="s">
        <v>9</v>
      </c>
      <c r="AA82">
        <v>2020</v>
      </c>
      <c r="AB82" t="s">
        <v>563</v>
      </c>
      <c r="AC82">
        <v>0</v>
      </c>
      <c r="AD82" t="s">
        <v>1633</v>
      </c>
      <c r="AE82" t="s">
        <v>1632</v>
      </c>
      <c r="AF82">
        <v>0</v>
      </c>
      <c r="AG82">
        <v>0</v>
      </c>
      <c r="AH82">
        <v>0</v>
      </c>
      <c r="AL82">
        <v>0</v>
      </c>
      <c r="AM82" t="s">
        <v>1631</v>
      </c>
    </row>
    <row r="83" spans="1:48" customFormat="1">
      <c r="A83" s="1">
        <v>78</v>
      </c>
      <c r="B83" t="s">
        <v>1629</v>
      </c>
      <c r="C83" t="s">
        <v>1</v>
      </c>
      <c r="D83" t="str">
        <f>IF(G83="n","-",MIN(X83,AI83,AN83))</f>
        <v>-</v>
      </c>
      <c r="E83" t="s">
        <v>9</v>
      </c>
      <c r="F83" t="str">
        <f t="shared" si="9"/>
        <v/>
      </c>
      <c r="G83" t="str">
        <f t="shared" si="10"/>
        <v>n</v>
      </c>
      <c r="H83" t="str">
        <f t="shared" si="8"/>
        <v>None</v>
      </c>
      <c r="I83" t="s">
        <v>71</v>
      </c>
      <c r="J83" t="s">
        <v>71</v>
      </c>
      <c r="M83">
        <v>92260.800000000003</v>
      </c>
      <c r="N83">
        <v>0.13300000000000001</v>
      </c>
      <c r="O83">
        <v>-533.4</v>
      </c>
      <c r="P83" t="s">
        <v>1630</v>
      </c>
      <c r="Q83" t="s">
        <v>9</v>
      </c>
      <c r="R83">
        <v>11828</v>
      </c>
      <c r="S83">
        <v>10</v>
      </c>
      <c r="T83" t="s">
        <v>88</v>
      </c>
      <c r="U83" t="s">
        <v>146</v>
      </c>
      <c r="V83" t="s">
        <v>1</v>
      </c>
      <c r="W83" t="s">
        <v>9</v>
      </c>
      <c r="X83" t="s">
        <v>9</v>
      </c>
      <c r="Y83" t="s">
        <v>9</v>
      </c>
      <c r="Z83" t="s">
        <v>9</v>
      </c>
      <c r="AA83" t="s">
        <v>9</v>
      </c>
      <c r="AB83">
        <v>0</v>
      </c>
      <c r="AC83">
        <v>0</v>
      </c>
      <c r="AD83">
        <v>0</v>
      </c>
      <c r="AE83">
        <v>0</v>
      </c>
      <c r="AF83">
        <v>0</v>
      </c>
      <c r="AG83">
        <v>0</v>
      </c>
      <c r="AH83">
        <v>0</v>
      </c>
      <c r="AI83">
        <v>0</v>
      </c>
      <c r="AL83">
        <v>0</v>
      </c>
      <c r="AM83" t="s">
        <v>1629</v>
      </c>
    </row>
    <row r="84" spans="1:48" customFormat="1">
      <c r="A84" s="1">
        <v>79</v>
      </c>
      <c r="B84" t="s">
        <v>1624</v>
      </c>
      <c r="C84" t="s">
        <v>1</v>
      </c>
      <c r="D84">
        <f>IF(G84="n","",MIN(X84,AI84,AN84))</f>
        <v>2018</v>
      </c>
      <c r="F84">
        <f t="shared" si="9"/>
        <v>2018</v>
      </c>
      <c r="G84" t="str">
        <f t="shared" si="10"/>
        <v>y</v>
      </c>
      <c r="H84" t="str">
        <f t="shared" si="8"/>
        <v xml:space="preserve"> SBT</v>
      </c>
      <c r="I84" t="s">
        <v>319</v>
      </c>
      <c r="J84" t="s">
        <v>319</v>
      </c>
      <c r="M84">
        <v>92105</v>
      </c>
      <c r="N84">
        <v>2.3E-2</v>
      </c>
      <c r="O84">
        <v>3750</v>
      </c>
      <c r="P84" t="s">
        <v>1628</v>
      </c>
      <c r="Q84">
        <v>-2.4E-2</v>
      </c>
      <c r="R84">
        <v>63900</v>
      </c>
      <c r="S84">
        <v>-9</v>
      </c>
      <c r="T84" t="s">
        <v>88</v>
      </c>
      <c r="U84" t="s">
        <v>127</v>
      </c>
      <c r="V84" t="s">
        <v>1</v>
      </c>
      <c r="W84" t="s">
        <v>810</v>
      </c>
      <c r="X84" t="s">
        <v>9</v>
      </c>
      <c r="Y84">
        <v>2019</v>
      </c>
      <c r="Z84">
        <v>2013</v>
      </c>
      <c r="AA84">
        <v>2020</v>
      </c>
      <c r="AB84" t="s">
        <v>109</v>
      </c>
      <c r="AC84">
        <v>0</v>
      </c>
      <c r="AD84" t="s">
        <v>1627</v>
      </c>
      <c r="AE84" t="s">
        <v>1626</v>
      </c>
      <c r="AF84" t="s">
        <v>1625</v>
      </c>
      <c r="AG84" t="s">
        <v>165</v>
      </c>
      <c r="AH84" t="s">
        <v>881</v>
      </c>
      <c r="AI84">
        <v>2018</v>
      </c>
      <c r="AL84">
        <v>0</v>
      </c>
      <c r="AM84" t="s">
        <v>1624</v>
      </c>
    </row>
    <row r="85" spans="1:48" customFormat="1">
      <c r="A85" s="1">
        <v>80</v>
      </c>
      <c r="B85" t="s">
        <v>1623</v>
      </c>
      <c r="C85" t="s">
        <v>1</v>
      </c>
      <c r="D85" t="str">
        <f>IF(G85="n","-",MIN(X85,AI85,AN85))</f>
        <v>-</v>
      </c>
      <c r="E85" t="s">
        <v>9</v>
      </c>
      <c r="F85" t="str">
        <f t="shared" si="9"/>
        <v/>
      </c>
      <c r="G85" t="str">
        <f t="shared" si="10"/>
        <v>n</v>
      </c>
      <c r="H85" t="str">
        <f t="shared" si="8"/>
        <v>None</v>
      </c>
      <c r="I85" t="s">
        <v>319</v>
      </c>
      <c r="J85" t="s">
        <v>573</v>
      </c>
      <c r="M85">
        <v>91986</v>
      </c>
      <c r="N85">
        <v>0.11899999999999999</v>
      </c>
      <c r="O85">
        <v>3474.6</v>
      </c>
      <c r="P85" t="s">
        <v>1622</v>
      </c>
      <c r="Q85">
        <v>0.10199999999999999</v>
      </c>
      <c r="R85">
        <v>421274</v>
      </c>
      <c r="S85">
        <v>6</v>
      </c>
      <c r="T85" t="s">
        <v>350</v>
      </c>
      <c r="U85" t="s">
        <v>73</v>
      </c>
      <c r="V85" t="s">
        <v>1</v>
      </c>
      <c r="W85" t="s">
        <v>9</v>
      </c>
      <c r="X85" t="s">
        <v>9</v>
      </c>
      <c r="Y85" t="s">
        <v>9</v>
      </c>
      <c r="Z85" t="s">
        <v>9</v>
      </c>
      <c r="AA85" t="s">
        <v>9</v>
      </c>
      <c r="AB85">
        <v>0</v>
      </c>
      <c r="AC85">
        <v>0</v>
      </c>
      <c r="AD85">
        <v>0</v>
      </c>
      <c r="AE85">
        <v>0</v>
      </c>
      <c r="AF85">
        <v>0</v>
      </c>
      <c r="AG85">
        <v>0</v>
      </c>
      <c r="AH85">
        <v>0</v>
      </c>
      <c r="AI85">
        <v>0</v>
      </c>
      <c r="AL85">
        <v>0</v>
      </c>
      <c r="AM85" t="s">
        <v>1621</v>
      </c>
    </row>
    <row r="86" spans="1:48" customFormat="1">
      <c r="A86" s="1">
        <v>81</v>
      </c>
      <c r="B86" t="s">
        <v>1615</v>
      </c>
      <c r="C86" t="s">
        <v>1</v>
      </c>
      <c r="D86">
        <f>IF(G86="n","",MIN(X86,AI86,AN86))</f>
        <v>2015</v>
      </c>
      <c r="E86" t="s">
        <v>1175</v>
      </c>
      <c r="F86">
        <f t="shared" si="9"/>
        <v>2015</v>
      </c>
      <c r="G86" t="str">
        <f t="shared" si="10"/>
        <v>y</v>
      </c>
      <c r="H86" t="str">
        <f t="shared" si="8"/>
        <v xml:space="preserve"> SBT</v>
      </c>
      <c r="I86" t="s">
        <v>342</v>
      </c>
      <c r="J86" t="s">
        <v>342</v>
      </c>
      <c r="K86" s="7" t="s">
        <v>1620</v>
      </c>
      <c r="M86">
        <v>91955.199999999997</v>
      </c>
      <c r="N86">
        <v>7.0000000000000001E-3</v>
      </c>
      <c r="O86">
        <v>-662.1</v>
      </c>
      <c r="P86" t="s">
        <v>1619</v>
      </c>
      <c r="Q86" t="s">
        <v>9</v>
      </c>
      <c r="R86">
        <v>363862</v>
      </c>
      <c r="S86">
        <v>-13</v>
      </c>
      <c r="T86" t="s">
        <v>88</v>
      </c>
      <c r="U86" t="s">
        <v>63</v>
      </c>
      <c r="V86" t="s">
        <v>1</v>
      </c>
      <c r="W86" t="s">
        <v>1618</v>
      </c>
      <c r="X86" t="s">
        <v>9</v>
      </c>
      <c r="Y86">
        <v>2017</v>
      </c>
      <c r="Z86">
        <v>2010</v>
      </c>
      <c r="AA86">
        <v>2025</v>
      </c>
      <c r="AB86" t="s">
        <v>1617</v>
      </c>
      <c r="AC86">
        <v>0</v>
      </c>
      <c r="AD86">
        <v>0</v>
      </c>
      <c r="AE86" t="s">
        <v>1616</v>
      </c>
      <c r="AF86" t="s">
        <v>942</v>
      </c>
      <c r="AG86" t="s">
        <v>165</v>
      </c>
      <c r="AH86" t="s">
        <v>841</v>
      </c>
      <c r="AI86">
        <v>2015</v>
      </c>
      <c r="AL86">
        <v>0</v>
      </c>
      <c r="AM86" t="s">
        <v>1615</v>
      </c>
    </row>
    <row r="87" spans="1:48" customFormat="1">
      <c r="A87" s="1">
        <v>82</v>
      </c>
      <c r="B87" t="s">
        <v>1614</v>
      </c>
      <c r="C87" t="s">
        <v>1</v>
      </c>
      <c r="D87" t="str">
        <f>IF(G87="n","-",MIN(X87,AI87,AN87))</f>
        <v>-</v>
      </c>
      <c r="E87" t="s">
        <v>9</v>
      </c>
      <c r="F87" t="str">
        <f t="shared" si="9"/>
        <v/>
      </c>
      <c r="G87" t="str">
        <f t="shared" si="10"/>
        <v>n</v>
      </c>
      <c r="H87" t="str">
        <f t="shared" si="8"/>
        <v>None</v>
      </c>
      <c r="I87" t="s">
        <v>171</v>
      </c>
      <c r="J87" t="s">
        <v>171</v>
      </c>
      <c r="M87">
        <v>90934.2</v>
      </c>
      <c r="N87">
        <v>-2.5000000000000001E-2</v>
      </c>
      <c r="O87">
        <v>1599.7</v>
      </c>
      <c r="P87" t="s">
        <v>1613</v>
      </c>
      <c r="Q87">
        <v>0.14299999999999999</v>
      </c>
      <c r="R87">
        <v>167528</v>
      </c>
      <c r="S87">
        <v>-17</v>
      </c>
      <c r="T87" t="s">
        <v>88</v>
      </c>
      <c r="U87" t="s">
        <v>73</v>
      </c>
      <c r="V87" t="s">
        <v>1</v>
      </c>
      <c r="W87" t="s">
        <v>9</v>
      </c>
      <c r="X87" t="s">
        <v>9</v>
      </c>
      <c r="Y87" t="s">
        <v>9</v>
      </c>
      <c r="Z87" t="s">
        <v>9</v>
      </c>
      <c r="AA87" t="s">
        <v>9</v>
      </c>
      <c r="AB87">
        <v>0</v>
      </c>
      <c r="AC87">
        <v>0</v>
      </c>
      <c r="AD87">
        <v>0</v>
      </c>
      <c r="AE87">
        <v>0</v>
      </c>
      <c r="AF87">
        <v>0</v>
      </c>
      <c r="AG87">
        <v>0</v>
      </c>
      <c r="AH87">
        <v>0</v>
      </c>
      <c r="AI87">
        <v>0</v>
      </c>
      <c r="AL87">
        <v>0</v>
      </c>
      <c r="AM87" t="s">
        <v>1612</v>
      </c>
    </row>
    <row r="88" spans="1:48" customFormat="1">
      <c r="A88" s="1">
        <v>83</v>
      </c>
      <c r="B88" t="s">
        <v>1607</v>
      </c>
      <c r="C88" t="s">
        <v>1</v>
      </c>
      <c r="D88">
        <f>IF(G88="n","",MIN(X88,AI88,AN88))</f>
        <v>2018</v>
      </c>
      <c r="F88">
        <f t="shared" si="9"/>
        <v>2018</v>
      </c>
      <c r="G88" t="str">
        <f t="shared" si="10"/>
        <v>y</v>
      </c>
      <c r="H88" t="str">
        <f t="shared" si="8"/>
        <v>CN</v>
      </c>
      <c r="I88" t="s">
        <v>71</v>
      </c>
      <c r="J88" t="s">
        <v>1166</v>
      </c>
      <c r="M88">
        <v>90799.8</v>
      </c>
      <c r="N88">
        <v>0.13500000000000001</v>
      </c>
      <c r="O88">
        <v>4869.3999999999996</v>
      </c>
      <c r="P88" t="s">
        <v>1611</v>
      </c>
      <c r="Q88">
        <v>0.28000000000000003</v>
      </c>
      <c r="R88">
        <v>31701</v>
      </c>
      <c r="S88">
        <v>6</v>
      </c>
      <c r="T88" t="s">
        <v>88</v>
      </c>
      <c r="U88" t="s">
        <v>376</v>
      </c>
      <c r="V88" t="s">
        <v>32</v>
      </c>
      <c r="W88" t="s">
        <v>9</v>
      </c>
      <c r="X88">
        <v>2018</v>
      </c>
      <c r="Y88" t="s">
        <v>9</v>
      </c>
      <c r="Z88" t="s">
        <v>9</v>
      </c>
      <c r="AA88">
        <v>2030</v>
      </c>
      <c r="AB88" t="s">
        <v>1610</v>
      </c>
      <c r="AC88">
        <v>0</v>
      </c>
      <c r="AD88" t="s">
        <v>1609</v>
      </c>
      <c r="AE88" t="s">
        <v>1608</v>
      </c>
      <c r="AF88">
        <v>0</v>
      </c>
      <c r="AG88">
        <v>0</v>
      </c>
      <c r="AH88">
        <v>0</v>
      </c>
      <c r="AL88">
        <v>0</v>
      </c>
      <c r="AM88" t="s">
        <v>1607</v>
      </c>
    </row>
    <row r="89" spans="1:48" customFormat="1">
      <c r="A89" s="1">
        <v>84</v>
      </c>
      <c r="B89" t="s">
        <v>1600</v>
      </c>
      <c r="C89" t="s">
        <v>1</v>
      </c>
      <c r="D89">
        <f>IF(G89="n","",MIN(X89,AI89,AN89))</f>
        <v>2015</v>
      </c>
      <c r="E89" t="s">
        <v>369</v>
      </c>
      <c r="F89">
        <f t="shared" si="9"/>
        <v>2015</v>
      </c>
      <c r="G89" t="str">
        <f t="shared" si="10"/>
        <v>y</v>
      </c>
      <c r="H89" t="str">
        <f t="shared" si="8"/>
        <v xml:space="preserve"> SBT</v>
      </c>
      <c r="I89" t="s">
        <v>186</v>
      </c>
      <c r="J89" t="s">
        <v>1606</v>
      </c>
      <c r="M89">
        <v>90621</v>
      </c>
      <c r="N89">
        <v>0.152</v>
      </c>
      <c r="O89">
        <v>-2310</v>
      </c>
      <c r="P89" t="s">
        <v>1605</v>
      </c>
      <c r="Q89" t="s">
        <v>9</v>
      </c>
      <c r="R89">
        <v>157000</v>
      </c>
      <c r="S89">
        <v>9</v>
      </c>
      <c r="T89" t="s">
        <v>88</v>
      </c>
      <c r="U89" t="s">
        <v>127</v>
      </c>
      <c r="V89" t="s">
        <v>1</v>
      </c>
      <c r="W89" t="s">
        <v>1604</v>
      </c>
      <c r="X89" t="s">
        <v>9</v>
      </c>
      <c r="Y89" t="s">
        <v>9</v>
      </c>
      <c r="Z89">
        <v>2011</v>
      </c>
      <c r="AA89">
        <v>2020</v>
      </c>
      <c r="AB89" t="s">
        <v>109</v>
      </c>
      <c r="AC89">
        <v>0</v>
      </c>
      <c r="AD89" t="s">
        <v>1603</v>
      </c>
      <c r="AE89" t="s">
        <v>1602</v>
      </c>
      <c r="AF89" t="s">
        <v>204</v>
      </c>
      <c r="AG89" t="s">
        <v>22</v>
      </c>
      <c r="AH89" t="s">
        <v>1049</v>
      </c>
      <c r="AI89">
        <v>2015</v>
      </c>
      <c r="AJ89">
        <v>2020</v>
      </c>
      <c r="AL89" t="s">
        <v>1601</v>
      </c>
      <c r="AM89" t="s">
        <v>1600</v>
      </c>
    </row>
    <row r="90" spans="1:48" customFormat="1">
      <c r="A90" s="1">
        <v>85</v>
      </c>
      <c r="B90" t="s">
        <v>1597</v>
      </c>
      <c r="C90" t="s">
        <v>1</v>
      </c>
      <c r="D90" t="str">
        <f>IF(G90="n","-",MIN(X90,AI90,AN90))</f>
        <v>-</v>
      </c>
      <c r="E90" t="s">
        <v>9</v>
      </c>
      <c r="F90" t="str">
        <f t="shared" si="9"/>
        <v/>
      </c>
      <c r="G90" t="str">
        <f t="shared" si="10"/>
        <v>n</v>
      </c>
      <c r="H90" t="str">
        <f t="shared" si="8"/>
        <v>None</v>
      </c>
      <c r="I90" t="s">
        <v>76</v>
      </c>
      <c r="J90" t="s">
        <v>80</v>
      </c>
      <c r="K90" s="7" t="s">
        <v>1599</v>
      </c>
      <c r="M90">
        <v>90531.9</v>
      </c>
      <c r="N90">
        <v>3.5999999999999997E-2</v>
      </c>
      <c r="O90">
        <v>9217.1</v>
      </c>
      <c r="P90" t="s">
        <v>1598</v>
      </c>
      <c r="Q90">
        <v>0.23499999999999999</v>
      </c>
      <c r="R90">
        <v>194015</v>
      </c>
      <c r="S90">
        <v>-8</v>
      </c>
      <c r="T90" t="s">
        <v>88</v>
      </c>
      <c r="U90" t="s">
        <v>267</v>
      </c>
      <c r="V90" t="s">
        <v>1</v>
      </c>
      <c r="W90" t="s">
        <v>9</v>
      </c>
      <c r="X90" t="s">
        <v>9</v>
      </c>
      <c r="Y90" t="s">
        <v>9</v>
      </c>
      <c r="Z90" t="s">
        <v>9</v>
      </c>
      <c r="AA90" t="s">
        <v>9</v>
      </c>
      <c r="AB90">
        <v>0</v>
      </c>
      <c r="AC90">
        <v>0</v>
      </c>
      <c r="AD90">
        <v>0</v>
      </c>
      <c r="AE90">
        <v>0</v>
      </c>
      <c r="AF90">
        <v>0</v>
      </c>
      <c r="AG90">
        <v>0</v>
      </c>
      <c r="AH90">
        <v>0</v>
      </c>
      <c r="AI90">
        <v>0</v>
      </c>
      <c r="AL90">
        <v>0</v>
      </c>
      <c r="AM90" t="s">
        <v>1597</v>
      </c>
    </row>
    <row r="91" spans="1:48" customFormat="1">
      <c r="A91" s="1">
        <v>86</v>
      </c>
      <c r="B91" t="s">
        <v>1595</v>
      </c>
      <c r="C91" t="s">
        <v>1</v>
      </c>
      <c r="D91" t="str">
        <f>IF(G91="n","-",MIN(X91,AI91,AN91))</f>
        <v>-</v>
      </c>
      <c r="E91" t="s">
        <v>9</v>
      </c>
      <c r="F91" t="str">
        <f t="shared" si="9"/>
        <v/>
      </c>
      <c r="G91" t="str">
        <f t="shared" si="10"/>
        <v>n</v>
      </c>
      <c r="H91" t="str">
        <f t="shared" si="8"/>
        <v>None</v>
      </c>
      <c r="I91" t="s">
        <v>71</v>
      </c>
      <c r="J91" t="s">
        <v>1166</v>
      </c>
      <c r="M91">
        <v>90055</v>
      </c>
      <c r="N91">
        <v>0.25</v>
      </c>
      <c r="O91">
        <v>8745.7999999999993</v>
      </c>
      <c r="P91" t="s">
        <v>1596</v>
      </c>
      <c r="Q91">
        <v>1.2969999999999999</v>
      </c>
      <c r="R91">
        <v>308000</v>
      </c>
      <c r="S91">
        <v>29</v>
      </c>
      <c r="T91" t="s">
        <v>88</v>
      </c>
      <c r="U91" t="s">
        <v>972</v>
      </c>
      <c r="V91" t="s">
        <v>1</v>
      </c>
      <c r="W91" t="s">
        <v>9</v>
      </c>
      <c r="X91" t="s">
        <v>9</v>
      </c>
      <c r="Y91" t="s">
        <v>9</v>
      </c>
      <c r="Z91" t="s">
        <v>9</v>
      </c>
      <c r="AA91" t="s">
        <v>9</v>
      </c>
      <c r="AB91">
        <v>0</v>
      </c>
      <c r="AC91">
        <v>0</v>
      </c>
      <c r="AD91">
        <v>0</v>
      </c>
      <c r="AE91">
        <v>0</v>
      </c>
      <c r="AF91">
        <v>0</v>
      </c>
      <c r="AG91">
        <v>0</v>
      </c>
      <c r="AH91">
        <v>0</v>
      </c>
      <c r="AI91">
        <v>0</v>
      </c>
      <c r="AL91">
        <v>0</v>
      </c>
      <c r="AM91" t="s">
        <v>1595</v>
      </c>
    </row>
    <row r="92" spans="1:48" customFormat="1">
      <c r="A92" s="1">
        <v>87</v>
      </c>
      <c r="B92" t="s">
        <v>1593</v>
      </c>
      <c r="C92" t="s">
        <v>1</v>
      </c>
      <c r="D92" t="str">
        <f>IF(G92="n","-",MIN(X92,AI92,AN92))</f>
        <v>-</v>
      </c>
      <c r="E92" t="s">
        <v>9</v>
      </c>
      <c r="F92" t="str">
        <f t="shared" si="9"/>
        <v/>
      </c>
      <c r="G92" t="str">
        <f t="shared" si="10"/>
        <v>n</v>
      </c>
      <c r="H92" t="str">
        <f t="shared" si="8"/>
        <v>None</v>
      </c>
      <c r="I92" t="s">
        <v>171</v>
      </c>
      <c r="J92" t="s">
        <v>171</v>
      </c>
      <c r="M92">
        <v>89804.7</v>
      </c>
      <c r="N92">
        <v>0.29199999999999998</v>
      </c>
      <c r="O92">
        <v>2660.3</v>
      </c>
      <c r="P92" t="s">
        <v>1594</v>
      </c>
      <c r="Q92">
        <v>-6.8000000000000005E-2</v>
      </c>
      <c r="R92">
        <v>142451</v>
      </c>
      <c r="S92">
        <v>38</v>
      </c>
      <c r="T92" t="s">
        <v>88</v>
      </c>
      <c r="U92" t="s">
        <v>73</v>
      </c>
      <c r="V92" t="s">
        <v>1</v>
      </c>
      <c r="W92" t="s">
        <v>9</v>
      </c>
      <c r="X92" t="s">
        <v>9</v>
      </c>
      <c r="Y92" t="s">
        <v>9</v>
      </c>
      <c r="Z92" t="s">
        <v>9</v>
      </c>
      <c r="AA92" t="s">
        <v>9</v>
      </c>
      <c r="AB92">
        <v>0</v>
      </c>
      <c r="AC92">
        <v>0</v>
      </c>
      <c r="AD92">
        <v>0</v>
      </c>
      <c r="AE92">
        <v>0</v>
      </c>
      <c r="AF92">
        <v>0</v>
      </c>
      <c r="AG92">
        <v>0</v>
      </c>
      <c r="AH92">
        <v>0</v>
      </c>
      <c r="AI92">
        <v>0</v>
      </c>
      <c r="AL92">
        <v>0</v>
      </c>
      <c r="AM92" t="s">
        <v>1593</v>
      </c>
    </row>
    <row r="93" spans="1:48" customFormat="1">
      <c r="A93" s="1">
        <v>88</v>
      </c>
      <c r="B93" t="s">
        <v>1592</v>
      </c>
      <c r="C93" t="s">
        <v>1</v>
      </c>
      <c r="D93" t="str">
        <f>IF(G93="n","-",MIN(X93,AI93,AN93))</f>
        <v>-</v>
      </c>
      <c r="E93" t="s">
        <v>9</v>
      </c>
      <c r="F93" t="str">
        <f t="shared" si="9"/>
        <v/>
      </c>
      <c r="G93" t="str">
        <f t="shared" si="10"/>
        <v>n</v>
      </c>
      <c r="H93" t="str">
        <f t="shared" si="8"/>
        <v>None</v>
      </c>
      <c r="I93" t="s">
        <v>91</v>
      </c>
      <c r="J93" t="s">
        <v>899</v>
      </c>
      <c r="M93">
        <v>89358.1</v>
      </c>
      <c r="N93">
        <v>0.16400000000000001</v>
      </c>
      <c r="O93">
        <v>701.4</v>
      </c>
      <c r="P93" t="s">
        <v>1591</v>
      </c>
      <c r="Q93">
        <v>-6.9000000000000006E-2</v>
      </c>
      <c r="R93">
        <v>66713</v>
      </c>
      <c r="S93">
        <v>10</v>
      </c>
      <c r="T93" t="s">
        <v>180</v>
      </c>
      <c r="U93" t="s">
        <v>73</v>
      </c>
      <c r="V93" t="s">
        <v>1</v>
      </c>
      <c r="W93" t="s">
        <v>9</v>
      </c>
      <c r="X93" t="s">
        <v>9</v>
      </c>
      <c r="Y93" t="s">
        <v>9</v>
      </c>
      <c r="Z93" t="s">
        <v>9</v>
      </c>
      <c r="AA93" t="s">
        <v>9</v>
      </c>
      <c r="AB93">
        <v>0</v>
      </c>
      <c r="AC93">
        <v>0</v>
      </c>
      <c r="AD93">
        <v>0</v>
      </c>
      <c r="AE93">
        <v>0</v>
      </c>
      <c r="AF93">
        <v>0</v>
      </c>
      <c r="AG93">
        <v>0</v>
      </c>
      <c r="AH93">
        <v>0</v>
      </c>
      <c r="AI93">
        <v>0</v>
      </c>
      <c r="AL93">
        <v>0</v>
      </c>
      <c r="AM93" t="s">
        <v>1590</v>
      </c>
    </row>
    <row r="94" spans="1:48" customFormat="1">
      <c r="A94" s="1">
        <v>89</v>
      </c>
      <c r="B94" t="s">
        <v>1582</v>
      </c>
      <c r="C94" t="s">
        <v>1</v>
      </c>
      <c r="D94">
        <f>IF(G94="n","",MIN(X94,AI94,AN94))</f>
        <v>2009</v>
      </c>
      <c r="E94" t="s">
        <v>1589</v>
      </c>
      <c r="F94">
        <f t="shared" si="9"/>
        <v>2015</v>
      </c>
      <c r="G94" t="str">
        <f t="shared" si="10"/>
        <v>y</v>
      </c>
      <c r="H94" t="str">
        <f t="shared" si="8"/>
        <v>CN &amp; SBT</v>
      </c>
      <c r="I94" t="s">
        <v>71</v>
      </c>
      <c r="J94" t="s">
        <v>789</v>
      </c>
      <c r="K94" s="7" t="s">
        <v>1588</v>
      </c>
      <c r="L94" t="s">
        <v>1587</v>
      </c>
      <c r="M94">
        <v>89305.7</v>
      </c>
      <c r="N94">
        <v>6.0999999999999999E-2</v>
      </c>
      <c r="O94">
        <v>5651.8</v>
      </c>
      <c r="P94" t="s">
        <v>1586</v>
      </c>
      <c r="Q94">
        <v>0.32700000000000001</v>
      </c>
      <c r="R94">
        <v>69272</v>
      </c>
      <c r="S94">
        <v>-6</v>
      </c>
      <c r="T94" t="s">
        <v>88</v>
      </c>
      <c r="U94" t="s">
        <v>376</v>
      </c>
      <c r="V94" t="s">
        <v>337</v>
      </c>
      <c r="W94" t="s">
        <v>9</v>
      </c>
      <c r="X94">
        <v>2009</v>
      </c>
      <c r="Y94" t="s">
        <v>9</v>
      </c>
      <c r="Z94" t="s">
        <v>9</v>
      </c>
      <c r="AA94">
        <v>2050</v>
      </c>
      <c r="AB94" t="s">
        <v>1309</v>
      </c>
      <c r="AC94">
        <v>0</v>
      </c>
      <c r="AD94" t="s">
        <v>1585</v>
      </c>
      <c r="AE94" t="s">
        <v>1584</v>
      </c>
      <c r="AF94" t="s">
        <v>869</v>
      </c>
      <c r="AG94" t="s">
        <v>22</v>
      </c>
      <c r="AH94" t="s">
        <v>841</v>
      </c>
      <c r="AI94">
        <v>2015</v>
      </c>
      <c r="AJ94">
        <v>2020</v>
      </c>
      <c r="AL94" t="s">
        <v>1583</v>
      </c>
      <c r="AM94" t="s">
        <v>1582</v>
      </c>
      <c r="AV94" t="s">
        <v>361</v>
      </c>
    </row>
    <row r="95" spans="1:48" customFormat="1">
      <c r="A95" s="1">
        <v>90</v>
      </c>
      <c r="B95" t="s">
        <v>1574</v>
      </c>
      <c r="C95" t="s">
        <v>1</v>
      </c>
      <c r="D95">
        <f>IF(G95="n","",MIN(X95,AI95,AN95))</f>
        <v>2019</v>
      </c>
      <c r="F95">
        <f t="shared" si="9"/>
        <v>2019</v>
      </c>
      <c r="G95" t="str">
        <f t="shared" si="10"/>
        <v>y</v>
      </c>
      <c r="H95" t="str">
        <f t="shared" si="8"/>
        <v xml:space="preserve"> SBT</v>
      </c>
      <c r="I95" t="s">
        <v>461</v>
      </c>
      <c r="J95" t="s">
        <v>461</v>
      </c>
      <c r="M95">
        <v>89286.8</v>
      </c>
      <c r="N95">
        <v>5.7000000000000002E-2</v>
      </c>
      <c r="O95">
        <v>2556.1999999999998</v>
      </c>
      <c r="P95" t="s">
        <v>1581</v>
      </c>
      <c r="Q95">
        <v>-0.34499999999999997</v>
      </c>
      <c r="R95">
        <v>215675</v>
      </c>
      <c r="S95">
        <v>-9</v>
      </c>
      <c r="T95" t="s">
        <v>88</v>
      </c>
      <c r="U95" t="s">
        <v>146</v>
      </c>
      <c r="V95" t="s">
        <v>1</v>
      </c>
      <c r="W95" t="s">
        <v>1580</v>
      </c>
      <c r="X95" t="s">
        <v>9</v>
      </c>
      <c r="Y95">
        <v>2019</v>
      </c>
      <c r="Z95">
        <v>2017</v>
      </c>
      <c r="AA95">
        <v>2030</v>
      </c>
      <c r="AB95" t="s">
        <v>31</v>
      </c>
      <c r="AC95">
        <v>0</v>
      </c>
      <c r="AD95" t="s">
        <v>1579</v>
      </c>
      <c r="AE95" t="s">
        <v>1578</v>
      </c>
      <c r="AF95" t="s">
        <v>461</v>
      </c>
      <c r="AG95" t="s">
        <v>22</v>
      </c>
      <c r="AH95" t="s">
        <v>1577</v>
      </c>
      <c r="AI95">
        <v>2019</v>
      </c>
      <c r="AJ95">
        <v>2030</v>
      </c>
      <c r="AK95" t="s">
        <v>1576</v>
      </c>
      <c r="AL95" t="s">
        <v>1575</v>
      </c>
      <c r="AM95" t="s">
        <v>1574</v>
      </c>
    </row>
    <row r="96" spans="1:48" customFormat="1">
      <c r="A96" s="1">
        <v>91</v>
      </c>
      <c r="B96" t="s">
        <v>1573</v>
      </c>
      <c r="C96" t="s">
        <v>1</v>
      </c>
      <c r="D96">
        <f>IF(G96="n","",MIN(X96,AI96,AN96))</f>
        <v>2016</v>
      </c>
      <c r="F96">
        <f t="shared" si="9"/>
        <v>2016</v>
      </c>
      <c r="G96" t="str">
        <f t="shared" si="10"/>
        <v>y</v>
      </c>
      <c r="H96" t="str">
        <f t="shared" si="8"/>
        <v>SBT &amp; RE100</v>
      </c>
      <c r="I96" t="s">
        <v>76</v>
      </c>
      <c r="J96" t="s">
        <v>80</v>
      </c>
      <c r="L96" t="s">
        <v>1572</v>
      </c>
      <c r="M96">
        <v>88325</v>
      </c>
      <c r="N96">
        <v>4.9000000000000002E-2</v>
      </c>
      <c r="O96">
        <v>5192.7</v>
      </c>
      <c r="P96" t="s">
        <v>1571</v>
      </c>
      <c r="Q96">
        <v>0.26200000000000001</v>
      </c>
      <c r="R96">
        <v>73346</v>
      </c>
      <c r="S96">
        <v>-9</v>
      </c>
      <c r="T96" t="s">
        <v>88</v>
      </c>
      <c r="U96" t="s">
        <v>63</v>
      </c>
      <c r="V96" t="s">
        <v>1</v>
      </c>
      <c r="W96" t="s">
        <v>194</v>
      </c>
      <c r="X96" t="s">
        <v>9</v>
      </c>
      <c r="Y96" t="s">
        <v>9</v>
      </c>
      <c r="Z96">
        <v>2014</v>
      </c>
      <c r="AA96">
        <v>2020</v>
      </c>
      <c r="AB96" t="s">
        <v>13</v>
      </c>
      <c r="AC96">
        <v>0</v>
      </c>
      <c r="AD96" t="s">
        <v>1570</v>
      </c>
      <c r="AE96" t="s">
        <v>1569</v>
      </c>
      <c r="AF96" t="s">
        <v>93</v>
      </c>
      <c r="AG96" t="s">
        <v>165</v>
      </c>
      <c r="AH96" t="s">
        <v>1568</v>
      </c>
      <c r="AI96">
        <v>2016</v>
      </c>
      <c r="AL96">
        <v>0</v>
      </c>
      <c r="AM96" t="s">
        <v>1567</v>
      </c>
      <c r="AN96">
        <v>2016</v>
      </c>
      <c r="AO96" t="s">
        <v>1251</v>
      </c>
      <c r="AP96" t="s">
        <v>1566</v>
      </c>
      <c r="AQ96" t="s">
        <v>1565</v>
      </c>
      <c r="AR96">
        <v>0.85</v>
      </c>
      <c r="AS96">
        <v>0.4</v>
      </c>
      <c r="AT96" t="s">
        <v>13</v>
      </c>
      <c r="AU96" t="s">
        <v>1564</v>
      </c>
    </row>
    <row r="97" spans="1:47" customFormat="1">
      <c r="A97" s="1">
        <v>92</v>
      </c>
      <c r="B97" t="s">
        <v>1562</v>
      </c>
      <c r="C97" t="s">
        <v>1</v>
      </c>
      <c r="D97" t="str">
        <f t="shared" ref="D97:D103" si="11">IF(G97="n","-",MIN(X97,AI97,AN97))</f>
        <v>-</v>
      </c>
      <c r="E97" t="s">
        <v>9</v>
      </c>
      <c r="F97" t="str">
        <f t="shared" si="9"/>
        <v/>
      </c>
      <c r="G97" t="str">
        <f t="shared" si="10"/>
        <v>n</v>
      </c>
      <c r="H97" t="str">
        <f t="shared" si="8"/>
        <v>None</v>
      </c>
      <c r="I97" t="s">
        <v>76</v>
      </c>
      <c r="J97" t="s">
        <v>199</v>
      </c>
      <c r="M97">
        <v>88157.4</v>
      </c>
      <c r="N97">
        <v>-0.123</v>
      </c>
      <c r="O97">
        <v>2725</v>
      </c>
      <c r="P97" t="s">
        <v>1563</v>
      </c>
      <c r="Q97">
        <v>0.14599999999999999</v>
      </c>
      <c r="R97">
        <v>70734</v>
      </c>
      <c r="S97">
        <v>-33</v>
      </c>
      <c r="T97" t="s">
        <v>88</v>
      </c>
      <c r="U97" t="s">
        <v>376</v>
      </c>
      <c r="V97" t="s">
        <v>1</v>
      </c>
      <c r="W97" t="s">
        <v>9</v>
      </c>
      <c r="X97" t="s">
        <v>9</v>
      </c>
      <c r="Y97" t="s">
        <v>9</v>
      </c>
      <c r="Z97" t="s">
        <v>9</v>
      </c>
      <c r="AA97" t="s">
        <v>9</v>
      </c>
      <c r="AB97">
        <v>0</v>
      </c>
      <c r="AC97">
        <v>0</v>
      </c>
      <c r="AD97">
        <v>0</v>
      </c>
      <c r="AE97">
        <v>0</v>
      </c>
      <c r="AF97">
        <v>0</v>
      </c>
      <c r="AG97">
        <v>0</v>
      </c>
      <c r="AH97">
        <v>0</v>
      </c>
      <c r="AI97">
        <v>0</v>
      </c>
      <c r="AL97">
        <v>0</v>
      </c>
      <c r="AM97" t="s">
        <v>1562</v>
      </c>
    </row>
    <row r="98" spans="1:47" customFormat="1">
      <c r="A98" s="1">
        <v>93</v>
      </c>
      <c r="B98" t="s">
        <v>1560</v>
      </c>
      <c r="C98" t="s">
        <v>1</v>
      </c>
      <c r="D98" t="str">
        <f t="shared" si="11"/>
        <v>-</v>
      </c>
      <c r="E98" t="s">
        <v>9</v>
      </c>
      <c r="F98" t="str">
        <f t="shared" si="9"/>
        <v/>
      </c>
      <c r="G98" t="str">
        <f t="shared" si="10"/>
        <v>n</v>
      </c>
      <c r="H98" t="str">
        <f t="shared" si="8"/>
        <v>None</v>
      </c>
      <c r="I98" t="s">
        <v>135</v>
      </c>
      <c r="J98" t="s">
        <v>135</v>
      </c>
      <c r="M98">
        <v>88140.9</v>
      </c>
      <c r="N98">
        <v>0.11</v>
      </c>
      <c r="O98">
        <v>1585.2</v>
      </c>
      <c r="P98" t="s">
        <v>1561</v>
      </c>
      <c r="Q98">
        <v>2.5999999999999999E-2</v>
      </c>
      <c r="R98">
        <v>178572</v>
      </c>
      <c r="S98">
        <v>-2</v>
      </c>
      <c r="T98" t="s">
        <v>88</v>
      </c>
      <c r="U98" t="s">
        <v>73</v>
      </c>
      <c r="V98" t="s">
        <v>1</v>
      </c>
      <c r="W98" t="s">
        <v>9</v>
      </c>
      <c r="X98" t="s">
        <v>9</v>
      </c>
      <c r="Y98" t="s">
        <v>9</v>
      </c>
      <c r="Z98" t="s">
        <v>9</v>
      </c>
      <c r="AA98" t="s">
        <v>9</v>
      </c>
      <c r="AB98">
        <v>0</v>
      </c>
      <c r="AC98">
        <v>0</v>
      </c>
      <c r="AD98">
        <v>0</v>
      </c>
      <c r="AE98">
        <v>0</v>
      </c>
      <c r="AF98">
        <v>0</v>
      </c>
      <c r="AG98">
        <v>0</v>
      </c>
      <c r="AH98">
        <v>0</v>
      </c>
      <c r="AI98">
        <v>0</v>
      </c>
      <c r="AL98">
        <v>0</v>
      </c>
      <c r="AM98" t="s">
        <v>1560</v>
      </c>
    </row>
    <row r="99" spans="1:47" customFormat="1">
      <c r="A99" s="1">
        <v>94</v>
      </c>
      <c r="B99" t="s">
        <v>1558</v>
      </c>
      <c r="C99" t="s">
        <v>1</v>
      </c>
      <c r="D99" t="str">
        <f t="shared" si="11"/>
        <v>-</v>
      </c>
      <c r="E99" t="s">
        <v>9</v>
      </c>
      <c r="F99" t="str">
        <f t="shared" si="9"/>
        <v/>
      </c>
      <c r="G99" t="str">
        <f t="shared" si="10"/>
        <v>n</v>
      </c>
      <c r="H99" t="str">
        <f t="shared" si="8"/>
        <v>None</v>
      </c>
      <c r="I99" t="s">
        <v>171</v>
      </c>
      <c r="J99" t="s">
        <v>171</v>
      </c>
      <c r="M99">
        <v>87999.2</v>
      </c>
      <c r="N99">
        <v>3.2000000000000001E-2</v>
      </c>
      <c r="O99">
        <v>1370.8</v>
      </c>
      <c r="P99" t="s">
        <v>1559</v>
      </c>
      <c r="Q99">
        <v>-0.61599999999999999</v>
      </c>
      <c r="R99">
        <v>122217</v>
      </c>
      <c r="S99">
        <v>-16</v>
      </c>
      <c r="T99" t="s">
        <v>88</v>
      </c>
      <c r="U99" t="s">
        <v>114</v>
      </c>
      <c r="V99" t="s">
        <v>1</v>
      </c>
      <c r="W99" t="s">
        <v>9</v>
      </c>
      <c r="X99" t="s">
        <v>9</v>
      </c>
      <c r="Y99" t="s">
        <v>9</v>
      </c>
      <c r="Z99" t="s">
        <v>9</v>
      </c>
      <c r="AA99" t="s">
        <v>9</v>
      </c>
      <c r="AB99">
        <v>0</v>
      </c>
      <c r="AC99">
        <v>0</v>
      </c>
      <c r="AD99">
        <v>0</v>
      </c>
      <c r="AE99">
        <v>0</v>
      </c>
      <c r="AF99">
        <v>0</v>
      </c>
      <c r="AG99">
        <v>0</v>
      </c>
      <c r="AH99">
        <v>0</v>
      </c>
      <c r="AI99">
        <v>0</v>
      </c>
      <c r="AL99">
        <v>0</v>
      </c>
      <c r="AM99" t="s">
        <v>1558</v>
      </c>
    </row>
    <row r="100" spans="1:47" customFormat="1">
      <c r="A100" s="1">
        <v>95</v>
      </c>
      <c r="B100" t="s">
        <v>1556</v>
      </c>
      <c r="C100" t="s">
        <v>1</v>
      </c>
      <c r="D100" t="str">
        <f t="shared" si="11"/>
        <v>-</v>
      </c>
      <c r="E100" t="s">
        <v>9</v>
      </c>
      <c r="F100" t="str">
        <f t="shared" si="9"/>
        <v/>
      </c>
      <c r="G100" t="str">
        <f t="shared" si="10"/>
        <v>n</v>
      </c>
      <c r="H100" t="str">
        <f t="shared" si="8"/>
        <v>None</v>
      </c>
      <c r="I100" t="s">
        <v>71</v>
      </c>
      <c r="J100" t="s">
        <v>138</v>
      </c>
      <c r="M100">
        <v>87403.3</v>
      </c>
      <c r="N100">
        <v>0.184</v>
      </c>
      <c r="O100">
        <v>-9377.9</v>
      </c>
      <c r="P100" t="s">
        <v>1557</v>
      </c>
      <c r="Q100" t="s">
        <v>9</v>
      </c>
      <c r="R100">
        <v>131108</v>
      </c>
      <c r="S100">
        <v>12</v>
      </c>
      <c r="T100" t="s">
        <v>180</v>
      </c>
      <c r="U100" t="s">
        <v>121</v>
      </c>
      <c r="V100" t="s">
        <v>1</v>
      </c>
      <c r="W100" t="s">
        <v>9</v>
      </c>
      <c r="X100" t="s">
        <v>9</v>
      </c>
      <c r="Y100" t="s">
        <v>9</v>
      </c>
      <c r="Z100" t="s">
        <v>9</v>
      </c>
      <c r="AA100" t="s">
        <v>9</v>
      </c>
      <c r="AB100">
        <v>0</v>
      </c>
      <c r="AC100">
        <v>0</v>
      </c>
      <c r="AD100">
        <v>0</v>
      </c>
      <c r="AE100">
        <v>0</v>
      </c>
      <c r="AF100">
        <v>0</v>
      </c>
      <c r="AG100">
        <v>0</v>
      </c>
      <c r="AH100">
        <v>0</v>
      </c>
      <c r="AI100">
        <v>0</v>
      </c>
      <c r="AL100">
        <v>0</v>
      </c>
      <c r="AM100" t="s">
        <v>1556</v>
      </c>
    </row>
    <row r="101" spans="1:47" customFormat="1">
      <c r="A101" s="1">
        <v>96</v>
      </c>
      <c r="B101" t="s">
        <v>1554</v>
      </c>
      <c r="C101" t="s">
        <v>1</v>
      </c>
      <c r="D101" t="str">
        <f t="shared" si="11"/>
        <v>-</v>
      </c>
      <c r="E101" t="s">
        <v>9</v>
      </c>
      <c r="F101" t="str">
        <f t="shared" si="9"/>
        <v/>
      </c>
      <c r="G101" t="str">
        <f t="shared" si="10"/>
        <v>n</v>
      </c>
      <c r="H101" t="str">
        <f t="shared" si="8"/>
        <v>None</v>
      </c>
      <c r="I101" t="s">
        <v>171</v>
      </c>
      <c r="J101" t="s">
        <v>171</v>
      </c>
      <c r="M101">
        <v>87364.3</v>
      </c>
      <c r="N101">
        <v>0.189</v>
      </c>
      <c r="O101">
        <v>3336.3</v>
      </c>
      <c r="P101" t="s">
        <v>1555</v>
      </c>
      <c r="Q101">
        <v>0.53400000000000003</v>
      </c>
      <c r="R101">
        <v>216539</v>
      </c>
      <c r="S101">
        <v>12</v>
      </c>
      <c r="T101" t="s">
        <v>88</v>
      </c>
      <c r="U101" t="s">
        <v>63</v>
      </c>
      <c r="V101" t="s">
        <v>1</v>
      </c>
      <c r="W101" t="s">
        <v>9</v>
      </c>
      <c r="X101" t="s">
        <v>9</v>
      </c>
      <c r="Y101" t="s">
        <v>9</v>
      </c>
      <c r="Z101" t="s">
        <v>9</v>
      </c>
      <c r="AA101" t="s">
        <v>9</v>
      </c>
      <c r="AB101">
        <v>0</v>
      </c>
      <c r="AC101">
        <v>0</v>
      </c>
      <c r="AD101">
        <v>0</v>
      </c>
      <c r="AE101">
        <v>0</v>
      </c>
      <c r="AF101">
        <v>0</v>
      </c>
      <c r="AG101">
        <v>0</v>
      </c>
      <c r="AH101">
        <v>0</v>
      </c>
      <c r="AI101">
        <v>0</v>
      </c>
      <c r="AL101">
        <v>0</v>
      </c>
      <c r="AM101" t="s">
        <v>1554</v>
      </c>
    </row>
    <row r="102" spans="1:47" customFormat="1">
      <c r="A102" s="1">
        <v>97</v>
      </c>
      <c r="B102" t="s">
        <v>1550</v>
      </c>
      <c r="C102" t="s">
        <v>1</v>
      </c>
      <c r="D102" t="str">
        <f t="shared" si="11"/>
        <v>-</v>
      </c>
      <c r="E102" t="s">
        <v>9</v>
      </c>
      <c r="F102" t="str">
        <f t="shared" si="9"/>
        <v/>
      </c>
      <c r="G102" t="str">
        <f t="shared" si="10"/>
        <v>n</v>
      </c>
      <c r="H102" t="str">
        <f t="shared" si="8"/>
        <v>None</v>
      </c>
      <c r="I102" t="s">
        <v>135</v>
      </c>
      <c r="J102" t="s">
        <v>135</v>
      </c>
      <c r="M102">
        <v>86622.6</v>
      </c>
      <c r="N102">
        <v>0.122</v>
      </c>
      <c r="O102">
        <v>3390.9</v>
      </c>
      <c r="P102" t="s">
        <v>1553</v>
      </c>
      <c r="Q102">
        <v>7.9000000000000001E-2</v>
      </c>
      <c r="R102">
        <v>387525</v>
      </c>
      <c r="S102">
        <v>-1</v>
      </c>
      <c r="T102" t="s">
        <v>350</v>
      </c>
      <c r="U102" t="s">
        <v>73</v>
      </c>
      <c r="V102" t="s">
        <v>1</v>
      </c>
      <c r="W102" t="s">
        <v>1552</v>
      </c>
      <c r="X102" t="s">
        <v>9</v>
      </c>
      <c r="Y102" t="s">
        <v>9</v>
      </c>
      <c r="Z102">
        <v>2015</v>
      </c>
      <c r="AA102">
        <v>2020</v>
      </c>
      <c r="AB102" t="s">
        <v>52</v>
      </c>
      <c r="AC102">
        <v>0</v>
      </c>
      <c r="AD102">
        <v>0</v>
      </c>
      <c r="AE102" t="s">
        <v>1551</v>
      </c>
      <c r="AF102">
        <v>0</v>
      </c>
      <c r="AG102">
        <v>0</v>
      </c>
      <c r="AH102">
        <v>0</v>
      </c>
      <c r="AI102">
        <v>0</v>
      </c>
      <c r="AL102">
        <v>0</v>
      </c>
      <c r="AM102" t="s">
        <v>1550</v>
      </c>
    </row>
    <row r="103" spans="1:47" customFormat="1">
      <c r="A103" s="1">
        <v>98</v>
      </c>
      <c r="B103" t="s">
        <v>1548</v>
      </c>
      <c r="C103" t="s">
        <v>1</v>
      </c>
      <c r="D103" t="str">
        <f t="shared" si="11"/>
        <v>-</v>
      </c>
      <c r="E103" t="s">
        <v>9</v>
      </c>
      <c r="F103" t="str">
        <f t="shared" si="9"/>
        <v/>
      </c>
      <c r="G103" t="str">
        <f t="shared" si="10"/>
        <v>n</v>
      </c>
      <c r="H103" t="str">
        <f t="shared" si="8"/>
        <v>None</v>
      </c>
      <c r="I103" t="s">
        <v>461</v>
      </c>
      <c r="J103" t="s">
        <v>461</v>
      </c>
      <c r="M103">
        <v>86604.7</v>
      </c>
      <c r="N103">
        <v>4.8000000000000001E-2</v>
      </c>
      <c r="O103">
        <v>12727.9</v>
      </c>
      <c r="P103" t="s">
        <v>1549</v>
      </c>
      <c r="Q103">
        <v>0.35699999999999998</v>
      </c>
      <c r="R103">
        <v>76866</v>
      </c>
      <c r="S103">
        <v>-13</v>
      </c>
      <c r="T103" t="s">
        <v>88</v>
      </c>
      <c r="U103" t="s">
        <v>207</v>
      </c>
      <c r="V103" t="s">
        <v>1</v>
      </c>
      <c r="W103" t="s">
        <v>9</v>
      </c>
      <c r="X103" t="s">
        <v>9</v>
      </c>
      <c r="Y103" t="s">
        <v>9</v>
      </c>
      <c r="Z103" t="s">
        <v>9</v>
      </c>
      <c r="AA103" t="s">
        <v>9</v>
      </c>
      <c r="AB103">
        <v>0</v>
      </c>
      <c r="AC103">
        <v>0</v>
      </c>
      <c r="AD103">
        <v>0</v>
      </c>
      <c r="AE103">
        <v>0</v>
      </c>
      <c r="AF103">
        <v>0</v>
      </c>
      <c r="AG103">
        <v>0</v>
      </c>
      <c r="AH103">
        <v>0</v>
      </c>
      <c r="AI103">
        <v>0</v>
      </c>
      <c r="AL103">
        <v>0</v>
      </c>
      <c r="AM103" t="s">
        <v>1548</v>
      </c>
    </row>
    <row r="104" spans="1:47" customFormat="1">
      <c r="A104" s="1">
        <v>99</v>
      </c>
      <c r="B104" t="s">
        <v>1542</v>
      </c>
      <c r="C104" t="s">
        <v>1</v>
      </c>
      <c r="D104">
        <f>IF(G104="n","",MIN(X104,AI104,AN104))</f>
        <v>2016</v>
      </c>
      <c r="F104">
        <f t="shared" si="9"/>
        <v>2016</v>
      </c>
      <c r="G104" t="str">
        <f t="shared" si="10"/>
        <v>y</v>
      </c>
      <c r="H104" t="str">
        <f t="shared" si="8"/>
        <v>SBT &amp; RE100</v>
      </c>
      <c r="I104" t="s">
        <v>76</v>
      </c>
      <c r="J104" t="s">
        <v>80</v>
      </c>
      <c r="M104">
        <v>86131</v>
      </c>
      <c r="N104">
        <v>8.2000000000000003E-2</v>
      </c>
      <c r="O104">
        <v>13727</v>
      </c>
      <c r="P104" t="s">
        <v>1547</v>
      </c>
      <c r="Q104">
        <v>0.27100000000000002</v>
      </c>
      <c r="R104">
        <v>235217</v>
      </c>
      <c r="S104">
        <v>-9</v>
      </c>
      <c r="T104" t="s">
        <v>88</v>
      </c>
      <c r="U104" t="s">
        <v>275</v>
      </c>
      <c r="V104" t="s">
        <v>1546</v>
      </c>
      <c r="W104" t="s">
        <v>9</v>
      </c>
      <c r="X104" t="s">
        <v>9</v>
      </c>
      <c r="Y104">
        <v>2005</v>
      </c>
      <c r="Z104" t="s">
        <v>9</v>
      </c>
      <c r="AA104" t="s">
        <v>9</v>
      </c>
      <c r="AB104">
        <v>0</v>
      </c>
      <c r="AC104">
        <v>0</v>
      </c>
      <c r="AD104" t="s">
        <v>1545</v>
      </c>
      <c r="AE104" t="s">
        <v>1544</v>
      </c>
      <c r="AF104" t="s">
        <v>93</v>
      </c>
      <c r="AG104" t="s">
        <v>165</v>
      </c>
      <c r="AH104" t="s">
        <v>1543</v>
      </c>
      <c r="AI104">
        <v>2016</v>
      </c>
      <c r="AL104">
        <v>0</v>
      </c>
      <c r="AM104" t="s">
        <v>1542</v>
      </c>
      <c r="AN104">
        <v>2017</v>
      </c>
      <c r="AO104">
        <v>2030</v>
      </c>
      <c r="AP104" t="s">
        <v>1541</v>
      </c>
      <c r="AQ104">
        <v>0.28999999999999998</v>
      </c>
      <c r="AR104">
        <v>0.08</v>
      </c>
      <c r="AS104" t="s">
        <v>13</v>
      </c>
      <c r="AT104" t="s">
        <v>13</v>
      </c>
      <c r="AU104" t="s">
        <v>427</v>
      </c>
    </row>
    <row r="105" spans="1:47" customFormat="1">
      <c r="A105" s="1">
        <v>100</v>
      </c>
      <c r="B105" t="s">
        <v>1540</v>
      </c>
      <c r="C105" t="s">
        <v>1</v>
      </c>
      <c r="D105" t="str">
        <f>IF(G105="n","-",MIN(X105,AI105,AN105))</f>
        <v>-</v>
      </c>
      <c r="E105" t="s">
        <v>9</v>
      </c>
      <c r="F105" t="str">
        <f t="shared" si="9"/>
        <v/>
      </c>
      <c r="G105" t="str">
        <f t="shared" si="10"/>
        <v>n</v>
      </c>
      <c r="H105" t="str">
        <f t="shared" si="8"/>
        <v>None</v>
      </c>
      <c r="I105" t="s">
        <v>66</v>
      </c>
      <c r="J105" t="s">
        <v>66</v>
      </c>
      <c r="M105">
        <v>85977</v>
      </c>
      <c r="N105">
        <v>0.372</v>
      </c>
      <c r="O105">
        <v>3844</v>
      </c>
      <c r="P105" t="s">
        <v>1539</v>
      </c>
      <c r="Q105">
        <v>1.633</v>
      </c>
      <c r="R105">
        <v>98000</v>
      </c>
      <c r="S105">
        <v>47</v>
      </c>
      <c r="T105" t="s">
        <v>88</v>
      </c>
      <c r="U105" t="s">
        <v>127</v>
      </c>
      <c r="V105" t="s">
        <v>1</v>
      </c>
      <c r="W105" t="s">
        <v>1538</v>
      </c>
      <c r="X105" t="s">
        <v>9</v>
      </c>
      <c r="Y105">
        <v>2011</v>
      </c>
      <c r="Z105">
        <v>2010</v>
      </c>
      <c r="AA105">
        <v>2020</v>
      </c>
      <c r="AB105">
        <v>0</v>
      </c>
      <c r="AC105">
        <v>0</v>
      </c>
      <c r="AD105">
        <v>0</v>
      </c>
      <c r="AE105" t="s">
        <v>1537</v>
      </c>
      <c r="AF105">
        <v>0</v>
      </c>
      <c r="AG105">
        <v>0</v>
      </c>
      <c r="AH105">
        <v>0</v>
      </c>
      <c r="AI105">
        <v>0</v>
      </c>
      <c r="AL105">
        <v>0</v>
      </c>
      <c r="AM105" t="s">
        <v>1536</v>
      </c>
    </row>
    <row r="106" spans="1:47" customFormat="1">
      <c r="A106" s="1">
        <v>101</v>
      </c>
      <c r="B106" t="s">
        <v>1534</v>
      </c>
      <c r="C106" t="s">
        <v>1</v>
      </c>
      <c r="D106" t="str">
        <f>IF(G106="n","-",MIN(X106,AI106,AN106))</f>
        <v>-</v>
      </c>
      <c r="E106" t="s">
        <v>9</v>
      </c>
      <c r="F106" t="str">
        <f t="shared" si="9"/>
        <v/>
      </c>
      <c r="G106" t="str">
        <f t="shared" si="10"/>
        <v>n</v>
      </c>
      <c r="H106" t="str">
        <f t="shared" si="8"/>
        <v>None</v>
      </c>
      <c r="I106" t="s">
        <v>178</v>
      </c>
      <c r="J106" t="s">
        <v>360</v>
      </c>
      <c r="M106">
        <v>85627.9</v>
      </c>
      <c r="N106">
        <v>0.186</v>
      </c>
      <c r="O106">
        <v>4133.6000000000004</v>
      </c>
      <c r="P106" t="s">
        <v>1535</v>
      </c>
      <c r="Q106">
        <v>-0.16700000000000001</v>
      </c>
      <c r="R106">
        <v>935191</v>
      </c>
      <c r="S106">
        <v>12</v>
      </c>
      <c r="T106" t="s">
        <v>180</v>
      </c>
      <c r="U106" t="s">
        <v>73</v>
      </c>
      <c r="V106" t="s">
        <v>1</v>
      </c>
      <c r="W106" t="s">
        <v>9</v>
      </c>
      <c r="X106" t="s">
        <v>9</v>
      </c>
      <c r="Y106" t="s">
        <v>9</v>
      </c>
      <c r="Z106" t="s">
        <v>9</v>
      </c>
      <c r="AA106" t="s">
        <v>9</v>
      </c>
      <c r="AB106">
        <v>0</v>
      </c>
      <c r="AC106">
        <v>0</v>
      </c>
      <c r="AD106">
        <v>0</v>
      </c>
      <c r="AE106">
        <v>0</v>
      </c>
      <c r="AF106">
        <v>0</v>
      </c>
      <c r="AG106">
        <v>0</v>
      </c>
      <c r="AH106">
        <v>0</v>
      </c>
      <c r="AI106">
        <v>0</v>
      </c>
      <c r="AL106">
        <v>0</v>
      </c>
      <c r="AM106" t="s">
        <v>1534</v>
      </c>
    </row>
    <row r="107" spans="1:47" customFormat="1">
      <c r="A107" s="1">
        <v>102</v>
      </c>
      <c r="B107" t="s">
        <v>1528</v>
      </c>
      <c r="C107" t="s">
        <v>1</v>
      </c>
      <c r="D107">
        <f>IF(G107="n","",MIN(X107,AI107,AN107))</f>
        <v>2019</v>
      </c>
      <c r="F107">
        <f t="shared" si="9"/>
        <v>2019</v>
      </c>
      <c r="G107" t="str">
        <f t="shared" si="10"/>
        <v>y</v>
      </c>
      <c r="H107" t="str">
        <f t="shared" si="8"/>
        <v xml:space="preserve"> SBT</v>
      </c>
      <c r="I107" t="s">
        <v>186</v>
      </c>
      <c r="J107" t="s">
        <v>282</v>
      </c>
      <c r="M107">
        <v>85507.8</v>
      </c>
      <c r="N107">
        <v>1.0999999999999999E-2</v>
      </c>
      <c r="O107">
        <v>2007.2</v>
      </c>
      <c r="P107" t="s">
        <v>1533</v>
      </c>
      <c r="Q107">
        <v>-0.38700000000000001</v>
      </c>
      <c r="R107">
        <v>295941</v>
      </c>
      <c r="S107">
        <v>-23</v>
      </c>
      <c r="T107" t="s">
        <v>88</v>
      </c>
      <c r="U107" t="s">
        <v>207</v>
      </c>
      <c r="V107" t="s">
        <v>1</v>
      </c>
      <c r="W107" t="s">
        <v>967</v>
      </c>
      <c r="X107" t="s">
        <v>9</v>
      </c>
      <c r="Y107" t="s">
        <v>9</v>
      </c>
      <c r="Z107">
        <v>2010</v>
      </c>
      <c r="AA107">
        <v>2030</v>
      </c>
      <c r="AB107" t="s">
        <v>1532</v>
      </c>
      <c r="AC107">
        <v>0</v>
      </c>
      <c r="AD107">
        <v>0</v>
      </c>
      <c r="AE107" t="s">
        <v>1531</v>
      </c>
      <c r="AF107" t="s">
        <v>431</v>
      </c>
      <c r="AG107" t="s">
        <v>22</v>
      </c>
      <c r="AH107" t="s">
        <v>1530</v>
      </c>
      <c r="AI107">
        <v>2019</v>
      </c>
      <c r="AJ107">
        <v>2030</v>
      </c>
      <c r="AK107" t="s">
        <v>471</v>
      </c>
      <c r="AL107" t="s">
        <v>1529</v>
      </c>
      <c r="AM107" t="s">
        <v>1528</v>
      </c>
    </row>
    <row r="108" spans="1:47" customFormat="1">
      <c r="A108" s="1">
        <v>103</v>
      </c>
      <c r="B108" t="s">
        <v>1517</v>
      </c>
      <c r="C108" t="s">
        <v>361</v>
      </c>
      <c r="D108">
        <f>IF(G108="n","",MIN(X108,AI108,AN108))</f>
        <v>2017</v>
      </c>
      <c r="F108">
        <f t="shared" si="9"/>
        <v>2017</v>
      </c>
      <c r="G108" t="str">
        <f t="shared" si="10"/>
        <v>y</v>
      </c>
      <c r="H108" t="str">
        <f t="shared" si="8"/>
        <v>SBT &amp; RE100</v>
      </c>
      <c r="M108">
        <v>84270.6</v>
      </c>
      <c r="N108">
        <v>0.11799999999999999</v>
      </c>
      <c r="O108">
        <v>1743.1</v>
      </c>
      <c r="P108" t="s">
        <v>1524</v>
      </c>
      <c r="Q108">
        <v>0.10199999999999999</v>
      </c>
      <c r="R108">
        <v>321490</v>
      </c>
      <c r="S108">
        <v>-1</v>
      </c>
      <c r="T108" t="s">
        <v>88</v>
      </c>
      <c r="U108" t="s">
        <v>275</v>
      </c>
      <c r="W108" t="s">
        <v>1527</v>
      </c>
      <c r="X108" t="s">
        <v>9</v>
      </c>
      <c r="Y108" t="s">
        <v>9</v>
      </c>
      <c r="Z108">
        <v>2015</v>
      </c>
      <c r="AA108">
        <v>2020</v>
      </c>
      <c r="AD108" t="s">
        <v>1526</v>
      </c>
      <c r="AE108" t="s">
        <v>1525</v>
      </c>
      <c r="AF108" t="s">
        <v>942</v>
      </c>
      <c r="AG108" t="s">
        <v>22</v>
      </c>
      <c r="AH108" t="s">
        <v>224</v>
      </c>
      <c r="AI108">
        <v>2017</v>
      </c>
      <c r="AJ108">
        <v>2025</v>
      </c>
      <c r="AK108" t="s">
        <v>1519</v>
      </c>
      <c r="AL108" t="s">
        <v>1518</v>
      </c>
      <c r="AN108">
        <v>2017</v>
      </c>
      <c r="AO108">
        <v>2030</v>
      </c>
      <c r="AP108" t="s">
        <v>1516</v>
      </c>
      <c r="AQ108">
        <v>0.55000000000000004</v>
      </c>
      <c r="AR108">
        <v>0.24</v>
      </c>
      <c r="AS108" t="s">
        <v>13</v>
      </c>
      <c r="AT108" t="s">
        <v>13</v>
      </c>
      <c r="AU108" t="s">
        <v>352</v>
      </c>
    </row>
    <row r="109" spans="1:47" customFormat="1">
      <c r="A109" s="1">
        <v>103</v>
      </c>
      <c r="B109" t="s">
        <v>1517</v>
      </c>
      <c r="C109" t="s">
        <v>1</v>
      </c>
      <c r="D109">
        <f>IF(G109="n","",MIN(X109,AI109,AN109))</f>
        <v>2007</v>
      </c>
      <c r="F109">
        <f t="shared" si="9"/>
        <v>2017</v>
      </c>
      <c r="G109" t="str">
        <f t="shared" si="10"/>
        <v>y</v>
      </c>
      <c r="H109" t="str">
        <f t="shared" si="8"/>
        <v>CN, SBT &amp; RE100</v>
      </c>
      <c r="I109" t="s">
        <v>342</v>
      </c>
      <c r="J109" t="s">
        <v>342</v>
      </c>
      <c r="M109">
        <v>84270.6</v>
      </c>
      <c r="N109">
        <v>0.11799999999999999</v>
      </c>
      <c r="O109">
        <v>1743.1</v>
      </c>
      <c r="P109" t="s">
        <v>1524</v>
      </c>
      <c r="Q109">
        <v>0.10199999999999999</v>
      </c>
      <c r="R109">
        <v>321490</v>
      </c>
      <c r="S109">
        <v>-1</v>
      </c>
      <c r="T109" t="s">
        <v>88</v>
      </c>
      <c r="U109" t="s">
        <v>275</v>
      </c>
      <c r="V109" t="s">
        <v>337</v>
      </c>
      <c r="W109" t="s">
        <v>1523</v>
      </c>
      <c r="X109">
        <v>2007</v>
      </c>
      <c r="Y109" t="s">
        <v>9</v>
      </c>
      <c r="Z109" t="s">
        <v>9</v>
      </c>
      <c r="AA109">
        <v>2050</v>
      </c>
      <c r="AB109" t="s">
        <v>1522</v>
      </c>
      <c r="AC109">
        <v>0</v>
      </c>
      <c r="AD109" t="s">
        <v>1521</v>
      </c>
      <c r="AE109" t="s">
        <v>1520</v>
      </c>
      <c r="AF109" t="s">
        <v>942</v>
      </c>
      <c r="AG109" t="s">
        <v>22</v>
      </c>
      <c r="AH109" t="s">
        <v>224</v>
      </c>
      <c r="AI109">
        <v>2017</v>
      </c>
      <c r="AJ109">
        <v>2025</v>
      </c>
      <c r="AK109" t="s">
        <v>1519</v>
      </c>
      <c r="AL109" t="s">
        <v>1518</v>
      </c>
      <c r="AM109" t="s">
        <v>1517</v>
      </c>
      <c r="AN109">
        <v>2017</v>
      </c>
      <c r="AO109">
        <v>2030</v>
      </c>
      <c r="AP109" t="s">
        <v>1516</v>
      </c>
      <c r="AQ109">
        <v>0.55000000000000004</v>
      </c>
      <c r="AR109">
        <v>0.24</v>
      </c>
      <c r="AS109" t="s">
        <v>13</v>
      </c>
      <c r="AT109" t="s">
        <v>13</v>
      </c>
      <c r="AU109" t="s">
        <v>352</v>
      </c>
    </row>
    <row r="110" spans="1:47" customFormat="1">
      <c r="A110" s="1">
        <v>104</v>
      </c>
      <c r="B110" t="s">
        <v>1510</v>
      </c>
      <c r="C110" t="s">
        <v>1</v>
      </c>
      <c r="D110">
        <f>IF(G110="n","",MIN(X110,AI110,AN110))</f>
        <v>2016</v>
      </c>
      <c r="F110">
        <f t="shared" si="9"/>
        <v>2016</v>
      </c>
      <c r="G110" t="str">
        <f t="shared" si="10"/>
        <v>y</v>
      </c>
      <c r="H110" t="str">
        <f t="shared" si="8"/>
        <v>CN &amp; SBT</v>
      </c>
      <c r="I110" t="s">
        <v>76</v>
      </c>
      <c r="J110" t="s">
        <v>80</v>
      </c>
      <c r="K110" s="7" t="s">
        <v>1515</v>
      </c>
      <c r="M110">
        <v>83973.7</v>
      </c>
      <c r="N110">
        <v>-0.28499999999999998</v>
      </c>
      <c r="O110">
        <v>8881.9</v>
      </c>
      <c r="P110" t="s">
        <v>1514</v>
      </c>
      <c r="Q110">
        <v>1.6E-2</v>
      </c>
      <c r="R110">
        <v>197162</v>
      </c>
      <c r="S110">
        <v>-60</v>
      </c>
      <c r="T110" t="s">
        <v>88</v>
      </c>
      <c r="U110" t="s">
        <v>63</v>
      </c>
      <c r="V110" t="s">
        <v>32</v>
      </c>
      <c r="W110" t="s">
        <v>9</v>
      </c>
      <c r="X110">
        <v>2017</v>
      </c>
      <c r="Y110" t="s">
        <v>9</v>
      </c>
      <c r="Z110" t="s">
        <v>9</v>
      </c>
      <c r="AA110" t="s">
        <v>9</v>
      </c>
      <c r="AB110" t="s">
        <v>1513</v>
      </c>
      <c r="AC110">
        <v>0</v>
      </c>
      <c r="AD110" t="s">
        <v>1512</v>
      </c>
      <c r="AE110" t="s">
        <v>1511</v>
      </c>
      <c r="AF110" t="s">
        <v>93</v>
      </c>
      <c r="AG110" t="s">
        <v>165</v>
      </c>
      <c r="AH110" t="s">
        <v>941</v>
      </c>
      <c r="AI110">
        <v>2016</v>
      </c>
      <c r="AL110">
        <v>0</v>
      </c>
      <c r="AM110" t="s">
        <v>1510</v>
      </c>
    </row>
    <row r="111" spans="1:47" customFormat="1">
      <c r="A111" s="1">
        <v>105</v>
      </c>
      <c r="B111" t="s">
        <v>1509</v>
      </c>
      <c r="C111" t="s">
        <v>1</v>
      </c>
      <c r="D111" t="str">
        <f t="shared" ref="D111:D122" si="12">IF(G111="n","-",MIN(X111,AI111,AN111))</f>
        <v>-</v>
      </c>
      <c r="E111" t="s">
        <v>9</v>
      </c>
      <c r="F111" t="str">
        <f t="shared" si="9"/>
        <v/>
      </c>
      <c r="G111" t="str">
        <f t="shared" si="10"/>
        <v>n</v>
      </c>
      <c r="H111" t="str">
        <f t="shared" si="8"/>
        <v>None</v>
      </c>
      <c r="I111" t="s">
        <v>71</v>
      </c>
      <c r="J111" t="s">
        <v>1166</v>
      </c>
      <c r="M111">
        <v>82733.3</v>
      </c>
      <c r="N111">
        <v>0.08</v>
      </c>
      <c r="O111">
        <v>2907.1</v>
      </c>
      <c r="P111" t="s">
        <v>1508</v>
      </c>
      <c r="Q111">
        <v>-0.11</v>
      </c>
      <c r="R111">
        <v>40695</v>
      </c>
      <c r="S111">
        <v>-6</v>
      </c>
      <c r="T111" t="s">
        <v>88</v>
      </c>
      <c r="U111" t="s">
        <v>207</v>
      </c>
      <c r="V111" t="s">
        <v>1</v>
      </c>
      <c r="W111" t="s">
        <v>9</v>
      </c>
      <c r="X111" t="s">
        <v>9</v>
      </c>
      <c r="Y111" t="s">
        <v>9</v>
      </c>
      <c r="Z111" t="s">
        <v>9</v>
      </c>
      <c r="AA111" t="s">
        <v>9</v>
      </c>
      <c r="AB111">
        <v>0</v>
      </c>
      <c r="AC111">
        <v>0</v>
      </c>
      <c r="AD111">
        <v>0</v>
      </c>
      <c r="AE111">
        <v>0</v>
      </c>
      <c r="AF111">
        <v>0</v>
      </c>
      <c r="AG111">
        <v>0</v>
      </c>
      <c r="AH111">
        <v>0</v>
      </c>
      <c r="AI111">
        <v>0</v>
      </c>
      <c r="AL111">
        <v>0</v>
      </c>
      <c r="AM111" t="s">
        <v>1507</v>
      </c>
    </row>
    <row r="112" spans="1:47" customFormat="1">
      <c r="A112" s="1">
        <v>106</v>
      </c>
      <c r="B112" t="s">
        <v>1505</v>
      </c>
      <c r="C112" t="s">
        <v>1</v>
      </c>
      <c r="D112" t="str">
        <f t="shared" si="12"/>
        <v>-</v>
      </c>
      <c r="E112" t="s">
        <v>9</v>
      </c>
      <c r="F112" t="str">
        <f t="shared" si="9"/>
        <v/>
      </c>
      <c r="G112" t="str">
        <f t="shared" si="10"/>
        <v>n</v>
      </c>
      <c r="H112" t="str">
        <f t="shared" si="8"/>
        <v>None</v>
      </c>
      <c r="I112" t="s">
        <v>71</v>
      </c>
      <c r="J112" t="s">
        <v>105</v>
      </c>
      <c r="M112">
        <v>82331.199999999997</v>
      </c>
      <c r="N112">
        <v>0.32100000000000001</v>
      </c>
      <c r="O112">
        <v>5660.8</v>
      </c>
      <c r="P112" t="s">
        <v>1506</v>
      </c>
      <c r="Q112">
        <v>1.2E-2</v>
      </c>
      <c r="R112">
        <v>194056</v>
      </c>
      <c r="S112">
        <v>42</v>
      </c>
      <c r="T112" t="s">
        <v>88</v>
      </c>
      <c r="U112" t="s">
        <v>87</v>
      </c>
      <c r="V112" t="s">
        <v>1</v>
      </c>
      <c r="W112" t="s">
        <v>9</v>
      </c>
      <c r="X112" t="s">
        <v>9</v>
      </c>
      <c r="Y112" t="s">
        <v>9</v>
      </c>
      <c r="Z112" t="s">
        <v>9</v>
      </c>
      <c r="AA112" t="s">
        <v>9</v>
      </c>
      <c r="AB112">
        <v>0</v>
      </c>
      <c r="AC112">
        <v>0</v>
      </c>
      <c r="AD112">
        <v>0</v>
      </c>
      <c r="AE112">
        <v>0</v>
      </c>
      <c r="AF112">
        <v>0</v>
      </c>
      <c r="AG112">
        <v>0</v>
      </c>
      <c r="AH112">
        <v>0</v>
      </c>
      <c r="AI112">
        <v>0</v>
      </c>
      <c r="AL112">
        <v>0</v>
      </c>
      <c r="AM112" t="s">
        <v>1505</v>
      </c>
    </row>
    <row r="113" spans="1:47" customFormat="1">
      <c r="A113" s="1">
        <v>107</v>
      </c>
      <c r="B113" t="s">
        <v>1503</v>
      </c>
      <c r="C113" t="s">
        <v>1</v>
      </c>
      <c r="D113" t="str">
        <f t="shared" si="12"/>
        <v>-</v>
      </c>
      <c r="E113" t="s">
        <v>9</v>
      </c>
      <c r="F113" t="str">
        <f t="shared" si="9"/>
        <v/>
      </c>
      <c r="G113" t="str">
        <f t="shared" si="10"/>
        <v>n</v>
      </c>
      <c r="H113" t="str">
        <f t="shared" si="8"/>
        <v>None</v>
      </c>
      <c r="I113" t="s">
        <v>71</v>
      </c>
      <c r="J113" t="s">
        <v>138</v>
      </c>
      <c r="M113">
        <v>81977.7</v>
      </c>
      <c r="N113">
        <v>8.5000000000000006E-2</v>
      </c>
      <c r="O113">
        <v>3531.4</v>
      </c>
      <c r="P113" t="s">
        <v>1504</v>
      </c>
      <c r="Q113">
        <v>0.41499999999999998</v>
      </c>
      <c r="R113">
        <v>338472</v>
      </c>
      <c r="S113">
        <v>-6</v>
      </c>
      <c r="T113" t="s">
        <v>88</v>
      </c>
      <c r="U113" t="s">
        <v>73</v>
      </c>
      <c r="V113" t="s">
        <v>1</v>
      </c>
      <c r="W113" t="s">
        <v>9</v>
      </c>
      <c r="X113" t="s">
        <v>9</v>
      </c>
      <c r="Y113" t="s">
        <v>9</v>
      </c>
      <c r="Z113" t="s">
        <v>9</v>
      </c>
      <c r="AA113" t="s">
        <v>9</v>
      </c>
      <c r="AB113">
        <v>0</v>
      </c>
      <c r="AC113">
        <v>0</v>
      </c>
      <c r="AD113">
        <v>0</v>
      </c>
      <c r="AE113">
        <v>0</v>
      </c>
      <c r="AF113">
        <v>0</v>
      </c>
      <c r="AG113">
        <v>0</v>
      </c>
      <c r="AH113">
        <v>0</v>
      </c>
      <c r="AI113">
        <v>0</v>
      </c>
      <c r="AL113">
        <v>0</v>
      </c>
      <c r="AM113" t="s">
        <v>1503</v>
      </c>
    </row>
    <row r="114" spans="1:47" customFormat="1">
      <c r="A114" s="1">
        <v>108</v>
      </c>
      <c r="B114" t="s">
        <v>1500</v>
      </c>
      <c r="C114" t="s">
        <v>1</v>
      </c>
      <c r="D114" t="str">
        <f t="shared" si="12"/>
        <v>-</v>
      </c>
      <c r="E114" t="s">
        <v>9</v>
      </c>
      <c r="F114" t="str">
        <f t="shared" si="9"/>
        <v/>
      </c>
      <c r="G114" t="str">
        <f t="shared" si="10"/>
        <v>n</v>
      </c>
      <c r="H114" t="str">
        <f t="shared" si="8"/>
        <v>None</v>
      </c>
      <c r="I114" t="s">
        <v>76</v>
      </c>
      <c r="J114" t="s">
        <v>1502</v>
      </c>
      <c r="M114">
        <v>81732.2</v>
      </c>
      <c r="N114">
        <v>4.2999999999999997E-2</v>
      </c>
      <c r="O114">
        <v>8788.4</v>
      </c>
      <c r="P114" t="s">
        <v>1501</v>
      </c>
      <c r="Q114">
        <v>2.9830000000000001</v>
      </c>
      <c r="R114">
        <v>56788</v>
      </c>
      <c r="S114">
        <v>-13</v>
      </c>
      <c r="T114" t="s">
        <v>350</v>
      </c>
      <c r="U114" t="s">
        <v>127</v>
      </c>
      <c r="V114" t="s">
        <v>1</v>
      </c>
      <c r="W114" t="s">
        <v>9</v>
      </c>
      <c r="X114" t="s">
        <v>9</v>
      </c>
      <c r="Y114" t="s">
        <v>9</v>
      </c>
      <c r="Z114" t="s">
        <v>9</v>
      </c>
      <c r="AA114" t="s">
        <v>9</v>
      </c>
      <c r="AB114">
        <v>0</v>
      </c>
      <c r="AC114">
        <v>0</v>
      </c>
      <c r="AD114">
        <v>0</v>
      </c>
      <c r="AE114">
        <v>0</v>
      </c>
      <c r="AF114">
        <v>0</v>
      </c>
      <c r="AG114">
        <v>0</v>
      </c>
      <c r="AH114">
        <v>0</v>
      </c>
      <c r="AI114">
        <v>0</v>
      </c>
      <c r="AL114">
        <v>0</v>
      </c>
      <c r="AM114" t="s">
        <v>1500</v>
      </c>
    </row>
    <row r="115" spans="1:47" customFormat="1">
      <c r="A115" s="1">
        <v>109</v>
      </c>
      <c r="B115" t="s">
        <v>1494</v>
      </c>
      <c r="C115" t="s">
        <v>1</v>
      </c>
      <c r="D115" t="str">
        <f t="shared" si="12"/>
        <v>-</v>
      </c>
      <c r="E115" t="s">
        <v>9</v>
      </c>
      <c r="F115" t="str">
        <f t="shared" si="9"/>
        <v/>
      </c>
      <c r="G115" t="str">
        <f t="shared" si="10"/>
        <v>n</v>
      </c>
      <c r="H115" t="str">
        <f t="shared" si="8"/>
        <v>RE100</v>
      </c>
      <c r="I115" t="s">
        <v>319</v>
      </c>
      <c r="J115" t="s">
        <v>573</v>
      </c>
      <c r="M115">
        <v>81581</v>
      </c>
      <c r="N115">
        <v>6.7000000000000004E-2</v>
      </c>
      <c r="O115">
        <v>15297</v>
      </c>
      <c r="P115" t="s">
        <v>1497</v>
      </c>
      <c r="Q115">
        <v>10.766999999999999</v>
      </c>
      <c r="R115">
        <v>135100</v>
      </c>
      <c r="S115">
        <v>-9</v>
      </c>
      <c r="T115" t="s">
        <v>88</v>
      </c>
      <c r="U115" t="s">
        <v>127</v>
      </c>
      <c r="V115" t="s">
        <v>1</v>
      </c>
      <c r="W115" t="s">
        <v>1499</v>
      </c>
      <c r="X115" t="s">
        <v>9</v>
      </c>
      <c r="Y115" t="s">
        <v>9</v>
      </c>
      <c r="Z115">
        <v>2010</v>
      </c>
      <c r="AA115">
        <v>2050</v>
      </c>
      <c r="AB115" t="s">
        <v>31</v>
      </c>
      <c r="AC115">
        <v>0</v>
      </c>
      <c r="AD115" t="s">
        <v>1498</v>
      </c>
      <c r="AE115" t="s">
        <v>1495</v>
      </c>
      <c r="AF115">
        <v>0</v>
      </c>
      <c r="AG115">
        <v>0</v>
      </c>
      <c r="AH115">
        <v>0</v>
      </c>
      <c r="AL115">
        <v>0</v>
      </c>
      <c r="AM115" t="s">
        <v>1494</v>
      </c>
      <c r="AN115">
        <v>2015</v>
      </c>
      <c r="AO115">
        <v>2050</v>
      </c>
      <c r="AP115" t="s">
        <v>1493</v>
      </c>
      <c r="AQ115">
        <v>0.25</v>
      </c>
      <c r="AR115">
        <v>0.02</v>
      </c>
      <c r="AS115">
        <v>0.02</v>
      </c>
      <c r="AT115">
        <v>0.03</v>
      </c>
      <c r="AU115" t="s">
        <v>1492</v>
      </c>
    </row>
    <row r="116" spans="1:47" customFormat="1">
      <c r="A116" s="1">
        <v>109</v>
      </c>
      <c r="B116" t="s">
        <v>1494</v>
      </c>
      <c r="C116" t="s">
        <v>361</v>
      </c>
      <c r="D116" t="str">
        <f t="shared" si="12"/>
        <v>-</v>
      </c>
      <c r="E116" t="s">
        <v>9</v>
      </c>
      <c r="F116" t="str">
        <f t="shared" si="9"/>
        <v/>
      </c>
      <c r="G116" t="str">
        <f t="shared" si="10"/>
        <v>n</v>
      </c>
      <c r="H116" t="str">
        <f t="shared" si="8"/>
        <v>RE100</v>
      </c>
      <c r="M116">
        <v>81581</v>
      </c>
      <c r="N116">
        <v>6.7000000000000004E-2</v>
      </c>
      <c r="O116">
        <v>15297</v>
      </c>
      <c r="P116" t="s">
        <v>1497</v>
      </c>
      <c r="Q116">
        <v>10.766999999999999</v>
      </c>
      <c r="R116">
        <v>135100</v>
      </c>
      <c r="S116">
        <v>-9</v>
      </c>
      <c r="T116" t="s">
        <v>88</v>
      </c>
      <c r="U116" t="s">
        <v>127</v>
      </c>
      <c r="V116" t="s">
        <v>1</v>
      </c>
      <c r="W116" t="s">
        <v>1496</v>
      </c>
      <c r="X116" t="s">
        <v>9</v>
      </c>
      <c r="Y116" t="s">
        <v>9</v>
      </c>
      <c r="Z116">
        <v>2010</v>
      </c>
      <c r="AA116">
        <v>2020</v>
      </c>
      <c r="AB116" t="s">
        <v>31</v>
      </c>
      <c r="AE116" t="s">
        <v>1495</v>
      </c>
      <c r="AI116">
        <v>0</v>
      </c>
      <c r="AM116" t="s">
        <v>1494</v>
      </c>
      <c r="AN116">
        <v>2015</v>
      </c>
      <c r="AO116">
        <v>2050</v>
      </c>
      <c r="AP116" t="s">
        <v>1493</v>
      </c>
      <c r="AQ116">
        <v>0.25</v>
      </c>
      <c r="AR116">
        <v>0.02</v>
      </c>
      <c r="AS116">
        <v>0.02</v>
      </c>
      <c r="AT116">
        <v>0.03</v>
      </c>
      <c r="AU116" t="s">
        <v>1492</v>
      </c>
    </row>
    <row r="117" spans="1:47" customFormat="1">
      <c r="A117" s="1">
        <v>110</v>
      </c>
      <c r="B117" t="s">
        <v>1491</v>
      </c>
      <c r="C117" t="s">
        <v>1</v>
      </c>
      <c r="D117" t="str">
        <f t="shared" si="12"/>
        <v>-</v>
      </c>
      <c r="E117" t="s">
        <v>9</v>
      </c>
      <c r="F117" t="str">
        <f t="shared" si="9"/>
        <v/>
      </c>
      <c r="G117" t="str">
        <f t="shared" si="10"/>
        <v>n</v>
      </c>
      <c r="H117" t="str">
        <f t="shared" si="8"/>
        <v>CN</v>
      </c>
      <c r="I117" t="s">
        <v>71</v>
      </c>
      <c r="J117" t="s">
        <v>265</v>
      </c>
      <c r="M117">
        <v>81403.3</v>
      </c>
      <c r="N117">
        <v>3.6999999999999998E-2</v>
      </c>
      <c r="O117">
        <v>1389.1</v>
      </c>
      <c r="P117" t="s">
        <v>1490</v>
      </c>
      <c r="Q117">
        <v>-0.61199999999999999</v>
      </c>
      <c r="R117">
        <v>165790</v>
      </c>
      <c r="S117">
        <v>-16</v>
      </c>
      <c r="T117" t="s">
        <v>88</v>
      </c>
      <c r="U117" t="s">
        <v>63</v>
      </c>
      <c r="V117" t="s">
        <v>337</v>
      </c>
      <c r="W117" t="s">
        <v>9</v>
      </c>
      <c r="X117">
        <v>2018</v>
      </c>
      <c r="Y117" t="s">
        <v>9</v>
      </c>
      <c r="Z117" t="s">
        <v>9</v>
      </c>
      <c r="AA117">
        <v>2050</v>
      </c>
      <c r="AB117" t="s">
        <v>31</v>
      </c>
      <c r="AC117">
        <v>0</v>
      </c>
      <c r="AD117" t="s">
        <v>1489</v>
      </c>
      <c r="AE117" t="s">
        <v>1488</v>
      </c>
      <c r="AF117">
        <v>0</v>
      </c>
      <c r="AG117">
        <v>0</v>
      </c>
      <c r="AH117">
        <v>0</v>
      </c>
      <c r="AL117">
        <v>0</v>
      </c>
      <c r="AM117" t="s">
        <v>1487</v>
      </c>
    </row>
    <row r="118" spans="1:47" customFormat="1">
      <c r="A118" s="1">
        <v>111</v>
      </c>
      <c r="B118" t="s">
        <v>1485</v>
      </c>
      <c r="C118" t="s">
        <v>1</v>
      </c>
      <c r="D118" t="str">
        <f t="shared" si="12"/>
        <v>-</v>
      </c>
      <c r="E118" t="s">
        <v>9</v>
      </c>
      <c r="F118" t="str">
        <f t="shared" si="9"/>
        <v/>
      </c>
      <c r="G118" t="str">
        <f t="shared" si="10"/>
        <v>n</v>
      </c>
      <c r="H118" t="str">
        <f t="shared" si="8"/>
        <v>None</v>
      </c>
      <c r="I118" t="s">
        <v>71</v>
      </c>
      <c r="J118" t="s">
        <v>265</v>
      </c>
      <c r="M118">
        <v>80963.600000000006</v>
      </c>
      <c r="N118">
        <v>0.112</v>
      </c>
      <c r="O118">
        <v>1782.4</v>
      </c>
      <c r="P118" t="s">
        <v>1486</v>
      </c>
      <c r="Q118">
        <v>-0.08</v>
      </c>
      <c r="R118">
        <v>289735</v>
      </c>
      <c r="S118">
        <v>-1</v>
      </c>
      <c r="T118" t="s">
        <v>180</v>
      </c>
      <c r="U118" t="s">
        <v>73</v>
      </c>
      <c r="V118" t="s">
        <v>1</v>
      </c>
      <c r="W118" t="s">
        <v>9</v>
      </c>
      <c r="X118" t="s">
        <v>9</v>
      </c>
      <c r="Y118" t="s">
        <v>9</v>
      </c>
      <c r="Z118" t="s">
        <v>9</v>
      </c>
      <c r="AA118" t="s">
        <v>9</v>
      </c>
      <c r="AB118">
        <v>0</v>
      </c>
      <c r="AC118">
        <v>0</v>
      </c>
      <c r="AD118">
        <v>0</v>
      </c>
      <c r="AE118">
        <v>0</v>
      </c>
      <c r="AF118">
        <v>0</v>
      </c>
      <c r="AG118">
        <v>0</v>
      </c>
      <c r="AH118">
        <v>0</v>
      </c>
      <c r="AI118">
        <v>0</v>
      </c>
      <c r="AL118">
        <v>0</v>
      </c>
      <c r="AM118" t="s">
        <v>1485</v>
      </c>
    </row>
    <row r="119" spans="1:47" customFormat="1">
      <c r="A119" s="1">
        <v>112</v>
      </c>
      <c r="B119" t="s">
        <v>1483</v>
      </c>
      <c r="C119" t="s">
        <v>1</v>
      </c>
      <c r="D119" t="str">
        <f t="shared" si="12"/>
        <v>-</v>
      </c>
      <c r="E119" t="s">
        <v>9</v>
      </c>
      <c r="F119" t="str">
        <f t="shared" si="9"/>
        <v/>
      </c>
      <c r="G119" t="str">
        <f t="shared" si="10"/>
        <v>n</v>
      </c>
      <c r="H119" t="str">
        <f t="shared" si="8"/>
        <v>None</v>
      </c>
      <c r="I119" t="s">
        <v>85</v>
      </c>
      <c r="J119" t="s">
        <v>84</v>
      </c>
      <c r="M119">
        <v>80076.399999999994</v>
      </c>
      <c r="N119">
        <v>9.7000000000000003E-2</v>
      </c>
      <c r="O119">
        <v>-373.6</v>
      </c>
      <c r="P119" t="s">
        <v>1484</v>
      </c>
      <c r="Q119" t="s">
        <v>9</v>
      </c>
      <c r="R119">
        <v>199442</v>
      </c>
      <c r="S119">
        <v>-3</v>
      </c>
      <c r="T119" t="s">
        <v>88</v>
      </c>
      <c r="U119" t="s">
        <v>73</v>
      </c>
      <c r="V119" t="s">
        <v>1</v>
      </c>
      <c r="W119" t="s">
        <v>9</v>
      </c>
      <c r="X119" t="s">
        <v>9</v>
      </c>
      <c r="Y119" t="s">
        <v>9</v>
      </c>
      <c r="Z119" t="s">
        <v>9</v>
      </c>
      <c r="AA119" t="s">
        <v>9</v>
      </c>
      <c r="AB119">
        <v>0</v>
      </c>
      <c r="AC119">
        <v>0</v>
      </c>
      <c r="AD119">
        <v>0</v>
      </c>
      <c r="AE119">
        <v>0</v>
      </c>
      <c r="AF119">
        <v>0</v>
      </c>
      <c r="AG119">
        <v>0</v>
      </c>
      <c r="AH119">
        <v>0</v>
      </c>
      <c r="AI119">
        <v>0</v>
      </c>
      <c r="AL119">
        <v>0</v>
      </c>
      <c r="AM119" t="s">
        <v>1483</v>
      </c>
    </row>
    <row r="120" spans="1:47" customFormat="1">
      <c r="A120" s="1">
        <v>113</v>
      </c>
      <c r="B120" t="s">
        <v>1478</v>
      </c>
      <c r="C120" t="s">
        <v>1</v>
      </c>
      <c r="D120" t="str">
        <f t="shared" si="12"/>
        <v>-</v>
      </c>
      <c r="E120" t="s">
        <v>9</v>
      </c>
      <c r="F120" t="str">
        <f t="shared" si="9"/>
        <v/>
      </c>
      <c r="G120" t="str">
        <f t="shared" si="10"/>
        <v>n</v>
      </c>
      <c r="H120" t="str">
        <f t="shared" si="8"/>
        <v>None</v>
      </c>
      <c r="I120" t="s">
        <v>71</v>
      </c>
      <c r="J120" t="s">
        <v>1166</v>
      </c>
      <c r="M120">
        <v>79593</v>
      </c>
      <c r="N120">
        <v>0.30099999999999999</v>
      </c>
      <c r="O120">
        <v>7535</v>
      </c>
      <c r="P120" t="s">
        <v>1482</v>
      </c>
      <c r="Q120">
        <v>0.64200000000000002</v>
      </c>
      <c r="R120">
        <v>20525</v>
      </c>
      <c r="S120">
        <v>37</v>
      </c>
      <c r="T120" t="s">
        <v>88</v>
      </c>
      <c r="U120" t="s">
        <v>1481</v>
      </c>
      <c r="V120" t="s">
        <v>1</v>
      </c>
      <c r="W120" t="s">
        <v>9</v>
      </c>
      <c r="X120" t="s">
        <v>9</v>
      </c>
      <c r="Y120" t="s">
        <v>9</v>
      </c>
      <c r="Z120" t="s">
        <v>9</v>
      </c>
      <c r="AA120" t="s">
        <v>9</v>
      </c>
      <c r="AB120">
        <v>0</v>
      </c>
      <c r="AC120">
        <v>0</v>
      </c>
      <c r="AD120" t="s">
        <v>1480</v>
      </c>
      <c r="AE120" t="s">
        <v>1479</v>
      </c>
      <c r="AF120">
        <v>0</v>
      </c>
      <c r="AG120">
        <v>0</v>
      </c>
      <c r="AH120">
        <v>0</v>
      </c>
      <c r="AI120">
        <v>0</v>
      </c>
      <c r="AL120">
        <v>0</v>
      </c>
      <c r="AM120" t="s">
        <v>1478</v>
      </c>
    </row>
    <row r="121" spans="1:47" customFormat="1">
      <c r="A121" s="1">
        <v>114</v>
      </c>
      <c r="B121" t="s">
        <v>1477</v>
      </c>
      <c r="C121" t="s">
        <v>1</v>
      </c>
      <c r="D121" t="str">
        <f t="shared" si="12"/>
        <v>-</v>
      </c>
      <c r="E121" t="s">
        <v>9</v>
      </c>
      <c r="F121" t="str">
        <f t="shared" si="9"/>
        <v/>
      </c>
      <c r="G121" t="str">
        <f t="shared" si="10"/>
        <v>n</v>
      </c>
      <c r="H121" t="str">
        <f t="shared" si="8"/>
        <v>None</v>
      </c>
      <c r="I121" t="s">
        <v>186</v>
      </c>
      <c r="J121" t="s">
        <v>209</v>
      </c>
      <c r="M121">
        <v>79591</v>
      </c>
      <c r="N121">
        <v>6.0000000000000001E-3</v>
      </c>
      <c r="O121">
        <v>8728</v>
      </c>
      <c r="P121" t="s">
        <v>1476</v>
      </c>
      <c r="Q121">
        <v>0.51700000000000002</v>
      </c>
      <c r="R121">
        <v>381100</v>
      </c>
      <c r="S121">
        <v>-22</v>
      </c>
      <c r="T121" t="s">
        <v>88</v>
      </c>
      <c r="U121" t="s">
        <v>127</v>
      </c>
      <c r="V121" t="s">
        <v>1</v>
      </c>
      <c r="W121" t="s">
        <v>9</v>
      </c>
      <c r="X121" t="s">
        <v>9</v>
      </c>
      <c r="Y121" t="s">
        <v>9</v>
      </c>
      <c r="Z121" t="s">
        <v>9</v>
      </c>
      <c r="AA121" t="s">
        <v>9</v>
      </c>
      <c r="AB121">
        <v>0</v>
      </c>
      <c r="AC121">
        <v>0</v>
      </c>
      <c r="AD121" t="s">
        <v>1475</v>
      </c>
      <c r="AE121">
        <v>0</v>
      </c>
      <c r="AF121">
        <v>0</v>
      </c>
      <c r="AG121">
        <v>0</v>
      </c>
      <c r="AH121">
        <v>0</v>
      </c>
      <c r="AI121">
        <v>0</v>
      </c>
      <c r="AL121">
        <v>0</v>
      </c>
      <c r="AM121" t="s">
        <v>1474</v>
      </c>
    </row>
    <row r="122" spans="1:47" customFormat="1">
      <c r="A122" s="1">
        <v>120</v>
      </c>
      <c r="B122" t="s">
        <v>1445</v>
      </c>
      <c r="C122" t="s">
        <v>1</v>
      </c>
      <c r="D122" t="str">
        <f t="shared" si="12"/>
        <v>-</v>
      </c>
      <c r="E122" t="s">
        <v>9</v>
      </c>
      <c r="F122" t="str">
        <f t="shared" si="9"/>
        <v/>
      </c>
      <c r="G122" t="str">
        <f t="shared" si="10"/>
        <v>n</v>
      </c>
      <c r="H122" t="str">
        <f t="shared" si="8"/>
        <v>None</v>
      </c>
      <c r="I122" t="s">
        <v>85</v>
      </c>
      <c r="J122" t="s">
        <v>84</v>
      </c>
      <c r="K122" s="7" t="s">
        <v>1473</v>
      </c>
      <c r="M122">
        <v>76033</v>
      </c>
      <c r="N122">
        <v>0.107</v>
      </c>
      <c r="O122">
        <v>5149</v>
      </c>
      <c r="P122" t="s">
        <v>1444</v>
      </c>
      <c r="Q122">
        <v>0.127</v>
      </c>
      <c r="R122">
        <v>208583</v>
      </c>
      <c r="S122">
        <v>7</v>
      </c>
      <c r="T122" t="s">
        <v>350</v>
      </c>
      <c r="U122" t="s">
        <v>1443</v>
      </c>
      <c r="V122" t="s">
        <v>1</v>
      </c>
      <c r="W122" t="s">
        <v>9</v>
      </c>
      <c r="X122">
        <v>2019</v>
      </c>
      <c r="Y122" t="s">
        <v>9</v>
      </c>
      <c r="Z122" t="s">
        <v>9</v>
      </c>
      <c r="AA122">
        <v>2050</v>
      </c>
      <c r="AB122" t="s">
        <v>1472</v>
      </c>
      <c r="AD122" t="s">
        <v>1471</v>
      </c>
      <c r="AE122" t="s">
        <v>1470</v>
      </c>
      <c r="AI122">
        <v>0</v>
      </c>
    </row>
    <row r="123" spans="1:47" customFormat="1">
      <c r="A123" s="1">
        <v>116</v>
      </c>
      <c r="B123" t="s">
        <v>1460</v>
      </c>
      <c r="C123" t="s">
        <v>361</v>
      </c>
      <c r="D123">
        <f>IF(G123="n","",MIN(X123,AI123,AN123))</f>
        <v>2015</v>
      </c>
      <c r="F123">
        <f t="shared" si="9"/>
        <v>2015</v>
      </c>
      <c r="G123" t="str">
        <f t="shared" si="10"/>
        <v>y</v>
      </c>
      <c r="H123" t="str">
        <f t="shared" si="8"/>
        <v>SBT &amp; RE100</v>
      </c>
      <c r="M123">
        <v>78157.7</v>
      </c>
      <c r="N123">
        <v>1.4E-2</v>
      </c>
      <c r="O123">
        <v>8264</v>
      </c>
      <c r="P123" t="s">
        <v>1465</v>
      </c>
      <c r="Q123">
        <v>0.86599999999999999</v>
      </c>
      <c r="R123">
        <v>114400</v>
      </c>
      <c r="S123">
        <v>-19</v>
      </c>
      <c r="T123" t="s">
        <v>88</v>
      </c>
      <c r="U123" t="s">
        <v>207</v>
      </c>
      <c r="W123" t="s">
        <v>1469</v>
      </c>
      <c r="X123">
        <v>2015</v>
      </c>
      <c r="Y123" t="s">
        <v>9</v>
      </c>
      <c r="Z123">
        <v>2015</v>
      </c>
      <c r="AA123">
        <v>2020</v>
      </c>
      <c r="AB123" t="s">
        <v>1468</v>
      </c>
      <c r="AC123">
        <v>0</v>
      </c>
      <c r="AD123" t="s">
        <v>1467</v>
      </c>
      <c r="AE123" t="s">
        <v>1466</v>
      </c>
      <c r="AF123" t="s">
        <v>39</v>
      </c>
      <c r="AG123" t="s">
        <v>22</v>
      </c>
      <c r="AH123" t="s">
        <v>1156</v>
      </c>
      <c r="AI123">
        <v>2015</v>
      </c>
      <c r="AJ123">
        <v>2020</v>
      </c>
      <c r="AL123" t="s">
        <v>1461</v>
      </c>
      <c r="AM123" t="s">
        <v>1460</v>
      </c>
      <c r="AN123">
        <v>2018</v>
      </c>
      <c r="AO123">
        <v>2040</v>
      </c>
      <c r="AP123" t="s">
        <v>1459</v>
      </c>
      <c r="AQ123">
        <v>0.05</v>
      </c>
      <c r="AR123" t="s">
        <v>13</v>
      </c>
      <c r="AS123" t="s">
        <v>13</v>
      </c>
      <c r="AT123" t="s">
        <v>13</v>
      </c>
      <c r="AU123" t="s">
        <v>12</v>
      </c>
    </row>
    <row r="124" spans="1:47" customFormat="1">
      <c r="A124" s="1">
        <v>116</v>
      </c>
      <c r="B124" t="s">
        <v>1460</v>
      </c>
      <c r="C124" t="s">
        <v>1</v>
      </c>
      <c r="D124">
        <f>IF(G124="n","",MIN(X124,AI124,AN124))</f>
        <v>2010</v>
      </c>
      <c r="E124" t="s">
        <v>369</v>
      </c>
      <c r="F124">
        <f t="shared" si="9"/>
        <v>2015</v>
      </c>
      <c r="G124" t="str">
        <f t="shared" si="10"/>
        <v>y</v>
      </c>
      <c r="H124" t="str">
        <f t="shared" si="8"/>
        <v>CN, SBT &amp; RE100</v>
      </c>
      <c r="I124" t="s">
        <v>186</v>
      </c>
      <c r="J124" t="s">
        <v>282</v>
      </c>
      <c r="M124">
        <v>78157.7</v>
      </c>
      <c r="N124">
        <v>1.4E-2</v>
      </c>
      <c r="O124">
        <v>8264</v>
      </c>
      <c r="P124" t="s">
        <v>1465</v>
      </c>
      <c r="Q124">
        <v>0.86599999999999999</v>
      </c>
      <c r="R124">
        <v>114400</v>
      </c>
      <c r="S124">
        <v>-19</v>
      </c>
      <c r="T124" t="s">
        <v>88</v>
      </c>
      <c r="U124" t="s">
        <v>207</v>
      </c>
      <c r="V124" t="s">
        <v>337</v>
      </c>
      <c r="W124" t="s">
        <v>9</v>
      </c>
      <c r="X124">
        <v>2010</v>
      </c>
      <c r="Y124" t="s">
        <v>9</v>
      </c>
      <c r="Z124" t="s">
        <v>9</v>
      </c>
      <c r="AA124">
        <v>2050</v>
      </c>
      <c r="AB124" t="s">
        <v>1464</v>
      </c>
      <c r="AC124">
        <v>0</v>
      </c>
      <c r="AD124" t="s">
        <v>1463</v>
      </c>
      <c r="AE124" t="s">
        <v>1462</v>
      </c>
      <c r="AF124" t="s">
        <v>39</v>
      </c>
      <c r="AG124" t="s">
        <v>22</v>
      </c>
      <c r="AH124" t="s">
        <v>1156</v>
      </c>
      <c r="AI124">
        <v>2015</v>
      </c>
      <c r="AJ124">
        <v>2020</v>
      </c>
      <c r="AL124" t="s">
        <v>1461</v>
      </c>
      <c r="AM124" t="s">
        <v>1460</v>
      </c>
      <c r="AN124">
        <v>2018</v>
      </c>
      <c r="AO124">
        <v>2040</v>
      </c>
      <c r="AP124" t="s">
        <v>1459</v>
      </c>
      <c r="AQ124">
        <v>0.05</v>
      </c>
      <c r="AR124" t="s">
        <v>13</v>
      </c>
      <c r="AS124" t="s">
        <v>13</v>
      </c>
      <c r="AT124" t="s">
        <v>13</v>
      </c>
      <c r="AU124" t="s">
        <v>12</v>
      </c>
    </row>
    <row r="125" spans="1:47" customFormat="1">
      <c r="A125" s="1">
        <v>117</v>
      </c>
      <c r="B125" t="s">
        <v>1457</v>
      </c>
      <c r="C125" t="s">
        <v>1</v>
      </c>
      <c r="D125" t="str">
        <f>IF(G125="n","-",MIN(X125,AI125,AN125))</f>
        <v>-</v>
      </c>
      <c r="E125" t="s">
        <v>9</v>
      </c>
      <c r="F125" t="str">
        <f t="shared" si="9"/>
        <v/>
      </c>
      <c r="G125" t="str">
        <f t="shared" si="10"/>
        <v>n</v>
      </c>
      <c r="H125" t="str">
        <f t="shared" si="8"/>
        <v>None</v>
      </c>
      <c r="I125" t="s">
        <v>71</v>
      </c>
      <c r="J125" t="s">
        <v>1166</v>
      </c>
      <c r="M125">
        <v>77587</v>
      </c>
      <c r="N125">
        <v>0.17699999999999999</v>
      </c>
      <c r="O125">
        <v>2484.6999999999998</v>
      </c>
      <c r="P125" t="s">
        <v>1458</v>
      </c>
      <c r="Q125">
        <v>-0.27800000000000002</v>
      </c>
      <c r="R125">
        <v>35442</v>
      </c>
      <c r="S125">
        <v>20</v>
      </c>
      <c r="T125" t="s">
        <v>88</v>
      </c>
      <c r="U125" t="s">
        <v>87</v>
      </c>
      <c r="V125" t="s">
        <v>1</v>
      </c>
      <c r="W125" t="s">
        <v>9</v>
      </c>
      <c r="X125" t="s">
        <v>9</v>
      </c>
      <c r="Y125" t="s">
        <v>9</v>
      </c>
      <c r="Z125" t="s">
        <v>9</v>
      </c>
      <c r="AA125" t="s">
        <v>9</v>
      </c>
      <c r="AB125">
        <v>0</v>
      </c>
      <c r="AC125">
        <v>0</v>
      </c>
      <c r="AD125">
        <v>0</v>
      </c>
      <c r="AE125">
        <v>0</v>
      </c>
      <c r="AF125">
        <v>0</v>
      </c>
      <c r="AG125">
        <v>0</v>
      </c>
      <c r="AH125">
        <v>0</v>
      </c>
      <c r="AI125">
        <v>0</v>
      </c>
      <c r="AL125">
        <v>0</v>
      </c>
      <c r="AM125" t="s">
        <v>1457</v>
      </c>
    </row>
    <row r="126" spans="1:47" customFormat="1">
      <c r="A126" s="1">
        <v>118</v>
      </c>
      <c r="B126" t="s">
        <v>1453</v>
      </c>
      <c r="C126" t="s">
        <v>1</v>
      </c>
      <c r="D126">
        <f>IF(G126="n","",MIN(X126,AI126,AN126))</f>
        <v>2018</v>
      </c>
      <c r="F126">
        <f t="shared" si="9"/>
        <v>2018</v>
      </c>
      <c r="G126" t="str">
        <f t="shared" si="10"/>
        <v>y</v>
      </c>
      <c r="H126" t="str">
        <f t="shared" si="8"/>
        <v>SBT &amp; RE100</v>
      </c>
      <c r="I126" t="s">
        <v>342</v>
      </c>
      <c r="J126" t="s">
        <v>342</v>
      </c>
      <c r="M126">
        <v>77122.5</v>
      </c>
      <c r="N126">
        <v>2.4E-2</v>
      </c>
      <c r="O126">
        <v>214</v>
      </c>
      <c r="P126" t="s">
        <v>1456</v>
      </c>
      <c r="Q126">
        <v>-2.8000000000000001E-2</v>
      </c>
      <c r="R126">
        <v>288326</v>
      </c>
      <c r="S126">
        <v>-15</v>
      </c>
      <c r="T126" t="s">
        <v>88</v>
      </c>
      <c r="U126" t="s">
        <v>207</v>
      </c>
      <c r="V126" t="s">
        <v>1</v>
      </c>
      <c r="W126" t="s">
        <v>9</v>
      </c>
      <c r="X126" t="s">
        <v>9</v>
      </c>
      <c r="Y126" t="s">
        <v>9</v>
      </c>
      <c r="Z126" t="s">
        <v>9</v>
      </c>
      <c r="AA126" t="s">
        <v>9</v>
      </c>
      <c r="AB126">
        <v>0</v>
      </c>
      <c r="AC126">
        <v>0</v>
      </c>
      <c r="AD126">
        <v>0</v>
      </c>
      <c r="AE126">
        <v>0</v>
      </c>
      <c r="AF126" t="s">
        <v>942</v>
      </c>
      <c r="AG126" t="s">
        <v>22</v>
      </c>
      <c r="AH126" t="s">
        <v>1455</v>
      </c>
      <c r="AI126">
        <v>2019</v>
      </c>
      <c r="AJ126">
        <v>2030</v>
      </c>
      <c r="AK126" t="s">
        <v>1056</v>
      </c>
      <c r="AL126" t="s">
        <v>1454</v>
      </c>
      <c r="AM126" t="s">
        <v>1453</v>
      </c>
      <c r="AN126">
        <v>2018</v>
      </c>
      <c r="AO126">
        <v>2030</v>
      </c>
      <c r="AP126" t="s">
        <v>13</v>
      </c>
      <c r="AQ126">
        <v>0</v>
      </c>
      <c r="AR126" t="s">
        <v>13</v>
      </c>
      <c r="AS126" t="s">
        <v>13</v>
      </c>
      <c r="AT126" t="s">
        <v>13</v>
      </c>
      <c r="AU126" t="s">
        <v>735</v>
      </c>
    </row>
    <row r="127" spans="1:47" customFormat="1">
      <c r="A127" s="1">
        <v>119</v>
      </c>
      <c r="B127" t="s">
        <v>1451</v>
      </c>
      <c r="C127" t="s">
        <v>1</v>
      </c>
      <c r="D127" t="str">
        <f>IF(G127="n","-",MIN(X127,AI127,AN127))</f>
        <v>-</v>
      </c>
      <c r="E127" t="s">
        <v>9</v>
      </c>
      <c r="F127" t="str">
        <f t="shared" si="9"/>
        <v/>
      </c>
      <c r="G127" t="str">
        <f t="shared" si="10"/>
        <v>n</v>
      </c>
      <c r="H127" t="str">
        <f t="shared" si="8"/>
        <v>None</v>
      </c>
      <c r="I127" t="s">
        <v>85</v>
      </c>
      <c r="J127" t="s">
        <v>84</v>
      </c>
      <c r="M127">
        <v>76363.100000000006</v>
      </c>
      <c r="N127">
        <v>4.9000000000000002E-2</v>
      </c>
      <c r="O127">
        <v>1483</v>
      </c>
      <c r="P127" t="s">
        <v>1452</v>
      </c>
      <c r="Q127">
        <v>-4.1000000000000002E-2</v>
      </c>
      <c r="R127">
        <v>16901</v>
      </c>
      <c r="S127">
        <v>-8</v>
      </c>
      <c r="T127" t="s">
        <v>350</v>
      </c>
      <c r="U127" t="s">
        <v>73</v>
      </c>
      <c r="V127" t="s">
        <v>1</v>
      </c>
      <c r="W127" t="s">
        <v>9</v>
      </c>
      <c r="X127" t="s">
        <v>9</v>
      </c>
      <c r="Y127" t="s">
        <v>9</v>
      </c>
      <c r="Z127" t="s">
        <v>9</v>
      </c>
      <c r="AA127" t="s">
        <v>9</v>
      </c>
      <c r="AB127">
        <v>0</v>
      </c>
      <c r="AC127">
        <v>0</v>
      </c>
      <c r="AD127">
        <v>0</v>
      </c>
      <c r="AE127">
        <v>0</v>
      </c>
      <c r="AF127">
        <v>0</v>
      </c>
      <c r="AG127">
        <v>0</v>
      </c>
      <c r="AH127">
        <v>0</v>
      </c>
      <c r="AI127">
        <v>0</v>
      </c>
      <c r="AL127">
        <v>0</v>
      </c>
      <c r="AM127" t="s">
        <v>1451</v>
      </c>
    </row>
    <row r="128" spans="1:47" customFormat="1">
      <c r="A128" s="1">
        <v>115</v>
      </c>
      <c r="B128" t="s">
        <v>1446</v>
      </c>
      <c r="C128" t="s">
        <v>1</v>
      </c>
      <c r="D128" t="str">
        <f>IF(G128="n","-",MIN(X128,AI128,AN128))</f>
        <v>-</v>
      </c>
      <c r="E128" t="s">
        <v>9</v>
      </c>
      <c r="F128" t="str">
        <f t="shared" si="9"/>
        <v/>
      </c>
      <c r="G128" t="str">
        <f t="shared" si="10"/>
        <v>n</v>
      </c>
      <c r="H128" t="str">
        <f t="shared" si="8"/>
        <v>None</v>
      </c>
      <c r="I128" t="s">
        <v>66</v>
      </c>
      <c r="J128" t="s">
        <v>66</v>
      </c>
      <c r="M128">
        <v>78798.7</v>
      </c>
      <c r="N128">
        <v>8.4000000000000005E-2</v>
      </c>
      <c r="O128">
        <v>5555.1</v>
      </c>
      <c r="P128" t="s">
        <v>1450</v>
      </c>
      <c r="Q128">
        <v>-0.189</v>
      </c>
      <c r="R128">
        <v>122404</v>
      </c>
      <c r="S128">
        <v>-3</v>
      </c>
      <c r="T128" t="s">
        <v>88</v>
      </c>
      <c r="U128" t="s">
        <v>146</v>
      </c>
      <c r="V128" t="s">
        <v>1</v>
      </c>
      <c r="W128" t="s">
        <v>484</v>
      </c>
      <c r="X128" t="s">
        <v>9</v>
      </c>
      <c r="Y128">
        <v>2019</v>
      </c>
      <c r="Z128" t="s">
        <v>9</v>
      </c>
      <c r="AA128">
        <v>2030</v>
      </c>
      <c r="AB128" t="s">
        <v>1449</v>
      </c>
      <c r="AC128">
        <v>0</v>
      </c>
      <c r="AD128" t="s">
        <v>1448</v>
      </c>
      <c r="AE128" t="s">
        <v>1447</v>
      </c>
      <c r="AF128">
        <v>0</v>
      </c>
      <c r="AG128">
        <v>0</v>
      </c>
      <c r="AH128">
        <v>0</v>
      </c>
      <c r="AI128">
        <v>0</v>
      </c>
      <c r="AL128">
        <v>0</v>
      </c>
      <c r="AM128" t="s">
        <v>1446</v>
      </c>
    </row>
    <row r="129" spans="1:39" customFormat="1">
      <c r="A129" s="1">
        <v>120</v>
      </c>
      <c r="B129" t="s">
        <v>1445</v>
      </c>
      <c r="C129" t="s">
        <v>361</v>
      </c>
      <c r="D129" t="str">
        <f>IF(G129="n","-",MIN(X129,AI129,AN129))</f>
        <v>-</v>
      </c>
      <c r="E129" t="s">
        <v>9</v>
      </c>
      <c r="F129" t="str">
        <f t="shared" si="9"/>
        <v/>
      </c>
      <c r="G129" t="str">
        <f t="shared" si="10"/>
        <v>n</v>
      </c>
      <c r="H129" t="str">
        <f t="shared" si="8"/>
        <v>None</v>
      </c>
      <c r="M129">
        <v>76033</v>
      </c>
      <c r="N129">
        <v>0.107</v>
      </c>
      <c r="O129">
        <v>5149</v>
      </c>
      <c r="P129" t="s">
        <v>1444</v>
      </c>
      <c r="Q129">
        <v>0.127</v>
      </c>
      <c r="R129">
        <v>208583</v>
      </c>
      <c r="S129">
        <v>7</v>
      </c>
      <c r="T129" t="s">
        <v>350</v>
      </c>
      <c r="U129" t="s">
        <v>1443</v>
      </c>
      <c r="V129" t="s">
        <v>1</v>
      </c>
      <c r="W129" t="s">
        <v>1442</v>
      </c>
      <c r="X129" t="s">
        <v>9</v>
      </c>
      <c r="Y129" t="s">
        <v>9</v>
      </c>
      <c r="Z129">
        <v>2007</v>
      </c>
      <c r="AA129">
        <v>2020</v>
      </c>
      <c r="AB129" t="s">
        <v>1441</v>
      </c>
      <c r="AC129">
        <v>0</v>
      </c>
      <c r="AD129">
        <v>0</v>
      </c>
      <c r="AE129" t="s">
        <v>1440</v>
      </c>
      <c r="AF129">
        <v>0</v>
      </c>
      <c r="AG129">
        <v>0</v>
      </c>
      <c r="AH129">
        <v>0</v>
      </c>
      <c r="AI129">
        <v>0</v>
      </c>
      <c r="AL129">
        <v>0</v>
      </c>
      <c r="AM129" t="s">
        <v>1439</v>
      </c>
    </row>
    <row r="130" spans="1:39" customFormat="1">
      <c r="A130" s="1">
        <v>121</v>
      </c>
      <c r="B130" t="s">
        <v>1437</v>
      </c>
      <c r="C130" t="s">
        <v>1</v>
      </c>
      <c r="D130" t="str">
        <f>IF(G130="n","-",MIN(X130,AI130,AN130))</f>
        <v>-</v>
      </c>
      <c r="E130" t="s">
        <v>9</v>
      </c>
      <c r="F130" t="str">
        <f t="shared" si="9"/>
        <v/>
      </c>
      <c r="G130" t="str">
        <f t="shared" si="10"/>
        <v>n</v>
      </c>
      <c r="H130" t="str">
        <f t="shared" ref="H130:H193" si="13">IF((OR(V130="Carbon Neutral",V130="No - but have a post-2030 commitment")),           IF((OR(AG130="Committed",AG130="Targets Set")),                    IF(AN130&gt;1, "CN, SBT &amp; RE100", "CN &amp; SBT"),                   IF(AN130&gt;1, "CN &amp; RE100", "CN")      ),                                                                                             IF((OR(AG130="Committed",AG130="Targets Set")),                IF(AN130&gt;1, "SBT &amp; RE100", " SBT"),                                 IF(AN130&gt;1, "RE100", "None")           )                         )</f>
        <v>None</v>
      </c>
      <c r="I130" t="s">
        <v>76</v>
      </c>
      <c r="J130" t="s">
        <v>488</v>
      </c>
      <c r="M130">
        <v>75377.3</v>
      </c>
      <c r="N130">
        <v>5.2999999999999999E-2</v>
      </c>
      <c r="O130">
        <v>1952</v>
      </c>
      <c r="P130" t="s">
        <v>1438</v>
      </c>
      <c r="Q130">
        <v>-0.18099999999999999</v>
      </c>
      <c r="R130">
        <v>198457</v>
      </c>
      <c r="S130">
        <v>-4</v>
      </c>
      <c r="T130" t="s">
        <v>88</v>
      </c>
      <c r="U130" t="s">
        <v>73</v>
      </c>
      <c r="V130" t="s">
        <v>1</v>
      </c>
      <c r="W130" t="s">
        <v>9</v>
      </c>
      <c r="X130" t="s">
        <v>9</v>
      </c>
      <c r="Y130" t="s">
        <v>9</v>
      </c>
      <c r="Z130" t="s">
        <v>9</v>
      </c>
      <c r="AA130" t="s">
        <v>9</v>
      </c>
      <c r="AB130">
        <v>0</v>
      </c>
      <c r="AC130">
        <v>0</v>
      </c>
      <c r="AD130">
        <v>0</v>
      </c>
      <c r="AE130">
        <v>0</v>
      </c>
      <c r="AF130">
        <v>0</v>
      </c>
      <c r="AG130">
        <v>0</v>
      </c>
      <c r="AH130">
        <v>0</v>
      </c>
      <c r="AI130">
        <v>0</v>
      </c>
      <c r="AL130">
        <v>0</v>
      </c>
      <c r="AM130" t="s">
        <v>1437</v>
      </c>
    </row>
    <row r="131" spans="1:39" customFormat="1">
      <c r="A131" s="1">
        <v>122</v>
      </c>
      <c r="B131" t="s">
        <v>1432</v>
      </c>
      <c r="C131" t="s">
        <v>1</v>
      </c>
      <c r="D131">
        <f>IF(G131="n","",MIN(X131,AI131,AN131))</f>
        <v>2019</v>
      </c>
      <c r="F131">
        <f t="shared" si="9"/>
        <v>2019</v>
      </c>
      <c r="G131" t="str">
        <f t="shared" si="10"/>
        <v>y</v>
      </c>
      <c r="H131" t="str">
        <f t="shared" si="13"/>
        <v xml:space="preserve"> SBT</v>
      </c>
      <c r="I131" t="s">
        <v>119</v>
      </c>
      <c r="J131" t="s">
        <v>129</v>
      </c>
      <c r="M131">
        <v>75356</v>
      </c>
      <c r="N131">
        <v>4.8000000000000001E-2</v>
      </c>
      <c r="O131">
        <v>2937</v>
      </c>
      <c r="P131" t="s">
        <v>1436</v>
      </c>
      <c r="Q131">
        <v>1E-3</v>
      </c>
      <c r="R131">
        <v>360000</v>
      </c>
      <c r="S131">
        <v>-6</v>
      </c>
      <c r="T131" t="s">
        <v>88</v>
      </c>
      <c r="U131" t="s">
        <v>127</v>
      </c>
      <c r="V131" t="s">
        <v>1</v>
      </c>
      <c r="W131" t="s">
        <v>810</v>
      </c>
      <c r="X131" t="s">
        <v>9</v>
      </c>
      <c r="Y131" t="s">
        <v>9</v>
      </c>
      <c r="Z131">
        <v>2017</v>
      </c>
      <c r="AA131">
        <v>2030</v>
      </c>
      <c r="AB131" t="s">
        <v>1435</v>
      </c>
      <c r="AC131">
        <v>0</v>
      </c>
      <c r="AD131">
        <v>0</v>
      </c>
      <c r="AE131" t="s">
        <v>1434</v>
      </c>
      <c r="AF131" t="s">
        <v>454</v>
      </c>
      <c r="AG131" t="s">
        <v>22</v>
      </c>
      <c r="AH131" t="s">
        <v>868</v>
      </c>
      <c r="AI131">
        <v>2019</v>
      </c>
      <c r="AJ131">
        <v>2030</v>
      </c>
      <c r="AK131" t="s">
        <v>1056</v>
      </c>
      <c r="AL131" t="s">
        <v>1433</v>
      </c>
      <c r="AM131" t="s">
        <v>1432</v>
      </c>
    </row>
    <row r="132" spans="1:39" customFormat="1">
      <c r="A132" s="1">
        <v>123</v>
      </c>
      <c r="B132" t="s">
        <v>1431</v>
      </c>
      <c r="C132" t="s">
        <v>1</v>
      </c>
      <c r="D132" t="str">
        <f>IF(G132="n","-",MIN(X132,AI132,AN132))</f>
        <v>-</v>
      </c>
      <c r="E132" t="s">
        <v>9</v>
      </c>
      <c r="F132" t="str">
        <f t="shared" si="9"/>
        <v/>
      </c>
      <c r="G132" t="str">
        <f t="shared" si="10"/>
        <v>n</v>
      </c>
      <c r="H132" t="str">
        <f t="shared" si="13"/>
        <v>None</v>
      </c>
      <c r="I132" t="s">
        <v>101</v>
      </c>
      <c r="J132" t="s">
        <v>101</v>
      </c>
      <c r="M132">
        <v>75185</v>
      </c>
      <c r="N132">
        <v>-1E-3</v>
      </c>
      <c r="O132">
        <v>3604.2</v>
      </c>
      <c r="P132" t="s">
        <v>1430</v>
      </c>
      <c r="Q132">
        <v>0.113</v>
      </c>
      <c r="R132">
        <v>133671</v>
      </c>
      <c r="S132">
        <v>-18</v>
      </c>
      <c r="T132" t="s">
        <v>88</v>
      </c>
      <c r="U132" t="s">
        <v>96</v>
      </c>
      <c r="V132" t="s">
        <v>1</v>
      </c>
      <c r="W132" t="s">
        <v>9</v>
      </c>
      <c r="X132" t="s">
        <v>9</v>
      </c>
      <c r="Y132" t="s">
        <v>9</v>
      </c>
      <c r="Z132" t="s">
        <v>9</v>
      </c>
      <c r="AA132" t="s">
        <v>9</v>
      </c>
      <c r="AB132">
        <v>0</v>
      </c>
      <c r="AC132">
        <v>0</v>
      </c>
      <c r="AD132">
        <v>0</v>
      </c>
      <c r="AE132">
        <v>0</v>
      </c>
      <c r="AF132">
        <v>0</v>
      </c>
      <c r="AG132">
        <v>0</v>
      </c>
      <c r="AH132">
        <v>0</v>
      </c>
      <c r="AI132">
        <v>0</v>
      </c>
      <c r="AL132">
        <v>0</v>
      </c>
      <c r="AM132" t="s">
        <v>1429</v>
      </c>
    </row>
    <row r="133" spans="1:39" customFormat="1">
      <c r="A133" s="1">
        <v>124</v>
      </c>
      <c r="B133" t="s">
        <v>1428</v>
      </c>
      <c r="C133" t="s">
        <v>1</v>
      </c>
      <c r="D133">
        <f>IF(G133="n","",MIN(X133,AI133,AN133))</f>
        <v>2017</v>
      </c>
      <c r="F133">
        <f t="shared" si="9"/>
        <v>2017</v>
      </c>
      <c r="G133" t="str">
        <f t="shared" si="10"/>
        <v>y</v>
      </c>
      <c r="H133" t="str">
        <f t="shared" si="13"/>
        <v>CN &amp; SBT</v>
      </c>
      <c r="I133" t="s">
        <v>178</v>
      </c>
      <c r="J133" t="s">
        <v>1324</v>
      </c>
      <c r="M133">
        <v>75000.899999999994</v>
      </c>
      <c r="N133">
        <v>6.3E-2</v>
      </c>
      <c r="O133">
        <v>2448.8000000000002</v>
      </c>
      <c r="P133" t="s">
        <v>1427</v>
      </c>
      <c r="Q133">
        <v>-0.19900000000000001</v>
      </c>
      <c r="R133">
        <v>499018</v>
      </c>
      <c r="S133">
        <v>-5</v>
      </c>
      <c r="T133" t="s">
        <v>88</v>
      </c>
      <c r="U133" t="s">
        <v>146</v>
      </c>
      <c r="V133" t="s">
        <v>337</v>
      </c>
      <c r="W133" t="s">
        <v>9</v>
      </c>
      <c r="X133">
        <v>2017</v>
      </c>
      <c r="Y133" t="s">
        <v>9</v>
      </c>
      <c r="Z133" t="s">
        <v>9</v>
      </c>
      <c r="AA133">
        <v>2050</v>
      </c>
      <c r="AB133" t="s">
        <v>1426</v>
      </c>
      <c r="AC133">
        <v>0</v>
      </c>
      <c r="AD133" t="s">
        <v>1425</v>
      </c>
      <c r="AE133" t="s">
        <v>1424</v>
      </c>
      <c r="AF133" t="s">
        <v>355</v>
      </c>
      <c r="AG133" t="s">
        <v>165</v>
      </c>
      <c r="AH133" t="s">
        <v>1135</v>
      </c>
      <c r="AI133">
        <v>2017</v>
      </c>
      <c r="AL133">
        <v>0</v>
      </c>
      <c r="AM133" t="s">
        <v>1423</v>
      </c>
    </row>
    <row r="134" spans="1:39" customFormat="1">
      <c r="A134" s="1">
        <v>125</v>
      </c>
      <c r="B134" t="s">
        <v>1421</v>
      </c>
      <c r="C134" t="s">
        <v>1</v>
      </c>
      <c r="D134" t="str">
        <f>IF(G134="n","-",MIN(X134,AI134,AN134))</f>
        <v>-</v>
      </c>
      <c r="E134" t="s">
        <v>9</v>
      </c>
      <c r="F134" t="str">
        <f t="shared" si="9"/>
        <v/>
      </c>
      <c r="G134" t="str">
        <f t="shared" si="10"/>
        <v>n</v>
      </c>
      <c r="H134" t="str">
        <f t="shared" si="13"/>
        <v>None</v>
      </c>
      <c r="I134" t="s">
        <v>76</v>
      </c>
      <c r="J134" t="s">
        <v>75</v>
      </c>
      <c r="M134">
        <v>74202.3</v>
      </c>
      <c r="N134">
        <v>0.08</v>
      </c>
      <c r="O134">
        <v>2514.5</v>
      </c>
      <c r="P134" t="s">
        <v>1422</v>
      </c>
      <c r="Q134">
        <v>0.14199999999999999</v>
      </c>
      <c r="R134">
        <v>89198</v>
      </c>
      <c r="S134">
        <v>1</v>
      </c>
      <c r="T134" t="s">
        <v>350</v>
      </c>
      <c r="U134" t="s">
        <v>207</v>
      </c>
      <c r="V134" t="s">
        <v>1</v>
      </c>
      <c r="W134" t="s">
        <v>9</v>
      </c>
      <c r="X134" t="s">
        <v>9</v>
      </c>
      <c r="Y134" t="s">
        <v>9</v>
      </c>
      <c r="Z134" t="s">
        <v>9</v>
      </c>
      <c r="AA134" t="s">
        <v>9</v>
      </c>
      <c r="AB134">
        <v>0</v>
      </c>
      <c r="AC134">
        <v>0</v>
      </c>
      <c r="AD134">
        <v>0</v>
      </c>
      <c r="AE134">
        <v>0</v>
      </c>
      <c r="AF134">
        <v>0</v>
      </c>
      <c r="AG134">
        <v>0</v>
      </c>
      <c r="AH134">
        <v>0</v>
      </c>
      <c r="AI134">
        <v>0</v>
      </c>
      <c r="AL134">
        <v>0</v>
      </c>
      <c r="AM134" t="s">
        <v>1421</v>
      </c>
    </row>
    <row r="135" spans="1:39" customFormat="1">
      <c r="A135" s="1">
        <v>126</v>
      </c>
      <c r="B135" t="s">
        <v>1416</v>
      </c>
      <c r="C135" t="s">
        <v>1</v>
      </c>
      <c r="D135" t="str">
        <f>IF(G135="n","-",MIN(X135,AI135,AN135))</f>
        <v>-</v>
      </c>
      <c r="E135" t="s">
        <v>9</v>
      </c>
      <c r="F135" t="str">
        <f t="shared" si="9"/>
        <v/>
      </c>
      <c r="G135" t="str">
        <f t="shared" si="10"/>
        <v>n</v>
      </c>
      <c r="H135" t="str">
        <f t="shared" si="13"/>
        <v>None</v>
      </c>
      <c r="I135" t="s">
        <v>71</v>
      </c>
      <c r="J135" t="s">
        <v>71</v>
      </c>
      <c r="M135">
        <v>74144.100000000006</v>
      </c>
      <c r="N135">
        <v>-1.4999999999999999E-2</v>
      </c>
      <c r="O135">
        <v>1219.0999999999999</v>
      </c>
      <c r="P135" t="s">
        <v>1420</v>
      </c>
      <c r="Q135">
        <v>-0.24</v>
      </c>
      <c r="R135">
        <v>160301</v>
      </c>
      <c r="S135">
        <v>-22</v>
      </c>
      <c r="T135" t="s">
        <v>88</v>
      </c>
      <c r="U135" t="s">
        <v>63</v>
      </c>
      <c r="V135" t="s">
        <v>1</v>
      </c>
      <c r="W135" t="s">
        <v>1419</v>
      </c>
      <c r="X135" t="s">
        <v>9</v>
      </c>
      <c r="Y135">
        <v>2015</v>
      </c>
      <c r="Z135">
        <v>2012</v>
      </c>
      <c r="AA135">
        <v>2050</v>
      </c>
      <c r="AB135" t="s">
        <v>1418</v>
      </c>
      <c r="AC135">
        <v>0</v>
      </c>
      <c r="AD135">
        <v>0</v>
      </c>
      <c r="AE135" t="s">
        <v>1417</v>
      </c>
      <c r="AF135">
        <v>0</v>
      </c>
      <c r="AG135">
        <v>0</v>
      </c>
      <c r="AH135">
        <v>0</v>
      </c>
      <c r="AI135">
        <v>0</v>
      </c>
      <c r="AL135">
        <v>0</v>
      </c>
      <c r="AM135" t="s">
        <v>1416</v>
      </c>
    </row>
    <row r="136" spans="1:39" customFormat="1">
      <c r="A136" s="1">
        <v>127</v>
      </c>
      <c r="B136" t="s">
        <v>1414</v>
      </c>
      <c r="C136" t="s">
        <v>1</v>
      </c>
      <c r="D136" t="str">
        <f>IF(G136="n","-",MIN(X136,AI136,AN136))</f>
        <v>-</v>
      </c>
      <c r="E136" t="s">
        <v>9</v>
      </c>
      <c r="F136" t="str">
        <f t="shared" si="9"/>
        <v/>
      </c>
      <c r="G136" t="str">
        <f t="shared" si="10"/>
        <v>n</v>
      </c>
      <c r="H136" t="str">
        <f t="shared" si="13"/>
        <v>None</v>
      </c>
      <c r="I136" t="s">
        <v>342</v>
      </c>
      <c r="J136" t="s">
        <v>342</v>
      </c>
      <c r="M136">
        <v>74103.899999999994</v>
      </c>
      <c r="N136">
        <v>4.4999999999999998E-2</v>
      </c>
      <c r="O136">
        <v>2116</v>
      </c>
      <c r="P136" t="s">
        <v>1415</v>
      </c>
      <c r="Q136">
        <v>3.3000000000000002E-2</v>
      </c>
      <c r="R136">
        <v>225000</v>
      </c>
      <c r="S136">
        <v>-9</v>
      </c>
      <c r="T136" t="s">
        <v>350</v>
      </c>
      <c r="U136" t="s">
        <v>96</v>
      </c>
      <c r="V136" t="s">
        <v>1</v>
      </c>
      <c r="W136" t="s">
        <v>9</v>
      </c>
      <c r="X136" t="s">
        <v>9</v>
      </c>
      <c r="Y136" t="s">
        <v>9</v>
      </c>
      <c r="Z136" t="s">
        <v>9</v>
      </c>
      <c r="AA136" t="s">
        <v>9</v>
      </c>
      <c r="AB136">
        <v>0</v>
      </c>
      <c r="AC136">
        <v>0</v>
      </c>
      <c r="AD136">
        <v>0</v>
      </c>
      <c r="AE136">
        <v>0</v>
      </c>
      <c r="AF136">
        <v>0</v>
      </c>
      <c r="AG136">
        <v>0</v>
      </c>
      <c r="AH136">
        <v>0</v>
      </c>
      <c r="AI136">
        <v>0</v>
      </c>
      <c r="AL136">
        <v>0</v>
      </c>
      <c r="AM136" t="s">
        <v>1414</v>
      </c>
    </row>
    <row r="137" spans="1:39" customFormat="1">
      <c r="A137" s="1">
        <v>128</v>
      </c>
      <c r="B137" t="s">
        <v>1412</v>
      </c>
      <c r="C137" t="s">
        <v>1</v>
      </c>
      <c r="D137" t="str">
        <f>IF(G137="n","-",MIN(X137,AI137,AN137))</f>
        <v>-</v>
      </c>
      <c r="E137" t="s">
        <v>9</v>
      </c>
      <c r="F137" t="str">
        <f t="shared" si="9"/>
        <v/>
      </c>
      <c r="G137" t="str">
        <f t="shared" si="10"/>
        <v>n</v>
      </c>
      <c r="H137" t="str">
        <f t="shared" si="13"/>
        <v>None</v>
      </c>
      <c r="I137" t="s">
        <v>76</v>
      </c>
      <c r="J137" t="s">
        <v>112</v>
      </c>
      <c r="M137">
        <v>73598</v>
      </c>
      <c r="N137">
        <v>-1.4E-2</v>
      </c>
      <c r="O137">
        <v>9235</v>
      </c>
      <c r="P137" t="s">
        <v>1413</v>
      </c>
      <c r="Q137">
        <v>0.64200000000000002</v>
      </c>
      <c r="R137">
        <v>6621</v>
      </c>
      <c r="S137">
        <v>-22</v>
      </c>
      <c r="T137" t="s">
        <v>88</v>
      </c>
      <c r="U137" t="s">
        <v>127</v>
      </c>
      <c r="V137" t="s">
        <v>1</v>
      </c>
      <c r="W137" t="s">
        <v>9</v>
      </c>
      <c r="X137" t="s">
        <v>9</v>
      </c>
      <c r="Y137" t="s">
        <v>9</v>
      </c>
      <c r="Z137" t="s">
        <v>9</v>
      </c>
      <c r="AA137" t="s">
        <v>9</v>
      </c>
      <c r="AB137">
        <v>0</v>
      </c>
      <c r="AC137">
        <v>0</v>
      </c>
      <c r="AD137">
        <v>0</v>
      </c>
      <c r="AE137">
        <v>0</v>
      </c>
      <c r="AF137">
        <v>0</v>
      </c>
      <c r="AG137">
        <v>0</v>
      </c>
      <c r="AH137">
        <v>0</v>
      </c>
      <c r="AI137">
        <v>0</v>
      </c>
      <c r="AL137">
        <v>0</v>
      </c>
      <c r="AM137" t="s">
        <v>1412</v>
      </c>
    </row>
    <row r="138" spans="1:39" customFormat="1">
      <c r="A138" s="1">
        <v>129</v>
      </c>
      <c r="B138" t="s">
        <v>1410</v>
      </c>
      <c r="C138" t="s">
        <v>1</v>
      </c>
      <c r="D138" t="str">
        <f>IF(G138="n","-",MIN(X138,AI138,AN138))</f>
        <v>-</v>
      </c>
      <c r="E138" t="s">
        <v>9</v>
      </c>
      <c r="F138" t="str">
        <f t="shared" si="9"/>
        <v/>
      </c>
      <c r="G138" t="str">
        <f t="shared" si="10"/>
        <v>n</v>
      </c>
      <c r="H138" t="str">
        <f t="shared" si="13"/>
        <v>None</v>
      </c>
      <c r="I138" t="s">
        <v>171</v>
      </c>
      <c r="J138" t="s">
        <v>171</v>
      </c>
      <c r="M138">
        <v>72677.399999999994</v>
      </c>
      <c r="N138">
        <v>4.3999999999999997E-2</v>
      </c>
      <c r="O138">
        <v>1097.7</v>
      </c>
      <c r="P138" t="s">
        <v>1411</v>
      </c>
      <c r="Q138">
        <v>-0.29399999999999998</v>
      </c>
      <c r="R138">
        <v>127163</v>
      </c>
      <c r="S138">
        <v>-5</v>
      </c>
      <c r="T138" t="s">
        <v>88</v>
      </c>
      <c r="U138" t="s">
        <v>73</v>
      </c>
      <c r="V138" t="s">
        <v>1</v>
      </c>
      <c r="W138" t="s">
        <v>9</v>
      </c>
      <c r="X138" t="s">
        <v>9</v>
      </c>
      <c r="Y138" t="s">
        <v>9</v>
      </c>
      <c r="Z138" t="s">
        <v>9</v>
      </c>
      <c r="AA138" t="s">
        <v>9</v>
      </c>
      <c r="AB138">
        <v>0</v>
      </c>
      <c r="AC138">
        <v>0</v>
      </c>
      <c r="AD138">
        <v>0</v>
      </c>
      <c r="AE138">
        <v>0</v>
      </c>
      <c r="AF138">
        <v>0</v>
      </c>
      <c r="AG138">
        <v>0</v>
      </c>
      <c r="AH138">
        <v>0</v>
      </c>
      <c r="AI138">
        <v>0</v>
      </c>
      <c r="AL138">
        <v>0</v>
      </c>
      <c r="AM138" t="s">
        <v>1410</v>
      </c>
    </row>
    <row r="139" spans="1:39" customFormat="1">
      <c r="A139" s="1">
        <v>130</v>
      </c>
      <c r="B139" t="s">
        <v>1405</v>
      </c>
      <c r="C139" t="s">
        <v>1</v>
      </c>
      <c r="D139">
        <f>IF(G139="n","",MIN(X139,AI139,AN139))</f>
        <v>2016</v>
      </c>
      <c r="F139">
        <f t="shared" si="9"/>
        <v>2016</v>
      </c>
      <c r="G139" t="str">
        <f t="shared" si="10"/>
        <v>y</v>
      </c>
      <c r="H139" t="str">
        <f t="shared" si="13"/>
        <v xml:space="preserve"> SBT</v>
      </c>
      <c r="I139" t="s">
        <v>71</v>
      </c>
      <c r="J139" t="s">
        <v>1166</v>
      </c>
      <c r="M139">
        <v>72307.199999999997</v>
      </c>
      <c r="N139">
        <v>0.22900000000000001</v>
      </c>
      <c r="O139">
        <v>3704.4</v>
      </c>
      <c r="P139" t="s">
        <v>1409</v>
      </c>
      <c r="Q139">
        <v>-7.0000000000000007E-2</v>
      </c>
      <c r="R139">
        <v>26613</v>
      </c>
      <c r="S139">
        <v>33</v>
      </c>
      <c r="T139" t="s">
        <v>88</v>
      </c>
      <c r="U139" t="s">
        <v>1408</v>
      </c>
      <c r="V139" t="s">
        <v>1</v>
      </c>
      <c r="W139" t="s">
        <v>1021</v>
      </c>
      <c r="X139" t="s">
        <v>9</v>
      </c>
      <c r="Y139" t="s">
        <v>9</v>
      </c>
      <c r="Z139" t="s">
        <v>9</v>
      </c>
      <c r="AA139">
        <v>2030</v>
      </c>
      <c r="AB139" t="s">
        <v>52</v>
      </c>
      <c r="AC139">
        <v>0</v>
      </c>
      <c r="AD139">
        <v>0</v>
      </c>
      <c r="AE139" t="s">
        <v>1407</v>
      </c>
      <c r="AF139" t="s">
        <v>66</v>
      </c>
      <c r="AG139" t="s">
        <v>165</v>
      </c>
      <c r="AH139" t="s">
        <v>1406</v>
      </c>
      <c r="AI139">
        <v>2016</v>
      </c>
      <c r="AL139">
        <v>0</v>
      </c>
      <c r="AM139" t="s">
        <v>1405</v>
      </c>
    </row>
    <row r="140" spans="1:39" customFormat="1">
      <c r="A140" s="1">
        <v>131</v>
      </c>
      <c r="B140" t="s">
        <v>1400</v>
      </c>
      <c r="C140" t="s">
        <v>1</v>
      </c>
      <c r="D140">
        <f>IF(G140="n","",MIN(X140,AI140,AN140))</f>
        <v>2017</v>
      </c>
      <c r="F140">
        <f t="shared" si="9"/>
        <v>2017</v>
      </c>
      <c r="G140" t="str">
        <f t="shared" si="10"/>
        <v>y</v>
      </c>
      <c r="H140" t="str">
        <f t="shared" si="13"/>
        <v>CN &amp; SBT</v>
      </c>
      <c r="I140" t="s">
        <v>186</v>
      </c>
      <c r="J140" t="s">
        <v>282</v>
      </c>
      <c r="M140">
        <v>72178.399999999994</v>
      </c>
      <c r="N140">
        <v>2E-3</v>
      </c>
      <c r="O140">
        <v>2562.8000000000002</v>
      </c>
      <c r="P140" t="s">
        <v>1404</v>
      </c>
      <c r="Q140">
        <v>0.20300000000000001</v>
      </c>
      <c r="R140">
        <v>271869</v>
      </c>
      <c r="S140">
        <v>-17</v>
      </c>
      <c r="T140" t="s">
        <v>88</v>
      </c>
      <c r="U140" t="s">
        <v>207</v>
      </c>
      <c r="V140" t="s">
        <v>337</v>
      </c>
      <c r="W140" t="s">
        <v>9</v>
      </c>
      <c r="X140">
        <v>2017</v>
      </c>
      <c r="Y140" t="s">
        <v>9</v>
      </c>
      <c r="Z140" t="s">
        <v>9</v>
      </c>
      <c r="AA140">
        <v>2050</v>
      </c>
      <c r="AB140" t="s">
        <v>31</v>
      </c>
      <c r="AC140">
        <v>0</v>
      </c>
      <c r="AD140" t="s">
        <v>1403</v>
      </c>
      <c r="AE140" t="s">
        <v>1402</v>
      </c>
      <c r="AF140" t="s">
        <v>39</v>
      </c>
      <c r="AG140" t="s">
        <v>22</v>
      </c>
      <c r="AH140" t="s">
        <v>354</v>
      </c>
      <c r="AI140">
        <v>2017</v>
      </c>
      <c r="AJ140">
        <v>2030</v>
      </c>
      <c r="AK140" t="s">
        <v>202</v>
      </c>
      <c r="AL140" t="s">
        <v>1401</v>
      </c>
      <c r="AM140" t="s">
        <v>1400</v>
      </c>
    </row>
    <row r="141" spans="1:39" customFormat="1">
      <c r="A141" s="1">
        <v>135</v>
      </c>
      <c r="B141" t="s">
        <v>1394</v>
      </c>
      <c r="C141" t="s">
        <v>1</v>
      </c>
      <c r="D141" t="str">
        <f t="shared" ref="D141:D150" si="14">IF(G141="n","-",MIN(X141,AI141,AN141))</f>
        <v>-</v>
      </c>
      <c r="E141" t="s">
        <v>9</v>
      </c>
      <c r="F141" t="str">
        <f t="shared" si="9"/>
        <v/>
      </c>
      <c r="G141" t="str">
        <f t="shared" si="10"/>
        <v>n</v>
      </c>
      <c r="H141" t="str">
        <f t="shared" si="13"/>
        <v>None</v>
      </c>
      <c r="I141" t="s">
        <v>186</v>
      </c>
      <c r="J141" t="s">
        <v>185</v>
      </c>
      <c r="M141">
        <v>70848</v>
      </c>
      <c r="N141">
        <v>0.129</v>
      </c>
      <c r="O141">
        <v>21053</v>
      </c>
      <c r="P141" t="s">
        <v>1399</v>
      </c>
      <c r="Q141">
        <v>1.1930000000000001</v>
      </c>
      <c r="R141">
        <v>107400</v>
      </c>
      <c r="S141">
        <v>11</v>
      </c>
      <c r="T141" t="s">
        <v>88</v>
      </c>
      <c r="U141" t="s">
        <v>82</v>
      </c>
      <c r="V141" t="s">
        <v>1</v>
      </c>
      <c r="W141" t="s">
        <v>934</v>
      </c>
      <c r="X141" t="s">
        <v>9</v>
      </c>
      <c r="Y141">
        <v>2017</v>
      </c>
      <c r="Z141" t="s">
        <v>9</v>
      </c>
      <c r="AA141">
        <v>2050</v>
      </c>
      <c r="AB141" t="s">
        <v>1398</v>
      </c>
      <c r="AC141" t="s">
        <v>1397</v>
      </c>
      <c r="AD141" t="s">
        <v>1396</v>
      </c>
      <c r="AE141" t="s">
        <v>1395</v>
      </c>
      <c r="AF141">
        <v>0</v>
      </c>
      <c r="AG141">
        <v>0</v>
      </c>
      <c r="AH141">
        <v>0</v>
      </c>
      <c r="AI141">
        <v>0</v>
      </c>
      <c r="AL141">
        <v>0</v>
      </c>
      <c r="AM141" t="s">
        <v>1394</v>
      </c>
    </row>
    <row r="142" spans="1:39" customFormat="1">
      <c r="A142" s="1">
        <v>133</v>
      </c>
      <c r="B142" t="s">
        <v>1389</v>
      </c>
      <c r="C142" t="s">
        <v>1</v>
      </c>
      <c r="D142" t="str">
        <f t="shared" si="14"/>
        <v>-</v>
      </c>
      <c r="E142" t="s">
        <v>9</v>
      </c>
      <c r="F142" t="str">
        <f t="shared" si="9"/>
        <v/>
      </c>
      <c r="G142" t="str">
        <f t="shared" si="10"/>
        <v>n</v>
      </c>
      <c r="H142" t="str">
        <f t="shared" si="13"/>
        <v>None</v>
      </c>
      <c r="I142" t="s">
        <v>119</v>
      </c>
      <c r="J142" t="s">
        <v>1393</v>
      </c>
      <c r="M142">
        <v>71309</v>
      </c>
      <c r="N142">
        <v>3.9E-2</v>
      </c>
      <c r="O142">
        <v>2314</v>
      </c>
      <c r="P142" t="s">
        <v>1392</v>
      </c>
      <c r="Q142">
        <v>-0.32900000000000001</v>
      </c>
      <c r="R142">
        <v>245000</v>
      </c>
      <c r="S142">
        <v>-5</v>
      </c>
      <c r="T142" t="s">
        <v>88</v>
      </c>
      <c r="U142" t="s">
        <v>127</v>
      </c>
      <c r="V142" t="s">
        <v>1</v>
      </c>
      <c r="W142" t="s">
        <v>1391</v>
      </c>
      <c r="X142" t="s">
        <v>9</v>
      </c>
      <c r="Y142">
        <v>2014</v>
      </c>
      <c r="Z142" t="s">
        <v>9</v>
      </c>
      <c r="AA142">
        <v>2020</v>
      </c>
      <c r="AB142" t="s">
        <v>31</v>
      </c>
      <c r="AC142">
        <v>0</v>
      </c>
      <c r="AD142">
        <v>0</v>
      </c>
      <c r="AE142" t="s">
        <v>1390</v>
      </c>
      <c r="AF142">
        <v>0</v>
      </c>
      <c r="AG142">
        <v>0</v>
      </c>
      <c r="AH142">
        <v>0</v>
      </c>
      <c r="AI142">
        <v>0</v>
      </c>
      <c r="AL142">
        <v>0</v>
      </c>
      <c r="AM142" t="s">
        <v>1389</v>
      </c>
    </row>
    <row r="143" spans="1:39" customFormat="1">
      <c r="A143" s="1">
        <v>134</v>
      </c>
      <c r="B143" t="s">
        <v>1387</v>
      </c>
      <c r="C143" t="s">
        <v>1</v>
      </c>
      <c r="D143" t="str">
        <f t="shared" si="14"/>
        <v>-</v>
      </c>
      <c r="E143" t="s">
        <v>9</v>
      </c>
      <c r="F143" t="str">
        <f t="shared" si="9"/>
        <v/>
      </c>
      <c r="G143" t="str">
        <f t="shared" si="10"/>
        <v>n</v>
      </c>
      <c r="H143" t="str">
        <f t="shared" si="13"/>
        <v>None</v>
      </c>
      <c r="I143" t="s">
        <v>91</v>
      </c>
      <c r="J143" t="s">
        <v>899</v>
      </c>
      <c r="M143">
        <v>71223.3</v>
      </c>
      <c r="N143">
        <v>2.1999999999999999E-2</v>
      </c>
      <c r="O143">
        <v>337.8</v>
      </c>
      <c r="P143" t="s">
        <v>1388</v>
      </c>
      <c r="Q143">
        <v>-0.14199999999999999</v>
      </c>
      <c r="R143">
        <v>117842</v>
      </c>
      <c r="S143">
        <v>-12</v>
      </c>
      <c r="T143" t="s">
        <v>88</v>
      </c>
      <c r="U143" t="s">
        <v>73</v>
      </c>
      <c r="V143" t="s">
        <v>1</v>
      </c>
      <c r="W143" t="s">
        <v>9</v>
      </c>
      <c r="X143" t="s">
        <v>9</v>
      </c>
      <c r="Y143" t="s">
        <v>9</v>
      </c>
      <c r="Z143" t="s">
        <v>9</v>
      </c>
      <c r="AA143" t="s">
        <v>9</v>
      </c>
      <c r="AB143">
        <v>0</v>
      </c>
      <c r="AC143">
        <v>0</v>
      </c>
      <c r="AD143">
        <v>0</v>
      </c>
      <c r="AE143">
        <v>0</v>
      </c>
      <c r="AF143">
        <v>0</v>
      </c>
      <c r="AG143">
        <v>0</v>
      </c>
      <c r="AH143">
        <v>0</v>
      </c>
      <c r="AI143">
        <v>0</v>
      </c>
      <c r="AL143">
        <v>0</v>
      </c>
      <c r="AM143" t="s">
        <v>1387</v>
      </c>
    </row>
    <row r="144" spans="1:39" customFormat="1">
      <c r="A144" s="1">
        <v>132</v>
      </c>
      <c r="B144" t="s">
        <v>1386</v>
      </c>
      <c r="C144" t="s">
        <v>1</v>
      </c>
      <c r="D144" t="str">
        <f t="shared" si="14"/>
        <v>-</v>
      </c>
      <c r="E144" t="s">
        <v>9</v>
      </c>
      <c r="F144" t="str">
        <f t="shared" ref="F144:F207" si="15">IF(G144="n","",MIN(IF(V144="Carbon Neutral",X144,"3000"),AI144,IF(AO144&gt;2030,"3000",AN144)))</f>
        <v/>
      </c>
      <c r="G144" t="str">
        <f t="shared" ref="G144:G207" si="16">IF( V144="Carbon Neutral", "y",   IF(AI144&gt;1, "y", IF(AND(AO144&lt;=2030, AO144&gt;0),"y","n" )    )       )</f>
        <v>n</v>
      </c>
      <c r="H144" t="str">
        <f t="shared" si="13"/>
        <v>None</v>
      </c>
      <c r="I144" t="s">
        <v>178</v>
      </c>
      <c r="J144" t="s">
        <v>1385</v>
      </c>
      <c r="M144">
        <v>71861</v>
      </c>
      <c r="N144">
        <v>9.0999999999999998E-2</v>
      </c>
      <c r="O144">
        <v>4791</v>
      </c>
      <c r="P144" t="s">
        <v>1384</v>
      </c>
      <c r="Q144">
        <v>-2.4E-2</v>
      </c>
      <c r="R144">
        <v>364575</v>
      </c>
      <c r="S144">
        <v>6</v>
      </c>
      <c r="T144" t="s">
        <v>88</v>
      </c>
      <c r="U144" t="s">
        <v>127</v>
      </c>
      <c r="V144" t="s">
        <v>1383</v>
      </c>
      <c r="W144" t="s">
        <v>9</v>
      </c>
      <c r="X144" t="s">
        <v>9</v>
      </c>
      <c r="Y144">
        <v>2009</v>
      </c>
      <c r="Z144" t="s">
        <v>9</v>
      </c>
      <c r="AA144" t="s">
        <v>9</v>
      </c>
      <c r="AB144" t="s">
        <v>1382</v>
      </c>
      <c r="AC144" t="s">
        <v>1381</v>
      </c>
      <c r="AD144" t="s">
        <v>1380</v>
      </c>
      <c r="AE144">
        <v>0</v>
      </c>
      <c r="AF144">
        <v>0</v>
      </c>
      <c r="AG144">
        <v>0</v>
      </c>
      <c r="AH144">
        <v>0</v>
      </c>
      <c r="AI144">
        <v>0</v>
      </c>
      <c r="AL144">
        <v>0</v>
      </c>
      <c r="AM144" t="s">
        <v>1379</v>
      </c>
    </row>
    <row r="145" spans="1:47" customFormat="1">
      <c r="A145" s="1">
        <v>136</v>
      </c>
      <c r="B145" t="s">
        <v>1375</v>
      </c>
      <c r="C145" t="s">
        <v>1</v>
      </c>
      <c r="D145" t="str">
        <f t="shared" si="14"/>
        <v>-</v>
      </c>
      <c r="E145" t="s">
        <v>9</v>
      </c>
      <c r="F145" t="str">
        <f t="shared" si="15"/>
        <v/>
      </c>
      <c r="G145" t="str">
        <f t="shared" si="16"/>
        <v>n</v>
      </c>
      <c r="H145" t="str">
        <f t="shared" si="13"/>
        <v>None</v>
      </c>
      <c r="I145" t="s">
        <v>178</v>
      </c>
      <c r="J145" t="s">
        <v>360</v>
      </c>
      <c r="M145">
        <v>70660</v>
      </c>
      <c r="N145">
        <v>1.4999999999999999E-2</v>
      </c>
      <c r="O145">
        <v>-3913</v>
      </c>
      <c r="P145" t="s">
        <v>1378</v>
      </c>
      <c r="Q145" t="s">
        <v>9</v>
      </c>
      <c r="R145">
        <v>565802</v>
      </c>
      <c r="S145">
        <v>-13</v>
      </c>
      <c r="T145">
        <v>0</v>
      </c>
      <c r="U145" t="s">
        <v>127</v>
      </c>
      <c r="V145" t="s">
        <v>1</v>
      </c>
      <c r="W145" t="s">
        <v>1377</v>
      </c>
      <c r="X145" t="s">
        <v>9</v>
      </c>
      <c r="Y145" t="s">
        <v>9</v>
      </c>
      <c r="Z145">
        <v>2008</v>
      </c>
      <c r="AA145">
        <v>2020</v>
      </c>
      <c r="AB145">
        <v>0</v>
      </c>
      <c r="AC145">
        <v>0</v>
      </c>
      <c r="AD145">
        <v>0</v>
      </c>
      <c r="AE145" t="s">
        <v>1376</v>
      </c>
      <c r="AF145">
        <v>0</v>
      </c>
      <c r="AG145">
        <v>0</v>
      </c>
      <c r="AH145">
        <v>0</v>
      </c>
      <c r="AI145">
        <v>0</v>
      </c>
      <c r="AL145">
        <v>0</v>
      </c>
      <c r="AM145" t="s">
        <v>1375</v>
      </c>
    </row>
    <row r="146" spans="1:47" customFormat="1">
      <c r="A146" s="1">
        <v>137</v>
      </c>
      <c r="B146" t="s">
        <v>1373</v>
      </c>
      <c r="C146" t="s">
        <v>1</v>
      </c>
      <c r="D146" t="str">
        <f t="shared" si="14"/>
        <v>-</v>
      </c>
      <c r="E146" t="s">
        <v>9</v>
      </c>
      <c r="F146" t="str">
        <f t="shared" si="15"/>
        <v/>
      </c>
      <c r="G146" t="str">
        <f t="shared" si="16"/>
        <v>n</v>
      </c>
      <c r="H146" t="str">
        <f t="shared" si="13"/>
        <v>None</v>
      </c>
      <c r="I146" t="s">
        <v>76</v>
      </c>
      <c r="J146" t="s">
        <v>112</v>
      </c>
      <c r="M146">
        <v>70659</v>
      </c>
      <c r="N146">
        <v>0.152</v>
      </c>
      <c r="O146">
        <v>4566</v>
      </c>
      <c r="P146" t="s">
        <v>1374</v>
      </c>
      <c r="Q146">
        <v>0.41599999999999998</v>
      </c>
      <c r="R146">
        <v>287500</v>
      </c>
      <c r="S146">
        <v>12</v>
      </c>
      <c r="T146" t="s">
        <v>88</v>
      </c>
      <c r="U146" t="s">
        <v>73</v>
      </c>
      <c r="V146" t="s">
        <v>1</v>
      </c>
      <c r="W146" t="s">
        <v>9</v>
      </c>
      <c r="X146" t="s">
        <v>9</v>
      </c>
      <c r="Y146" t="s">
        <v>9</v>
      </c>
      <c r="Z146" t="s">
        <v>9</v>
      </c>
      <c r="AA146" t="s">
        <v>9</v>
      </c>
      <c r="AB146">
        <v>0</v>
      </c>
      <c r="AC146">
        <v>0</v>
      </c>
      <c r="AD146">
        <v>0</v>
      </c>
      <c r="AE146">
        <v>0</v>
      </c>
      <c r="AF146">
        <v>0</v>
      </c>
      <c r="AG146">
        <v>0</v>
      </c>
      <c r="AH146">
        <v>0</v>
      </c>
      <c r="AI146">
        <v>0</v>
      </c>
      <c r="AL146">
        <v>0</v>
      </c>
      <c r="AM146" t="s">
        <v>1373</v>
      </c>
    </row>
    <row r="147" spans="1:47" customFormat="1">
      <c r="A147" s="1">
        <v>138</v>
      </c>
      <c r="B147" t="s">
        <v>1372</v>
      </c>
      <c r="C147" t="s">
        <v>1</v>
      </c>
      <c r="D147" t="str">
        <f t="shared" si="14"/>
        <v>-</v>
      </c>
      <c r="E147" t="s">
        <v>9</v>
      </c>
      <c r="F147" t="str">
        <f t="shared" si="15"/>
        <v/>
      </c>
      <c r="G147" t="str">
        <f t="shared" si="16"/>
        <v>n</v>
      </c>
      <c r="H147" t="str">
        <f t="shared" si="13"/>
        <v>None</v>
      </c>
      <c r="I147" t="s">
        <v>76</v>
      </c>
      <c r="J147" t="s">
        <v>976</v>
      </c>
      <c r="M147">
        <v>70478.899999999994</v>
      </c>
      <c r="N147">
        <v>0.53200000000000003</v>
      </c>
      <c r="O147">
        <v>5652.6</v>
      </c>
      <c r="P147" t="s">
        <v>1371</v>
      </c>
      <c r="Q147">
        <v>0.56799999999999995</v>
      </c>
      <c r="R147">
        <v>131694</v>
      </c>
      <c r="S147">
        <v>92</v>
      </c>
      <c r="T147" t="s">
        <v>88</v>
      </c>
      <c r="U147" t="s">
        <v>73</v>
      </c>
      <c r="V147" t="s">
        <v>1</v>
      </c>
      <c r="W147" t="s">
        <v>9</v>
      </c>
      <c r="X147" t="s">
        <v>9</v>
      </c>
      <c r="Y147" t="s">
        <v>9</v>
      </c>
      <c r="Z147" t="s">
        <v>9</v>
      </c>
      <c r="AA147" t="s">
        <v>9</v>
      </c>
      <c r="AB147">
        <v>0</v>
      </c>
      <c r="AC147">
        <v>0</v>
      </c>
      <c r="AD147">
        <v>0</v>
      </c>
      <c r="AE147">
        <v>0</v>
      </c>
      <c r="AF147">
        <v>0</v>
      </c>
      <c r="AG147">
        <v>0</v>
      </c>
      <c r="AH147">
        <v>0</v>
      </c>
      <c r="AI147">
        <v>0</v>
      </c>
      <c r="AL147">
        <v>0</v>
      </c>
      <c r="AM147" t="s">
        <v>1370</v>
      </c>
    </row>
    <row r="148" spans="1:47" customFormat="1">
      <c r="A148" s="1">
        <v>139</v>
      </c>
      <c r="B148" t="s">
        <v>1367</v>
      </c>
      <c r="C148" t="s">
        <v>1</v>
      </c>
      <c r="D148" t="str">
        <f t="shared" si="14"/>
        <v>-</v>
      </c>
      <c r="E148" t="s">
        <v>9</v>
      </c>
      <c r="F148" t="str">
        <f t="shared" si="15"/>
        <v/>
      </c>
      <c r="G148" t="str">
        <f t="shared" si="16"/>
        <v>n</v>
      </c>
      <c r="H148" t="str">
        <f t="shared" si="13"/>
        <v>None</v>
      </c>
      <c r="I148" t="s">
        <v>119</v>
      </c>
      <c r="J148" t="s">
        <v>1369</v>
      </c>
      <c r="M148">
        <v>69847.600000000006</v>
      </c>
      <c r="N148">
        <v>0.29399999999999998</v>
      </c>
      <c r="O148">
        <v>-376.7</v>
      </c>
      <c r="P148" t="s">
        <v>1368</v>
      </c>
      <c r="Q148" t="s">
        <v>9</v>
      </c>
      <c r="R148">
        <v>178927</v>
      </c>
      <c r="S148">
        <v>42</v>
      </c>
      <c r="T148" t="s">
        <v>88</v>
      </c>
      <c r="U148" t="s">
        <v>73</v>
      </c>
      <c r="V148" t="s">
        <v>1</v>
      </c>
      <c r="W148" t="s">
        <v>9</v>
      </c>
      <c r="X148" t="s">
        <v>9</v>
      </c>
      <c r="Y148" t="s">
        <v>9</v>
      </c>
      <c r="Z148" t="s">
        <v>9</v>
      </c>
      <c r="AA148" t="s">
        <v>9</v>
      </c>
      <c r="AB148">
        <v>0</v>
      </c>
      <c r="AC148">
        <v>0</v>
      </c>
      <c r="AD148">
        <v>0</v>
      </c>
      <c r="AE148">
        <v>0</v>
      </c>
      <c r="AF148">
        <v>0</v>
      </c>
      <c r="AG148">
        <v>0</v>
      </c>
      <c r="AH148">
        <v>0</v>
      </c>
      <c r="AI148">
        <v>0</v>
      </c>
      <c r="AL148">
        <v>0</v>
      </c>
      <c r="AM148" t="s">
        <v>1367</v>
      </c>
    </row>
    <row r="149" spans="1:47" customFormat="1">
      <c r="A149" s="1">
        <v>140</v>
      </c>
      <c r="B149" t="s">
        <v>1366</v>
      </c>
      <c r="C149" t="s">
        <v>1</v>
      </c>
      <c r="D149" t="str">
        <f t="shared" si="14"/>
        <v>-</v>
      </c>
      <c r="E149" t="s">
        <v>9</v>
      </c>
      <c r="F149" t="str">
        <f t="shared" si="15"/>
        <v/>
      </c>
      <c r="G149" t="str">
        <f t="shared" si="16"/>
        <v>n</v>
      </c>
      <c r="H149" t="str">
        <f t="shared" si="13"/>
        <v>None</v>
      </c>
      <c r="I149" t="s">
        <v>101</v>
      </c>
      <c r="J149" t="s">
        <v>101</v>
      </c>
      <c r="M149">
        <v>68777.7</v>
      </c>
      <c r="N149">
        <v>6.4000000000000001E-2</v>
      </c>
      <c r="O149">
        <v>966.4</v>
      </c>
      <c r="P149" t="s">
        <v>1365</v>
      </c>
      <c r="Q149">
        <v>0.127</v>
      </c>
      <c r="R149">
        <v>210507</v>
      </c>
      <c r="S149" t="s">
        <v>9</v>
      </c>
      <c r="T149" t="s">
        <v>350</v>
      </c>
      <c r="U149" t="s">
        <v>73</v>
      </c>
      <c r="V149" t="s">
        <v>1</v>
      </c>
      <c r="W149" t="s">
        <v>9</v>
      </c>
      <c r="X149" t="s">
        <v>9</v>
      </c>
      <c r="Y149" t="s">
        <v>9</v>
      </c>
      <c r="Z149" t="s">
        <v>9</v>
      </c>
      <c r="AA149" t="s">
        <v>9</v>
      </c>
      <c r="AB149">
        <v>0</v>
      </c>
      <c r="AC149">
        <v>0</v>
      </c>
      <c r="AD149">
        <v>0</v>
      </c>
      <c r="AE149">
        <v>0</v>
      </c>
      <c r="AF149">
        <v>0</v>
      </c>
      <c r="AG149">
        <v>0</v>
      </c>
      <c r="AH149">
        <v>0</v>
      </c>
      <c r="AI149">
        <v>0</v>
      </c>
      <c r="AL149">
        <v>0</v>
      </c>
      <c r="AM149" t="s">
        <v>1364</v>
      </c>
    </row>
    <row r="150" spans="1:47" customFormat="1">
      <c r="A150" s="1">
        <v>141</v>
      </c>
      <c r="B150" t="s">
        <v>1362</v>
      </c>
      <c r="C150" t="s">
        <v>1</v>
      </c>
      <c r="D150" t="str">
        <f t="shared" si="14"/>
        <v>-</v>
      </c>
      <c r="E150" t="s">
        <v>9</v>
      </c>
      <c r="F150" t="str">
        <f t="shared" si="15"/>
        <v/>
      </c>
      <c r="G150" t="str">
        <f t="shared" si="16"/>
        <v>n</v>
      </c>
      <c r="H150" t="str">
        <f t="shared" si="13"/>
        <v>None</v>
      </c>
      <c r="I150" t="s">
        <v>461</v>
      </c>
      <c r="J150" t="s">
        <v>461</v>
      </c>
      <c r="M150">
        <v>68709.5</v>
      </c>
      <c r="N150">
        <v>7.3999999999999996E-2</v>
      </c>
      <c r="O150">
        <v>1664.6</v>
      </c>
      <c r="P150" t="s">
        <v>1363</v>
      </c>
      <c r="Q150">
        <v>-8.5000000000000006E-2</v>
      </c>
      <c r="R150">
        <v>403014</v>
      </c>
      <c r="S150" t="s">
        <v>9</v>
      </c>
      <c r="T150" t="s">
        <v>88</v>
      </c>
      <c r="U150" t="s">
        <v>73</v>
      </c>
      <c r="V150" t="s">
        <v>1</v>
      </c>
      <c r="W150" t="s">
        <v>9</v>
      </c>
      <c r="X150" t="s">
        <v>9</v>
      </c>
      <c r="Y150" t="s">
        <v>9</v>
      </c>
      <c r="Z150" t="s">
        <v>9</v>
      </c>
      <c r="AA150" t="s">
        <v>9</v>
      </c>
      <c r="AB150">
        <v>0</v>
      </c>
      <c r="AC150">
        <v>0</v>
      </c>
      <c r="AD150">
        <v>0</v>
      </c>
      <c r="AE150">
        <v>0</v>
      </c>
      <c r="AF150">
        <v>0</v>
      </c>
      <c r="AG150">
        <v>0</v>
      </c>
      <c r="AH150">
        <v>0</v>
      </c>
      <c r="AI150">
        <v>0</v>
      </c>
      <c r="AL150">
        <v>0</v>
      </c>
      <c r="AM150" t="s">
        <v>1362</v>
      </c>
    </row>
    <row r="151" spans="1:47" customFormat="1">
      <c r="A151" s="1">
        <v>142</v>
      </c>
      <c r="B151" t="s">
        <v>1358</v>
      </c>
      <c r="C151" t="s">
        <v>1</v>
      </c>
      <c r="D151">
        <f>IF(G151="n","",MIN(X151,AI151,AN151))</f>
        <v>2016</v>
      </c>
      <c r="F151">
        <f t="shared" si="15"/>
        <v>2016</v>
      </c>
      <c r="G151" t="str">
        <f t="shared" si="16"/>
        <v>y</v>
      </c>
      <c r="H151" t="str">
        <f t="shared" si="13"/>
        <v>CN &amp; SBT</v>
      </c>
      <c r="I151" t="s">
        <v>76</v>
      </c>
      <c r="J151" t="s">
        <v>199</v>
      </c>
      <c r="M151">
        <v>67941</v>
      </c>
      <c r="N151">
        <v>2.7E-2</v>
      </c>
      <c r="O151">
        <v>5123</v>
      </c>
      <c r="P151" t="s">
        <v>1361</v>
      </c>
      <c r="Q151">
        <v>0.27800000000000002</v>
      </c>
      <c r="R151">
        <v>48000</v>
      </c>
      <c r="S151">
        <v>-6</v>
      </c>
      <c r="T151" t="s">
        <v>88</v>
      </c>
      <c r="U151" t="s">
        <v>127</v>
      </c>
      <c r="V151" t="s">
        <v>32</v>
      </c>
      <c r="W151" t="s">
        <v>9</v>
      </c>
      <c r="X151">
        <v>2016</v>
      </c>
      <c r="Y151" t="s">
        <v>9</v>
      </c>
      <c r="Z151" t="s">
        <v>9</v>
      </c>
      <c r="AA151" t="s">
        <v>9</v>
      </c>
      <c r="AB151" t="s">
        <v>31</v>
      </c>
      <c r="AC151">
        <v>0</v>
      </c>
      <c r="AD151" t="s">
        <v>1360</v>
      </c>
      <c r="AE151" t="s">
        <v>1359</v>
      </c>
      <c r="AF151" t="s">
        <v>93</v>
      </c>
      <c r="AG151" t="s">
        <v>165</v>
      </c>
      <c r="AH151" t="s">
        <v>941</v>
      </c>
      <c r="AI151">
        <v>2016</v>
      </c>
      <c r="AL151">
        <v>0</v>
      </c>
      <c r="AM151" t="s">
        <v>1358</v>
      </c>
    </row>
    <row r="152" spans="1:47" customFormat="1">
      <c r="A152" s="1">
        <v>143</v>
      </c>
      <c r="B152" t="s">
        <v>1354</v>
      </c>
      <c r="C152" t="s">
        <v>1</v>
      </c>
      <c r="D152" t="str">
        <f>IF(G152="n","-",MIN(X152,AI152,AN152))</f>
        <v>-</v>
      </c>
      <c r="E152" t="s">
        <v>9</v>
      </c>
      <c r="F152" t="str">
        <f t="shared" si="15"/>
        <v/>
      </c>
      <c r="G152" t="str">
        <f t="shared" si="16"/>
        <v>n</v>
      </c>
      <c r="H152" t="str">
        <f t="shared" si="13"/>
        <v>None</v>
      </c>
      <c r="I152" t="s">
        <v>171</v>
      </c>
      <c r="J152" t="s">
        <v>171</v>
      </c>
      <c r="M152">
        <v>67764.100000000006</v>
      </c>
      <c r="N152">
        <v>2.3E-2</v>
      </c>
      <c r="O152">
        <v>3896.9</v>
      </c>
      <c r="P152" t="s">
        <v>1357</v>
      </c>
      <c r="Q152">
        <v>-0.32400000000000001</v>
      </c>
      <c r="R152">
        <v>183002</v>
      </c>
      <c r="S152">
        <v>-9</v>
      </c>
      <c r="T152" t="s">
        <v>88</v>
      </c>
      <c r="U152" t="s">
        <v>63</v>
      </c>
      <c r="V152" t="s">
        <v>1</v>
      </c>
      <c r="W152" t="s">
        <v>1356</v>
      </c>
      <c r="X152" t="s">
        <v>9</v>
      </c>
      <c r="Y152" t="s">
        <v>9</v>
      </c>
      <c r="Z152">
        <v>2010</v>
      </c>
      <c r="AA152">
        <v>2025</v>
      </c>
      <c r="AB152" t="s">
        <v>31</v>
      </c>
      <c r="AC152">
        <v>0</v>
      </c>
      <c r="AD152">
        <v>0</v>
      </c>
      <c r="AE152" t="s">
        <v>1355</v>
      </c>
      <c r="AF152">
        <v>0</v>
      </c>
      <c r="AG152">
        <v>0</v>
      </c>
      <c r="AH152">
        <v>0</v>
      </c>
      <c r="AI152">
        <v>0</v>
      </c>
      <c r="AL152">
        <v>0</v>
      </c>
      <c r="AM152" t="s">
        <v>1354</v>
      </c>
    </row>
    <row r="153" spans="1:47" customFormat="1">
      <c r="A153" s="1">
        <v>144</v>
      </c>
      <c r="B153" t="s">
        <v>1352</v>
      </c>
      <c r="C153" t="s">
        <v>1</v>
      </c>
      <c r="D153" t="str">
        <f>IF(G153="n","-",MIN(X153,AI153,AN153))</f>
        <v>-</v>
      </c>
      <c r="E153" t="s">
        <v>9</v>
      </c>
      <c r="F153" t="str">
        <f t="shared" si="15"/>
        <v/>
      </c>
      <c r="G153" t="str">
        <f t="shared" si="16"/>
        <v>n</v>
      </c>
      <c r="H153" t="str">
        <f t="shared" si="13"/>
        <v>None</v>
      </c>
      <c r="I153" t="s">
        <v>66</v>
      </c>
      <c r="J153" t="s">
        <v>66</v>
      </c>
      <c r="M153">
        <v>67397.5</v>
      </c>
      <c r="N153">
        <v>0.16200000000000001</v>
      </c>
      <c r="O153">
        <v>-2207.6</v>
      </c>
      <c r="P153" t="s">
        <v>1353</v>
      </c>
      <c r="Q153" t="s">
        <v>9</v>
      </c>
      <c r="R153">
        <v>138652</v>
      </c>
      <c r="S153">
        <v>23</v>
      </c>
      <c r="T153" t="s">
        <v>180</v>
      </c>
      <c r="U153" t="s">
        <v>73</v>
      </c>
      <c r="V153" t="s">
        <v>1</v>
      </c>
      <c r="W153" t="s">
        <v>9</v>
      </c>
      <c r="X153" t="s">
        <v>9</v>
      </c>
      <c r="Y153" t="s">
        <v>9</v>
      </c>
      <c r="Z153" t="s">
        <v>9</v>
      </c>
      <c r="AA153" t="s">
        <v>9</v>
      </c>
      <c r="AB153">
        <v>0</v>
      </c>
      <c r="AC153">
        <v>0</v>
      </c>
      <c r="AD153">
        <v>0</v>
      </c>
      <c r="AE153">
        <v>0</v>
      </c>
      <c r="AF153">
        <v>0</v>
      </c>
      <c r="AG153">
        <v>0</v>
      </c>
      <c r="AH153">
        <v>0</v>
      </c>
      <c r="AI153">
        <v>0</v>
      </c>
      <c r="AL153">
        <v>0</v>
      </c>
      <c r="AM153" t="s">
        <v>1352</v>
      </c>
    </row>
    <row r="154" spans="1:47" customFormat="1">
      <c r="A154" s="1">
        <v>145</v>
      </c>
      <c r="B154" t="s">
        <v>1351</v>
      </c>
      <c r="C154" t="s">
        <v>1</v>
      </c>
      <c r="D154">
        <f>IF(G154="n","",MIN(X154,AI154,AN154))</f>
        <v>2015</v>
      </c>
      <c r="E154" t="s">
        <v>369</v>
      </c>
      <c r="F154">
        <f t="shared" si="15"/>
        <v>2015</v>
      </c>
      <c r="G154" t="str">
        <f t="shared" si="16"/>
        <v>y</v>
      </c>
      <c r="H154" t="str">
        <f t="shared" si="13"/>
        <v>CN</v>
      </c>
      <c r="I154" t="s">
        <v>76</v>
      </c>
      <c r="J154" t="s">
        <v>488</v>
      </c>
      <c r="M154">
        <v>67225.899999999994</v>
      </c>
      <c r="N154">
        <v>-4.2000000000000003E-2</v>
      </c>
      <c r="O154">
        <v>2726.2</v>
      </c>
      <c r="P154" t="s">
        <v>1350</v>
      </c>
      <c r="Q154">
        <v>5.4489999999999998</v>
      </c>
      <c r="R154">
        <v>41410</v>
      </c>
      <c r="S154">
        <v>-25</v>
      </c>
      <c r="T154" t="s">
        <v>88</v>
      </c>
      <c r="U154" t="s">
        <v>146</v>
      </c>
      <c r="V154" t="s">
        <v>32</v>
      </c>
      <c r="W154" t="s">
        <v>9</v>
      </c>
      <c r="X154">
        <v>2015</v>
      </c>
      <c r="Y154" t="s">
        <v>9</v>
      </c>
      <c r="Z154" t="s">
        <v>9</v>
      </c>
      <c r="AA154" t="s">
        <v>9</v>
      </c>
      <c r="AB154" t="s">
        <v>31</v>
      </c>
      <c r="AC154">
        <v>0</v>
      </c>
      <c r="AD154" t="s">
        <v>1349</v>
      </c>
      <c r="AE154" t="s">
        <v>1348</v>
      </c>
      <c r="AF154" t="s">
        <v>93</v>
      </c>
      <c r="AG154">
        <v>0</v>
      </c>
      <c r="AH154">
        <v>0</v>
      </c>
      <c r="AL154">
        <v>0</v>
      </c>
      <c r="AM154" t="s">
        <v>1347</v>
      </c>
    </row>
    <row r="155" spans="1:47" customFormat="1">
      <c r="A155" s="1">
        <v>146</v>
      </c>
      <c r="B155" t="s">
        <v>1339</v>
      </c>
      <c r="C155" t="s">
        <v>1</v>
      </c>
      <c r="D155">
        <f>IF(G155="n","",MIN(X155,AI155,AN155))</f>
        <v>2015</v>
      </c>
      <c r="E155" t="s">
        <v>369</v>
      </c>
      <c r="F155">
        <f t="shared" si="15"/>
        <v>2015</v>
      </c>
      <c r="G155" t="str">
        <f t="shared" si="16"/>
        <v>y</v>
      </c>
      <c r="H155" t="str">
        <f t="shared" si="13"/>
        <v>SBT &amp; RE100</v>
      </c>
      <c r="I155" t="s">
        <v>511</v>
      </c>
      <c r="J155" t="s">
        <v>510</v>
      </c>
      <c r="M155">
        <v>66832</v>
      </c>
      <c r="N155">
        <v>8.9999999999999993E-3</v>
      </c>
      <c r="O155">
        <v>9750</v>
      </c>
      <c r="P155" t="s">
        <v>1346</v>
      </c>
      <c r="Q155">
        <v>-0.36399999999999999</v>
      </c>
      <c r="R155">
        <v>92000</v>
      </c>
      <c r="S155">
        <v>-11</v>
      </c>
      <c r="T155" t="s">
        <v>88</v>
      </c>
      <c r="U155" t="s">
        <v>127</v>
      </c>
      <c r="V155" t="s">
        <v>1</v>
      </c>
      <c r="W155" t="s">
        <v>1345</v>
      </c>
      <c r="X155" t="s">
        <v>9</v>
      </c>
      <c r="Y155">
        <v>2018</v>
      </c>
      <c r="Z155" t="s">
        <v>9</v>
      </c>
      <c r="AA155">
        <v>2030</v>
      </c>
      <c r="AB155" t="s">
        <v>1344</v>
      </c>
      <c r="AC155">
        <v>0</v>
      </c>
      <c r="AD155" t="s">
        <v>1343</v>
      </c>
      <c r="AE155" t="s">
        <v>1342</v>
      </c>
      <c r="AF155" t="s">
        <v>39</v>
      </c>
      <c r="AG155" t="s">
        <v>22</v>
      </c>
      <c r="AH155" t="s">
        <v>164</v>
      </c>
      <c r="AI155">
        <v>2018</v>
      </c>
      <c r="AJ155">
        <v>2030</v>
      </c>
      <c r="AK155" t="s">
        <v>1341</v>
      </c>
      <c r="AL155" t="s">
        <v>1340</v>
      </c>
      <c r="AM155" t="s">
        <v>1339</v>
      </c>
      <c r="AN155">
        <v>2015</v>
      </c>
      <c r="AO155">
        <v>2030</v>
      </c>
      <c r="AP155" t="s">
        <v>1338</v>
      </c>
      <c r="AQ155">
        <v>0.1</v>
      </c>
      <c r="AR155">
        <v>0.1</v>
      </c>
      <c r="AS155">
        <v>0.33</v>
      </c>
      <c r="AT155" t="s">
        <v>13</v>
      </c>
      <c r="AU155" t="s">
        <v>1337</v>
      </c>
    </row>
    <row r="156" spans="1:47" customFormat="1">
      <c r="A156" s="1">
        <v>147</v>
      </c>
      <c r="B156" t="s">
        <v>1335</v>
      </c>
      <c r="C156" t="s">
        <v>1</v>
      </c>
      <c r="D156" t="str">
        <f>IF(G156="n","-",MIN(X156,AI156,AN156))</f>
        <v>-</v>
      </c>
      <c r="E156" t="s">
        <v>9</v>
      </c>
      <c r="F156" t="str">
        <f t="shared" si="15"/>
        <v/>
      </c>
      <c r="G156" t="str">
        <f t="shared" si="16"/>
        <v>n</v>
      </c>
      <c r="H156" t="str">
        <f t="shared" si="13"/>
        <v>None</v>
      </c>
      <c r="I156" t="s">
        <v>91</v>
      </c>
      <c r="J156" t="s">
        <v>90</v>
      </c>
      <c r="M156">
        <v>66753.5</v>
      </c>
      <c r="N156">
        <v>-1.9E-2</v>
      </c>
      <c r="O156">
        <v>2082.5</v>
      </c>
      <c r="P156" t="s">
        <v>1336</v>
      </c>
      <c r="Q156">
        <v>9.1999999999999998E-2</v>
      </c>
      <c r="R156">
        <v>46711</v>
      </c>
      <c r="S156">
        <v>-17</v>
      </c>
      <c r="T156" t="s">
        <v>88</v>
      </c>
      <c r="U156" t="s">
        <v>207</v>
      </c>
      <c r="V156" t="s">
        <v>1</v>
      </c>
      <c r="W156" t="s">
        <v>9</v>
      </c>
      <c r="X156" t="s">
        <v>9</v>
      </c>
      <c r="Y156" t="s">
        <v>9</v>
      </c>
      <c r="Z156" t="s">
        <v>9</v>
      </c>
      <c r="AA156" t="s">
        <v>9</v>
      </c>
      <c r="AB156">
        <v>0</v>
      </c>
      <c r="AC156">
        <v>0</v>
      </c>
      <c r="AD156">
        <v>0</v>
      </c>
      <c r="AE156">
        <v>0</v>
      </c>
      <c r="AF156">
        <v>0</v>
      </c>
      <c r="AG156">
        <v>0</v>
      </c>
      <c r="AH156">
        <v>0</v>
      </c>
      <c r="AI156">
        <v>0</v>
      </c>
      <c r="AL156">
        <v>0</v>
      </c>
      <c r="AM156" t="s">
        <v>1335</v>
      </c>
    </row>
    <row r="157" spans="1:47" customFormat="1">
      <c r="A157" s="1">
        <v>148</v>
      </c>
      <c r="B157" t="s">
        <v>1331</v>
      </c>
      <c r="C157" t="s">
        <v>1</v>
      </c>
      <c r="D157">
        <f>IF(G157="n","",MIN(X157,AI157,AN157))</f>
        <v>2017</v>
      </c>
      <c r="F157">
        <f t="shared" si="15"/>
        <v>2017</v>
      </c>
      <c r="G157" t="str">
        <f t="shared" si="16"/>
        <v>y</v>
      </c>
      <c r="H157" t="str">
        <f t="shared" si="13"/>
        <v xml:space="preserve"> SBT</v>
      </c>
      <c r="I157" t="s">
        <v>101</v>
      </c>
      <c r="J157" t="s">
        <v>101</v>
      </c>
      <c r="K157" s="7">
        <v>21.48</v>
      </c>
      <c r="M157">
        <v>66501</v>
      </c>
      <c r="N157">
        <v>0.111</v>
      </c>
      <c r="O157">
        <v>5269</v>
      </c>
      <c r="P157" t="s">
        <v>1334</v>
      </c>
      <c r="Q157">
        <v>0.158</v>
      </c>
      <c r="R157">
        <v>240200</v>
      </c>
      <c r="S157">
        <v>11</v>
      </c>
      <c r="T157" t="s">
        <v>88</v>
      </c>
      <c r="U157" t="s">
        <v>127</v>
      </c>
      <c r="V157" t="s">
        <v>1</v>
      </c>
      <c r="W157" t="s">
        <v>9</v>
      </c>
      <c r="X157" t="s">
        <v>9</v>
      </c>
      <c r="Y157" t="s">
        <v>9</v>
      </c>
      <c r="Z157" t="s">
        <v>9</v>
      </c>
      <c r="AA157" t="s">
        <v>9</v>
      </c>
      <c r="AB157">
        <v>0</v>
      </c>
      <c r="AC157">
        <v>0</v>
      </c>
      <c r="AD157">
        <v>0</v>
      </c>
      <c r="AE157">
        <v>0</v>
      </c>
      <c r="AF157" t="s">
        <v>1333</v>
      </c>
      <c r="AG157" t="s">
        <v>165</v>
      </c>
      <c r="AH157" t="s">
        <v>1332</v>
      </c>
      <c r="AI157">
        <v>2017</v>
      </c>
      <c r="AL157">
        <v>0</v>
      </c>
      <c r="AM157" t="s">
        <v>1331</v>
      </c>
    </row>
    <row r="158" spans="1:47" customFormat="1">
      <c r="A158" s="1">
        <v>149</v>
      </c>
      <c r="B158" t="s">
        <v>1329</v>
      </c>
      <c r="C158" t="s">
        <v>1</v>
      </c>
      <c r="D158" t="str">
        <f>IF(G158="n","-",MIN(X158,AI158,AN158))</f>
        <v>-</v>
      </c>
      <c r="E158" t="s">
        <v>9</v>
      </c>
      <c r="F158" t="str">
        <f t="shared" si="15"/>
        <v/>
      </c>
      <c r="G158" t="str">
        <f t="shared" si="16"/>
        <v>n</v>
      </c>
      <c r="H158" t="str">
        <f t="shared" si="13"/>
        <v>None</v>
      </c>
      <c r="I158" t="s">
        <v>85</v>
      </c>
      <c r="J158" t="s">
        <v>84</v>
      </c>
      <c r="M158">
        <v>66310</v>
      </c>
      <c r="N158">
        <v>0.125</v>
      </c>
      <c r="O158">
        <v>2168.1999999999998</v>
      </c>
      <c r="P158" t="s">
        <v>1330</v>
      </c>
      <c r="Q158">
        <v>7.2130000000000001</v>
      </c>
      <c r="R158">
        <v>161399</v>
      </c>
      <c r="S158">
        <v>13</v>
      </c>
      <c r="T158" t="s">
        <v>350</v>
      </c>
      <c r="U158" t="s">
        <v>73</v>
      </c>
      <c r="V158" t="s">
        <v>1</v>
      </c>
      <c r="W158" t="s">
        <v>9</v>
      </c>
      <c r="X158" t="s">
        <v>9</v>
      </c>
      <c r="Y158" t="s">
        <v>9</v>
      </c>
      <c r="Z158" t="s">
        <v>9</v>
      </c>
      <c r="AA158" t="s">
        <v>9</v>
      </c>
      <c r="AB158">
        <v>0</v>
      </c>
      <c r="AC158">
        <v>0</v>
      </c>
      <c r="AD158">
        <v>0</v>
      </c>
      <c r="AE158">
        <v>0</v>
      </c>
      <c r="AF158">
        <v>0</v>
      </c>
      <c r="AG158">
        <v>0</v>
      </c>
      <c r="AH158">
        <v>0</v>
      </c>
      <c r="AI158">
        <v>0</v>
      </c>
      <c r="AL158">
        <v>0</v>
      </c>
      <c r="AM158" t="s">
        <v>1329</v>
      </c>
    </row>
    <row r="159" spans="1:47" customFormat="1">
      <c r="A159" s="1">
        <v>150</v>
      </c>
      <c r="B159" t="s">
        <v>1327</v>
      </c>
      <c r="C159" t="s">
        <v>1</v>
      </c>
      <c r="D159" t="str">
        <f>IF(G159="n","-",MIN(X159,AI159,AN159))</f>
        <v>-</v>
      </c>
      <c r="E159" t="s">
        <v>9</v>
      </c>
      <c r="F159" t="str">
        <f t="shared" si="15"/>
        <v/>
      </c>
      <c r="G159" t="str">
        <f t="shared" si="16"/>
        <v>n</v>
      </c>
      <c r="H159" t="str">
        <f t="shared" si="13"/>
        <v>None</v>
      </c>
      <c r="I159" t="s">
        <v>76</v>
      </c>
      <c r="J159" t="s">
        <v>80</v>
      </c>
      <c r="M159">
        <v>65644.800000000003</v>
      </c>
      <c r="N159">
        <v>0.13700000000000001</v>
      </c>
      <c r="O159">
        <v>11131.3</v>
      </c>
      <c r="P159" t="s">
        <v>1328</v>
      </c>
      <c r="Q159">
        <v>7.0999999999999994E-2</v>
      </c>
      <c r="R159">
        <v>92714</v>
      </c>
      <c r="S159">
        <v>18</v>
      </c>
      <c r="T159" t="s">
        <v>88</v>
      </c>
      <c r="U159" t="s">
        <v>73</v>
      </c>
      <c r="V159" t="s">
        <v>1</v>
      </c>
      <c r="W159" t="s">
        <v>9</v>
      </c>
      <c r="X159" t="s">
        <v>9</v>
      </c>
      <c r="Y159" t="s">
        <v>9</v>
      </c>
      <c r="Z159" t="s">
        <v>9</v>
      </c>
      <c r="AA159" t="s">
        <v>9</v>
      </c>
      <c r="AB159">
        <v>0</v>
      </c>
      <c r="AC159">
        <v>0</v>
      </c>
      <c r="AD159">
        <v>0</v>
      </c>
      <c r="AE159">
        <v>0</v>
      </c>
      <c r="AF159">
        <v>0</v>
      </c>
      <c r="AG159">
        <v>0</v>
      </c>
      <c r="AH159">
        <v>0</v>
      </c>
      <c r="AI159">
        <v>0</v>
      </c>
      <c r="AL159">
        <v>0</v>
      </c>
      <c r="AM159" t="s">
        <v>1327</v>
      </c>
    </row>
    <row r="160" spans="1:47" customFormat="1">
      <c r="A160" s="1">
        <v>151</v>
      </c>
      <c r="B160" t="s">
        <v>1325</v>
      </c>
      <c r="C160" t="s">
        <v>1</v>
      </c>
      <c r="D160" t="str">
        <f>IF(G160="n","-",MIN(X160,AI160,AN160))</f>
        <v>-</v>
      </c>
      <c r="E160" t="s">
        <v>9</v>
      </c>
      <c r="F160" t="str">
        <f t="shared" si="15"/>
        <v/>
      </c>
      <c r="G160" t="str">
        <f t="shared" si="16"/>
        <v>n</v>
      </c>
      <c r="H160" t="str">
        <f t="shared" si="13"/>
        <v>None</v>
      </c>
      <c r="I160" t="s">
        <v>101</v>
      </c>
      <c r="J160" t="s">
        <v>101</v>
      </c>
      <c r="M160">
        <v>65534.400000000001</v>
      </c>
      <c r="N160">
        <v>0.106</v>
      </c>
      <c r="O160">
        <v>695</v>
      </c>
      <c r="P160" t="s">
        <v>1326</v>
      </c>
      <c r="Q160">
        <v>0.91400000000000003</v>
      </c>
      <c r="R160">
        <v>446613</v>
      </c>
      <c r="S160">
        <v>10</v>
      </c>
      <c r="T160" t="s">
        <v>180</v>
      </c>
      <c r="U160" t="s">
        <v>73</v>
      </c>
      <c r="V160" t="s">
        <v>1</v>
      </c>
      <c r="W160" t="s">
        <v>9</v>
      </c>
      <c r="X160" t="s">
        <v>9</v>
      </c>
      <c r="Y160" t="s">
        <v>9</v>
      </c>
      <c r="Z160" t="s">
        <v>9</v>
      </c>
      <c r="AA160" t="s">
        <v>9</v>
      </c>
      <c r="AB160">
        <v>0</v>
      </c>
      <c r="AC160">
        <v>0</v>
      </c>
      <c r="AD160">
        <v>0</v>
      </c>
      <c r="AE160">
        <v>0</v>
      </c>
      <c r="AF160">
        <v>0</v>
      </c>
      <c r="AG160">
        <v>0</v>
      </c>
      <c r="AH160">
        <v>0</v>
      </c>
      <c r="AI160">
        <v>0</v>
      </c>
      <c r="AL160">
        <v>0</v>
      </c>
      <c r="AM160" t="s">
        <v>1325</v>
      </c>
    </row>
    <row r="161" spans="1:48" customFormat="1">
      <c r="A161" s="1">
        <v>152</v>
      </c>
      <c r="B161" t="s">
        <v>1319</v>
      </c>
      <c r="C161" t="s">
        <v>1</v>
      </c>
      <c r="D161" t="str">
        <f>IF(G161="n","-",MIN(X161,AI161,AN161))</f>
        <v>-</v>
      </c>
      <c r="E161" t="s">
        <v>9</v>
      </c>
      <c r="F161" t="str">
        <f t="shared" si="15"/>
        <v/>
      </c>
      <c r="G161" t="str">
        <f t="shared" si="16"/>
        <v>n</v>
      </c>
      <c r="H161" t="str">
        <f t="shared" si="13"/>
        <v>None</v>
      </c>
      <c r="I161" t="s">
        <v>178</v>
      </c>
      <c r="J161" t="s">
        <v>1324</v>
      </c>
      <c r="M161">
        <v>65450</v>
      </c>
      <c r="N161">
        <v>8.5000000000000006E-2</v>
      </c>
      <c r="O161">
        <v>4572</v>
      </c>
      <c r="P161" t="s">
        <v>1323</v>
      </c>
      <c r="Q161">
        <v>0.52600000000000002</v>
      </c>
      <c r="R161">
        <v>359530</v>
      </c>
      <c r="S161">
        <v>3</v>
      </c>
      <c r="T161" t="s">
        <v>88</v>
      </c>
      <c r="U161" t="s">
        <v>127</v>
      </c>
      <c r="V161" t="s">
        <v>1</v>
      </c>
      <c r="W161" t="s">
        <v>1322</v>
      </c>
      <c r="X161" t="s">
        <v>9</v>
      </c>
      <c r="Y161" t="s">
        <v>9</v>
      </c>
      <c r="Z161">
        <v>2005</v>
      </c>
      <c r="AA161">
        <v>2020</v>
      </c>
      <c r="AB161" t="s">
        <v>1321</v>
      </c>
      <c r="AC161">
        <v>0</v>
      </c>
      <c r="AD161">
        <v>0</v>
      </c>
      <c r="AE161" t="s">
        <v>1320</v>
      </c>
      <c r="AF161">
        <v>0</v>
      </c>
      <c r="AG161">
        <v>0</v>
      </c>
      <c r="AH161">
        <v>0</v>
      </c>
      <c r="AI161">
        <v>0</v>
      </c>
      <c r="AL161">
        <v>0</v>
      </c>
      <c r="AM161" t="s">
        <v>1319</v>
      </c>
    </row>
    <row r="162" spans="1:48" customFormat="1">
      <c r="A162" s="1">
        <v>153</v>
      </c>
      <c r="B162" t="s">
        <v>1318</v>
      </c>
      <c r="C162" t="s">
        <v>1</v>
      </c>
      <c r="D162" t="str">
        <f>IF(G162="n","-",MIN(X162,AI162,AN162))</f>
        <v>-</v>
      </c>
      <c r="E162" t="s">
        <v>9</v>
      </c>
      <c r="F162" t="str">
        <f t="shared" si="15"/>
        <v/>
      </c>
      <c r="G162" t="str">
        <f t="shared" si="16"/>
        <v>n</v>
      </c>
      <c r="H162" t="str">
        <f t="shared" si="13"/>
        <v>None</v>
      </c>
      <c r="I162" t="s">
        <v>76</v>
      </c>
      <c r="J162" t="s">
        <v>199</v>
      </c>
      <c r="M162">
        <v>64794.9</v>
      </c>
      <c r="N162">
        <v>0.02</v>
      </c>
      <c r="O162">
        <v>2029.6</v>
      </c>
      <c r="P162" t="s">
        <v>1317</v>
      </c>
      <c r="Q162">
        <v>-0.38200000000000001</v>
      </c>
      <c r="R162">
        <v>62938</v>
      </c>
      <c r="S162">
        <v>-8</v>
      </c>
      <c r="T162" t="s">
        <v>350</v>
      </c>
      <c r="U162" t="s">
        <v>207</v>
      </c>
      <c r="V162" t="s">
        <v>1</v>
      </c>
      <c r="W162" t="s">
        <v>9</v>
      </c>
      <c r="X162" t="s">
        <v>9</v>
      </c>
      <c r="Y162" t="s">
        <v>9</v>
      </c>
      <c r="Z162" t="s">
        <v>9</v>
      </c>
      <c r="AA162" t="s">
        <v>9</v>
      </c>
      <c r="AB162">
        <v>0</v>
      </c>
      <c r="AC162">
        <v>0</v>
      </c>
      <c r="AD162">
        <v>0</v>
      </c>
      <c r="AE162">
        <v>0</v>
      </c>
      <c r="AF162">
        <v>0</v>
      </c>
      <c r="AG162">
        <v>0</v>
      </c>
      <c r="AH162">
        <v>0</v>
      </c>
      <c r="AI162">
        <v>0</v>
      </c>
      <c r="AL162">
        <v>0</v>
      </c>
      <c r="AM162" t="s">
        <v>1316</v>
      </c>
    </row>
    <row r="163" spans="1:48" customFormat="1">
      <c r="A163" s="1">
        <v>154</v>
      </c>
      <c r="B163" t="s">
        <v>1312</v>
      </c>
      <c r="C163" t="s">
        <v>1</v>
      </c>
      <c r="D163">
        <f>IF(G163="n","",MIN(X163,AI163,AN163))</f>
        <v>2016</v>
      </c>
      <c r="F163">
        <f t="shared" si="15"/>
        <v>2016</v>
      </c>
      <c r="G163" t="str">
        <f t="shared" si="16"/>
        <v>y</v>
      </c>
      <c r="H163" t="str">
        <f t="shared" si="13"/>
        <v xml:space="preserve"> SBT</v>
      </c>
      <c r="I163" t="s">
        <v>124</v>
      </c>
      <c r="J163" t="s">
        <v>155</v>
      </c>
      <c r="M163">
        <v>64661</v>
      </c>
      <c r="N163">
        <v>1.7999999999999999E-2</v>
      </c>
      <c r="O163">
        <v>12515</v>
      </c>
      <c r="P163" t="s">
        <v>1315</v>
      </c>
      <c r="Q163">
        <v>1.577</v>
      </c>
      <c r="R163">
        <v>267000</v>
      </c>
      <c r="S163">
        <v>-10</v>
      </c>
      <c r="T163" t="s">
        <v>88</v>
      </c>
      <c r="U163" t="s">
        <v>127</v>
      </c>
      <c r="V163" t="s">
        <v>1</v>
      </c>
      <c r="W163" t="s">
        <v>816</v>
      </c>
      <c r="X163" t="s">
        <v>9</v>
      </c>
      <c r="Y163" t="s">
        <v>9</v>
      </c>
      <c r="Z163">
        <v>2015</v>
      </c>
      <c r="AA163">
        <v>2030</v>
      </c>
      <c r="AB163">
        <v>0</v>
      </c>
      <c r="AC163">
        <v>0</v>
      </c>
      <c r="AD163">
        <v>0</v>
      </c>
      <c r="AE163" t="s">
        <v>1314</v>
      </c>
      <c r="AF163" t="s">
        <v>23</v>
      </c>
      <c r="AG163" t="s">
        <v>22</v>
      </c>
      <c r="AH163" t="s">
        <v>430</v>
      </c>
      <c r="AI163">
        <v>2016</v>
      </c>
      <c r="AJ163">
        <v>2030</v>
      </c>
      <c r="AK163" t="s">
        <v>20</v>
      </c>
      <c r="AL163" t="s">
        <v>1313</v>
      </c>
      <c r="AM163" t="s">
        <v>1312</v>
      </c>
    </row>
    <row r="164" spans="1:48" customFormat="1">
      <c r="A164" s="1">
        <v>155</v>
      </c>
      <c r="B164" t="s">
        <v>1307</v>
      </c>
      <c r="C164" t="s">
        <v>1</v>
      </c>
      <c r="D164" t="str">
        <f t="shared" ref="D164:D175" si="17">IF(G164="n","-",MIN(X164,AI164,AN164))</f>
        <v>-</v>
      </c>
      <c r="E164" t="s">
        <v>9</v>
      </c>
      <c r="F164" t="str">
        <f t="shared" si="15"/>
        <v/>
      </c>
      <c r="G164" t="str">
        <f t="shared" si="16"/>
        <v>n</v>
      </c>
      <c r="H164" t="str">
        <f t="shared" si="13"/>
        <v>None</v>
      </c>
      <c r="I164" t="s">
        <v>124</v>
      </c>
      <c r="J164" t="s">
        <v>560</v>
      </c>
      <c r="M164">
        <v>64341</v>
      </c>
      <c r="N164">
        <v>5.8000000000000003E-2</v>
      </c>
      <c r="O164">
        <v>1810</v>
      </c>
      <c r="P164" t="s">
        <v>1311</v>
      </c>
      <c r="Q164">
        <v>0.13500000000000001</v>
      </c>
      <c r="R164">
        <v>31600</v>
      </c>
      <c r="S164">
        <v>-3</v>
      </c>
      <c r="T164" t="s">
        <v>88</v>
      </c>
      <c r="U164" t="s">
        <v>127</v>
      </c>
      <c r="V164" t="s">
        <v>1</v>
      </c>
      <c r="W164" t="s">
        <v>1310</v>
      </c>
      <c r="X164" t="s">
        <v>9</v>
      </c>
      <c r="Y164">
        <v>2018</v>
      </c>
      <c r="Z164" t="s">
        <v>9</v>
      </c>
      <c r="AA164">
        <v>2020</v>
      </c>
      <c r="AB164" t="s">
        <v>1309</v>
      </c>
      <c r="AC164">
        <v>0</v>
      </c>
      <c r="AD164">
        <v>0</v>
      </c>
      <c r="AE164" t="s">
        <v>1308</v>
      </c>
      <c r="AF164">
        <v>0</v>
      </c>
      <c r="AG164">
        <v>0</v>
      </c>
      <c r="AH164">
        <v>0</v>
      </c>
      <c r="AI164">
        <v>0</v>
      </c>
      <c r="AL164">
        <v>0</v>
      </c>
      <c r="AM164" t="s">
        <v>1307</v>
      </c>
    </row>
    <row r="165" spans="1:48" customFormat="1">
      <c r="A165" s="1">
        <v>156</v>
      </c>
      <c r="B165" t="s">
        <v>1305</v>
      </c>
      <c r="C165" t="s">
        <v>1</v>
      </c>
      <c r="D165" t="str">
        <f t="shared" si="17"/>
        <v>-</v>
      </c>
      <c r="E165" t="s">
        <v>9</v>
      </c>
      <c r="F165" t="str">
        <f t="shared" si="15"/>
        <v/>
      </c>
      <c r="G165" t="str">
        <f t="shared" si="16"/>
        <v>n</v>
      </c>
      <c r="H165" t="str">
        <f t="shared" si="13"/>
        <v>None</v>
      </c>
      <c r="I165" t="s">
        <v>76</v>
      </c>
      <c r="J165" t="s">
        <v>199</v>
      </c>
      <c r="M165">
        <v>62992</v>
      </c>
      <c r="N165">
        <v>5.5E-2</v>
      </c>
      <c r="O165">
        <v>4074</v>
      </c>
      <c r="P165" t="s">
        <v>1306</v>
      </c>
      <c r="Q165">
        <v>-0.48199999999999998</v>
      </c>
      <c r="R165">
        <v>50492</v>
      </c>
      <c r="S165">
        <v>4</v>
      </c>
      <c r="T165" t="s">
        <v>88</v>
      </c>
      <c r="U165" t="s">
        <v>127</v>
      </c>
      <c r="V165" t="s">
        <v>1</v>
      </c>
      <c r="W165" t="s">
        <v>9</v>
      </c>
      <c r="X165" t="s">
        <v>9</v>
      </c>
      <c r="Y165" t="s">
        <v>9</v>
      </c>
      <c r="Z165" t="s">
        <v>9</v>
      </c>
      <c r="AA165" t="s">
        <v>9</v>
      </c>
      <c r="AB165">
        <v>0</v>
      </c>
      <c r="AC165">
        <v>0</v>
      </c>
      <c r="AD165">
        <v>0</v>
      </c>
      <c r="AE165">
        <v>0</v>
      </c>
      <c r="AF165">
        <v>0</v>
      </c>
      <c r="AG165">
        <v>0</v>
      </c>
      <c r="AH165">
        <v>0</v>
      </c>
      <c r="AI165">
        <v>0</v>
      </c>
      <c r="AL165">
        <v>0</v>
      </c>
      <c r="AM165" t="s">
        <v>1305</v>
      </c>
    </row>
    <row r="166" spans="1:48" customFormat="1">
      <c r="A166" s="1">
        <v>157</v>
      </c>
      <c r="B166" t="s">
        <v>1303</v>
      </c>
      <c r="C166" t="s">
        <v>1</v>
      </c>
      <c r="D166" t="str">
        <f t="shared" si="17"/>
        <v>-</v>
      </c>
      <c r="E166" t="s">
        <v>9</v>
      </c>
      <c r="F166" t="str">
        <f t="shared" si="15"/>
        <v/>
      </c>
      <c r="G166" t="str">
        <f t="shared" si="16"/>
        <v>n</v>
      </c>
      <c r="H166" t="str">
        <f t="shared" si="13"/>
        <v>None</v>
      </c>
      <c r="I166" t="s">
        <v>91</v>
      </c>
      <c r="J166" t="s">
        <v>899</v>
      </c>
      <c r="M166">
        <v>62751.4</v>
      </c>
      <c r="N166">
        <v>0.42099999999999999</v>
      </c>
      <c r="O166">
        <v>3735.9</v>
      </c>
      <c r="P166" t="s">
        <v>1304</v>
      </c>
      <c r="Q166">
        <v>-1.0999999999999999E-2</v>
      </c>
      <c r="R166">
        <v>43993</v>
      </c>
      <c r="S166">
        <v>89</v>
      </c>
      <c r="T166" t="s">
        <v>88</v>
      </c>
      <c r="U166" t="s">
        <v>207</v>
      </c>
      <c r="V166" t="s">
        <v>1</v>
      </c>
      <c r="W166" t="s">
        <v>9</v>
      </c>
      <c r="X166" t="s">
        <v>9</v>
      </c>
      <c r="Y166" t="s">
        <v>9</v>
      </c>
      <c r="Z166" t="s">
        <v>9</v>
      </c>
      <c r="AA166" t="s">
        <v>9</v>
      </c>
      <c r="AB166">
        <v>0</v>
      </c>
      <c r="AC166">
        <v>0</v>
      </c>
      <c r="AD166">
        <v>0</v>
      </c>
      <c r="AE166">
        <v>0</v>
      </c>
      <c r="AF166">
        <v>0</v>
      </c>
      <c r="AG166">
        <v>0</v>
      </c>
      <c r="AH166">
        <v>0</v>
      </c>
      <c r="AI166">
        <v>0</v>
      </c>
      <c r="AL166">
        <v>0</v>
      </c>
      <c r="AM166" t="s">
        <v>1303</v>
      </c>
    </row>
    <row r="167" spans="1:48" customFormat="1">
      <c r="A167" s="1">
        <v>158</v>
      </c>
      <c r="B167" t="s">
        <v>1300</v>
      </c>
      <c r="C167" t="s">
        <v>1</v>
      </c>
      <c r="D167" t="str">
        <f t="shared" si="17"/>
        <v>-</v>
      </c>
      <c r="E167" t="s">
        <v>9</v>
      </c>
      <c r="F167" t="str">
        <f t="shared" si="15"/>
        <v/>
      </c>
      <c r="G167" t="str">
        <f t="shared" si="16"/>
        <v>n</v>
      </c>
      <c r="H167" t="str">
        <f t="shared" si="13"/>
        <v>None</v>
      </c>
      <c r="I167" t="s">
        <v>71</v>
      </c>
      <c r="J167" t="s">
        <v>1166</v>
      </c>
      <c r="M167">
        <v>62230.6</v>
      </c>
      <c r="N167">
        <v>0.19600000000000001</v>
      </c>
      <c r="O167">
        <v>11868.3</v>
      </c>
      <c r="P167" t="s">
        <v>1302</v>
      </c>
      <c r="Q167">
        <v>0.35499999999999998</v>
      </c>
      <c r="R167">
        <v>48001</v>
      </c>
      <c r="S167">
        <v>33</v>
      </c>
      <c r="T167" t="s">
        <v>88</v>
      </c>
      <c r="U167" t="s">
        <v>1301</v>
      </c>
      <c r="V167" t="s">
        <v>1</v>
      </c>
      <c r="W167" t="s">
        <v>9</v>
      </c>
      <c r="X167" t="s">
        <v>9</v>
      </c>
      <c r="Y167" t="s">
        <v>9</v>
      </c>
      <c r="Z167" t="s">
        <v>9</v>
      </c>
      <c r="AA167" t="s">
        <v>9</v>
      </c>
      <c r="AB167">
        <v>0</v>
      </c>
      <c r="AC167">
        <v>0</v>
      </c>
      <c r="AD167">
        <v>0</v>
      </c>
      <c r="AE167">
        <v>0</v>
      </c>
      <c r="AF167">
        <v>0</v>
      </c>
      <c r="AG167">
        <v>0</v>
      </c>
      <c r="AH167">
        <v>0</v>
      </c>
      <c r="AI167">
        <v>0</v>
      </c>
      <c r="AL167">
        <v>0</v>
      </c>
      <c r="AM167" t="s">
        <v>1300</v>
      </c>
    </row>
    <row r="168" spans="1:48" customFormat="1">
      <c r="A168" s="1">
        <v>159</v>
      </c>
      <c r="B168" t="s">
        <v>1298</v>
      </c>
      <c r="C168" t="s">
        <v>1</v>
      </c>
      <c r="D168" t="str">
        <f t="shared" si="17"/>
        <v>-</v>
      </c>
      <c r="E168" t="s">
        <v>9</v>
      </c>
      <c r="F168" t="str">
        <f t="shared" si="15"/>
        <v/>
      </c>
      <c r="G168" t="str">
        <f t="shared" si="16"/>
        <v>n</v>
      </c>
      <c r="H168" t="str">
        <f t="shared" si="13"/>
        <v>None</v>
      </c>
      <c r="I168" t="s">
        <v>342</v>
      </c>
      <c r="J168" t="s">
        <v>342</v>
      </c>
      <c r="M168">
        <v>61486.5</v>
      </c>
      <c r="N168">
        <v>0.13400000000000001</v>
      </c>
      <c r="O168">
        <v>1838</v>
      </c>
      <c r="P168" t="s">
        <v>1299</v>
      </c>
      <c r="Q168">
        <v>0.13</v>
      </c>
      <c r="R168">
        <v>58165</v>
      </c>
      <c r="S168">
        <v>20</v>
      </c>
      <c r="T168" t="s">
        <v>88</v>
      </c>
      <c r="U168" t="s">
        <v>207</v>
      </c>
      <c r="V168" t="s">
        <v>1</v>
      </c>
      <c r="W168" t="s">
        <v>9</v>
      </c>
      <c r="X168" t="s">
        <v>9</v>
      </c>
      <c r="Y168" t="s">
        <v>9</v>
      </c>
      <c r="Z168" t="s">
        <v>9</v>
      </c>
      <c r="AA168" t="s">
        <v>9</v>
      </c>
      <c r="AB168">
        <v>0</v>
      </c>
      <c r="AC168">
        <v>0</v>
      </c>
      <c r="AD168">
        <v>0</v>
      </c>
      <c r="AE168">
        <v>0</v>
      </c>
      <c r="AF168">
        <v>0</v>
      </c>
      <c r="AG168">
        <v>0</v>
      </c>
      <c r="AH168">
        <v>0</v>
      </c>
      <c r="AI168">
        <v>0</v>
      </c>
      <c r="AL168">
        <v>0</v>
      </c>
      <c r="AM168" t="s">
        <v>1298</v>
      </c>
    </row>
    <row r="169" spans="1:48" customFormat="1">
      <c r="A169" s="1">
        <v>160</v>
      </c>
      <c r="B169" t="s">
        <v>1296</v>
      </c>
      <c r="C169" t="s">
        <v>1</v>
      </c>
      <c r="D169" t="str">
        <f t="shared" si="17"/>
        <v>-</v>
      </c>
      <c r="E169" t="s">
        <v>9</v>
      </c>
      <c r="F169" t="str">
        <f t="shared" si="15"/>
        <v/>
      </c>
      <c r="G169" t="str">
        <f t="shared" si="16"/>
        <v>n</v>
      </c>
      <c r="H169" t="str">
        <f t="shared" si="13"/>
        <v>None</v>
      </c>
      <c r="I169" t="s">
        <v>71</v>
      </c>
      <c r="J169" t="s">
        <v>138</v>
      </c>
      <c r="M169">
        <v>61420.4</v>
      </c>
      <c r="N169">
        <v>0.19900000000000001</v>
      </c>
      <c r="O169">
        <v>4360.6000000000004</v>
      </c>
      <c r="P169" t="s">
        <v>1297</v>
      </c>
      <c r="Q169">
        <v>0.27200000000000002</v>
      </c>
      <c r="R169">
        <v>43743</v>
      </c>
      <c r="S169">
        <v>37</v>
      </c>
      <c r="T169" t="s">
        <v>88</v>
      </c>
      <c r="U169" t="s">
        <v>87</v>
      </c>
      <c r="V169" t="s">
        <v>1</v>
      </c>
      <c r="W169" t="s">
        <v>9</v>
      </c>
      <c r="X169" t="s">
        <v>9</v>
      </c>
      <c r="Y169" t="s">
        <v>9</v>
      </c>
      <c r="Z169" t="s">
        <v>9</v>
      </c>
      <c r="AA169" t="s">
        <v>9</v>
      </c>
      <c r="AB169">
        <v>0</v>
      </c>
      <c r="AC169">
        <v>0</v>
      </c>
      <c r="AD169">
        <v>0</v>
      </c>
      <c r="AE169">
        <v>0</v>
      </c>
      <c r="AF169">
        <v>0</v>
      </c>
      <c r="AG169">
        <v>0</v>
      </c>
      <c r="AH169">
        <v>0</v>
      </c>
      <c r="AI169">
        <v>0</v>
      </c>
      <c r="AL169">
        <v>0</v>
      </c>
      <c r="AM169" t="s">
        <v>1296</v>
      </c>
    </row>
    <row r="170" spans="1:48" customFormat="1">
      <c r="A170" s="1">
        <v>161</v>
      </c>
      <c r="B170" t="s">
        <v>1295</v>
      </c>
      <c r="C170" t="s">
        <v>1</v>
      </c>
      <c r="D170" t="str">
        <f t="shared" si="17"/>
        <v>-</v>
      </c>
      <c r="E170" t="s">
        <v>9</v>
      </c>
      <c r="F170" t="str">
        <f t="shared" si="15"/>
        <v/>
      </c>
      <c r="G170" t="str">
        <f t="shared" si="16"/>
        <v>n</v>
      </c>
      <c r="H170" t="str">
        <f t="shared" si="13"/>
        <v>None</v>
      </c>
      <c r="I170" t="s">
        <v>135</v>
      </c>
      <c r="J170" t="s">
        <v>135</v>
      </c>
      <c r="M170">
        <v>61224</v>
      </c>
      <c r="N170">
        <v>0.13700000000000001</v>
      </c>
      <c r="O170">
        <v>803.8</v>
      </c>
      <c r="P170" t="s">
        <v>1294</v>
      </c>
      <c r="Q170">
        <v>-0.151</v>
      </c>
      <c r="R170">
        <v>185269</v>
      </c>
      <c r="S170">
        <v>21</v>
      </c>
      <c r="T170" t="s">
        <v>88</v>
      </c>
      <c r="U170" t="s">
        <v>73</v>
      </c>
      <c r="V170" t="s">
        <v>1</v>
      </c>
      <c r="W170" t="s">
        <v>9</v>
      </c>
      <c r="X170" t="s">
        <v>9</v>
      </c>
      <c r="Y170" t="s">
        <v>9</v>
      </c>
      <c r="Z170" t="s">
        <v>9</v>
      </c>
      <c r="AA170" t="s">
        <v>9</v>
      </c>
      <c r="AB170">
        <v>0</v>
      </c>
      <c r="AC170">
        <v>0</v>
      </c>
      <c r="AD170">
        <v>0</v>
      </c>
      <c r="AE170">
        <v>0</v>
      </c>
      <c r="AF170">
        <v>0</v>
      </c>
      <c r="AG170">
        <v>0</v>
      </c>
      <c r="AH170">
        <v>0</v>
      </c>
      <c r="AI170">
        <v>0</v>
      </c>
      <c r="AL170">
        <v>0</v>
      </c>
      <c r="AM170" t="s">
        <v>1293</v>
      </c>
    </row>
    <row r="171" spans="1:48" customFormat="1">
      <c r="A171" s="1">
        <v>162</v>
      </c>
      <c r="B171" t="s">
        <v>1289</v>
      </c>
      <c r="C171" t="s">
        <v>1</v>
      </c>
      <c r="D171" t="str">
        <f t="shared" si="17"/>
        <v>-</v>
      </c>
      <c r="E171" t="s">
        <v>9</v>
      </c>
      <c r="F171" t="str">
        <f t="shared" si="15"/>
        <v/>
      </c>
      <c r="G171" t="str">
        <f t="shared" si="16"/>
        <v>n</v>
      </c>
      <c r="H171" t="str">
        <f t="shared" si="13"/>
        <v>None</v>
      </c>
      <c r="I171" t="s">
        <v>91</v>
      </c>
      <c r="J171" t="s">
        <v>90</v>
      </c>
      <c r="M171">
        <v>60994.3</v>
      </c>
      <c r="N171">
        <v>4.1000000000000002E-2</v>
      </c>
      <c r="O171">
        <v>1196.0999999999999</v>
      </c>
      <c r="P171" t="s">
        <v>1292</v>
      </c>
      <c r="Q171">
        <v>1.7999999999999999E-2</v>
      </c>
      <c r="R171">
        <v>58565</v>
      </c>
      <c r="S171">
        <v>3</v>
      </c>
      <c r="T171" t="s">
        <v>88</v>
      </c>
      <c r="U171" t="s">
        <v>207</v>
      </c>
      <c r="V171" t="s">
        <v>1</v>
      </c>
      <c r="W171" t="s">
        <v>1291</v>
      </c>
      <c r="X171" t="s">
        <v>9</v>
      </c>
      <c r="Y171" t="s">
        <v>9</v>
      </c>
      <c r="Z171" t="s">
        <v>9</v>
      </c>
      <c r="AA171" t="s">
        <v>9</v>
      </c>
      <c r="AB171">
        <v>0</v>
      </c>
      <c r="AC171">
        <v>0</v>
      </c>
      <c r="AD171">
        <v>0</v>
      </c>
      <c r="AE171" t="s">
        <v>1290</v>
      </c>
      <c r="AF171">
        <v>0</v>
      </c>
      <c r="AG171">
        <v>0</v>
      </c>
      <c r="AH171">
        <v>0</v>
      </c>
      <c r="AI171">
        <v>0</v>
      </c>
      <c r="AL171">
        <v>0</v>
      </c>
      <c r="AM171" t="s">
        <v>1289</v>
      </c>
    </row>
    <row r="172" spans="1:48" customFormat="1">
      <c r="A172" s="1">
        <v>163</v>
      </c>
      <c r="B172" t="s">
        <v>1285</v>
      </c>
      <c r="C172" t="s">
        <v>1</v>
      </c>
      <c r="D172" t="str">
        <f t="shared" si="17"/>
        <v>-</v>
      </c>
      <c r="E172" t="s">
        <v>9</v>
      </c>
      <c r="F172" t="str">
        <f t="shared" si="15"/>
        <v/>
      </c>
      <c r="G172" t="str">
        <f t="shared" si="16"/>
        <v>n</v>
      </c>
      <c r="H172" t="str">
        <f t="shared" si="13"/>
        <v>None</v>
      </c>
      <c r="I172" t="s">
        <v>319</v>
      </c>
      <c r="J172" t="s">
        <v>573</v>
      </c>
      <c r="M172">
        <v>60846.2</v>
      </c>
      <c r="N172">
        <v>7.3999999999999996E-2</v>
      </c>
      <c r="O172">
        <v>10738.1</v>
      </c>
      <c r="P172" t="s">
        <v>1288</v>
      </c>
      <c r="Q172">
        <v>0.224</v>
      </c>
      <c r="R172">
        <v>94442</v>
      </c>
      <c r="S172">
        <v>6</v>
      </c>
      <c r="T172" t="s">
        <v>88</v>
      </c>
      <c r="U172" t="s">
        <v>287</v>
      </c>
      <c r="V172" t="s">
        <v>1</v>
      </c>
      <c r="W172" t="s">
        <v>1021</v>
      </c>
      <c r="X172" t="s">
        <v>9</v>
      </c>
      <c r="Y172" t="s">
        <v>9</v>
      </c>
      <c r="Z172">
        <v>2010</v>
      </c>
      <c r="AA172">
        <v>2020</v>
      </c>
      <c r="AB172" t="s">
        <v>1287</v>
      </c>
      <c r="AC172">
        <v>0</v>
      </c>
      <c r="AD172">
        <v>0</v>
      </c>
      <c r="AE172" t="s">
        <v>1286</v>
      </c>
      <c r="AF172">
        <v>0</v>
      </c>
      <c r="AG172">
        <v>0</v>
      </c>
      <c r="AH172">
        <v>0</v>
      </c>
      <c r="AI172">
        <v>0</v>
      </c>
      <c r="AL172">
        <v>0</v>
      </c>
      <c r="AM172" t="s">
        <v>1285</v>
      </c>
    </row>
    <row r="173" spans="1:48" customFormat="1">
      <c r="A173" s="1">
        <v>164</v>
      </c>
      <c r="B173" t="s">
        <v>1283</v>
      </c>
      <c r="C173" t="s">
        <v>1</v>
      </c>
      <c r="D173" t="str">
        <f t="shared" si="17"/>
        <v>-</v>
      </c>
      <c r="E173" t="s">
        <v>9</v>
      </c>
      <c r="F173" t="str">
        <f t="shared" si="15"/>
        <v/>
      </c>
      <c r="G173" t="str">
        <f t="shared" si="16"/>
        <v>n</v>
      </c>
      <c r="H173" t="str">
        <f t="shared" si="13"/>
        <v>None</v>
      </c>
      <c r="I173" t="s">
        <v>342</v>
      </c>
      <c r="J173" t="s">
        <v>342</v>
      </c>
      <c r="M173">
        <v>60749.2</v>
      </c>
      <c r="N173">
        <v>1.2E-2</v>
      </c>
      <c r="O173">
        <v>-1351.3</v>
      </c>
      <c r="P173" t="s">
        <v>1284</v>
      </c>
      <c r="Q173">
        <v>-5.359</v>
      </c>
      <c r="R173">
        <v>340577</v>
      </c>
      <c r="S173">
        <v>-8</v>
      </c>
      <c r="T173" t="s">
        <v>350</v>
      </c>
      <c r="U173" t="s">
        <v>63</v>
      </c>
      <c r="V173" t="s">
        <v>1</v>
      </c>
      <c r="W173" t="s">
        <v>9</v>
      </c>
      <c r="X173" t="s">
        <v>9</v>
      </c>
      <c r="Y173" t="s">
        <v>9</v>
      </c>
      <c r="Z173" t="s">
        <v>9</v>
      </c>
      <c r="AA173" t="s">
        <v>9</v>
      </c>
      <c r="AB173">
        <v>0</v>
      </c>
      <c r="AC173">
        <v>0</v>
      </c>
      <c r="AD173">
        <v>0</v>
      </c>
      <c r="AE173">
        <v>0</v>
      </c>
      <c r="AF173">
        <v>0</v>
      </c>
      <c r="AG173">
        <v>0</v>
      </c>
      <c r="AH173">
        <v>0</v>
      </c>
      <c r="AI173">
        <v>0</v>
      </c>
      <c r="AL173">
        <v>0</v>
      </c>
      <c r="AM173" t="s">
        <v>1283</v>
      </c>
    </row>
    <row r="174" spans="1:48" customFormat="1">
      <c r="A174" s="1">
        <v>165</v>
      </c>
      <c r="B174" t="s">
        <v>1281</v>
      </c>
      <c r="C174" t="s">
        <v>1</v>
      </c>
      <c r="D174" t="str">
        <f t="shared" si="17"/>
        <v>-</v>
      </c>
      <c r="E174" t="s">
        <v>9</v>
      </c>
      <c r="F174" t="str">
        <f t="shared" si="15"/>
        <v/>
      </c>
      <c r="G174" t="str">
        <f t="shared" si="16"/>
        <v>n</v>
      </c>
      <c r="H174" t="str">
        <f t="shared" si="13"/>
        <v>None</v>
      </c>
      <c r="I174" t="s">
        <v>342</v>
      </c>
      <c r="J174" t="s">
        <v>342</v>
      </c>
      <c r="M174">
        <v>60534.5</v>
      </c>
      <c r="N174">
        <v>0.01</v>
      </c>
      <c r="O174">
        <v>131.1</v>
      </c>
      <c r="P174" t="s">
        <v>1282</v>
      </c>
      <c r="Q174">
        <v>1.8320000000000001</v>
      </c>
      <c r="R174">
        <v>267000</v>
      </c>
      <c r="S174">
        <v>-8</v>
      </c>
      <c r="T174" t="s">
        <v>350</v>
      </c>
      <c r="U174" t="s">
        <v>127</v>
      </c>
      <c r="V174" t="s">
        <v>1</v>
      </c>
      <c r="W174" t="s">
        <v>9</v>
      </c>
      <c r="X174" t="s">
        <v>9</v>
      </c>
      <c r="Y174" t="s">
        <v>9</v>
      </c>
      <c r="Z174" t="s">
        <v>9</v>
      </c>
      <c r="AA174" t="s">
        <v>9</v>
      </c>
      <c r="AB174">
        <v>0</v>
      </c>
      <c r="AC174">
        <v>0</v>
      </c>
      <c r="AD174">
        <v>0</v>
      </c>
      <c r="AE174">
        <v>0</v>
      </c>
      <c r="AF174">
        <v>0</v>
      </c>
      <c r="AG174">
        <v>0</v>
      </c>
      <c r="AH174">
        <v>0</v>
      </c>
      <c r="AI174">
        <v>0</v>
      </c>
      <c r="AL174">
        <v>0</v>
      </c>
      <c r="AM174" t="s">
        <v>1281</v>
      </c>
    </row>
    <row r="175" spans="1:48" customFormat="1">
      <c r="A175" s="1">
        <v>166</v>
      </c>
      <c r="B175" t="s">
        <v>1279</v>
      </c>
      <c r="C175" t="s">
        <v>1</v>
      </c>
      <c r="D175" t="str">
        <f t="shared" si="17"/>
        <v>-</v>
      </c>
      <c r="E175" t="s">
        <v>9</v>
      </c>
      <c r="F175" t="str">
        <f t="shared" si="15"/>
        <v/>
      </c>
      <c r="G175" t="str">
        <f t="shared" si="16"/>
        <v>n</v>
      </c>
      <c r="H175" t="str">
        <f t="shared" si="13"/>
        <v>None</v>
      </c>
      <c r="I175" t="s">
        <v>76</v>
      </c>
      <c r="J175" t="s">
        <v>795</v>
      </c>
      <c r="M175">
        <v>60405.3</v>
      </c>
      <c r="N175">
        <v>0.10299999999999999</v>
      </c>
      <c r="O175">
        <v>7871</v>
      </c>
      <c r="P175" t="s">
        <v>1280</v>
      </c>
      <c r="Q175">
        <v>-0.11899999999999999</v>
      </c>
      <c r="R175">
        <v>119390</v>
      </c>
      <c r="S175">
        <v>11</v>
      </c>
      <c r="T175" t="s">
        <v>88</v>
      </c>
      <c r="U175" t="s">
        <v>207</v>
      </c>
      <c r="V175" t="s">
        <v>1</v>
      </c>
      <c r="W175" t="s">
        <v>9</v>
      </c>
      <c r="X175" t="s">
        <v>9</v>
      </c>
      <c r="Y175" t="s">
        <v>9</v>
      </c>
      <c r="Z175" t="s">
        <v>9</v>
      </c>
      <c r="AA175" t="s">
        <v>9</v>
      </c>
      <c r="AB175">
        <v>0</v>
      </c>
      <c r="AC175">
        <v>0</v>
      </c>
      <c r="AD175">
        <v>0</v>
      </c>
      <c r="AE175">
        <v>0</v>
      </c>
      <c r="AF175">
        <v>0</v>
      </c>
      <c r="AG175">
        <v>0</v>
      </c>
      <c r="AH175">
        <v>0</v>
      </c>
      <c r="AI175">
        <v>0</v>
      </c>
      <c r="AL175">
        <v>0</v>
      </c>
      <c r="AM175" t="s">
        <v>1279</v>
      </c>
    </row>
    <row r="176" spans="1:48" customFormat="1">
      <c r="A176" s="1">
        <v>167</v>
      </c>
      <c r="B176" t="s">
        <v>1273</v>
      </c>
      <c r="C176" t="s">
        <v>1</v>
      </c>
      <c r="D176">
        <f>IF(G176="n","",MIN(X176,AI176,AN176))</f>
        <v>2015</v>
      </c>
      <c r="E176" t="s">
        <v>369</v>
      </c>
      <c r="F176">
        <f t="shared" si="15"/>
        <v>2015</v>
      </c>
      <c r="G176" t="str">
        <f t="shared" si="16"/>
        <v>y</v>
      </c>
      <c r="H176" t="str">
        <f t="shared" si="13"/>
        <v>CN, SBT &amp; RE100</v>
      </c>
      <c r="I176" t="s">
        <v>511</v>
      </c>
      <c r="J176" t="s">
        <v>510</v>
      </c>
      <c r="K176" s="7">
        <v>35.65</v>
      </c>
      <c r="M176">
        <v>60167.3</v>
      </c>
      <c r="N176">
        <v>-6.0000000000000001E-3</v>
      </c>
      <c r="O176">
        <v>11080.6</v>
      </c>
      <c r="P176" t="s">
        <v>1278</v>
      </c>
      <c r="Q176">
        <v>0.624</v>
      </c>
      <c r="R176">
        <v>154848</v>
      </c>
      <c r="S176">
        <v>-14</v>
      </c>
      <c r="T176" t="s">
        <v>88</v>
      </c>
      <c r="U176" t="s">
        <v>1277</v>
      </c>
      <c r="V176" t="s">
        <v>32</v>
      </c>
      <c r="W176" t="s">
        <v>9</v>
      </c>
      <c r="X176">
        <v>2015</v>
      </c>
      <c r="Y176" t="s">
        <v>9</v>
      </c>
      <c r="Z176" t="s">
        <v>9</v>
      </c>
      <c r="AA176">
        <v>2030</v>
      </c>
      <c r="AB176" t="s">
        <v>563</v>
      </c>
      <c r="AC176">
        <v>0</v>
      </c>
      <c r="AD176" t="s">
        <v>1276</v>
      </c>
      <c r="AE176" t="s">
        <v>1275</v>
      </c>
      <c r="AF176" t="s">
        <v>39</v>
      </c>
      <c r="AG176" t="s">
        <v>22</v>
      </c>
      <c r="AH176" t="s">
        <v>224</v>
      </c>
      <c r="AI176">
        <v>2017</v>
      </c>
      <c r="AJ176">
        <v>2030</v>
      </c>
      <c r="AK176" t="s">
        <v>20</v>
      </c>
      <c r="AL176" t="s">
        <v>1274</v>
      </c>
      <c r="AM176" t="s">
        <v>1273</v>
      </c>
      <c r="AN176">
        <v>2015</v>
      </c>
      <c r="AO176">
        <v>2020</v>
      </c>
      <c r="AP176" t="s">
        <v>13</v>
      </c>
      <c r="AQ176">
        <v>0.56999999999999995</v>
      </c>
      <c r="AR176">
        <v>0.64</v>
      </c>
      <c r="AS176">
        <v>0.45</v>
      </c>
      <c r="AT176">
        <v>0.45</v>
      </c>
      <c r="AU176" t="s">
        <v>1272</v>
      </c>
      <c r="AV176" t="s">
        <v>361</v>
      </c>
    </row>
    <row r="177" spans="1:48" customFormat="1">
      <c r="A177" s="1">
        <v>168</v>
      </c>
      <c r="B177" t="s">
        <v>1269</v>
      </c>
      <c r="C177" t="s">
        <v>1</v>
      </c>
      <c r="D177" t="str">
        <f>IF(G177="n","-",MIN(X177,AI177,AN177))</f>
        <v>-</v>
      </c>
      <c r="E177" t="s">
        <v>9</v>
      </c>
      <c r="F177" t="str">
        <f t="shared" si="15"/>
        <v/>
      </c>
      <c r="G177" t="str">
        <f t="shared" si="16"/>
        <v>n</v>
      </c>
      <c r="H177" t="str">
        <f t="shared" si="13"/>
        <v>None</v>
      </c>
      <c r="I177" t="s">
        <v>319</v>
      </c>
      <c r="J177" t="s">
        <v>1068</v>
      </c>
      <c r="M177">
        <v>60116</v>
      </c>
      <c r="N177">
        <v>0.23799999999999999</v>
      </c>
      <c r="O177">
        <v>900</v>
      </c>
      <c r="P177" t="s">
        <v>1271</v>
      </c>
      <c r="Q177">
        <v>8.6999999999999994E-2</v>
      </c>
      <c r="R177">
        <v>47300</v>
      </c>
      <c r="S177">
        <v>42</v>
      </c>
      <c r="T177" t="s">
        <v>88</v>
      </c>
      <c r="U177" t="s">
        <v>127</v>
      </c>
      <c r="V177" t="s">
        <v>1270</v>
      </c>
      <c r="W177" t="s">
        <v>9</v>
      </c>
      <c r="X177" t="s">
        <v>9</v>
      </c>
      <c r="Y177" t="s">
        <v>9</v>
      </c>
      <c r="Z177" t="s">
        <v>9</v>
      </c>
      <c r="AA177" t="s">
        <v>9</v>
      </c>
      <c r="AB177">
        <v>0</v>
      </c>
      <c r="AC177">
        <v>0</v>
      </c>
      <c r="AD177">
        <v>0</v>
      </c>
      <c r="AE177">
        <v>0</v>
      </c>
      <c r="AF177">
        <v>0</v>
      </c>
      <c r="AG177">
        <v>0</v>
      </c>
      <c r="AH177">
        <v>0</v>
      </c>
      <c r="AI177">
        <v>0</v>
      </c>
      <c r="AL177">
        <v>0</v>
      </c>
      <c r="AM177" t="s">
        <v>1269</v>
      </c>
    </row>
    <row r="178" spans="1:48" customFormat="1">
      <c r="A178" s="1">
        <v>169</v>
      </c>
      <c r="B178" t="s">
        <v>1267</v>
      </c>
      <c r="C178" t="s">
        <v>1</v>
      </c>
      <c r="D178" t="str">
        <f>IF(G178="n","-",MIN(X178,AI178,AN178))</f>
        <v>-</v>
      </c>
      <c r="E178" t="s">
        <v>9</v>
      </c>
      <c r="F178" t="str">
        <f t="shared" si="15"/>
        <v/>
      </c>
      <c r="G178" t="str">
        <f t="shared" si="16"/>
        <v>n</v>
      </c>
      <c r="H178" t="str">
        <f t="shared" si="13"/>
        <v>None</v>
      </c>
      <c r="I178" t="s">
        <v>319</v>
      </c>
      <c r="J178" t="s">
        <v>573</v>
      </c>
      <c r="M178">
        <v>59980.2</v>
      </c>
      <c r="N178">
        <v>0.157</v>
      </c>
      <c r="O178">
        <v>884.4</v>
      </c>
      <c r="P178" t="s">
        <v>1268</v>
      </c>
      <c r="Q178">
        <v>0.28199999999999997</v>
      </c>
      <c r="R178">
        <v>128600</v>
      </c>
      <c r="S178">
        <v>25</v>
      </c>
      <c r="T178" t="s">
        <v>88</v>
      </c>
      <c r="U178" t="s">
        <v>73</v>
      </c>
      <c r="V178" t="s">
        <v>1</v>
      </c>
      <c r="W178" t="s">
        <v>9</v>
      </c>
      <c r="X178" t="s">
        <v>9</v>
      </c>
      <c r="Y178" t="s">
        <v>9</v>
      </c>
      <c r="Z178" t="s">
        <v>9</v>
      </c>
      <c r="AA178" t="s">
        <v>9</v>
      </c>
      <c r="AB178">
        <v>0</v>
      </c>
      <c r="AC178">
        <v>0</v>
      </c>
      <c r="AD178">
        <v>0</v>
      </c>
      <c r="AE178">
        <v>0</v>
      </c>
      <c r="AF178">
        <v>0</v>
      </c>
      <c r="AG178">
        <v>0</v>
      </c>
      <c r="AH178">
        <v>0</v>
      </c>
      <c r="AI178">
        <v>0</v>
      </c>
      <c r="AL178">
        <v>0</v>
      </c>
      <c r="AM178" t="s">
        <v>1267</v>
      </c>
    </row>
    <row r="179" spans="1:48" customFormat="1">
      <c r="A179" s="1">
        <v>170</v>
      </c>
      <c r="B179" t="s">
        <v>1263</v>
      </c>
      <c r="C179" t="s">
        <v>1</v>
      </c>
      <c r="D179" t="str">
        <f>IF(G179="n","-",MIN(X179,AI179,AN179))</f>
        <v>-</v>
      </c>
      <c r="E179" t="s">
        <v>9</v>
      </c>
      <c r="F179" t="str">
        <f t="shared" si="15"/>
        <v/>
      </c>
      <c r="G179" t="str">
        <f t="shared" si="16"/>
        <v>n</v>
      </c>
      <c r="H179" t="str">
        <f t="shared" si="13"/>
        <v>None</v>
      </c>
      <c r="I179" t="s">
        <v>258</v>
      </c>
      <c r="J179" t="s">
        <v>257</v>
      </c>
      <c r="M179">
        <v>59434</v>
      </c>
      <c r="N179">
        <v>7.8E-2</v>
      </c>
      <c r="O179">
        <v>12598</v>
      </c>
      <c r="P179" t="s">
        <v>1266</v>
      </c>
      <c r="Q179">
        <v>0.40300000000000002</v>
      </c>
      <c r="R179">
        <v>201000</v>
      </c>
      <c r="S179">
        <v>6</v>
      </c>
      <c r="T179" t="s">
        <v>88</v>
      </c>
      <c r="U179" t="s">
        <v>127</v>
      </c>
      <c r="V179" t="s">
        <v>1</v>
      </c>
      <c r="W179" t="s">
        <v>1063</v>
      </c>
      <c r="X179" t="s">
        <v>9</v>
      </c>
      <c r="Y179">
        <v>2018</v>
      </c>
      <c r="Z179">
        <v>2012</v>
      </c>
      <c r="AA179">
        <v>2020</v>
      </c>
      <c r="AB179" t="s">
        <v>1265</v>
      </c>
      <c r="AC179">
        <v>0</v>
      </c>
      <c r="AD179">
        <v>0</v>
      </c>
      <c r="AE179" t="s">
        <v>1264</v>
      </c>
      <c r="AF179">
        <v>0</v>
      </c>
      <c r="AG179">
        <v>0</v>
      </c>
      <c r="AH179">
        <v>0</v>
      </c>
      <c r="AI179">
        <v>0</v>
      </c>
      <c r="AL179">
        <v>0</v>
      </c>
      <c r="AM179" t="s">
        <v>1263</v>
      </c>
    </row>
    <row r="180" spans="1:48" customFormat="1">
      <c r="A180" s="1">
        <v>171</v>
      </c>
      <c r="B180" t="s">
        <v>1261</v>
      </c>
      <c r="C180" t="s">
        <v>1</v>
      </c>
      <c r="D180" t="str">
        <f>IF(G180="n","-",MIN(X180,AI180,AN180))</f>
        <v>-</v>
      </c>
      <c r="E180" t="s">
        <v>9</v>
      </c>
      <c r="F180" t="str">
        <f t="shared" si="15"/>
        <v/>
      </c>
      <c r="G180" t="str">
        <f t="shared" si="16"/>
        <v>n</v>
      </c>
      <c r="H180" t="str">
        <f t="shared" si="13"/>
        <v>None</v>
      </c>
      <c r="I180" t="s">
        <v>85</v>
      </c>
      <c r="J180" t="s">
        <v>84</v>
      </c>
      <c r="M180">
        <v>59223.199999999997</v>
      </c>
      <c r="N180">
        <v>0.112</v>
      </c>
      <c r="O180">
        <v>1556.1</v>
      </c>
      <c r="P180" t="s">
        <v>1262</v>
      </c>
      <c r="Q180">
        <v>-0.36199999999999999</v>
      </c>
      <c r="R180">
        <v>33784</v>
      </c>
      <c r="S180">
        <v>13</v>
      </c>
      <c r="T180" t="s">
        <v>88</v>
      </c>
      <c r="U180" t="s">
        <v>114</v>
      </c>
      <c r="V180" t="s">
        <v>1</v>
      </c>
      <c r="W180" t="s">
        <v>9</v>
      </c>
      <c r="X180" t="s">
        <v>9</v>
      </c>
      <c r="Y180" t="s">
        <v>9</v>
      </c>
      <c r="Z180" t="s">
        <v>9</v>
      </c>
      <c r="AA180" t="s">
        <v>9</v>
      </c>
      <c r="AB180">
        <v>0</v>
      </c>
      <c r="AC180">
        <v>0</v>
      </c>
      <c r="AD180">
        <v>0</v>
      </c>
      <c r="AE180">
        <v>0</v>
      </c>
      <c r="AF180">
        <v>0</v>
      </c>
      <c r="AG180">
        <v>0</v>
      </c>
      <c r="AH180">
        <v>0</v>
      </c>
      <c r="AI180">
        <v>0</v>
      </c>
      <c r="AL180">
        <v>0</v>
      </c>
      <c r="AM180" t="s">
        <v>1261</v>
      </c>
    </row>
    <row r="181" spans="1:48" customFormat="1">
      <c r="A181" s="1">
        <v>172</v>
      </c>
      <c r="B181" t="s">
        <v>1259</v>
      </c>
      <c r="C181" t="s">
        <v>1</v>
      </c>
      <c r="D181" t="str">
        <f>IF(G181="n","-",MIN(X181,AI181,AN181))</f>
        <v>-</v>
      </c>
      <c r="E181" t="s">
        <v>9</v>
      </c>
      <c r="F181" t="str">
        <f t="shared" si="15"/>
        <v/>
      </c>
      <c r="G181" t="str">
        <f t="shared" si="16"/>
        <v>n</v>
      </c>
      <c r="H181" t="str">
        <f t="shared" si="13"/>
        <v>None</v>
      </c>
      <c r="I181" t="s">
        <v>91</v>
      </c>
      <c r="J181" t="s">
        <v>818</v>
      </c>
      <c r="M181">
        <v>58727.3</v>
      </c>
      <c r="N181">
        <v>6.0999999999999999E-2</v>
      </c>
      <c r="O181">
        <v>1430.8</v>
      </c>
      <c r="P181" t="s">
        <v>1260</v>
      </c>
      <c r="Q181">
        <v>0.252</v>
      </c>
      <c r="R181">
        <v>67000</v>
      </c>
      <c r="S181">
        <v>2</v>
      </c>
      <c r="T181" t="s">
        <v>88</v>
      </c>
      <c r="U181" t="s">
        <v>127</v>
      </c>
      <c r="V181" t="s">
        <v>1</v>
      </c>
      <c r="W181" t="s">
        <v>9</v>
      </c>
      <c r="X181" t="s">
        <v>9</v>
      </c>
      <c r="Y181" t="s">
        <v>9</v>
      </c>
      <c r="Z181" t="s">
        <v>9</v>
      </c>
      <c r="AA181" t="s">
        <v>9</v>
      </c>
      <c r="AB181">
        <v>0</v>
      </c>
      <c r="AC181">
        <v>0</v>
      </c>
      <c r="AD181">
        <v>0</v>
      </c>
      <c r="AE181">
        <v>0</v>
      </c>
      <c r="AF181">
        <v>0</v>
      </c>
      <c r="AG181">
        <v>0</v>
      </c>
      <c r="AH181">
        <v>0</v>
      </c>
      <c r="AI181">
        <v>0</v>
      </c>
      <c r="AL181">
        <v>0</v>
      </c>
      <c r="AM181" t="s">
        <v>1259</v>
      </c>
    </row>
    <row r="182" spans="1:48" customFormat="1">
      <c r="A182" s="1">
        <v>173</v>
      </c>
      <c r="B182" t="s">
        <v>1252</v>
      </c>
      <c r="C182" t="s">
        <v>361</v>
      </c>
      <c r="D182">
        <f>IF(G182="n","",MIN(X182,AI182,AN182))</f>
        <v>2016</v>
      </c>
      <c r="F182">
        <f t="shared" si="15"/>
        <v>2017</v>
      </c>
      <c r="G182" t="str">
        <f t="shared" si="16"/>
        <v>y</v>
      </c>
      <c r="H182" t="str">
        <f t="shared" si="13"/>
        <v>SBT &amp; RE100</v>
      </c>
      <c r="M182">
        <v>58472</v>
      </c>
      <c r="N182">
        <v>0.123</v>
      </c>
      <c r="O182">
        <v>5327</v>
      </c>
      <c r="P182" t="s">
        <v>1257</v>
      </c>
      <c r="Q182">
        <v>1.109</v>
      </c>
      <c r="R182">
        <v>55000</v>
      </c>
      <c r="S182">
        <v>17</v>
      </c>
      <c r="T182" t="s">
        <v>88</v>
      </c>
      <c r="U182" t="s">
        <v>127</v>
      </c>
      <c r="V182" t="s">
        <v>1</v>
      </c>
      <c r="W182" t="s">
        <v>9</v>
      </c>
      <c r="X182" t="s">
        <v>9</v>
      </c>
      <c r="Y182" t="s">
        <v>9</v>
      </c>
      <c r="Z182" t="s">
        <v>9</v>
      </c>
      <c r="AA182" t="s">
        <v>9</v>
      </c>
      <c r="AB182" t="s">
        <v>1256</v>
      </c>
      <c r="AD182" t="s">
        <v>1255</v>
      </c>
      <c r="AE182" t="s">
        <v>1254</v>
      </c>
      <c r="AF182" t="s">
        <v>204</v>
      </c>
      <c r="AG182" t="s">
        <v>22</v>
      </c>
      <c r="AH182" t="s">
        <v>627</v>
      </c>
      <c r="AI182">
        <v>2017</v>
      </c>
      <c r="AJ182">
        <v>2025</v>
      </c>
      <c r="AK182" t="s">
        <v>202</v>
      </c>
      <c r="AL182" t="s">
        <v>1253</v>
      </c>
      <c r="AM182" t="s">
        <v>1252</v>
      </c>
      <c r="AN182">
        <v>2016</v>
      </c>
      <c r="AO182" t="s">
        <v>1251</v>
      </c>
      <c r="AP182" t="s">
        <v>1250</v>
      </c>
      <c r="AQ182">
        <v>0.5</v>
      </c>
      <c r="AR182">
        <v>0.14000000000000001</v>
      </c>
      <c r="AS182">
        <v>0.16</v>
      </c>
      <c r="AT182" t="s">
        <v>13</v>
      </c>
      <c r="AU182" t="s">
        <v>12</v>
      </c>
    </row>
    <row r="183" spans="1:48" customFormat="1">
      <c r="A183" s="1">
        <v>173</v>
      </c>
      <c r="B183" t="s">
        <v>1252</v>
      </c>
      <c r="C183" t="s">
        <v>1</v>
      </c>
      <c r="D183">
        <f>IF(G183="n","",MIN(X183,AI183,AN183))</f>
        <v>2016</v>
      </c>
      <c r="F183">
        <f t="shared" si="15"/>
        <v>2017</v>
      </c>
      <c r="G183" t="str">
        <f t="shared" si="16"/>
        <v>y</v>
      </c>
      <c r="H183" t="str">
        <f t="shared" si="13"/>
        <v>SBT &amp; RE100</v>
      </c>
      <c r="I183" t="s">
        <v>186</v>
      </c>
      <c r="J183" t="s">
        <v>1258</v>
      </c>
      <c r="M183">
        <v>58472</v>
      </c>
      <c r="N183">
        <v>0.123</v>
      </c>
      <c r="O183">
        <v>5327</v>
      </c>
      <c r="P183" t="s">
        <v>1257</v>
      </c>
      <c r="Q183">
        <v>1.109</v>
      </c>
      <c r="R183">
        <v>55000</v>
      </c>
      <c r="S183">
        <v>17</v>
      </c>
      <c r="T183" t="s">
        <v>88</v>
      </c>
      <c r="U183" t="s">
        <v>127</v>
      </c>
      <c r="V183" t="s">
        <v>1</v>
      </c>
      <c r="W183" t="s">
        <v>9</v>
      </c>
      <c r="X183">
        <v>2019</v>
      </c>
      <c r="Y183" t="s">
        <v>9</v>
      </c>
      <c r="Z183" t="s">
        <v>9</v>
      </c>
      <c r="AA183">
        <v>2020</v>
      </c>
      <c r="AB183" t="s">
        <v>1256</v>
      </c>
      <c r="AD183" t="s">
        <v>1255</v>
      </c>
      <c r="AE183" t="s">
        <v>1254</v>
      </c>
      <c r="AF183" t="s">
        <v>204</v>
      </c>
      <c r="AG183" t="s">
        <v>22</v>
      </c>
      <c r="AH183" t="s">
        <v>627</v>
      </c>
      <c r="AI183">
        <v>2017</v>
      </c>
      <c r="AJ183">
        <v>2025</v>
      </c>
      <c r="AK183" t="s">
        <v>202</v>
      </c>
      <c r="AL183" t="s">
        <v>1253</v>
      </c>
      <c r="AM183" t="s">
        <v>1252</v>
      </c>
      <c r="AN183">
        <v>2016</v>
      </c>
      <c r="AO183" t="s">
        <v>1251</v>
      </c>
      <c r="AP183" t="s">
        <v>1250</v>
      </c>
      <c r="AQ183">
        <v>0.5</v>
      </c>
      <c r="AR183">
        <v>0.14000000000000001</v>
      </c>
      <c r="AS183">
        <v>0.16</v>
      </c>
      <c r="AT183" t="s">
        <v>13</v>
      </c>
      <c r="AU183" t="s">
        <v>12</v>
      </c>
    </row>
    <row r="184" spans="1:48" customFormat="1">
      <c r="A184" s="1">
        <v>174</v>
      </c>
      <c r="B184" t="s">
        <v>1249</v>
      </c>
      <c r="C184" t="s">
        <v>1</v>
      </c>
      <c r="D184">
        <f>IF(G184="n","",MIN(X184,AI184,AN184))</f>
        <v>2016</v>
      </c>
      <c r="F184">
        <f t="shared" si="15"/>
        <v>2016</v>
      </c>
      <c r="G184" t="str">
        <f t="shared" si="16"/>
        <v>y</v>
      </c>
      <c r="H184" t="str">
        <f t="shared" si="13"/>
        <v xml:space="preserve"> SBT</v>
      </c>
      <c r="I184" t="s">
        <v>76</v>
      </c>
      <c r="J184" t="s">
        <v>795</v>
      </c>
      <c r="K184" s="7">
        <v>11.88</v>
      </c>
      <c r="M184">
        <v>58390</v>
      </c>
      <c r="N184">
        <v>-0.16500000000000001</v>
      </c>
      <c r="O184">
        <v>4560.2</v>
      </c>
      <c r="P184" t="s">
        <v>1248</v>
      </c>
      <c r="Q184">
        <v>0.442</v>
      </c>
      <c r="R184">
        <v>140250</v>
      </c>
      <c r="S184">
        <v>-53</v>
      </c>
      <c r="T184" t="s">
        <v>88</v>
      </c>
      <c r="U184" t="s">
        <v>63</v>
      </c>
      <c r="V184" t="s">
        <v>1</v>
      </c>
      <c r="W184" t="s">
        <v>1247</v>
      </c>
      <c r="X184" t="s">
        <v>9</v>
      </c>
      <c r="Y184">
        <v>2014</v>
      </c>
      <c r="Z184">
        <v>2014</v>
      </c>
      <c r="AA184">
        <v>2020</v>
      </c>
      <c r="AB184" t="s">
        <v>1246</v>
      </c>
      <c r="AC184">
        <v>0</v>
      </c>
      <c r="AD184">
        <v>0</v>
      </c>
      <c r="AE184" t="s">
        <v>1245</v>
      </c>
      <c r="AF184" t="s">
        <v>93</v>
      </c>
      <c r="AG184" t="s">
        <v>165</v>
      </c>
      <c r="AH184" t="s">
        <v>941</v>
      </c>
      <c r="AI184">
        <v>2016</v>
      </c>
      <c r="AL184">
        <v>0</v>
      </c>
      <c r="AM184" t="s">
        <v>1244</v>
      </c>
    </row>
    <row r="185" spans="1:48" customFormat="1">
      <c r="A185" s="1">
        <v>175</v>
      </c>
      <c r="B185" t="s">
        <v>1241</v>
      </c>
      <c r="C185" t="s">
        <v>1</v>
      </c>
      <c r="D185" t="str">
        <f>IF(G185="n","-",MIN(X185,AI185,AN185))</f>
        <v>-</v>
      </c>
      <c r="E185" t="s">
        <v>9</v>
      </c>
      <c r="F185" t="str">
        <f t="shared" si="15"/>
        <v/>
      </c>
      <c r="G185" t="str">
        <f t="shared" si="16"/>
        <v>n</v>
      </c>
      <c r="H185" t="str">
        <f t="shared" si="13"/>
        <v>None</v>
      </c>
      <c r="I185" t="s">
        <v>71</v>
      </c>
      <c r="J185" t="s">
        <v>1166</v>
      </c>
      <c r="M185">
        <v>57933.599999999999</v>
      </c>
      <c r="N185">
        <v>0.34899999999999998</v>
      </c>
      <c r="O185">
        <v>2526.8000000000002</v>
      </c>
      <c r="P185" t="s">
        <v>1243</v>
      </c>
      <c r="Q185">
        <v>-5.0000000000000001E-3</v>
      </c>
      <c r="R185">
        <v>31569</v>
      </c>
      <c r="S185">
        <v>78</v>
      </c>
      <c r="T185" t="s">
        <v>180</v>
      </c>
      <c r="U185" t="s">
        <v>1242</v>
      </c>
      <c r="V185" t="s">
        <v>1</v>
      </c>
      <c r="W185" t="s">
        <v>9</v>
      </c>
      <c r="X185" t="s">
        <v>9</v>
      </c>
      <c r="Y185" t="s">
        <v>9</v>
      </c>
      <c r="Z185" t="s">
        <v>9</v>
      </c>
      <c r="AA185" t="s">
        <v>9</v>
      </c>
      <c r="AB185">
        <v>0</v>
      </c>
      <c r="AC185">
        <v>0</v>
      </c>
      <c r="AD185">
        <v>0</v>
      </c>
      <c r="AE185">
        <v>0</v>
      </c>
      <c r="AF185">
        <v>0</v>
      </c>
      <c r="AG185">
        <v>0</v>
      </c>
      <c r="AH185">
        <v>0</v>
      </c>
      <c r="AI185">
        <v>0</v>
      </c>
      <c r="AL185">
        <v>0</v>
      </c>
      <c r="AM185" t="s">
        <v>1241</v>
      </c>
    </row>
    <row r="186" spans="1:48" customFormat="1">
      <c r="A186" s="1">
        <v>176</v>
      </c>
      <c r="B186" t="s">
        <v>1240</v>
      </c>
      <c r="C186" t="s">
        <v>1</v>
      </c>
      <c r="D186">
        <f>IF(G186="n","",MIN(X186,AI186,AN186))</f>
        <v>2017</v>
      </c>
      <c r="F186">
        <f t="shared" si="15"/>
        <v>2017</v>
      </c>
      <c r="G186" t="str">
        <f t="shared" si="16"/>
        <v>y</v>
      </c>
      <c r="H186" t="str">
        <f t="shared" si="13"/>
        <v>SBT &amp; RE100</v>
      </c>
      <c r="I186" t="s">
        <v>461</v>
      </c>
      <c r="J186" t="s">
        <v>461</v>
      </c>
      <c r="M186">
        <v>57465.9</v>
      </c>
      <c r="N186">
        <v>-0.02</v>
      </c>
      <c r="O186">
        <v>3931.1</v>
      </c>
      <c r="P186" t="s">
        <v>1239</v>
      </c>
      <c r="Q186">
        <v>0.113</v>
      </c>
      <c r="R186">
        <v>120138</v>
      </c>
      <c r="S186">
        <v>-12</v>
      </c>
      <c r="T186" t="s">
        <v>88</v>
      </c>
      <c r="U186" t="s">
        <v>267</v>
      </c>
      <c r="V186" t="s">
        <v>1</v>
      </c>
      <c r="W186" t="s">
        <v>1238</v>
      </c>
      <c r="X186" t="s">
        <v>9</v>
      </c>
      <c r="Y186" t="s">
        <v>9</v>
      </c>
      <c r="Z186">
        <v>2016</v>
      </c>
      <c r="AA186">
        <v>2025</v>
      </c>
      <c r="AB186" t="s">
        <v>1237</v>
      </c>
      <c r="AC186">
        <v>0</v>
      </c>
      <c r="AD186">
        <v>0</v>
      </c>
      <c r="AE186" t="s">
        <v>1236</v>
      </c>
      <c r="AF186" t="s">
        <v>461</v>
      </c>
      <c r="AG186" t="s">
        <v>22</v>
      </c>
      <c r="AH186" t="s">
        <v>333</v>
      </c>
      <c r="AI186">
        <v>2017</v>
      </c>
      <c r="AJ186">
        <v>2020</v>
      </c>
      <c r="AL186" t="s">
        <v>1235</v>
      </c>
      <c r="AM186" t="s">
        <v>1234</v>
      </c>
      <c r="AN186">
        <v>2017</v>
      </c>
      <c r="AO186">
        <v>2030</v>
      </c>
      <c r="AP186" t="s">
        <v>329</v>
      </c>
      <c r="AQ186">
        <v>0.47</v>
      </c>
      <c r="AR186">
        <v>0.44</v>
      </c>
      <c r="AS186" t="s">
        <v>13</v>
      </c>
      <c r="AT186" t="s">
        <v>13</v>
      </c>
      <c r="AU186" t="s">
        <v>457</v>
      </c>
      <c r="AV186" t="s">
        <v>361</v>
      </c>
    </row>
    <row r="187" spans="1:48" customFormat="1">
      <c r="A187" s="1">
        <v>177</v>
      </c>
      <c r="B187" t="s">
        <v>1232</v>
      </c>
      <c r="C187" t="s">
        <v>1</v>
      </c>
      <c r="D187" t="str">
        <f t="shared" ref="D187:D193" si="18">IF(G187="n","-",MIN(X187,AI187,AN187))</f>
        <v>-</v>
      </c>
      <c r="E187" t="s">
        <v>9</v>
      </c>
      <c r="F187" t="str">
        <f t="shared" si="15"/>
        <v/>
      </c>
      <c r="G187" t="str">
        <f t="shared" si="16"/>
        <v>n</v>
      </c>
      <c r="H187" t="str">
        <f t="shared" si="13"/>
        <v>None</v>
      </c>
      <c r="I187" t="s">
        <v>76</v>
      </c>
      <c r="J187" t="s">
        <v>976</v>
      </c>
      <c r="M187">
        <v>57308.7</v>
      </c>
      <c r="N187">
        <v>0.70699999999999996</v>
      </c>
      <c r="O187">
        <v>5233.5</v>
      </c>
      <c r="P187" t="s">
        <v>1233</v>
      </c>
      <c r="Q187">
        <v>0.35699999999999998</v>
      </c>
      <c r="R187">
        <v>131387</v>
      </c>
      <c r="S187">
        <v>176</v>
      </c>
      <c r="T187" t="s">
        <v>88</v>
      </c>
      <c r="U187" t="s">
        <v>73</v>
      </c>
      <c r="V187" t="s">
        <v>1</v>
      </c>
      <c r="W187" t="s">
        <v>9</v>
      </c>
      <c r="X187" t="s">
        <v>9</v>
      </c>
      <c r="Y187" t="s">
        <v>9</v>
      </c>
      <c r="Z187" t="s">
        <v>9</v>
      </c>
      <c r="AA187" t="s">
        <v>9</v>
      </c>
      <c r="AB187">
        <v>0</v>
      </c>
      <c r="AC187">
        <v>0</v>
      </c>
      <c r="AD187">
        <v>0</v>
      </c>
      <c r="AE187">
        <v>0</v>
      </c>
      <c r="AF187">
        <v>0</v>
      </c>
      <c r="AG187">
        <v>0</v>
      </c>
      <c r="AH187">
        <v>0</v>
      </c>
      <c r="AI187">
        <v>0</v>
      </c>
      <c r="AL187">
        <v>0</v>
      </c>
      <c r="AM187" t="s">
        <v>1232</v>
      </c>
    </row>
    <row r="188" spans="1:48" customFormat="1">
      <c r="A188" s="1">
        <v>178</v>
      </c>
      <c r="B188" t="s">
        <v>1229</v>
      </c>
      <c r="C188" t="s">
        <v>1</v>
      </c>
      <c r="D188" t="str">
        <f t="shared" si="18"/>
        <v>-</v>
      </c>
      <c r="E188" t="s">
        <v>9</v>
      </c>
      <c r="F188" t="str">
        <f t="shared" si="15"/>
        <v/>
      </c>
      <c r="G188" t="str">
        <f t="shared" si="16"/>
        <v>n</v>
      </c>
      <c r="H188" t="str">
        <f t="shared" si="13"/>
        <v>None</v>
      </c>
      <c r="I188" t="s">
        <v>71</v>
      </c>
      <c r="J188" t="s">
        <v>1231</v>
      </c>
      <c r="M188">
        <v>57167.4</v>
      </c>
      <c r="N188">
        <v>8.3000000000000004E-2</v>
      </c>
      <c r="O188">
        <v>2096.1</v>
      </c>
      <c r="P188" t="s">
        <v>1230</v>
      </c>
      <c r="Q188">
        <v>-0.27</v>
      </c>
      <c r="R188">
        <v>41086</v>
      </c>
      <c r="S188">
        <v>8</v>
      </c>
      <c r="T188" t="s">
        <v>88</v>
      </c>
      <c r="U188" t="s">
        <v>207</v>
      </c>
      <c r="V188" t="s">
        <v>1</v>
      </c>
      <c r="W188" t="s">
        <v>9</v>
      </c>
      <c r="X188" t="s">
        <v>9</v>
      </c>
      <c r="Y188" t="s">
        <v>9</v>
      </c>
      <c r="Z188" t="s">
        <v>9</v>
      </c>
      <c r="AA188" t="s">
        <v>9</v>
      </c>
      <c r="AB188">
        <v>0</v>
      </c>
      <c r="AC188">
        <v>0</v>
      </c>
      <c r="AD188">
        <v>0</v>
      </c>
      <c r="AE188">
        <v>0</v>
      </c>
      <c r="AF188">
        <v>0</v>
      </c>
      <c r="AG188">
        <v>0</v>
      </c>
      <c r="AH188">
        <v>0</v>
      </c>
      <c r="AI188">
        <v>0</v>
      </c>
      <c r="AL188">
        <v>0</v>
      </c>
      <c r="AM188" t="s">
        <v>1229</v>
      </c>
    </row>
    <row r="189" spans="1:48" customFormat="1">
      <c r="A189" s="1">
        <v>179</v>
      </c>
      <c r="B189" t="s">
        <v>1227</v>
      </c>
      <c r="C189" t="s">
        <v>1</v>
      </c>
      <c r="D189" t="str">
        <f t="shared" si="18"/>
        <v>-</v>
      </c>
      <c r="E189" t="s">
        <v>9</v>
      </c>
      <c r="F189" t="str">
        <f t="shared" si="15"/>
        <v/>
      </c>
      <c r="G189" t="str">
        <f t="shared" si="16"/>
        <v>n</v>
      </c>
      <c r="H189" t="str">
        <f t="shared" si="13"/>
        <v>None</v>
      </c>
      <c r="I189" t="s">
        <v>319</v>
      </c>
      <c r="J189" t="s">
        <v>1068</v>
      </c>
      <c r="M189">
        <v>56912</v>
      </c>
      <c r="N189">
        <v>5.8000000000000003E-2</v>
      </c>
      <c r="O189">
        <v>1683</v>
      </c>
      <c r="P189" t="s">
        <v>1228</v>
      </c>
      <c r="Q189">
        <v>-0.313</v>
      </c>
      <c r="R189">
        <v>41600</v>
      </c>
      <c r="S189">
        <v>4</v>
      </c>
      <c r="T189" t="s">
        <v>88</v>
      </c>
      <c r="U189" t="s">
        <v>127</v>
      </c>
      <c r="V189" t="s">
        <v>1</v>
      </c>
      <c r="W189" t="s">
        <v>9</v>
      </c>
      <c r="X189" t="s">
        <v>9</v>
      </c>
      <c r="Y189" t="s">
        <v>9</v>
      </c>
      <c r="Z189" t="s">
        <v>9</v>
      </c>
      <c r="AA189" t="s">
        <v>9</v>
      </c>
      <c r="AB189">
        <v>0</v>
      </c>
      <c r="AC189">
        <v>0</v>
      </c>
      <c r="AD189">
        <v>0</v>
      </c>
      <c r="AE189">
        <v>0</v>
      </c>
      <c r="AF189">
        <v>0</v>
      </c>
      <c r="AG189">
        <v>0</v>
      </c>
      <c r="AH189">
        <v>0</v>
      </c>
      <c r="AI189">
        <v>0</v>
      </c>
      <c r="AL189">
        <v>0</v>
      </c>
      <c r="AM189" t="s">
        <v>1227</v>
      </c>
    </row>
    <row r="190" spans="1:48" customFormat="1">
      <c r="A190" s="1">
        <v>180</v>
      </c>
      <c r="B190" t="s">
        <v>1225</v>
      </c>
      <c r="C190" t="s">
        <v>1</v>
      </c>
      <c r="D190" t="str">
        <f t="shared" si="18"/>
        <v>-</v>
      </c>
      <c r="E190" t="s">
        <v>9</v>
      </c>
      <c r="F190" t="str">
        <f t="shared" si="15"/>
        <v/>
      </c>
      <c r="G190" t="str">
        <f t="shared" si="16"/>
        <v>n</v>
      </c>
      <c r="H190" t="str">
        <f t="shared" si="13"/>
        <v>None</v>
      </c>
      <c r="I190" t="s">
        <v>76</v>
      </c>
      <c r="J190" t="s">
        <v>112</v>
      </c>
      <c r="M190">
        <v>56771</v>
      </c>
      <c r="N190">
        <v>0.39200000000000002</v>
      </c>
      <c r="O190">
        <v>3584</v>
      </c>
      <c r="P190" t="s">
        <v>1226</v>
      </c>
      <c r="Q190">
        <v>1.4510000000000001</v>
      </c>
      <c r="R190">
        <v>100750</v>
      </c>
      <c r="S190">
        <v>92</v>
      </c>
      <c r="T190" t="s">
        <v>88</v>
      </c>
      <c r="U190" t="s">
        <v>78</v>
      </c>
      <c r="V190" t="s">
        <v>1</v>
      </c>
      <c r="W190" t="s">
        <v>9</v>
      </c>
      <c r="X190" t="s">
        <v>9</v>
      </c>
      <c r="Y190" t="s">
        <v>9</v>
      </c>
      <c r="Z190" t="s">
        <v>9</v>
      </c>
      <c r="AA190" t="s">
        <v>9</v>
      </c>
      <c r="AB190">
        <v>0</v>
      </c>
      <c r="AC190">
        <v>0</v>
      </c>
      <c r="AD190">
        <v>0</v>
      </c>
      <c r="AE190">
        <v>0</v>
      </c>
      <c r="AF190">
        <v>0</v>
      </c>
      <c r="AG190">
        <v>0</v>
      </c>
      <c r="AH190">
        <v>0</v>
      </c>
      <c r="AI190">
        <v>0</v>
      </c>
      <c r="AL190">
        <v>0</v>
      </c>
      <c r="AM190" t="s">
        <v>1225</v>
      </c>
    </row>
    <row r="191" spans="1:48" customFormat="1">
      <c r="A191" s="1">
        <v>181</v>
      </c>
      <c r="B191" t="s">
        <v>1223</v>
      </c>
      <c r="C191" t="s">
        <v>1</v>
      </c>
      <c r="D191" t="str">
        <f t="shared" si="18"/>
        <v>-</v>
      </c>
      <c r="E191" t="s">
        <v>9</v>
      </c>
      <c r="F191" t="str">
        <f t="shared" si="15"/>
        <v/>
      </c>
      <c r="G191" t="str">
        <f t="shared" si="16"/>
        <v>n</v>
      </c>
      <c r="H191" t="str">
        <f t="shared" si="13"/>
        <v>None</v>
      </c>
      <c r="I191" t="s">
        <v>283</v>
      </c>
      <c r="J191" t="s">
        <v>925</v>
      </c>
      <c r="M191">
        <v>56198.6</v>
      </c>
      <c r="N191">
        <v>0.23300000000000001</v>
      </c>
      <c r="O191">
        <v>582.9</v>
      </c>
      <c r="P191" t="s">
        <v>1224</v>
      </c>
      <c r="Q191">
        <v>-0.42599999999999999</v>
      </c>
      <c r="R191">
        <v>81350</v>
      </c>
      <c r="S191">
        <v>54</v>
      </c>
      <c r="T191" t="s">
        <v>88</v>
      </c>
      <c r="U191" t="s">
        <v>73</v>
      </c>
      <c r="V191" t="s">
        <v>1</v>
      </c>
      <c r="W191" t="s">
        <v>9</v>
      </c>
      <c r="X191" t="s">
        <v>9</v>
      </c>
      <c r="Y191" t="s">
        <v>9</v>
      </c>
      <c r="Z191" t="s">
        <v>9</v>
      </c>
      <c r="AA191" t="s">
        <v>9</v>
      </c>
      <c r="AB191">
        <v>0</v>
      </c>
      <c r="AC191">
        <v>0</v>
      </c>
      <c r="AD191">
        <v>0</v>
      </c>
      <c r="AE191">
        <v>0</v>
      </c>
      <c r="AF191">
        <v>0</v>
      </c>
      <c r="AG191">
        <v>0</v>
      </c>
      <c r="AH191">
        <v>0</v>
      </c>
      <c r="AI191">
        <v>0</v>
      </c>
      <c r="AL191">
        <v>0</v>
      </c>
      <c r="AM191" t="s">
        <v>1223</v>
      </c>
    </row>
    <row r="192" spans="1:48" customFormat="1">
      <c r="A192" s="1">
        <v>182</v>
      </c>
      <c r="B192" t="s">
        <v>1221</v>
      </c>
      <c r="C192" t="s">
        <v>1</v>
      </c>
      <c r="D192" t="str">
        <f t="shared" si="18"/>
        <v>-</v>
      </c>
      <c r="E192" t="s">
        <v>9</v>
      </c>
      <c r="F192" t="str">
        <f t="shared" si="15"/>
        <v/>
      </c>
      <c r="G192" t="str">
        <f t="shared" si="16"/>
        <v>n</v>
      </c>
      <c r="H192" t="str">
        <f t="shared" si="13"/>
        <v>None</v>
      </c>
      <c r="I192" t="s">
        <v>119</v>
      </c>
      <c r="J192" t="s">
        <v>215</v>
      </c>
      <c r="M192">
        <v>56147.199999999997</v>
      </c>
      <c r="N192">
        <v>0.48699999999999999</v>
      </c>
      <c r="O192">
        <v>13094.4</v>
      </c>
      <c r="P192" t="s">
        <v>1222</v>
      </c>
      <c r="Q192">
        <v>0.35399999999999998</v>
      </c>
      <c r="R192">
        <v>101958</v>
      </c>
      <c r="S192">
        <v>118</v>
      </c>
      <c r="T192" t="s">
        <v>88</v>
      </c>
      <c r="U192" t="s">
        <v>73</v>
      </c>
      <c r="V192" t="s">
        <v>1</v>
      </c>
      <c r="W192" t="s">
        <v>9</v>
      </c>
      <c r="X192" t="s">
        <v>9</v>
      </c>
      <c r="Y192" t="s">
        <v>9</v>
      </c>
      <c r="Z192" t="s">
        <v>9</v>
      </c>
      <c r="AA192" t="s">
        <v>9</v>
      </c>
      <c r="AB192">
        <v>0</v>
      </c>
      <c r="AC192">
        <v>0</v>
      </c>
      <c r="AD192">
        <v>0</v>
      </c>
      <c r="AE192">
        <v>0</v>
      </c>
      <c r="AF192">
        <v>0</v>
      </c>
      <c r="AG192">
        <v>0</v>
      </c>
      <c r="AH192">
        <v>0</v>
      </c>
      <c r="AI192">
        <v>0</v>
      </c>
      <c r="AL192">
        <v>0</v>
      </c>
      <c r="AM192" t="s">
        <v>1221</v>
      </c>
    </row>
    <row r="193" spans="1:47" customFormat="1">
      <c r="A193" s="1">
        <v>183</v>
      </c>
      <c r="B193" t="s">
        <v>1219</v>
      </c>
      <c r="C193" t="s">
        <v>1</v>
      </c>
      <c r="D193" t="str">
        <f t="shared" si="18"/>
        <v>-</v>
      </c>
      <c r="E193" t="s">
        <v>9</v>
      </c>
      <c r="F193" t="str">
        <f t="shared" si="15"/>
        <v/>
      </c>
      <c r="G193" t="str">
        <f t="shared" si="16"/>
        <v>n</v>
      </c>
      <c r="H193" t="str">
        <f t="shared" si="13"/>
        <v>None</v>
      </c>
      <c r="I193" t="s">
        <v>71</v>
      </c>
      <c r="J193" t="s">
        <v>789</v>
      </c>
      <c r="M193">
        <v>56016.7</v>
      </c>
      <c r="N193">
        <v>0.17100000000000001</v>
      </c>
      <c r="O193">
        <v>465</v>
      </c>
      <c r="P193" t="s">
        <v>1220</v>
      </c>
      <c r="Q193">
        <v>-0.78800000000000003</v>
      </c>
      <c r="R193">
        <v>58441</v>
      </c>
      <c r="S193">
        <v>31</v>
      </c>
      <c r="T193" t="s">
        <v>88</v>
      </c>
      <c r="U193" t="s">
        <v>146</v>
      </c>
      <c r="V193" t="s">
        <v>1</v>
      </c>
      <c r="W193" t="s">
        <v>9</v>
      </c>
      <c r="X193" t="s">
        <v>9</v>
      </c>
      <c r="Y193" t="s">
        <v>9</v>
      </c>
      <c r="Z193" t="s">
        <v>9</v>
      </c>
      <c r="AA193" t="s">
        <v>9</v>
      </c>
      <c r="AB193">
        <v>0</v>
      </c>
      <c r="AC193">
        <v>0</v>
      </c>
      <c r="AD193">
        <v>0</v>
      </c>
      <c r="AE193">
        <v>0</v>
      </c>
      <c r="AF193">
        <v>0</v>
      </c>
      <c r="AG193">
        <v>0</v>
      </c>
      <c r="AH193">
        <v>0</v>
      </c>
      <c r="AI193">
        <v>0</v>
      </c>
      <c r="AL193">
        <v>0</v>
      </c>
      <c r="AM193" t="s">
        <v>1219</v>
      </c>
    </row>
    <row r="194" spans="1:47" customFormat="1">
      <c r="A194" s="1">
        <v>184</v>
      </c>
      <c r="B194" t="s">
        <v>1214</v>
      </c>
      <c r="C194" t="s">
        <v>1</v>
      </c>
      <c r="D194">
        <f>IF(G194="n","",MIN(X194,AI194,AN194))</f>
        <v>2016</v>
      </c>
      <c r="F194">
        <f t="shared" si="15"/>
        <v>2016</v>
      </c>
      <c r="G194" t="str">
        <f t="shared" si="16"/>
        <v>y</v>
      </c>
      <c r="H194" t="str">
        <f t="shared" ref="H194:H257" si="19">IF((OR(V194="Carbon Neutral",V194="No - but have a post-2030 commitment")),           IF((OR(AG194="Committed",AG194="Targets Set")),                    IF(AN194&gt;1, "CN, SBT &amp; RE100", "CN &amp; SBT"),                   IF(AN194&gt;1, "CN &amp; RE100", "CN")      ),                                                                                             IF((OR(AG194="Committed",AG194="Targets Set")),                IF(AN194&gt;1, "SBT &amp; RE100", " SBT"),                                 IF(AN194&gt;1, "RE100", "None")           )                         )</f>
        <v>RE100</v>
      </c>
      <c r="I194" t="s">
        <v>186</v>
      </c>
      <c r="J194" t="s">
        <v>215</v>
      </c>
      <c r="M194">
        <v>55838</v>
      </c>
      <c r="N194">
        <v>0.374</v>
      </c>
      <c r="O194">
        <v>22112</v>
      </c>
      <c r="P194" t="s">
        <v>1218</v>
      </c>
      <c r="Q194">
        <v>0.38800000000000001</v>
      </c>
      <c r="R194">
        <v>35587</v>
      </c>
      <c r="S194">
        <v>90</v>
      </c>
      <c r="T194" t="s">
        <v>88</v>
      </c>
      <c r="U194" t="s">
        <v>127</v>
      </c>
      <c r="V194" t="s">
        <v>1</v>
      </c>
      <c r="W194" t="s">
        <v>1217</v>
      </c>
      <c r="X194" t="s">
        <v>9</v>
      </c>
      <c r="Y194">
        <v>2018</v>
      </c>
      <c r="Z194" t="s">
        <v>9</v>
      </c>
      <c r="AA194">
        <v>2020</v>
      </c>
      <c r="AB194">
        <v>0</v>
      </c>
      <c r="AC194">
        <v>0</v>
      </c>
      <c r="AD194" t="s">
        <v>1216</v>
      </c>
      <c r="AE194" t="s">
        <v>1215</v>
      </c>
      <c r="AF194">
        <v>0</v>
      </c>
      <c r="AG194">
        <v>0</v>
      </c>
      <c r="AH194">
        <v>0</v>
      </c>
      <c r="AL194">
        <v>0</v>
      </c>
      <c r="AM194" t="s">
        <v>1214</v>
      </c>
      <c r="AN194">
        <v>2016</v>
      </c>
      <c r="AO194">
        <v>2020</v>
      </c>
      <c r="AP194" t="s">
        <v>1213</v>
      </c>
      <c r="AQ194">
        <v>0.43</v>
      </c>
      <c r="AR194">
        <v>0.43</v>
      </c>
      <c r="AS194">
        <v>0.35</v>
      </c>
      <c r="AT194" t="s">
        <v>13</v>
      </c>
      <c r="AU194" t="s">
        <v>12</v>
      </c>
    </row>
    <row r="195" spans="1:47" customFormat="1">
      <c r="A195" s="1">
        <v>185</v>
      </c>
      <c r="B195" t="s">
        <v>1208</v>
      </c>
      <c r="C195" t="s">
        <v>1</v>
      </c>
      <c r="D195">
        <f>IF(G195="n","",MIN(X195,AI195,AN195))</f>
        <v>2019</v>
      </c>
      <c r="F195">
        <f t="shared" si="15"/>
        <v>2019</v>
      </c>
      <c r="G195" t="str">
        <f t="shared" si="16"/>
        <v>y</v>
      </c>
      <c r="H195" t="str">
        <f t="shared" si="19"/>
        <v>CN</v>
      </c>
      <c r="I195" t="s">
        <v>186</v>
      </c>
      <c r="J195" t="s">
        <v>282</v>
      </c>
      <c r="M195">
        <v>55757.4</v>
      </c>
      <c r="N195">
        <v>2.7E-2</v>
      </c>
      <c r="O195">
        <v>1127.2</v>
      </c>
      <c r="P195" t="s">
        <v>1212</v>
      </c>
      <c r="Q195">
        <v>-0.26200000000000001</v>
      </c>
      <c r="R195">
        <v>72600</v>
      </c>
      <c r="S195">
        <v>-7</v>
      </c>
      <c r="T195" t="s">
        <v>88</v>
      </c>
      <c r="U195" t="s">
        <v>114</v>
      </c>
      <c r="V195" t="s">
        <v>32</v>
      </c>
      <c r="W195" t="s">
        <v>9</v>
      </c>
      <c r="X195">
        <v>2019</v>
      </c>
      <c r="Y195" t="s">
        <v>9</v>
      </c>
      <c r="Z195" t="s">
        <v>9</v>
      </c>
      <c r="AA195">
        <v>2030</v>
      </c>
      <c r="AB195" t="s">
        <v>1211</v>
      </c>
      <c r="AC195">
        <v>0</v>
      </c>
      <c r="AD195" t="s">
        <v>1210</v>
      </c>
      <c r="AE195" t="s">
        <v>1209</v>
      </c>
      <c r="AF195">
        <v>0</v>
      </c>
      <c r="AG195">
        <v>0</v>
      </c>
      <c r="AH195">
        <v>0</v>
      </c>
      <c r="AL195">
        <v>0</v>
      </c>
      <c r="AM195" t="s">
        <v>1208</v>
      </c>
    </row>
    <row r="196" spans="1:47" customFormat="1">
      <c r="A196" s="1">
        <v>186</v>
      </c>
      <c r="B196" t="s">
        <v>1207</v>
      </c>
      <c r="C196" t="s">
        <v>1</v>
      </c>
      <c r="D196" t="str">
        <f t="shared" ref="D196:D201" si="20">IF(G196="n","-",MIN(X196,AI196,AN196))</f>
        <v>-</v>
      </c>
      <c r="E196" t="s">
        <v>9</v>
      </c>
      <c r="F196" t="str">
        <f t="shared" si="15"/>
        <v/>
      </c>
      <c r="G196" t="str">
        <f t="shared" si="16"/>
        <v>n</v>
      </c>
      <c r="H196" t="str">
        <f t="shared" si="19"/>
        <v>None</v>
      </c>
      <c r="I196" t="s">
        <v>85</v>
      </c>
      <c r="J196" t="s">
        <v>84</v>
      </c>
      <c r="M196">
        <v>55720.2</v>
      </c>
      <c r="N196">
        <v>8.1000000000000003E-2</v>
      </c>
      <c r="O196">
        <v>2265.3000000000002</v>
      </c>
      <c r="P196" t="s">
        <v>1206</v>
      </c>
      <c r="Q196">
        <v>0.38800000000000001</v>
      </c>
      <c r="R196">
        <v>115878</v>
      </c>
      <c r="S196">
        <v>12</v>
      </c>
      <c r="T196" t="s">
        <v>88</v>
      </c>
      <c r="U196" t="s">
        <v>207</v>
      </c>
      <c r="V196" t="s">
        <v>1</v>
      </c>
      <c r="W196" t="s">
        <v>9</v>
      </c>
      <c r="X196" t="s">
        <v>9</v>
      </c>
      <c r="Y196" t="s">
        <v>9</v>
      </c>
      <c r="Z196" t="s">
        <v>9</v>
      </c>
      <c r="AA196" t="s">
        <v>9</v>
      </c>
      <c r="AB196">
        <v>0</v>
      </c>
      <c r="AC196">
        <v>0</v>
      </c>
      <c r="AD196">
        <v>0</v>
      </c>
      <c r="AE196">
        <v>0</v>
      </c>
      <c r="AF196">
        <v>0</v>
      </c>
      <c r="AG196">
        <v>0</v>
      </c>
      <c r="AH196">
        <v>0</v>
      </c>
      <c r="AI196">
        <v>0</v>
      </c>
      <c r="AL196">
        <v>0</v>
      </c>
      <c r="AM196" t="s">
        <v>1205</v>
      </c>
    </row>
    <row r="197" spans="1:47" customFormat="1">
      <c r="A197" s="1">
        <v>187</v>
      </c>
      <c r="B197" t="s">
        <v>1203</v>
      </c>
      <c r="C197" t="s">
        <v>1</v>
      </c>
      <c r="D197" t="str">
        <f t="shared" si="20"/>
        <v>-</v>
      </c>
      <c r="E197" t="s">
        <v>9</v>
      </c>
      <c r="F197" t="str">
        <f t="shared" si="15"/>
        <v/>
      </c>
      <c r="G197" t="str">
        <f t="shared" si="16"/>
        <v>n</v>
      </c>
      <c r="H197" t="str">
        <f t="shared" si="19"/>
        <v>None</v>
      </c>
      <c r="I197" t="s">
        <v>149</v>
      </c>
      <c r="J197" t="s">
        <v>149</v>
      </c>
      <c r="M197">
        <v>55262.6</v>
      </c>
      <c r="N197">
        <v>0.123</v>
      </c>
      <c r="O197">
        <v>3037.8</v>
      </c>
      <c r="P197" t="s">
        <v>1204</v>
      </c>
      <c r="Q197">
        <v>0.20300000000000001</v>
      </c>
      <c r="R197">
        <v>141914</v>
      </c>
      <c r="S197">
        <v>21</v>
      </c>
      <c r="T197" t="s">
        <v>88</v>
      </c>
      <c r="U197" t="s">
        <v>63</v>
      </c>
      <c r="V197" t="s">
        <v>1</v>
      </c>
      <c r="W197" t="s">
        <v>9</v>
      </c>
      <c r="X197" t="s">
        <v>9</v>
      </c>
      <c r="Y197" t="s">
        <v>9</v>
      </c>
      <c r="Z197" t="s">
        <v>9</v>
      </c>
      <c r="AA197" t="s">
        <v>9</v>
      </c>
      <c r="AB197">
        <v>0</v>
      </c>
      <c r="AC197">
        <v>0</v>
      </c>
      <c r="AD197">
        <v>0</v>
      </c>
      <c r="AE197">
        <v>0</v>
      </c>
      <c r="AF197">
        <v>0</v>
      </c>
      <c r="AG197">
        <v>0</v>
      </c>
      <c r="AH197">
        <v>0</v>
      </c>
      <c r="AI197">
        <v>0</v>
      </c>
      <c r="AL197">
        <v>0</v>
      </c>
      <c r="AM197" t="s">
        <v>1203</v>
      </c>
    </row>
    <row r="198" spans="1:47" customFormat="1">
      <c r="A198" s="1">
        <v>188</v>
      </c>
      <c r="B198" t="s">
        <v>1201</v>
      </c>
      <c r="C198" t="s">
        <v>1</v>
      </c>
      <c r="D198" t="str">
        <f t="shared" si="20"/>
        <v>-</v>
      </c>
      <c r="E198" t="s">
        <v>9</v>
      </c>
      <c r="F198" t="str">
        <f t="shared" si="15"/>
        <v/>
      </c>
      <c r="G198" t="str">
        <f t="shared" si="16"/>
        <v>n</v>
      </c>
      <c r="H198" t="str">
        <f t="shared" si="19"/>
        <v>None</v>
      </c>
      <c r="I198" t="s">
        <v>76</v>
      </c>
      <c r="J198" t="s">
        <v>80</v>
      </c>
      <c r="M198">
        <v>55063.5</v>
      </c>
      <c r="N198">
        <v>0.152</v>
      </c>
      <c r="O198">
        <v>12179</v>
      </c>
      <c r="P198" t="s">
        <v>1202</v>
      </c>
      <c r="Q198">
        <v>0.17299999999999999</v>
      </c>
      <c r="R198">
        <v>74590</v>
      </c>
      <c r="S198">
        <v>25</v>
      </c>
      <c r="T198" t="s">
        <v>88</v>
      </c>
      <c r="U198" t="s">
        <v>73</v>
      </c>
      <c r="V198" t="s">
        <v>1</v>
      </c>
      <c r="W198" t="s">
        <v>9</v>
      </c>
      <c r="X198" t="s">
        <v>9</v>
      </c>
      <c r="Y198" t="s">
        <v>9</v>
      </c>
      <c r="Z198" t="s">
        <v>9</v>
      </c>
      <c r="AA198" t="s">
        <v>9</v>
      </c>
      <c r="AB198">
        <v>0</v>
      </c>
      <c r="AC198">
        <v>0</v>
      </c>
      <c r="AD198">
        <v>0</v>
      </c>
      <c r="AE198">
        <v>0</v>
      </c>
      <c r="AF198">
        <v>0</v>
      </c>
      <c r="AG198">
        <v>0</v>
      </c>
      <c r="AH198">
        <v>0</v>
      </c>
      <c r="AI198">
        <v>0</v>
      </c>
      <c r="AL198">
        <v>0</v>
      </c>
      <c r="AM198" t="s">
        <v>1201</v>
      </c>
    </row>
    <row r="199" spans="1:47" customFormat="1">
      <c r="A199" s="1">
        <v>189</v>
      </c>
      <c r="B199" t="s">
        <v>1199</v>
      </c>
      <c r="C199" t="s">
        <v>1</v>
      </c>
      <c r="D199" t="str">
        <f t="shared" si="20"/>
        <v>-</v>
      </c>
      <c r="E199" t="s">
        <v>9</v>
      </c>
      <c r="F199" t="str">
        <f t="shared" si="15"/>
        <v/>
      </c>
      <c r="G199" t="str">
        <f t="shared" si="16"/>
        <v>n</v>
      </c>
      <c r="H199" t="str">
        <f t="shared" si="19"/>
        <v>None</v>
      </c>
      <c r="I199" t="s">
        <v>171</v>
      </c>
      <c r="J199" t="s">
        <v>171</v>
      </c>
      <c r="M199">
        <v>55037.2</v>
      </c>
      <c r="N199">
        <v>9.4E-2</v>
      </c>
      <c r="O199">
        <v>885.5</v>
      </c>
      <c r="P199" t="s">
        <v>1200</v>
      </c>
      <c r="Q199">
        <v>-0.105</v>
      </c>
      <c r="R199">
        <v>113474</v>
      </c>
      <c r="S199">
        <v>13</v>
      </c>
      <c r="T199" t="s">
        <v>88</v>
      </c>
      <c r="U199" t="s">
        <v>73</v>
      </c>
      <c r="V199" t="s">
        <v>1</v>
      </c>
      <c r="W199" t="s">
        <v>9</v>
      </c>
      <c r="X199" t="s">
        <v>9</v>
      </c>
      <c r="Y199" t="s">
        <v>9</v>
      </c>
      <c r="Z199" t="s">
        <v>9</v>
      </c>
      <c r="AA199" t="s">
        <v>9</v>
      </c>
      <c r="AB199">
        <v>0</v>
      </c>
      <c r="AC199">
        <v>0</v>
      </c>
      <c r="AD199">
        <v>0</v>
      </c>
      <c r="AE199">
        <v>0</v>
      </c>
      <c r="AF199">
        <v>0</v>
      </c>
      <c r="AG199">
        <v>0</v>
      </c>
      <c r="AH199">
        <v>0</v>
      </c>
      <c r="AI199">
        <v>0</v>
      </c>
      <c r="AL199">
        <v>0</v>
      </c>
      <c r="AM199" t="s">
        <v>1199</v>
      </c>
    </row>
    <row r="200" spans="1:47" customFormat="1">
      <c r="A200" s="1">
        <v>190</v>
      </c>
      <c r="B200" t="s">
        <v>1197</v>
      </c>
      <c r="C200" t="s">
        <v>1</v>
      </c>
      <c r="D200" t="str">
        <f t="shared" si="20"/>
        <v>-</v>
      </c>
      <c r="E200" t="s">
        <v>9</v>
      </c>
      <c r="F200" t="str">
        <f t="shared" si="15"/>
        <v/>
      </c>
      <c r="G200" t="str">
        <f t="shared" si="16"/>
        <v>n</v>
      </c>
      <c r="H200" t="str">
        <f t="shared" si="19"/>
        <v>None</v>
      </c>
      <c r="I200" t="s">
        <v>283</v>
      </c>
      <c r="J200" t="s">
        <v>729</v>
      </c>
      <c r="M200">
        <v>54722</v>
      </c>
      <c r="N200">
        <v>0.20399999999999999</v>
      </c>
      <c r="O200">
        <v>6147</v>
      </c>
      <c r="P200" t="s">
        <v>1198</v>
      </c>
      <c r="Q200">
        <v>7.1529999999999996</v>
      </c>
      <c r="R200">
        <v>104000</v>
      </c>
      <c r="S200">
        <v>48</v>
      </c>
      <c r="T200" t="s">
        <v>88</v>
      </c>
      <c r="U200" t="s">
        <v>127</v>
      </c>
      <c r="V200" t="s">
        <v>1</v>
      </c>
      <c r="W200" t="s">
        <v>9</v>
      </c>
      <c r="X200" t="s">
        <v>9</v>
      </c>
      <c r="Y200" t="s">
        <v>9</v>
      </c>
      <c r="Z200" t="s">
        <v>9</v>
      </c>
      <c r="AA200" t="s">
        <v>9</v>
      </c>
      <c r="AB200">
        <v>0</v>
      </c>
      <c r="AC200">
        <v>0</v>
      </c>
      <c r="AD200">
        <v>0</v>
      </c>
      <c r="AE200">
        <v>0</v>
      </c>
      <c r="AF200">
        <v>0</v>
      </c>
      <c r="AG200">
        <v>0</v>
      </c>
      <c r="AH200">
        <v>0</v>
      </c>
      <c r="AI200">
        <v>0</v>
      </c>
      <c r="AL200">
        <v>0</v>
      </c>
      <c r="AM200" t="s">
        <v>1197</v>
      </c>
    </row>
    <row r="201" spans="1:47" customFormat="1">
      <c r="A201" s="1">
        <v>191</v>
      </c>
      <c r="B201" t="s">
        <v>1194</v>
      </c>
      <c r="C201" t="s">
        <v>1</v>
      </c>
      <c r="D201" t="str">
        <f t="shared" si="20"/>
        <v>-</v>
      </c>
      <c r="E201" t="s">
        <v>9</v>
      </c>
      <c r="F201" t="str">
        <f t="shared" si="15"/>
        <v/>
      </c>
      <c r="G201" t="str">
        <f t="shared" si="16"/>
        <v>n</v>
      </c>
      <c r="H201" t="str">
        <f t="shared" si="19"/>
        <v>None</v>
      </c>
      <c r="I201" t="s">
        <v>76</v>
      </c>
      <c r="J201" t="s">
        <v>1196</v>
      </c>
      <c r="M201">
        <v>54662.5</v>
      </c>
      <c r="N201">
        <v>-0.17499999999999999</v>
      </c>
      <c r="O201">
        <v>6814.8</v>
      </c>
      <c r="P201" t="s">
        <v>1195</v>
      </c>
      <c r="Q201">
        <v>-0.09</v>
      </c>
      <c r="R201">
        <v>100335</v>
      </c>
      <c r="S201">
        <v>-58</v>
      </c>
      <c r="T201" t="s">
        <v>88</v>
      </c>
      <c r="U201" t="s">
        <v>68</v>
      </c>
      <c r="V201" t="s">
        <v>1</v>
      </c>
      <c r="W201" t="s">
        <v>9</v>
      </c>
      <c r="X201" t="s">
        <v>9</v>
      </c>
      <c r="Y201" t="s">
        <v>9</v>
      </c>
      <c r="Z201" t="s">
        <v>9</v>
      </c>
      <c r="AA201" t="s">
        <v>9</v>
      </c>
      <c r="AB201">
        <v>0</v>
      </c>
      <c r="AC201">
        <v>0</v>
      </c>
      <c r="AD201">
        <v>0</v>
      </c>
      <c r="AE201">
        <v>0</v>
      </c>
      <c r="AF201">
        <v>0</v>
      </c>
      <c r="AG201">
        <v>0</v>
      </c>
      <c r="AH201">
        <v>0</v>
      </c>
      <c r="AI201">
        <v>0</v>
      </c>
      <c r="AL201">
        <v>0</v>
      </c>
      <c r="AM201" t="s">
        <v>1194</v>
      </c>
    </row>
    <row r="202" spans="1:47" customFormat="1">
      <c r="A202" s="1">
        <v>192</v>
      </c>
      <c r="B202" t="s">
        <v>1188</v>
      </c>
      <c r="C202" t="s">
        <v>1</v>
      </c>
      <c r="D202">
        <f>IF(G202="n","",MIN(X202,AI202,AN202))</f>
        <v>2017</v>
      </c>
      <c r="F202">
        <f t="shared" si="15"/>
        <v>2017</v>
      </c>
      <c r="G202" t="str">
        <f t="shared" si="16"/>
        <v>y</v>
      </c>
      <c r="H202" t="str">
        <f t="shared" si="19"/>
        <v>SBT &amp; RE100</v>
      </c>
      <c r="I202" t="s">
        <v>124</v>
      </c>
      <c r="J202" t="s">
        <v>123</v>
      </c>
      <c r="M202">
        <v>54619</v>
      </c>
      <c r="N202">
        <v>-3.2000000000000001E-2</v>
      </c>
      <c r="O202">
        <v>4368</v>
      </c>
      <c r="P202" t="s">
        <v>1193</v>
      </c>
      <c r="Q202">
        <v>-0.45400000000000001</v>
      </c>
      <c r="R202">
        <v>172603</v>
      </c>
      <c r="S202">
        <v>-22</v>
      </c>
      <c r="T202" t="s">
        <v>88</v>
      </c>
      <c r="U202" t="s">
        <v>1192</v>
      </c>
      <c r="V202" t="s">
        <v>1</v>
      </c>
      <c r="W202" t="s">
        <v>895</v>
      </c>
      <c r="X202" t="s">
        <v>9</v>
      </c>
      <c r="Y202">
        <v>2017</v>
      </c>
      <c r="Z202" t="s">
        <v>9</v>
      </c>
      <c r="AA202">
        <v>2025</v>
      </c>
      <c r="AB202" t="s">
        <v>1191</v>
      </c>
      <c r="AC202">
        <v>0</v>
      </c>
      <c r="AD202">
        <v>0</v>
      </c>
      <c r="AE202" t="s">
        <v>1190</v>
      </c>
      <c r="AF202" t="s">
        <v>23</v>
      </c>
      <c r="AG202" t="s">
        <v>22</v>
      </c>
      <c r="AH202" t="s">
        <v>881</v>
      </c>
      <c r="AI202">
        <v>2018</v>
      </c>
      <c r="AJ202">
        <v>2025</v>
      </c>
      <c r="AK202" t="s">
        <v>361</v>
      </c>
      <c r="AL202" t="s">
        <v>1189</v>
      </c>
      <c r="AM202" t="s">
        <v>1188</v>
      </c>
      <c r="AN202">
        <v>2017</v>
      </c>
      <c r="AO202">
        <v>2025</v>
      </c>
      <c r="AP202" t="s">
        <v>13</v>
      </c>
      <c r="AQ202">
        <v>0.05</v>
      </c>
      <c r="AR202">
        <v>0.05</v>
      </c>
      <c r="AS202" t="s">
        <v>13</v>
      </c>
      <c r="AT202" t="s">
        <v>13</v>
      </c>
      <c r="AU202" t="s">
        <v>427</v>
      </c>
    </row>
    <row r="203" spans="1:47" customFormat="1">
      <c r="A203" s="1">
        <v>193</v>
      </c>
      <c r="B203" t="s">
        <v>1186</v>
      </c>
      <c r="C203" t="s">
        <v>1</v>
      </c>
      <c r="D203" t="str">
        <f>IF(G203="n","-",MIN(X203,AI203,AN203))</f>
        <v>-</v>
      </c>
      <c r="E203" t="s">
        <v>9</v>
      </c>
      <c r="F203" t="str">
        <f t="shared" si="15"/>
        <v/>
      </c>
      <c r="G203" t="str">
        <f t="shared" si="16"/>
        <v>n</v>
      </c>
      <c r="H203" t="str">
        <f t="shared" si="19"/>
        <v>None</v>
      </c>
      <c r="I203" t="s">
        <v>71</v>
      </c>
      <c r="J203" t="s">
        <v>265</v>
      </c>
      <c r="M203">
        <v>54567.9</v>
      </c>
      <c r="N203">
        <v>0.04</v>
      </c>
      <c r="O203">
        <v>-1194.9000000000001</v>
      </c>
      <c r="P203" t="s">
        <v>1187</v>
      </c>
      <c r="Q203">
        <v>-2.04</v>
      </c>
      <c r="R203">
        <v>46377</v>
      </c>
      <c r="S203">
        <v>-5</v>
      </c>
      <c r="T203" t="s">
        <v>88</v>
      </c>
      <c r="U203" t="s">
        <v>114</v>
      </c>
      <c r="V203" t="s">
        <v>1</v>
      </c>
      <c r="W203" t="s">
        <v>9</v>
      </c>
      <c r="X203" t="s">
        <v>9</v>
      </c>
      <c r="Y203" t="s">
        <v>9</v>
      </c>
      <c r="Z203" t="s">
        <v>9</v>
      </c>
      <c r="AA203" t="s">
        <v>9</v>
      </c>
      <c r="AB203">
        <v>0</v>
      </c>
      <c r="AC203">
        <v>0</v>
      </c>
      <c r="AD203">
        <v>0</v>
      </c>
      <c r="AE203">
        <v>0</v>
      </c>
      <c r="AF203">
        <v>0</v>
      </c>
      <c r="AG203">
        <v>0</v>
      </c>
      <c r="AH203">
        <v>0</v>
      </c>
      <c r="AI203">
        <v>0</v>
      </c>
      <c r="AL203">
        <v>0</v>
      </c>
      <c r="AM203" t="s">
        <v>1186</v>
      </c>
    </row>
    <row r="204" spans="1:47" customFormat="1">
      <c r="A204" s="1">
        <v>194</v>
      </c>
      <c r="B204" t="s">
        <v>1185</v>
      </c>
      <c r="C204" t="s">
        <v>1</v>
      </c>
      <c r="D204" t="str">
        <f>IF(G204="n","-",MIN(X204,AI204,AN204))</f>
        <v>-</v>
      </c>
      <c r="E204" t="s">
        <v>9</v>
      </c>
      <c r="F204" t="str">
        <f t="shared" si="15"/>
        <v/>
      </c>
      <c r="G204" t="str">
        <f t="shared" si="16"/>
        <v>n</v>
      </c>
      <c r="H204" t="str">
        <f t="shared" si="19"/>
        <v>None</v>
      </c>
      <c r="I204" t="s">
        <v>71</v>
      </c>
      <c r="J204" t="s">
        <v>70</v>
      </c>
      <c r="M204">
        <v>54436</v>
      </c>
      <c r="N204">
        <v>0.14599999999999999</v>
      </c>
      <c r="O204">
        <v>1694</v>
      </c>
      <c r="P204" t="s">
        <v>1184</v>
      </c>
      <c r="Q204">
        <v>0.77600000000000002</v>
      </c>
      <c r="R204">
        <v>11768</v>
      </c>
      <c r="S204">
        <v>23</v>
      </c>
      <c r="T204" t="s">
        <v>88</v>
      </c>
      <c r="U204" t="s">
        <v>127</v>
      </c>
      <c r="V204" t="s">
        <v>1</v>
      </c>
      <c r="W204" t="s">
        <v>9</v>
      </c>
      <c r="X204" t="s">
        <v>9</v>
      </c>
      <c r="Y204" t="s">
        <v>9</v>
      </c>
      <c r="Z204" t="s">
        <v>9</v>
      </c>
      <c r="AA204" t="s">
        <v>9</v>
      </c>
      <c r="AB204">
        <v>0</v>
      </c>
      <c r="AC204">
        <v>0</v>
      </c>
      <c r="AD204">
        <v>0</v>
      </c>
      <c r="AE204">
        <v>0</v>
      </c>
      <c r="AF204">
        <v>0</v>
      </c>
      <c r="AG204">
        <v>0</v>
      </c>
      <c r="AH204">
        <v>0</v>
      </c>
      <c r="AI204">
        <v>0</v>
      </c>
      <c r="AL204">
        <v>0</v>
      </c>
      <c r="AM204" t="s">
        <v>1183</v>
      </c>
    </row>
    <row r="205" spans="1:47" customFormat="1">
      <c r="A205" s="1">
        <v>195</v>
      </c>
      <c r="B205" t="s">
        <v>1181</v>
      </c>
      <c r="C205" t="s">
        <v>1</v>
      </c>
      <c r="D205" t="str">
        <f>IF(G205="n","-",MIN(X205,AI205,AN205))</f>
        <v>-</v>
      </c>
      <c r="E205" t="s">
        <v>9</v>
      </c>
      <c r="F205" t="str">
        <f t="shared" si="15"/>
        <v/>
      </c>
      <c r="G205" t="str">
        <f t="shared" si="16"/>
        <v>n</v>
      </c>
      <c r="H205" t="str">
        <f t="shared" si="19"/>
        <v>None</v>
      </c>
      <c r="I205" t="s">
        <v>342</v>
      </c>
      <c r="J205" t="s">
        <v>342</v>
      </c>
      <c r="M205">
        <v>53985.3</v>
      </c>
      <c r="N205">
        <v>4.5999999999999999E-2</v>
      </c>
      <c r="O205">
        <v>927.4</v>
      </c>
      <c r="P205" t="s">
        <v>1182</v>
      </c>
      <c r="Q205">
        <v>-0.57199999999999995</v>
      </c>
      <c r="R205">
        <v>217000</v>
      </c>
      <c r="S205" t="s">
        <v>9</v>
      </c>
      <c r="T205" t="s">
        <v>88</v>
      </c>
      <c r="U205" t="s">
        <v>161</v>
      </c>
      <c r="V205" t="s">
        <v>1</v>
      </c>
      <c r="W205" t="s">
        <v>9</v>
      </c>
      <c r="X205" t="s">
        <v>9</v>
      </c>
      <c r="Y205" t="s">
        <v>9</v>
      </c>
      <c r="Z205" t="s">
        <v>9</v>
      </c>
      <c r="AA205" t="s">
        <v>9</v>
      </c>
      <c r="AB205">
        <v>0</v>
      </c>
      <c r="AC205">
        <v>0</v>
      </c>
      <c r="AD205">
        <v>0</v>
      </c>
      <c r="AE205">
        <v>0</v>
      </c>
      <c r="AF205">
        <v>0</v>
      </c>
      <c r="AG205">
        <v>0</v>
      </c>
      <c r="AH205">
        <v>0</v>
      </c>
      <c r="AI205">
        <v>0</v>
      </c>
      <c r="AL205">
        <v>0</v>
      </c>
      <c r="AM205" t="s">
        <v>1181</v>
      </c>
    </row>
    <row r="206" spans="1:47" customFormat="1">
      <c r="A206" s="1">
        <v>196</v>
      </c>
      <c r="B206" t="s">
        <v>1180</v>
      </c>
      <c r="C206" t="s">
        <v>1</v>
      </c>
      <c r="D206" t="str">
        <f>IF(G206="n","-",MIN(X206,AI206,AN206))</f>
        <v>-</v>
      </c>
      <c r="E206" t="s">
        <v>9</v>
      </c>
      <c r="F206" t="str">
        <f t="shared" si="15"/>
        <v/>
      </c>
      <c r="G206" t="str">
        <f t="shared" si="16"/>
        <v>n</v>
      </c>
      <c r="H206" t="str">
        <f t="shared" si="19"/>
        <v>None</v>
      </c>
      <c r="I206" t="s">
        <v>461</v>
      </c>
      <c r="J206" t="s">
        <v>461</v>
      </c>
      <c r="M206">
        <v>53977.599999999999</v>
      </c>
      <c r="N206">
        <v>-1E-3</v>
      </c>
      <c r="O206">
        <v>2733</v>
      </c>
      <c r="P206" t="s">
        <v>1179</v>
      </c>
      <c r="Q206">
        <v>0.76300000000000001</v>
      </c>
      <c r="R206">
        <v>194431</v>
      </c>
      <c r="S206">
        <v>-16</v>
      </c>
      <c r="T206" t="s">
        <v>88</v>
      </c>
      <c r="U206" t="s">
        <v>121</v>
      </c>
      <c r="V206" t="s">
        <v>1</v>
      </c>
      <c r="W206" t="s">
        <v>9</v>
      </c>
      <c r="X206" t="s">
        <v>9</v>
      </c>
      <c r="Y206" t="s">
        <v>9</v>
      </c>
      <c r="Z206" t="s">
        <v>9</v>
      </c>
      <c r="AA206" t="s">
        <v>9</v>
      </c>
      <c r="AB206">
        <v>0</v>
      </c>
      <c r="AC206">
        <v>0</v>
      </c>
      <c r="AD206">
        <v>0</v>
      </c>
      <c r="AE206">
        <v>0</v>
      </c>
      <c r="AF206">
        <v>0</v>
      </c>
      <c r="AG206">
        <v>0</v>
      </c>
      <c r="AH206">
        <v>0</v>
      </c>
      <c r="AI206">
        <v>0</v>
      </c>
      <c r="AL206">
        <v>0</v>
      </c>
      <c r="AM206" t="s">
        <v>1178</v>
      </c>
    </row>
    <row r="207" spans="1:47" customFormat="1">
      <c r="A207" s="1">
        <v>197</v>
      </c>
      <c r="B207" t="s">
        <v>1176</v>
      </c>
      <c r="C207" t="s">
        <v>1</v>
      </c>
      <c r="D207" t="str">
        <f>IF(G207="n","-",MIN(X207,AI207,AN207))</f>
        <v>-</v>
      </c>
      <c r="E207" t="s">
        <v>9</v>
      </c>
      <c r="F207" t="str">
        <f t="shared" si="15"/>
        <v/>
      </c>
      <c r="G207" t="str">
        <f t="shared" si="16"/>
        <v>n</v>
      </c>
      <c r="H207" t="str">
        <f t="shared" si="19"/>
        <v>None</v>
      </c>
      <c r="I207" t="s">
        <v>101</v>
      </c>
      <c r="J207" t="s">
        <v>101</v>
      </c>
      <c r="M207">
        <v>53762</v>
      </c>
      <c r="N207">
        <v>5.2999999999999999E-2</v>
      </c>
      <c r="O207">
        <v>5046</v>
      </c>
      <c r="P207" t="s">
        <v>1177</v>
      </c>
      <c r="Q207">
        <v>1.52</v>
      </c>
      <c r="R207">
        <v>105000</v>
      </c>
      <c r="S207">
        <v>3</v>
      </c>
      <c r="T207" t="s">
        <v>88</v>
      </c>
      <c r="U207" t="s">
        <v>127</v>
      </c>
      <c r="V207" t="s">
        <v>1</v>
      </c>
      <c r="W207" t="s">
        <v>9</v>
      </c>
      <c r="X207" t="s">
        <v>9</v>
      </c>
      <c r="Y207" t="s">
        <v>9</v>
      </c>
      <c r="Z207" t="s">
        <v>9</v>
      </c>
      <c r="AA207" t="s">
        <v>9</v>
      </c>
      <c r="AB207">
        <v>0</v>
      </c>
      <c r="AC207">
        <v>0</v>
      </c>
      <c r="AD207">
        <v>0</v>
      </c>
      <c r="AE207">
        <v>0</v>
      </c>
      <c r="AF207">
        <v>0</v>
      </c>
      <c r="AG207">
        <v>0</v>
      </c>
      <c r="AH207">
        <v>0</v>
      </c>
      <c r="AI207">
        <v>0</v>
      </c>
      <c r="AL207">
        <v>0</v>
      </c>
      <c r="AM207" t="s">
        <v>1176</v>
      </c>
    </row>
    <row r="208" spans="1:47" customFormat="1">
      <c r="A208" s="1">
        <v>198</v>
      </c>
      <c r="B208" t="s">
        <v>1171</v>
      </c>
      <c r="C208" t="s">
        <v>1</v>
      </c>
      <c r="D208">
        <f>IF(G208="n","",MIN(X208,AI208,AN208))</f>
        <v>2015</v>
      </c>
      <c r="E208" t="s">
        <v>1175</v>
      </c>
      <c r="F208">
        <f t="shared" ref="F208:F271" si="21">IF(G208="n","",MIN(IF(V208="Carbon Neutral",X208,"3000"),AI208,IF(AO208&gt;2030,"3000",AN208)))</f>
        <v>2015</v>
      </c>
      <c r="G208" t="str">
        <f t="shared" ref="G208:G271" si="22">IF( V208="Carbon Neutral", "y",   IF(AI208&gt;1, "y", IF(AND(AO208&lt;=2030, AO208&gt;0),"y","n" )    )       )</f>
        <v>y</v>
      </c>
      <c r="H208" t="str">
        <f t="shared" si="19"/>
        <v xml:space="preserve"> SBT</v>
      </c>
      <c r="I208" t="s">
        <v>319</v>
      </c>
      <c r="J208" t="s">
        <v>573</v>
      </c>
      <c r="M208">
        <v>53647</v>
      </c>
      <c r="N208">
        <v>2.1000000000000001E-2</v>
      </c>
      <c r="O208">
        <v>11153</v>
      </c>
      <c r="P208" t="s">
        <v>1174</v>
      </c>
      <c r="Q208">
        <v>-0.47699999999999998</v>
      </c>
      <c r="R208">
        <v>92400</v>
      </c>
      <c r="S208">
        <v>-11</v>
      </c>
      <c r="T208" t="s">
        <v>88</v>
      </c>
      <c r="U208" t="s">
        <v>127</v>
      </c>
      <c r="V208" t="s">
        <v>1</v>
      </c>
      <c r="W208" t="s">
        <v>1021</v>
      </c>
      <c r="X208" t="s">
        <v>9</v>
      </c>
      <c r="Y208" t="s">
        <v>9</v>
      </c>
      <c r="Z208">
        <v>2012</v>
      </c>
      <c r="AA208">
        <v>2020</v>
      </c>
      <c r="AB208" t="s">
        <v>894</v>
      </c>
      <c r="AC208">
        <v>0</v>
      </c>
      <c r="AD208">
        <v>0</v>
      </c>
      <c r="AE208" t="s">
        <v>1173</v>
      </c>
      <c r="AF208" t="s">
        <v>842</v>
      </c>
      <c r="AG208" t="s">
        <v>22</v>
      </c>
      <c r="AH208" t="s">
        <v>841</v>
      </c>
      <c r="AI208">
        <v>2015</v>
      </c>
      <c r="AJ208">
        <v>2020</v>
      </c>
      <c r="AK208" t="s">
        <v>1056</v>
      </c>
      <c r="AL208" t="s">
        <v>1172</v>
      </c>
      <c r="AM208" t="s">
        <v>1171</v>
      </c>
    </row>
    <row r="209" spans="1:47" customFormat="1">
      <c r="A209" s="1">
        <v>199</v>
      </c>
      <c r="B209" t="s">
        <v>1170</v>
      </c>
      <c r="C209" t="s">
        <v>1</v>
      </c>
      <c r="D209" t="str">
        <f>IF(G209="n","-",MIN(X209,AI209,AN209))</f>
        <v>-</v>
      </c>
      <c r="E209" t="s">
        <v>9</v>
      </c>
      <c r="F209" t="str">
        <f t="shared" si="21"/>
        <v/>
      </c>
      <c r="G209" t="str">
        <f t="shared" si="22"/>
        <v>n</v>
      </c>
      <c r="H209" t="str">
        <f t="shared" si="19"/>
        <v>None</v>
      </c>
      <c r="I209" t="s">
        <v>76</v>
      </c>
      <c r="J209" t="s">
        <v>199</v>
      </c>
      <c r="M209">
        <v>53572.1</v>
      </c>
      <c r="N209">
        <v>0.13200000000000001</v>
      </c>
      <c r="O209">
        <v>2724.1</v>
      </c>
      <c r="P209" t="s">
        <v>1169</v>
      </c>
      <c r="Q209">
        <v>0.25600000000000001</v>
      </c>
      <c r="R209">
        <v>107741</v>
      </c>
      <c r="S209">
        <v>21</v>
      </c>
      <c r="T209" t="s">
        <v>88</v>
      </c>
      <c r="U209" t="s">
        <v>73</v>
      </c>
      <c r="V209" t="s">
        <v>1</v>
      </c>
      <c r="W209" t="s">
        <v>9</v>
      </c>
      <c r="X209" t="s">
        <v>9</v>
      </c>
      <c r="Y209" t="s">
        <v>9</v>
      </c>
      <c r="Z209" t="s">
        <v>9</v>
      </c>
      <c r="AA209" t="s">
        <v>9</v>
      </c>
      <c r="AB209">
        <v>0</v>
      </c>
      <c r="AC209">
        <v>0</v>
      </c>
      <c r="AD209" t="s">
        <v>1168</v>
      </c>
      <c r="AE209">
        <v>0</v>
      </c>
      <c r="AF209">
        <v>0</v>
      </c>
      <c r="AG209">
        <v>0</v>
      </c>
      <c r="AH209">
        <v>0</v>
      </c>
      <c r="AI209">
        <v>0</v>
      </c>
      <c r="AL209">
        <v>0</v>
      </c>
      <c r="AM209" t="s">
        <v>1167</v>
      </c>
    </row>
    <row r="210" spans="1:47" customFormat="1">
      <c r="A210" s="1">
        <v>200</v>
      </c>
      <c r="B210" t="s">
        <v>1161</v>
      </c>
      <c r="C210" t="s">
        <v>1</v>
      </c>
      <c r="D210" t="str">
        <f>IF(G210="n","-",MIN(X210,AI210,AN210))</f>
        <v>-</v>
      </c>
      <c r="E210" t="s">
        <v>9</v>
      </c>
      <c r="F210" t="str">
        <f t="shared" si="21"/>
        <v/>
      </c>
      <c r="G210" t="str">
        <f t="shared" si="22"/>
        <v>n</v>
      </c>
      <c r="H210" t="str">
        <f t="shared" si="19"/>
        <v>None</v>
      </c>
      <c r="I210" t="s">
        <v>71</v>
      </c>
      <c r="J210" t="s">
        <v>1166</v>
      </c>
      <c r="K210" s="7" t="s">
        <v>1165</v>
      </c>
      <c r="M210">
        <v>53176</v>
      </c>
      <c r="N210">
        <v>0.27</v>
      </c>
      <c r="O210">
        <v>2762.8</v>
      </c>
      <c r="P210" t="s">
        <v>1164</v>
      </c>
      <c r="Q210">
        <v>0.156</v>
      </c>
      <c r="R210">
        <v>22735</v>
      </c>
      <c r="S210">
        <v>62</v>
      </c>
      <c r="T210" t="s">
        <v>88</v>
      </c>
      <c r="U210" t="s">
        <v>267</v>
      </c>
      <c r="V210" t="s">
        <v>1</v>
      </c>
      <c r="W210" t="s">
        <v>1163</v>
      </c>
      <c r="X210" t="s">
        <v>9</v>
      </c>
      <c r="Y210" t="s">
        <v>9</v>
      </c>
      <c r="Z210">
        <v>2016</v>
      </c>
      <c r="AA210">
        <v>2040</v>
      </c>
      <c r="AB210">
        <v>0</v>
      </c>
      <c r="AC210">
        <v>0</v>
      </c>
      <c r="AD210">
        <v>0</v>
      </c>
      <c r="AE210" t="s">
        <v>1162</v>
      </c>
      <c r="AF210">
        <v>0</v>
      </c>
      <c r="AG210">
        <v>0</v>
      </c>
      <c r="AH210">
        <v>0</v>
      </c>
      <c r="AI210">
        <v>0</v>
      </c>
      <c r="AL210">
        <v>0</v>
      </c>
      <c r="AM210" t="s">
        <v>1161</v>
      </c>
    </row>
    <row r="211" spans="1:47" customFormat="1">
      <c r="A211" s="1">
        <v>201</v>
      </c>
      <c r="B211" t="s">
        <v>1155</v>
      </c>
      <c r="C211" t="s">
        <v>1</v>
      </c>
      <c r="D211">
        <f>IF(G211="n","",MIN(X211,AI211,AN211))</f>
        <v>2015</v>
      </c>
      <c r="E211" t="s">
        <v>369</v>
      </c>
      <c r="F211">
        <f t="shared" si="21"/>
        <v>2015</v>
      </c>
      <c r="G211" t="str">
        <f t="shared" si="22"/>
        <v>y</v>
      </c>
      <c r="H211" t="str">
        <f t="shared" si="19"/>
        <v>CN &amp; SBT</v>
      </c>
      <c r="I211" t="s">
        <v>319</v>
      </c>
      <c r="J211" t="s">
        <v>573</v>
      </c>
      <c r="K211" s="7" t="s">
        <v>1160</v>
      </c>
      <c r="M211">
        <v>53166</v>
      </c>
      <c r="N211">
        <v>0.06</v>
      </c>
      <c r="O211">
        <v>12611</v>
      </c>
      <c r="P211" t="s">
        <v>1159</v>
      </c>
      <c r="Q211">
        <v>0.63700000000000001</v>
      </c>
      <c r="R211">
        <v>125161</v>
      </c>
      <c r="S211">
        <v>2</v>
      </c>
      <c r="T211" t="s">
        <v>88</v>
      </c>
      <c r="U211" t="s">
        <v>287</v>
      </c>
      <c r="V211" t="s">
        <v>32</v>
      </c>
      <c r="W211" t="s">
        <v>9</v>
      </c>
      <c r="X211">
        <v>2018</v>
      </c>
      <c r="Y211" t="s">
        <v>9</v>
      </c>
      <c r="Z211" t="s">
        <v>9</v>
      </c>
      <c r="AA211">
        <v>2025</v>
      </c>
      <c r="AB211" t="s">
        <v>31</v>
      </c>
      <c r="AC211">
        <v>0</v>
      </c>
      <c r="AD211" t="s">
        <v>1158</v>
      </c>
      <c r="AE211" t="s">
        <v>1157</v>
      </c>
      <c r="AF211" t="s">
        <v>842</v>
      </c>
      <c r="AG211" t="s">
        <v>165</v>
      </c>
      <c r="AH211" t="s">
        <v>1156</v>
      </c>
      <c r="AI211">
        <v>2015</v>
      </c>
      <c r="AL211">
        <v>0</v>
      </c>
      <c r="AM211" t="s">
        <v>1155</v>
      </c>
    </row>
    <row r="212" spans="1:47" customFormat="1">
      <c r="A212" s="1">
        <v>202</v>
      </c>
      <c r="B212" t="s">
        <v>1153</v>
      </c>
      <c r="C212" t="s">
        <v>1</v>
      </c>
      <c r="D212" t="str">
        <f>IF(G212="n","-",MIN(X212,AI212,AN212))</f>
        <v>-</v>
      </c>
      <c r="E212" t="s">
        <v>9</v>
      </c>
      <c r="F212" t="str">
        <f t="shared" si="21"/>
        <v/>
      </c>
      <c r="G212" t="str">
        <f t="shared" si="22"/>
        <v>n</v>
      </c>
      <c r="H212" t="str">
        <f t="shared" si="19"/>
        <v>None</v>
      </c>
      <c r="I212" t="s">
        <v>76</v>
      </c>
      <c r="J212" t="s">
        <v>976</v>
      </c>
      <c r="M212">
        <v>52720.9</v>
      </c>
      <c r="N212">
        <v>0.22700000000000001</v>
      </c>
      <c r="O212">
        <v>1719.6</v>
      </c>
      <c r="P212" t="s">
        <v>1154</v>
      </c>
      <c r="Q212">
        <v>0.28599999999999998</v>
      </c>
      <c r="R212">
        <v>39091</v>
      </c>
      <c r="S212">
        <v>50</v>
      </c>
      <c r="T212" t="s">
        <v>88</v>
      </c>
      <c r="U212" t="s">
        <v>73</v>
      </c>
      <c r="V212" t="s">
        <v>1</v>
      </c>
      <c r="W212" t="s">
        <v>9</v>
      </c>
      <c r="X212" t="s">
        <v>9</v>
      </c>
      <c r="Y212" t="s">
        <v>9</v>
      </c>
      <c r="Z212" t="s">
        <v>9</v>
      </c>
      <c r="AA212" t="s">
        <v>9</v>
      </c>
      <c r="AB212">
        <v>0</v>
      </c>
      <c r="AC212">
        <v>0</v>
      </c>
      <c r="AD212">
        <v>0</v>
      </c>
      <c r="AE212">
        <v>0</v>
      </c>
      <c r="AF212">
        <v>0</v>
      </c>
      <c r="AG212">
        <v>0</v>
      </c>
      <c r="AH212">
        <v>0</v>
      </c>
      <c r="AI212">
        <v>0</v>
      </c>
      <c r="AL212">
        <v>0</v>
      </c>
      <c r="AM212" t="s">
        <v>1153</v>
      </c>
    </row>
    <row r="213" spans="1:47" customFormat="1">
      <c r="A213" s="1">
        <v>203</v>
      </c>
      <c r="B213" t="s">
        <v>1151</v>
      </c>
      <c r="C213" t="s">
        <v>1</v>
      </c>
      <c r="D213" t="str">
        <f>IF(G213="n","-",MIN(X213,AI213,AN213))</f>
        <v>-</v>
      </c>
      <c r="E213" t="s">
        <v>9</v>
      </c>
      <c r="F213" t="str">
        <f t="shared" si="21"/>
        <v/>
      </c>
      <c r="G213" t="str">
        <f t="shared" si="22"/>
        <v>n</v>
      </c>
      <c r="H213" t="str">
        <f t="shared" si="19"/>
        <v>None</v>
      </c>
      <c r="I213" t="s">
        <v>85</v>
      </c>
      <c r="J213" t="s">
        <v>289</v>
      </c>
      <c r="M213">
        <v>52610.6</v>
      </c>
      <c r="N213">
        <v>0.17699999999999999</v>
      </c>
      <c r="O213">
        <v>69.400000000000006</v>
      </c>
      <c r="P213" t="s">
        <v>1152</v>
      </c>
      <c r="Q213">
        <v>3.5630000000000002</v>
      </c>
      <c r="R213">
        <v>207958</v>
      </c>
      <c r="S213">
        <v>40</v>
      </c>
      <c r="T213" t="s">
        <v>180</v>
      </c>
      <c r="U213" t="s">
        <v>73</v>
      </c>
      <c r="V213" t="s">
        <v>1</v>
      </c>
      <c r="W213" t="s">
        <v>9</v>
      </c>
      <c r="X213" t="s">
        <v>9</v>
      </c>
      <c r="Y213" t="s">
        <v>9</v>
      </c>
      <c r="Z213" t="s">
        <v>9</v>
      </c>
      <c r="AA213" t="s">
        <v>9</v>
      </c>
      <c r="AB213">
        <v>0</v>
      </c>
      <c r="AC213">
        <v>0</v>
      </c>
      <c r="AD213">
        <v>0</v>
      </c>
      <c r="AE213">
        <v>0</v>
      </c>
      <c r="AF213">
        <v>0</v>
      </c>
      <c r="AG213">
        <v>0</v>
      </c>
      <c r="AH213">
        <v>0</v>
      </c>
      <c r="AI213">
        <v>0</v>
      </c>
      <c r="AL213">
        <v>0</v>
      </c>
      <c r="AM213" t="s">
        <v>1151</v>
      </c>
    </row>
    <row r="214" spans="1:47" customFormat="1">
      <c r="A214" s="1">
        <v>204</v>
      </c>
      <c r="B214" t="s">
        <v>1146</v>
      </c>
      <c r="C214" t="s">
        <v>1</v>
      </c>
      <c r="D214">
        <f>IF(G214="n","",MIN(X214,AI214,AN214))</f>
        <v>2015</v>
      </c>
      <c r="E214" t="s">
        <v>369</v>
      </c>
      <c r="F214">
        <f t="shared" si="21"/>
        <v>2015</v>
      </c>
      <c r="G214" t="str">
        <f t="shared" si="22"/>
        <v>y</v>
      </c>
      <c r="H214" t="str">
        <f t="shared" si="19"/>
        <v>CN &amp; RE100</v>
      </c>
      <c r="I214" t="s">
        <v>76</v>
      </c>
      <c r="J214" t="s">
        <v>80</v>
      </c>
      <c r="M214">
        <v>52528</v>
      </c>
      <c r="N214">
        <v>0.24299999999999999</v>
      </c>
      <c r="O214">
        <v>10459</v>
      </c>
      <c r="P214" t="s">
        <v>1150</v>
      </c>
      <c r="Q214">
        <v>1.44</v>
      </c>
      <c r="R214">
        <v>36600</v>
      </c>
      <c r="S214">
        <v>55</v>
      </c>
      <c r="T214" t="s">
        <v>88</v>
      </c>
      <c r="U214" t="s">
        <v>127</v>
      </c>
      <c r="V214" t="s">
        <v>32</v>
      </c>
      <c r="W214" t="s">
        <v>9</v>
      </c>
      <c r="X214">
        <v>2015</v>
      </c>
      <c r="Y214" t="s">
        <v>9</v>
      </c>
      <c r="Z214" t="s">
        <v>9</v>
      </c>
      <c r="AA214" t="s">
        <v>9</v>
      </c>
      <c r="AB214" t="s">
        <v>1149</v>
      </c>
      <c r="AC214" t="s">
        <v>13</v>
      </c>
      <c r="AD214" t="s">
        <v>1148</v>
      </c>
      <c r="AE214" t="s">
        <v>1147</v>
      </c>
      <c r="AF214" t="s">
        <v>93</v>
      </c>
      <c r="AG214">
        <v>0</v>
      </c>
      <c r="AH214">
        <v>0</v>
      </c>
      <c r="AL214">
        <v>0</v>
      </c>
      <c r="AM214" t="s">
        <v>1146</v>
      </c>
      <c r="AN214">
        <v>2015</v>
      </c>
      <c r="AO214">
        <v>2020</v>
      </c>
      <c r="AP214" t="s">
        <v>13</v>
      </c>
      <c r="AQ214">
        <v>0.95</v>
      </c>
      <c r="AR214">
        <v>0.9</v>
      </c>
      <c r="AS214">
        <v>0.86</v>
      </c>
      <c r="AT214">
        <v>0.14000000000000001</v>
      </c>
      <c r="AU214" t="s">
        <v>1145</v>
      </c>
    </row>
    <row r="215" spans="1:47" customFormat="1">
      <c r="A215" s="1">
        <v>205</v>
      </c>
      <c r="B215" t="s">
        <v>1143</v>
      </c>
      <c r="C215" t="s">
        <v>1</v>
      </c>
      <c r="D215" t="str">
        <f>IF(G215="n","-",MIN(X215,AI215,AN215))</f>
        <v>-</v>
      </c>
      <c r="E215" t="s">
        <v>9</v>
      </c>
      <c r="F215" t="str">
        <f t="shared" si="21"/>
        <v/>
      </c>
      <c r="G215" t="str">
        <f t="shared" si="22"/>
        <v>n</v>
      </c>
      <c r="H215" t="str">
        <f t="shared" si="19"/>
        <v>None</v>
      </c>
      <c r="I215" t="s">
        <v>171</v>
      </c>
      <c r="J215" t="s">
        <v>171</v>
      </c>
      <c r="M215">
        <v>52404.7</v>
      </c>
      <c r="N215">
        <v>5.6000000000000001E-2</v>
      </c>
      <c r="O215">
        <v>3419.3</v>
      </c>
      <c r="P215" t="s">
        <v>1144</v>
      </c>
      <c r="Q215">
        <v>1.6E-2</v>
      </c>
      <c r="R215">
        <v>243226</v>
      </c>
      <c r="S215">
        <v>1</v>
      </c>
      <c r="T215" t="s">
        <v>88</v>
      </c>
      <c r="U215" t="s">
        <v>146</v>
      </c>
      <c r="V215" t="s">
        <v>1</v>
      </c>
      <c r="W215" t="s">
        <v>9</v>
      </c>
      <c r="X215" t="s">
        <v>9</v>
      </c>
      <c r="Y215" t="s">
        <v>9</v>
      </c>
      <c r="Z215" t="s">
        <v>9</v>
      </c>
      <c r="AA215" t="s">
        <v>9</v>
      </c>
      <c r="AB215">
        <v>0</v>
      </c>
      <c r="AC215">
        <v>0</v>
      </c>
      <c r="AD215">
        <v>0</v>
      </c>
      <c r="AE215">
        <v>0</v>
      </c>
      <c r="AF215">
        <v>0</v>
      </c>
      <c r="AG215">
        <v>0</v>
      </c>
      <c r="AH215">
        <v>0</v>
      </c>
      <c r="AI215">
        <v>0</v>
      </c>
      <c r="AL215">
        <v>0</v>
      </c>
      <c r="AM215" t="s">
        <v>1143</v>
      </c>
    </row>
    <row r="216" spans="1:47" customFormat="1">
      <c r="A216" s="1">
        <v>206</v>
      </c>
      <c r="B216" t="s">
        <v>1141</v>
      </c>
      <c r="C216" t="s">
        <v>1</v>
      </c>
      <c r="D216" t="str">
        <f>IF(G216="n","-",MIN(X216,AI216,AN216))</f>
        <v>-</v>
      </c>
      <c r="E216" t="s">
        <v>9</v>
      </c>
      <c r="F216" t="str">
        <f t="shared" si="21"/>
        <v/>
      </c>
      <c r="G216" t="str">
        <f t="shared" si="22"/>
        <v>n</v>
      </c>
      <c r="H216" t="str">
        <f t="shared" si="19"/>
        <v>None</v>
      </c>
      <c r="I216" t="s">
        <v>135</v>
      </c>
      <c r="J216" t="s">
        <v>135</v>
      </c>
      <c r="M216">
        <v>52345.2</v>
      </c>
      <c r="N216">
        <v>0.13100000000000001</v>
      </c>
      <c r="O216">
        <v>3520.4</v>
      </c>
      <c r="P216" t="s">
        <v>1142</v>
      </c>
      <c r="Q216">
        <v>0.13700000000000001</v>
      </c>
      <c r="R216">
        <v>211233</v>
      </c>
      <c r="S216">
        <v>20</v>
      </c>
      <c r="T216" t="s">
        <v>88</v>
      </c>
      <c r="U216" t="s">
        <v>63</v>
      </c>
      <c r="V216" t="s">
        <v>1</v>
      </c>
      <c r="W216" t="s">
        <v>9</v>
      </c>
      <c r="X216" t="s">
        <v>9</v>
      </c>
      <c r="Y216" t="s">
        <v>9</v>
      </c>
      <c r="Z216" t="s">
        <v>9</v>
      </c>
      <c r="AA216" t="s">
        <v>9</v>
      </c>
      <c r="AB216">
        <v>0</v>
      </c>
      <c r="AC216">
        <v>0</v>
      </c>
      <c r="AD216">
        <v>0</v>
      </c>
      <c r="AE216">
        <v>0</v>
      </c>
      <c r="AF216">
        <v>0</v>
      </c>
      <c r="AG216">
        <v>0</v>
      </c>
      <c r="AH216">
        <v>0</v>
      </c>
      <c r="AI216">
        <v>0</v>
      </c>
      <c r="AL216">
        <v>0</v>
      </c>
      <c r="AM216" t="s">
        <v>1141</v>
      </c>
    </row>
    <row r="217" spans="1:47" customFormat="1">
      <c r="A217" s="1">
        <v>207</v>
      </c>
      <c r="B217" t="s">
        <v>1139</v>
      </c>
      <c r="C217" t="s">
        <v>1</v>
      </c>
      <c r="D217" t="str">
        <f>IF(G217="n","-",MIN(X217,AI217,AN217))</f>
        <v>-</v>
      </c>
      <c r="E217" t="s">
        <v>9</v>
      </c>
      <c r="F217" t="str">
        <f t="shared" si="21"/>
        <v/>
      </c>
      <c r="G217" t="str">
        <f t="shared" si="22"/>
        <v>n</v>
      </c>
      <c r="H217" t="str">
        <f t="shared" si="19"/>
        <v>None</v>
      </c>
      <c r="I217" t="s">
        <v>342</v>
      </c>
      <c r="J217" t="s">
        <v>342</v>
      </c>
      <c r="M217">
        <v>52272</v>
      </c>
      <c r="N217">
        <v>1.2999999999999999E-2</v>
      </c>
      <c r="O217">
        <v>-208.9</v>
      </c>
      <c r="P217" t="s">
        <v>1140</v>
      </c>
      <c r="Q217" t="s">
        <v>9</v>
      </c>
      <c r="R217">
        <v>218923</v>
      </c>
      <c r="S217">
        <v>-11</v>
      </c>
      <c r="T217" t="s">
        <v>350</v>
      </c>
      <c r="U217" t="s">
        <v>63</v>
      </c>
      <c r="V217" t="s">
        <v>1</v>
      </c>
      <c r="W217" t="s">
        <v>9</v>
      </c>
      <c r="X217" t="s">
        <v>9</v>
      </c>
      <c r="Y217" t="s">
        <v>9</v>
      </c>
      <c r="Z217" t="s">
        <v>9</v>
      </c>
      <c r="AA217" t="s">
        <v>9</v>
      </c>
      <c r="AB217">
        <v>0</v>
      </c>
      <c r="AC217">
        <v>0</v>
      </c>
      <c r="AD217">
        <v>0</v>
      </c>
      <c r="AE217">
        <v>0</v>
      </c>
      <c r="AF217">
        <v>0</v>
      </c>
      <c r="AG217">
        <v>0</v>
      </c>
      <c r="AH217">
        <v>0</v>
      </c>
      <c r="AI217">
        <v>0</v>
      </c>
      <c r="AL217">
        <v>0</v>
      </c>
      <c r="AM217" t="s">
        <v>1139</v>
      </c>
    </row>
    <row r="218" spans="1:47" customFormat="1">
      <c r="A218" s="1">
        <v>208</v>
      </c>
      <c r="B218" t="s">
        <v>1134</v>
      </c>
      <c r="C218" t="s">
        <v>1</v>
      </c>
      <c r="D218">
        <f>IF(G218="n","",MIN(X218,AI218,AN218))</f>
        <v>2017</v>
      </c>
      <c r="F218">
        <f t="shared" si="21"/>
        <v>2017</v>
      </c>
      <c r="G218" t="str">
        <f t="shared" si="22"/>
        <v>y</v>
      </c>
      <c r="H218" t="str">
        <f t="shared" si="19"/>
        <v xml:space="preserve"> SBT</v>
      </c>
      <c r="I218" t="s">
        <v>178</v>
      </c>
      <c r="J218" t="s">
        <v>250</v>
      </c>
      <c r="M218">
        <v>52004.1</v>
      </c>
      <c r="N218">
        <v>8.1000000000000003E-2</v>
      </c>
      <c r="O218">
        <v>623.1</v>
      </c>
      <c r="P218" t="s">
        <v>1138</v>
      </c>
      <c r="Q218">
        <v>-0.25800000000000001</v>
      </c>
      <c r="R218">
        <v>318528</v>
      </c>
      <c r="S218">
        <v>3</v>
      </c>
      <c r="T218" t="s">
        <v>350</v>
      </c>
      <c r="U218" t="s">
        <v>146</v>
      </c>
      <c r="V218" t="s">
        <v>1</v>
      </c>
      <c r="W218" t="s">
        <v>9</v>
      </c>
      <c r="X218" t="s">
        <v>9</v>
      </c>
      <c r="Y218" t="s">
        <v>9</v>
      </c>
      <c r="Z218" t="s">
        <v>9</v>
      </c>
      <c r="AA218" t="s">
        <v>9</v>
      </c>
      <c r="AB218">
        <v>0</v>
      </c>
      <c r="AC218">
        <v>0</v>
      </c>
      <c r="AD218" t="s">
        <v>1137</v>
      </c>
      <c r="AE218" t="s">
        <v>1136</v>
      </c>
      <c r="AF218" t="s">
        <v>742</v>
      </c>
      <c r="AG218" t="s">
        <v>165</v>
      </c>
      <c r="AH218" t="s">
        <v>1135</v>
      </c>
      <c r="AI218">
        <v>2017</v>
      </c>
      <c r="AL218">
        <v>0</v>
      </c>
      <c r="AM218" t="s">
        <v>1134</v>
      </c>
    </row>
    <row r="219" spans="1:47" customFormat="1">
      <c r="A219" s="1">
        <v>209</v>
      </c>
      <c r="B219" t="s">
        <v>1132</v>
      </c>
      <c r="C219" t="s">
        <v>1</v>
      </c>
      <c r="D219" t="str">
        <f>IF(G219="n","-",MIN(X219,AI219,AN219))</f>
        <v>-</v>
      </c>
      <c r="E219" t="s">
        <v>9</v>
      </c>
      <c r="F219" t="str">
        <f t="shared" si="21"/>
        <v/>
      </c>
      <c r="G219" t="str">
        <f t="shared" si="22"/>
        <v>n</v>
      </c>
      <c r="H219" t="str">
        <f t="shared" si="19"/>
        <v>None</v>
      </c>
      <c r="I219" t="s">
        <v>76</v>
      </c>
      <c r="J219" t="s">
        <v>80</v>
      </c>
      <c r="M219">
        <v>51728</v>
      </c>
      <c r="N219">
        <v>-6.0000000000000001E-3</v>
      </c>
      <c r="O219">
        <v>6554.1</v>
      </c>
      <c r="P219" t="s">
        <v>1133</v>
      </c>
      <c r="Q219">
        <v>-1.0999999999999999E-2</v>
      </c>
      <c r="R219">
        <v>86659</v>
      </c>
      <c r="S219">
        <v>-17</v>
      </c>
      <c r="T219" t="s">
        <v>88</v>
      </c>
      <c r="U219" t="s">
        <v>207</v>
      </c>
      <c r="V219" t="s">
        <v>1</v>
      </c>
      <c r="W219" t="s">
        <v>9</v>
      </c>
      <c r="X219" t="s">
        <v>9</v>
      </c>
      <c r="Y219" t="s">
        <v>9</v>
      </c>
      <c r="Z219" t="s">
        <v>9</v>
      </c>
      <c r="AA219" t="s">
        <v>9</v>
      </c>
      <c r="AB219">
        <v>0</v>
      </c>
      <c r="AC219">
        <v>0</v>
      </c>
      <c r="AD219">
        <v>0</v>
      </c>
      <c r="AE219">
        <v>0</v>
      </c>
      <c r="AF219">
        <v>0</v>
      </c>
      <c r="AG219">
        <v>0</v>
      </c>
      <c r="AH219">
        <v>0</v>
      </c>
      <c r="AI219">
        <v>0</v>
      </c>
      <c r="AL219">
        <v>0</v>
      </c>
      <c r="AM219" t="s">
        <v>1132</v>
      </c>
    </row>
    <row r="220" spans="1:47" customFormat="1">
      <c r="A220" s="1">
        <v>210</v>
      </c>
      <c r="B220" t="s">
        <v>1130</v>
      </c>
      <c r="C220" t="s">
        <v>1</v>
      </c>
      <c r="D220" t="str">
        <f>IF(G220="n","-",MIN(X220,AI220,AN220))</f>
        <v>-</v>
      </c>
      <c r="E220" t="s">
        <v>9</v>
      </c>
      <c r="F220" t="str">
        <f t="shared" si="21"/>
        <v/>
      </c>
      <c r="G220" t="str">
        <f t="shared" si="22"/>
        <v>n</v>
      </c>
      <c r="H220" t="str">
        <f t="shared" si="19"/>
        <v>None</v>
      </c>
      <c r="I220" t="s">
        <v>342</v>
      </c>
      <c r="J220" t="s">
        <v>342</v>
      </c>
      <c r="M220">
        <v>51394.400000000001</v>
      </c>
      <c r="N220">
        <v>0.35599999999999998</v>
      </c>
      <c r="O220">
        <v>1673.6</v>
      </c>
      <c r="P220" t="s">
        <v>1131</v>
      </c>
      <c r="Q220">
        <v>0.38400000000000001</v>
      </c>
      <c r="R220">
        <v>130000</v>
      </c>
      <c r="S220">
        <v>89</v>
      </c>
      <c r="T220" t="s">
        <v>88</v>
      </c>
      <c r="U220" t="s">
        <v>78</v>
      </c>
      <c r="V220" t="s">
        <v>1</v>
      </c>
      <c r="W220" t="s">
        <v>9</v>
      </c>
      <c r="X220" t="s">
        <v>9</v>
      </c>
      <c r="Y220" t="s">
        <v>9</v>
      </c>
      <c r="Z220" t="s">
        <v>9</v>
      </c>
      <c r="AA220" t="s">
        <v>9</v>
      </c>
      <c r="AB220">
        <v>0</v>
      </c>
      <c r="AC220">
        <v>0</v>
      </c>
      <c r="AD220">
        <v>0</v>
      </c>
      <c r="AE220">
        <v>0</v>
      </c>
      <c r="AF220">
        <v>0</v>
      </c>
      <c r="AG220">
        <v>0</v>
      </c>
      <c r="AH220">
        <v>0</v>
      </c>
      <c r="AI220">
        <v>0</v>
      </c>
      <c r="AL220">
        <v>0</v>
      </c>
      <c r="AM220" t="s">
        <v>1130</v>
      </c>
    </row>
    <row r="221" spans="1:47" customFormat="1">
      <c r="A221" s="1">
        <v>211</v>
      </c>
      <c r="B221" t="s">
        <v>1128</v>
      </c>
      <c r="C221" t="s">
        <v>1</v>
      </c>
      <c r="D221" t="str">
        <f>IF(G221="n","-",MIN(X221,AI221,AN221))</f>
        <v>-</v>
      </c>
      <c r="E221" t="s">
        <v>9</v>
      </c>
      <c r="F221" t="str">
        <f t="shared" si="21"/>
        <v/>
      </c>
      <c r="G221" t="str">
        <f t="shared" si="22"/>
        <v>n</v>
      </c>
      <c r="H221" t="str">
        <f t="shared" si="19"/>
        <v>None</v>
      </c>
      <c r="I221" t="s">
        <v>71</v>
      </c>
      <c r="J221" t="s">
        <v>138</v>
      </c>
      <c r="M221">
        <v>51245.599999999999</v>
      </c>
      <c r="N221">
        <v>0.123</v>
      </c>
      <c r="O221">
        <v>573</v>
      </c>
      <c r="P221" t="s">
        <v>1129</v>
      </c>
      <c r="Q221">
        <v>0.17100000000000001</v>
      </c>
      <c r="R221">
        <v>160064</v>
      </c>
      <c r="S221">
        <v>23</v>
      </c>
      <c r="T221" t="s">
        <v>180</v>
      </c>
      <c r="U221" t="s">
        <v>73</v>
      </c>
      <c r="V221" t="s">
        <v>1</v>
      </c>
      <c r="W221" t="s">
        <v>9</v>
      </c>
      <c r="X221" t="s">
        <v>9</v>
      </c>
      <c r="Y221" t="s">
        <v>9</v>
      </c>
      <c r="Z221" t="s">
        <v>9</v>
      </c>
      <c r="AA221" t="s">
        <v>9</v>
      </c>
      <c r="AB221">
        <v>0</v>
      </c>
      <c r="AC221">
        <v>0</v>
      </c>
      <c r="AD221">
        <v>0</v>
      </c>
      <c r="AE221">
        <v>0</v>
      </c>
      <c r="AF221">
        <v>0</v>
      </c>
      <c r="AG221">
        <v>0</v>
      </c>
      <c r="AH221">
        <v>0</v>
      </c>
      <c r="AI221">
        <v>0</v>
      </c>
      <c r="AL221">
        <v>0</v>
      </c>
      <c r="AM221" t="s">
        <v>1128</v>
      </c>
    </row>
    <row r="222" spans="1:47" customFormat="1">
      <c r="A222" s="1">
        <v>212</v>
      </c>
      <c r="B222" t="s">
        <v>1123</v>
      </c>
      <c r="C222" t="s">
        <v>1</v>
      </c>
      <c r="D222">
        <f>IF(G222="n","",MIN(X222,AI222,AN222))</f>
        <v>2018</v>
      </c>
      <c r="F222">
        <f t="shared" si="21"/>
        <v>2018</v>
      </c>
      <c r="G222" t="str">
        <f t="shared" si="22"/>
        <v>y</v>
      </c>
      <c r="H222" t="str">
        <f t="shared" si="19"/>
        <v xml:space="preserve"> SBT</v>
      </c>
      <c r="I222" t="s">
        <v>186</v>
      </c>
      <c r="J222" t="s">
        <v>380</v>
      </c>
      <c r="M222">
        <v>51037.9</v>
      </c>
      <c r="N222">
        <v>0.125</v>
      </c>
      <c r="O222">
        <v>596.29999999999995</v>
      </c>
      <c r="P222" t="s">
        <v>1127</v>
      </c>
      <c r="Q222" t="s">
        <v>9</v>
      </c>
      <c r="R222">
        <v>57000</v>
      </c>
      <c r="S222">
        <v>28</v>
      </c>
      <c r="T222" t="s">
        <v>88</v>
      </c>
      <c r="U222" t="s">
        <v>73</v>
      </c>
      <c r="V222" t="s">
        <v>1</v>
      </c>
      <c r="W222" t="s">
        <v>1126</v>
      </c>
      <c r="X222" t="s">
        <v>9</v>
      </c>
      <c r="Y222" t="s">
        <v>9</v>
      </c>
      <c r="Z222" t="s">
        <v>1125</v>
      </c>
      <c r="AA222">
        <v>2020</v>
      </c>
      <c r="AB222" t="s">
        <v>109</v>
      </c>
      <c r="AC222">
        <v>0</v>
      </c>
      <c r="AD222">
        <v>0</v>
      </c>
      <c r="AE222" t="s">
        <v>1124</v>
      </c>
      <c r="AF222" t="s">
        <v>204</v>
      </c>
      <c r="AG222" t="s">
        <v>165</v>
      </c>
      <c r="AH222" t="s">
        <v>731</v>
      </c>
      <c r="AI222">
        <v>2018</v>
      </c>
      <c r="AL222">
        <v>0</v>
      </c>
      <c r="AM222" t="s">
        <v>1123</v>
      </c>
    </row>
    <row r="223" spans="1:47" customFormat="1">
      <c r="A223" s="1">
        <v>213</v>
      </c>
      <c r="B223" t="s">
        <v>1121</v>
      </c>
      <c r="C223" t="s">
        <v>1</v>
      </c>
      <c r="D223" t="str">
        <f>IF(G223="n","-",MIN(X223,AI223,AN223))</f>
        <v>-</v>
      </c>
      <c r="E223" t="s">
        <v>9</v>
      </c>
      <c r="F223" t="str">
        <f t="shared" si="21"/>
        <v/>
      </c>
      <c r="G223" t="str">
        <f t="shared" si="22"/>
        <v>n</v>
      </c>
      <c r="H223" t="str">
        <f t="shared" si="19"/>
        <v>None</v>
      </c>
      <c r="I223" t="s">
        <v>76</v>
      </c>
      <c r="J223" t="s">
        <v>80</v>
      </c>
      <c r="M223">
        <v>50991.4</v>
      </c>
      <c r="N223">
        <v>0.121</v>
      </c>
      <c r="O223">
        <v>9164.5</v>
      </c>
      <c r="P223" t="s">
        <v>1122</v>
      </c>
      <c r="Q223">
        <v>8.3000000000000004E-2</v>
      </c>
      <c r="R223">
        <v>59659</v>
      </c>
      <c r="S223">
        <v>24</v>
      </c>
      <c r="T223" t="s">
        <v>88</v>
      </c>
      <c r="U223" t="s">
        <v>73</v>
      </c>
      <c r="V223" t="s">
        <v>1</v>
      </c>
      <c r="W223" t="s">
        <v>9</v>
      </c>
      <c r="X223" t="s">
        <v>9</v>
      </c>
      <c r="Y223" t="s">
        <v>9</v>
      </c>
      <c r="Z223" t="s">
        <v>9</v>
      </c>
      <c r="AA223" t="s">
        <v>9</v>
      </c>
      <c r="AB223">
        <v>0</v>
      </c>
      <c r="AC223">
        <v>0</v>
      </c>
      <c r="AD223">
        <v>0</v>
      </c>
      <c r="AE223">
        <v>0</v>
      </c>
      <c r="AF223">
        <v>0</v>
      </c>
      <c r="AG223">
        <v>0</v>
      </c>
      <c r="AH223">
        <v>0</v>
      </c>
      <c r="AI223">
        <v>0</v>
      </c>
      <c r="AL223">
        <v>0</v>
      </c>
      <c r="AM223" t="s">
        <v>1121</v>
      </c>
    </row>
    <row r="224" spans="1:47" customFormat="1">
      <c r="A224" s="1">
        <v>214</v>
      </c>
      <c r="B224" t="s">
        <v>1119</v>
      </c>
      <c r="C224" t="s">
        <v>1</v>
      </c>
      <c r="D224" t="str">
        <f>IF(G224="n","-",MIN(X224,AI224,AN224))</f>
        <v>-</v>
      </c>
      <c r="E224" t="s">
        <v>9</v>
      </c>
      <c r="F224" t="str">
        <f t="shared" si="21"/>
        <v/>
      </c>
      <c r="G224" t="str">
        <f t="shared" si="22"/>
        <v>n</v>
      </c>
      <c r="H224" t="str">
        <f t="shared" si="19"/>
        <v>None</v>
      </c>
      <c r="I224" t="s">
        <v>85</v>
      </c>
      <c r="J224" t="s">
        <v>84</v>
      </c>
      <c r="M224">
        <v>50920.6</v>
      </c>
      <c r="N224">
        <v>0.122</v>
      </c>
      <c r="O224">
        <v>-77.8</v>
      </c>
      <c r="P224" t="s">
        <v>1120</v>
      </c>
      <c r="Q224" t="s">
        <v>9</v>
      </c>
      <c r="R224">
        <v>118656</v>
      </c>
      <c r="S224">
        <v>25</v>
      </c>
      <c r="T224" t="s">
        <v>180</v>
      </c>
      <c r="U224" t="s">
        <v>73</v>
      </c>
      <c r="V224" t="s">
        <v>1</v>
      </c>
      <c r="W224" t="s">
        <v>9</v>
      </c>
      <c r="X224" t="s">
        <v>9</v>
      </c>
      <c r="Y224" t="s">
        <v>9</v>
      </c>
      <c r="Z224" t="s">
        <v>9</v>
      </c>
      <c r="AA224" t="s">
        <v>9</v>
      </c>
      <c r="AB224">
        <v>0</v>
      </c>
      <c r="AC224">
        <v>0</v>
      </c>
      <c r="AD224">
        <v>0</v>
      </c>
      <c r="AE224">
        <v>0</v>
      </c>
      <c r="AF224">
        <v>0</v>
      </c>
      <c r="AG224">
        <v>0</v>
      </c>
      <c r="AH224">
        <v>0</v>
      </c>
      <c r="AI224">
        <v>0</v>
      </c>
      <c r="AL224">
        <v>0</v>
      </c>
      <c r="AM224" t="s">
        <v>1119</v>
      </c>
    </row>
    <row r="225" spans="1:48" customFormat="1">
      <c r="A225" s="1">
        <v>215</v>
      </c>
      <c r="B225" t="s">
        <v>1117</v>
      </c>
      <c r="C225" t="s">
        <v>1</v>
      </c>
      <c r="D225" t="str">
        <f>IF(G225="n","-",MIN(X225,AI225,AN225))</f>
        <v>-</v>
      </c>
      <c r="E225" t="s">
        <v>9</v>
      </c>
      <c r="F225" t="str">
        <f t="shared" si="21"/>
        <v/>
      </c>
      <c r="G225" t="str">
        <f t="shared" si="22"/>
        <v>n</v>
      </c>
      <c r="H225" t="str">
        <f t="shared" si="19"/>
        <v>None</v>
      </c>
      <c r="I225" t="s">
        <v>85</v>
      </c>
      <c r="J225" t="s">
        <v>84</v>
      </c>
      <c r="M225">
        <v>50856.1</v>
      </c>
      <c r="N225">
        <v>7.2999999999999995E-2</v>
      </c>
      <c r="O225">
        <v>9.5</v>
      </c>
      <c r="P225" t="s">
        <v>1118</v>
      </c>
      <c r="Q225" t="s">
        <v>9</v>
      </c>
      <c r="R225">
        <v>161096</v>
      </c>
      <c r="S225">
        <v>3</v>
      </c>
      <c r="T225" t="s">
        <v>88</v>
      </c>
      <c r="U225" t="s">
        <v>146</v>
      </c>
      <c r="V225" t="s">
        <v>1</v>
      </c>
      <c r="W225" t="s">
        <v>9</v>
      </c>
      <c r="X225" t="s">
        <v>9</v>
      </c>
      <c r="Y225" t="s">
        <v>9</v>
      </c>
      <c r="Z225" t="s">
        <v>9</v>
      </c>
      <c r="AA225" t="s">
        <v>9</v>
      </c>
      <c r="AB225">
        <v>0</v>
      </c>
      <c r="AC225">
        <v>0</v>
      </c>
      <c r="AD225">
        <v>0</v>
      </c>
      <c r="AE225">
        <v>0</v>
      </c>
      <c r="AF225">
        <v>0</v>
      </c>
      <c r="AG225">
        <v>0</v>
      </c>
      <c r="AH225">
        <v>0</v>
      </c>
      <c r="AI225">
        <v>0</v>
      </c>
      <c r="AL225">
        <v>0</v>
      </c>
      <c r="AM225" t="s">
        <v>1117</v>
      </c>
    </row>
    <row r="226" spans="1:48" customFormat="1">
      <c r="A226" s="1">
        <v>216</v>
      </c>
      <c r="B226" t="s">
        <v>1116</v>
      </c>
      <c r="C226" t="s">
        <v>1</v>
      </c>
      <c r="D226" t="str">
        <f>IF(G226="n","-",MIN(X226,AI226,AN226))</f>
        <v>-</v>
      </c>
      <c r="E226" t="s">
        <v>9</v>
      </c>
      <c r="F226" t="str">
        <f t="shared" si="21"/>
        <v/>
      </c>
      <c r="G226" t="str">
        <f t="shared" si="22"/>
        <v>n</v>
      </c>
      <c r="H226" t="str">
        <f t="shared" si="19"/>
        <v>None</v>
      </c>
      <c r="I226" t="s">
        <v>76</v>
      </c>
      <c r="J226" t="s">
        <v>795</v>
      </c>
      <c r="M226">
        <v>50545.7</v>
      </c>
      <c r="N226">
        <v>9.1999999999999998E-2</v>
      </c>
      <c r="O226">
        <v>8453</v>
      </c>
      <c r="P226" t="s">
        <v>1115</v>
      </c>
      <c r="Q226">
        <v>5.2999999999999999E-2</v>
      </c>
      <c r="R226">
        <v>55692</v>
      </c>
      <c r="S226">
        <v>11</v>
      </c>
      <c r="T226" t="s">
        <v>88</v>
      </c>
      <c r="U226" t="s">
        <v>73</v>
      </c>
      <c r="V226" t="s">
        <v>1</v>
      </c>
      <c r="W226" t="s">
        <v>9</v>
      </c>
      <c r="X226" t="s">
        <v>9</v>
      </c>
      <c r="Y226" t="s">
        <v>9</v>
      </c>
      <c r="Z226" t="s">
        <v>9</v>
      </c>
      <c r="AA226" t="s">
        <v>9</v>
      </c>
      <c r="AB226">
        <v>0</v>
      </c>
      <c r="AC226">
        <v>0</v>
      </c>
      <c r="AD226">
        <v>0</v>
      </c>
      <c r="AE226">
        <v>0</v>
      </c>
      <c r="AF226">
        <v>0</v>
      </c>
      <c r="AG226">
        <v>0</v>
      </c>
      <c r="AH226">
        <v>0</v>
      </c>
      <c r="AI226">
        <v>0</v>
      </c>
      <c r="AL226">
        <v>0</v>
      </c>
      <c r="AM226" t="s">
        <v>1114</v>
      </c>
    </row>
    <row r="227" spans="1:48" customFormat="1">
      <c r="A227" s="1">
        <v>217</v>
      </c>
      <c r="B227" t="s">
        <v>1111</v>
      </c>
      <c r="C227" t="s">
        <v>1</v>
      </c>
      <c r="D227" t="str">
        <f>IF(G227="n","-",MIN(X227,AI227,AN227))</f>
        <v>-</v>
      </c>
      <c r="E227" t="s">
        <v>9</v>
      </c>
      <c r="F227" t="str">
        <f t="shared" si="21"/>
        <v/>
      </c>
      <c r="G227" t="str">
        <f t="shared" si="22"/>
        <v>n</v>
      </c>
      <c r="H227" t="str">
        <f t="shared" si="19"/>
        <v>None</v>
      </c>
      <c r="I227" t="s">
        <v>461</v>
      </c>
      <c r="J227" t="s">
        <v>461</v>
      </c>
      <c r="M227">
        <v>50532.4</v>
      </c>
      <c r="N227">
        <v>-0.156</v>
      </c>
      <c r="O227">
        <v>-9281.1</v>
      </c>
      <c r="P227" t="s">
        <v>1113</v>
      </c>
      <c r="Q227">
        <v>-4.2569999999999997</v>
      </c>
      <c r="R227">
        <v>98996</v>
      </c>
      <c r="S227">
        <v>-59</v>
      </c>
      <c r="T227" t="s">
        <v>88</v>
      </c>
      <c r="U227" t="s">
        <v>275</v>
      </c>
      <c r="V227" t="s">
        <v>1</v>
      </c>
      <c r="W227" t="s">
        <v>110</v>
      </c>
      <c r="X227" t="s">
        <v>9</v>
      </c>
      <c r="Y227">
        <v>2018</v>
      </c>
      <c r="Z227" t="s">
        <v>9</v>
      </c>
      <c r="AA227">
        <v>2025</v>
      </c>
      <c r="AB227" t="s">
        <v>1093</v>
      </c>
      <c r="AC227">
        <v>0</v>
      </c>
      <c r="AD227">
        <v>0</v>
      </c>
      <c r="AE227" t="s">
        <v>1112</v>
      </c>
      <c r="AF227">
        <v>0</v>
      </c>
      <c r="AG227">
        <v>0</v>
      </c>
      <c r="AH227">
        <v>0</v>
      </c>
      <c r="AI227">
        <v>0</v>
      </c>
      <c r="AL227">
        <v>0</v>
      </c>
      <c r="AM227" t="s">
        <v>1111</v>
      </c>
      <c r="AV227" t="s">
        <v>361</v>
      </c>
    </row>
    <row r="228" spans="1:48" customFormat="1">
      <c r="A228" s="1">
        <v>218</v>
      </c>
      <c r="B228" t="s">
        <v>1106</v>
      </c>
      <c r="C228" t="s">
        <v>1</v>
      </c>
      <c r="D228">
        <f>IF(G228="n","",MIN(X228,AI228,AN228))</f>
        <v>2017</v>
      </c>
      <c r="F228">
        <f t="shared" si="21"/>
        <v>2017</v>
      </c>
      <c r="G228" t="str">
        <f t="shared" si="22"/>
        <v>y</v>
      </c>
      <c r="H228" t="str">
        <f t="shared" si="19"/>
        <v>CN &amp; RE100</v>
      </c>
      <c r="I228" t="s">
        <v>76</v>
      </c>
      <c r="J228" t="s">
        <v>80</v>
      </c>
      <c r="M228">
        <v>50193</v>
      </c>
      <c r="N228">
        <v>0.15</v>
      </c>
      <c r="O228">
        <v>8748</v>
      </c>
      <c r="P228" t="s">
        <v>1110</v>
      </c>
      <c r="Q228">
        <v>0.432</v>
      </c>
      <c r="R228">
        <v>60348</v>
      </c>
      <c r="S228">
        <v>31</v>
      </c>
      <c r="T228" t="s">
        <v>88</v>
      </c>
      <c r="U228" t="s">
        <v>127</v>
      </c>
      <c r="V228" t="s">
        <v>32</v>
      </c>
      <c r="W228" t="s">
        <v>9</v>
      </c>
      <c r="X228">
        <v>2017</v>
      </c>
      <c r="Y228" t="s">
        <v>9</v>
      </c>
      <c r="Z228" t="s">
        <v>9</v>
      </c>
      <c r="AA228">
        <v>2022</v>
      </c>
      <c r="AB228" t="s">
        <v>1109</v>
      </c>
      <c r="AC228">
        <v>0</v>
      </c>
      <c r="AD228" t="s">
        <v>1108</v>
      </c>
      <c r="AE228" t="s">
        <v>1107</v>
      </c>
      <c r="AF228">
        <v>0</v>
      </c>
      <c r="AG228">
        <v>0</v>
      </c>
      <c r="AH228">
        <v>0</v>
      </c>
      <c r="AL228">
        <v>0</v>
      </c>
      <c r="AM228" t="s">
        <v>1106</v>
      </c>
      <c r="AN228">
        <v>2017</v>
      </c>
      <c r="AO228">
        <v>2022</v>
      </c>
      <c r="AP228" t="s">
        <v>13</v>
      </c>
      <c r="AQ228">
        <v>0.17</v>
      </c>
      <c r="AR228">
        <v>0.05</v>
      </c>
      <c r="AS228" t="s">
        <v>13</v>
      </c>
      <c r="AT228" t="s">
        <v>13</v>
      </c>
      <c r="AU228" t="s">
        <v>457</v>
      </c>
    </row>
    <row r="229" spans="1:48" customFormat="1">
      <c r="A229" s="1">
        <v>219</v>
      </c>
      <c r="B229" t="s">
        <v>1104</v>
      </c>
      <c r="C229" t="s">
        <v>1</v>
      </c>
      <c r="D229" t="str">
        <f>IF(G229="n","-",MIN(X229,AI229,AN229))</f>
        <v>-</v>
      </c>
      <c r="E229" t="s">
        <v>9</v>
      </c>
      <c r="F229" t="str">
        <f t="shared" si="21"/>
        <v/>
      </c>
      <c r="G229" t="str">
        <f t="shared" si="22"/>
        <v>n</v>
      </c>
      <c r="H229" t="str">
        <f t="shared" si="19"/>
        <v>None</v>
      </c>
      <c r="I229" t="s">
        <v>124</v>
      </c>
      <c r="J229" t="s">
        <v>560</v>
      </c>
      <c r="M229">
        <v>49709.7</v>
      </c>
      <c r="N229">
        <v>-2.8000000000000001E-2</v>
      </c>
      <c r="O229">
        <v>6.9</v>
      </c>
      <c r="P229" t="s">
        <v>1105</v>
      </c>
      <c r="Q229">
        <v>-0.95899999999999996</v>
      </c>
      <c r="R229">
        <v>230086</v>
      </c>
      <c r="S229">
        <v>-20</v>
      </c>
      <c r="T229" t="s">
        <v>88</v>
      </c>
      <c r="U229" t="s">
        <v>68</v>
      </c>
      <c r="V229" t="s">
        <v>1</v>
      </c>
      <c r="W229" t="s">
        <v>9</v>
      </c>
      <c r="X229" t="s">
        <v>9</v>
      </c>
      <c r="Y229" t="s">
        <v>9</v>
      </c>
      <c r="Z229" t="s">
        <v>9</v>
      </c>
      <c r="AA229" t="s">
        <v>9</v>
      </c>
      <c r="AB229">
        <v>0</v>
      </c>
      <c r="AC229">
        <v>0</v>
      </c>
      <c r="AD229">
        <v>0</v>
      </c>
      <c r="AE229">
        <v>0</v>
      </c>
      <c r="AF229">
        <v>0</v>
      </c>
      <c r="AG229">
        <v>0</v>
      </c>
      <c r="AH229">
        <v>0</v>
      </c>
      <c r="AI229">
        <v>0</v>
      </c>
      <c r="AL229">
        <v>0</v>
      </c>
      <c r="AM229" t="s">
        <v>1104</v>
      </c>
    </row>
    <row r="230" spans="1:48" customFormat="1">
      <c r="A230" s="1">
        <v>220</v>
      </c>
      <c r="B230" t="s">
        <v>1102</v>
      </c>
      <c r="C230" t="s">
        <v>1</v>
      </c>
      <c r="D230" t="str">
        <f>IF(G230="n","-",MIN(X230,AI230,AN230))</f>
        <v>-</v>
      </c>
      <c r="E230" t="s">
        <v>9</v>
      </c>
      <c r="F230" t="str">
        <f t="shared" si="21"/>
        <v/>
      </c>
      <c r="G230" t="str">
        <f t="shared" si="22"/>
        <v>n</v>
      </c>
      <c r="H230" t="str">
        <f t="shared" si="19"/>
        <v>None</v>
      </c>
      <c r="I230" t="s">
        <v>171</v>
      </c>
      <c r="J230" t="s">
        <v>171</v>
      </c>
      <c r="M230">
        <v>49665.4</v>
      </c>
      <c r="N230">
        <v>0.20599999999999999</v>
      </c>
      <c r="O230">
        <v>1969.3</v>
      </c>
      <c r="P230" t="s">
        <v>1103</v>
      </c>
      <c r="Q230">
        <v>8.2000000000000003E-2</v>
      </c>
      <c r="R230">
        <v>124846</v>
      </c>
      <c r="S230">
        <v>47</v>
      </c>
      <c r="T230" t="s">
        <v>88</v>
      </c>
      <c r="U230" t="s">
        <v>73</v>
      </c>
      <c r="V230" t="s">
        <v>1</v>
      </c>
      <c r="W230" t="s">
        <v>9</v>
      </c>
      <c r="X230" t="s">
        <v>9</v>
      </c>
      <c r="Y230" t="s">
        <v>9</v>
      </c>
      <c r="Z230" t="s">
        <v>9</v>
      </c>
      <c r="AA230" t="s">
        <v>9</v>
      </c>
      <c r="AB230">
        <v>0</v>
      </c>
      <c r="AC230">
        <v>0</v>
      </c>
      <c r="AD230">
        <v>0</v>
      </c>
      <c r="AE230">
        <v>0</v>
      </c>
      <c r="AF230">
        <v>0</v>
      </c>
      <c r="AG230">
        <v>0</v>
      </c>
      <c r="AH230">
        <v>0</v>
      </c>
      <c r="AI230">
        <v>0</v>
      </c>
      <c r="AL230">
        <v>0</v>
      </c>
      <c r="AM230" t="s">
        <v>1102</v>
      </c>
    </row>
    <row r="231" spans="1:48" customFormat="1">
      <c r="A231" s="1">
        <v>221</v>
      </c>
      <c r="B231" t="s">
        <v>1099</v>
      </c>
      <c r="C231" t="s">
        <v>1</v>
      </c>
      <c r="D231">
        <f>IF(G231="n","",MIN(X231,AI231,AN231))</f>
        <v>2018</v>
      </c>
      <c r="F231">
        <f t="shared" si="21"/>
        <v>2018</v>
      </c>
      <c r="G231" t="str">
        <f t="shared" si="22"/>
        <v>y</v>
      </c>
      <c r="H231" t="str">
        <f t="shared" si="19"/>
        <v xml:space="preserve"> SBT</v>
      </c>
      <c r="I231" t="s">
        <v>76</v>
      </c>
      <c r="J231" t="s">
        <v>1101</v>
      </c>
      <c r="M231">
        <v>49612.3</v>
      </c>
      <c r="N231">
        <v>-0.14599999999999999</v>
      </c>
      <c r="O231">
        <v>4537.5</v>
      </c>
      <c r="P231" t="s">
        <v>1100</v>
      </c>
      <c r="Q231">
        <v>-0.152</v>
      </c>
      <c r="R231">
        <v>86772</v>
      </c>
      <c r="S231">
        <v>-55</v>
      </c>
      <c r="T231" t="s">
        <v>88</v>
      </c>
      <c r="U231" t="s">
        <v>68</v>
      </c>
      <c r="V231" t="s">
        <v>1</v>
      </c>
      <c r="W231" t="s">
        <v>9</v>
      </c>
      <c r="X231" t="s">
        <v>9</v>
      </c>
      <c r="Y231" t="s">
        <v>9</v>
      </c>
      <c r="Z231" t="s">
        <v>9</v>
      </c>
      <c r="AA231" t="s">
        <v>9</v>
      </c>
      <c r="AB231">
        <v>0</v>
      </c>
      <c r="AC231">
        <v>0</v>
      </c>
      <c r="AD231">
        <v>0</v>
      </c>
      <c r="AE231">
        <v>0</v>
      </c>
      <c r="AF231" t="s">
        <v>93</v>
      </c>
      <c r="AG231" t="s">
        <v>165</v>
      </c>
      <c r="AH231" t="s">
        <v>585</v>
      </c>
      <c r="AI231">
        <v>2018</v>
      </c>
      <c r="AL231">
        <v>0</v>
      </c>
      <c r="AM231" t="s">
        <v>1099</v>
      </c>
    </row>
    <row r="232" spans="1:48" customFormat="1">
      <c r="A232" s="1">
        <v>222</v>
      </c>
      <c r="B232" t="s">
        <v>1098</v>
      </c>
      <c r="C232" t="s">
        <v>1</v>
      </c>
      <c r="D232" t="str">
        <f>IF(G232="n","-",MIN(X232,AI232,AN232))</f>
        <v>-</v>
      </c>
      <c r="E232" t="s">
        <v>9</v>
      </c>
      <c r="F232" t="str">
        <f t="shared" si="21"/>
        <v/>
      </c>
      <c r="G232" t="str">
        <f t="shared" si="22"/>
        <v>n</v>
      </c>
      <c r="H232" t="str">
        <f t="shared" si="19"/>
        <v>None</v>
      </c>
      <c r="I232" t="s">
        <v>76</v>
      </c>
      <c r="J232" t="s">
        <v>269</v>
      </c>
      <c r="M232">
        <v>49609.599999999999</v>
      </c>
      <c r="N232">
        <v>5.2999999999999999E-2</v>
      </c>
      <c r="O232">
        <v>1738</v>
      </c>
      <c r="P232" t="s">
        <v>1097</v>
      </c>
      <c r="Q232">
        <v>0.25</v>
      </c>
      <c r="R232">
        <v>41467</v>
      </c>
      <c r="S232">
        <v>-1</v>
      </c>
      <c r="T232" t="s">
        <v>88</v>
      </c>
      <c r="U232" t="s">
        <v>207</v>
      </c>
      <c r="V232" t="s">
        <v>1</v>
      </c>
      <c r="W232" t="s">
        <v>9</v>
      </c>
      <c r="X232" t="s">
        <v>9</v>
      </c>
      <c r="Y232" t="s">
        <v>9</v>
      </c>
      <c r="Z232" t="s">
        <v>9</v>
      </c>
      <c r="AA232" t="s">
        <v>9</v>
      </c>
      <c r="AB232">
        <v>0</v>
      </c>
      <c r="AC232">
        <v>0</v>
      </c>
      <c r="AD232">
        <v>0</v>
      </c>
      <c r="AE232">
        <v>0</v>
      </c>
      <c r="AF232">
        <v>0</v>
      </c>
      <c r="AG232">
        <v>0</v>
      </c>
      <c r="AH232">
        <v>0</v>
      </c>
      <c r="AI232">
        <v>0</v>
      </c>
      <c r="AL232">
        <v>0</v>
      </c>
      <c r="AM232" t="s">
        <v>1096</v>
      </c>
    </row>
    <row r="233" spans="1:48" customFormat="1">
      <c r="A233" s="1">
        <v>223</v>
      </c>
      <c r="B233" t="s">
        <v>1091</v>
      </c>
      <c r="C233" t="s">
        <v>1</v>
      </c>
      <c r="D233" t="str">
        <f>IF(G233="n","-",MIN(X233,AI233,AN233))</f>
        <v>-</v>
      </c>
      <c r="E233" t="s">
        <v>9</v>
      </c>
      <c r="F233" t="str">
        <f t="shared" si="21"/>
        <v/>
      </c>
      <c r="G233" t="str">
        <f t="shared" si="22"/>
        <v>n</v>
      </c>
      <c r="H233" t="str">
        <f t="shared" si="19"/>
        <v>None</v>
      </c>
      <c r="I233" t="s">
        <v>76</v>
      </c>
      <c r="J233" t="s">
        <v>80</v>
      </c>
      <c r="M233">
        <v>49529.3</v>
      </c>
      <c r="N233">
        <v>-0.19</v>
      </c>
      <c r="O233">
        <v>3571.2</v>
      </c>
      <c r="P233" t="s">
        <v>1095</v>
      </c>
      <c r="Q233">
        <v>4.8000000000000001E-2</v>
      </c>
      <c r="R233">
        <v>100245</v>
      </c>
      <c r="S233">
        <v>-72</v>
      </c>
      <c r="T233" t="s">
        <v>350</v>
      </c>
      <c r="U233" t="s">
        <v>63</v>
      </c>
      <c r="V233" t="s">
        <v>1</v>
      </c>
      <c r="W233" t="s">
        <v>1094</v>
      </c>
      <c r="X233" t="s">
        <v>9</v>
      </c>
      <c r="Y233">
        <v>2019</v>
      </c>
      <c r="Z233" t="s">
        <v>9</v>
      </c>
      <c r="AA233">
        <v>2020</v>
      </c>
      <c r="AB233" t="s">
        <v>1093</v>
      </c>
      <c r="AC233">
        <v>0</v>
      </c>
      <c r="AD233">
        <v>0</v>
      </c>
      <c r="AE233" t="s">
        <v>1092</v>
      </c>
      <c r="AF233">
        <v>0</v>
      </c>
      <c r="AG233">
        <v>0</v>
      </c>
      <c r="AH233">
        <v>0</v>
      </c>
      <c r="AI233">
        <v>0</v>
      </c>
      <c r="AL233">
        <v>0</v>
      </c>
      <c r="AM233" t="s">
        <v>1091</v>
      </c>
    </row>
    <row r="234" spans="1:48" customFormat="1">
      <c r="A234" s="1">
        <v>224</v>
      </c>
      <c r="B234" t="s">
        <v>1085</v>
      </c>
      <c r="C234" t="s">
        <v>1</v>
      </c>
      <c r="D234">
        <f>IF(G234="n","",MIN(X234,AI234,AN234))</f>
        <v>2011</v>
      </c>
      <c r="F234">
        <f t="shared" si="21"/>
        <v>2011</v>
      </c>
      <c r="G234" t="str">
        <f t="shared" si="22"/>
        <v>y</v>
      </c>
      <c r="H234" t="str">
        <f t="shared" si="19"/>
        <v>CN &amp; SBT</v>
      </c>
      <c r="I234" t="s">
        <v>76</v>
      </c>
      <c r="J234" t="s">
        <v>1090</v>
      </c>
      <c r="M234">
        <v>49395.7</v>
      </c>
      <c r="N234">
        <v>1.4E-2</v>
      </c>
      <c r="O234">
        <v>2476.5</v>
      </c>
      <c r="P234" t="s">
        <v>1089</v>
      </c>
      <c r="Q234">
        <v>-3.4000000000000002E-2</v>
      </c>
      <c r="R234">
        <v>40848</v>
      </c>
      <c r="S234">
        <v>-15</v>
      </c>
      <c r="T234" t="s">
        <v>88</v>
      </c>
      <c r="U234" t="s">
        <v>207</v>
      </c>
      <c r="V234" t="s">
        <v>32</v>
      </c>
      <c r="W234" t="s">
        <v>9</v>
      </c>
      <c r="X234">
        <v>2011</v>
      </c>
      <c r="Y234" t="s">
        <v>9</v>
      </c>
      <c r="Z234" t="s">
        <v>9</v>
      </c>
      <c r="AA234" t="s">
        <v>9</v>
      </c>
      <c r="AB234" t="s">
        <v>1088</v>
      </c>
      <c r="AC234">
        <v>0</v>
      </c>
      <c r="AD234" t="s">
        <v>1087</v>
      </c>
      <c r="AE234" t="s">
        <v>1086</v>
      </c>
      <c r="AF234" t="s">
        <v>93</v>
      </c>
      <c r="AG234" t="s">
        <v>165</v>
      </c>
      <c r="AH234" t="s">
        <v>881</v>
      </c>
      <c r="AI234">
        <v>2018</v>
      </c>
      <c r="AL234">
        <v>0</v>
      </c>
      <c r="AM234" t="s">
        <v>1085</v>
      </c>
    </row>
    <row r="235" spans="1:48" customFormat="1">
      <c r="A235" s="1">
        <v>225</v>
      </c>
      <c r="B235" t="s">
        <v>1078</v>
      </c>
      <c r="C235" t="s">
        <v>1</v>
      </c>
      <c r="D235">
        <f>IF(G235="n","",MIN(X235,AI235,AN235))</f>
        <v>2018</v>
      </c>
      <c r="F235">
        <f t="shared" si="21"/>
        <v>2018</v>
      </c>
      <c r="G235" t="str">
        <f t="shared" si="22"/>
        <v>y</v>
      </c>
      <c r="H235" t="str">
        <f t="shared" si="19"/>
        <v xml:space="preserve"> SBT</v>
      </c>
      <c r="I235" t="s">
        <v>186</v>
      </c>
      <c r="J235" t="s">
        <v>1084</v>
      </c>
      <c r="M235">
        <v>49330</v>
      </c>
      <c r="N235">
        <v>2.8000000000000001E-2</v>
      </c>
      <c r="O235">
        <v>110</v>
      </c>
      <c r="P235" t="s">
        <v>1083</v>
      </c>
      <c r="Q235">
        <v>-0.98899999999999999</v>
      </c>
      <c r="R235">
        <v>74200</v>
      </c>
      <c r="S235">
        <v>-13</v>
      </c>
      <c r="T235" t="s">
        <v>88</v>
      </c>
      <c r="U235" t="s">
        <v>127</v>
      </c>
      <c r="V235" t="s">
        <v>1</v>
      </c>
      <c r="W235" t="s">
        <v>1082</v>
      </c>
      <c r="X235" t="s">
        <v>9</v>
      </c>
      <c r="Y235">
        <v>2018</v>
      </c>
      <c r="Z235">
        <v>2007</v>
      </c>
      <c r="AA235">
        <v>2018</v>
      </c>
      <c r="AB235" t="s">
        <v>109</v>
      </c>
      <c r="AC235">
        <v>0</v>
      </c>
      <c r="AD235" t="s">
        <v>1081</v>
      </c>
      <c r="AE235" t="s">
        <v>1080</v>
      </c>
      <c r="AF235" t="s">
        <v>204</v>
      </c>
      <c r="AG235" t="s">
        <v>22</v>
      </c>
      <c r="AH235" t="s">
        <v>808</v>
      </c>
      <c r="AI235">
        <v>2018</v>
      </c>
      <c r="AJ235">
        <v>2022</v>
      </c>
      <c r="AL235" t="s">
        <v>1079</v>
      </c>
      <c r="AM235" t="s">
        <v>1078</v>
      </c>
    </row>
    <row r="236" spans="1:48" customFormat="1">
      <c r="A236" s="1">
        <v>226</v>
      </c>
      <c r="B236" t="s">
        <v>1074</v>
      </c>
      <c r="C236" t="s">
        <v>1</v>
      </c>
      <c r="D236">
        <f>IF(G236="n","",MIN(X236,AI236,AN236))</f>
        <v>2018</v>
      </c>
      <c r="F236">
        <f t="shared" si="21"/>
        <v>2018</v>
      </c>
      <c r="G236" t="str">
        <f t="shared" si="22"/>
        <v>y</v>
      </c>
      <c r="H236" t="str">
        <f t="shared" si="19"/>
        <v xml:space="preserve"> SBT</v>
      </c>
      <c r="I236" t="s">
        <v>85</v>
      </c>
      <c r="J236" t="s">
        <v>289</v>
      </c>
      <c r="K236" s="7" t="s">
        <v>1077</v>
      </c>
      <c r="M236">
        <v>49300.4</v>
      </c>
      <c r="N236">
        <v>7.1999999999999995E-2</v>
      </c>
      <c r="O236">
        <v>495.7</v>
      </c>
      <c r="P236" t="s">
        <v>1076</v>
      </c>
      <c r="Q236">
        <v>-0.71899999999999997</v>
      </c>
      <c r="R236">
        <v>181001</v>
      </c>
      <c r="S236">
        <v>5</v>
      </c>
      <c r="T236" t="s">
        <v>88</v>
      </c>
      <c r="U236" t="s">
        <v>63</v>
      </c>
      <c r="V236" t="s">
        <v>1</v>
      </c>
      <c r="W236" t="s">
        <v>9</v>
      </c>
      <c r="X236" t="s">
        <v>9</v>
      </c>
      <c r="Y236" t="s">
        <v>9</v>
      </c>
      <c r="Z236" t="s">
        <v>9</v>
      </c>
      <c r="AA236" t="s">
        <v>9</v>
      </c>
      <c r="AB236">
        <v>0</v>
      </c>
      <c r="AC236">
        <v>0</v>
      </c>
      <c r="AD236">
        <v>0</v>
      </c>
      <c r="AE236">
        <v>0</v>
      </c>
      <c r="AF236" t="s">
        <v>1075</v>
      </c>
      <c r="AG236" t="s">
        <v>165</v>
      </c>
      <c r="AH236" t="s">
        <v>881</v>
      </c>
      <c r="AI236">
        <v>2018</v>
      </c>
      <c r="AL236">
        <v>0</v>
      </c>
      <c r="AM236" t="s">
        <v>1074</v>
      </c>
    </row>
    <row r="237" spans="1:48" customFormat="1">
      <c r="A237" s="1">
        <v>227</v>
      </c>
      <c r="B237" t="s">
        <v>1072</v>
      </c>
      <c r="C237" t="s">
        <v>1</v>
      </c>
      <c r="D237" t="str">
        <f>IF(G237="n","-",MIN(X237,AI237,AN237))</f>
        <v>-</v>
      </c>
      <c r="E237" t="s">
        <v>9</v>
      </c>
      <c r="F237" t="str">
        <f t="shared" si="21"/>
        <v/>
      </c>
      <c r="G237" t="str">
        <f t="shared" si="22"/>
        <v>n</v>
      </c>
      <c r="H237" t="str">
        <f t="shared" si="19"/>
        <v>None</v>
      </c>
      <c r="I237" t="s">
        <v>171</v>
      </c>
      <c r="J237" t="s">
        <v>171</v>
      </c>
      <c r="M237">
        <v>49238.400000000001</v>
      </c>
      <c r="N237">
        <v>0.04</v>
      </c>
      <c r="O237">
        <v>1050.7</v>
      </c>
      <c r="P237" t="s">
        <v>1073</v>
      </c>
      <c r="Q237">
        <v>0.22700000000000001</v>
      </c>
      <c r="R237">
        <v>52578</v>
      </c>
      <c r="S237">
        <v>-8</v>
      </c>
      <c r="T237" t="s">
        <v>88</v>
      </c>
      <c r="U237" t="s">
        <v>114</v>
      </c>
      <c r="V237" t="s">
        <v>1</v>
      </c>
      <c r="W237" t="s">
        <v>9</v>
      </c>
      <c r="X237" t="s">
        <v>9</v>
      </c>
      <c r="Y237" t="s">
        <v>9</v>
      </c>
      <c r="Z237" t="s">
        <v>9</v>
      </c>
      <c r="AA237" t="s">
        <v>9</v>
      </c>
      <c r="AB237">
        <v>0</v>
      </c>
      <c r="AC237">
        <v>0</v>
      </c>
      <c r="AD237">
        <v>0</v>
      </c>
      <c r="AE237">
        <v>0</v>
      </c>
      <c r="AF237">
        <v>0</v>
      </c>
      <c r="AG237">
        <v>0</v>
      </c>
      <c r="AH237">
        <v>0</v>
      </c>
      <c r="AI237">
        <v>0</v>
      </c>
      <c r="AL237">
        <v>0</v>
      </c>
      <c r="AM237" t="s">
        <v>1072</v>
      </c>
    </row>
    <row r="238" spans="1:48" customFormat="1">
      <c r="A238" s="1">
        <v>228</v>
      </c>
      <c r="B238" t="s">
        <v>1069</v>
      </c>
      <c r="C238" t="s">
        <v>1</v>
      </c>
      <c r="D238">
        <f>IF(G238="n","",MIN(X238,AI238,AN238))</f>
        <v>2018</v>
      </c>
      <c r="F238">
        <f t="shared" si="21"/>
        <v>2018</v>
      </c>
      <c r="G238" t="str">
        <f t="shared" si="22"/>
        <v>y</v>
      </c>
      <c r="H238" t="str">
        <f t="shared" si="19"/>
        <v xml:space="preserve"> SBT</v>
      </c>
      <c r="I238" t="s">
        <v>461</v>
      </c>
      <c r="J238" t="s">
        <v>461</v>
      </c>
      <c r="M238">
        <v>48836.5</v>
      </c>
      <c r="N238">
        <v>5.3999999999999999E-2</v>
      </c>
      <c r="O238">
        <v>2306</v>
      </c>
      <c r="P238" t="s">
        <v>1071</v>
      </c>
      <c r="Q238">
        <v>7.2999999999999995E-2</v>
      </c>
      <c r="R238">
        <v>150711</v>
      </c>
      <c r="S238">
        <v>-3</v>
      </c>
      <c r="T238" t="s">
        <v>88</v>
      </c>
      <c r="U238" t="s">
        <v>63</v>
      </c>
      <c r="V238" t="s">
        <v>1</v>
      </c>
      <c r="W238" t="s">
        <v>1021</v>
      </c>
      <c r="X238" t="s">
        <v>9</v>
      </c>
      <c r="Y238">
        <v>2006</v>
      </c>
      <c r="Z238" t="s">
        <v>9</v>
      </c>
      <c r="AA238">
        <v>2020</v>
      </c>
      <c r="AB238" t="s">
        <v>31</v>
      </c>
      <c r="AC238">
        <v>0</v>
      </c>
      <c r="AD238">
        <v>0</v>
      </c>
      <c r="AE238" t="s">
        <v>1070</v>
      </c>
      <c r="AF238" t="s">
        <v>461</v>
      </c>
      <c r="AG238" t="s">
        <v>165</v>
      </c>
      <c r="AH238" t="s">
        <v>38</v>
      </c>
      <c r="AI238">
        <v>2018</v>
      </c>
      <c r="AL238">
        <v>0</v>
      </c>
      <c r="AM238" t="s">
        <v>1069</v>
      </c>
      <c r="AV238" t="s">
        <v>361</v>
      </c>
    </row>
    <row r="239" spans="1:48" customFormat="1">
      <c r="A239" s="1">
        <v>229</v>
      </c>
      <c r="B239" t="s">
        <v>1065</v>
      </c>
      <c r="C239" t="s">
        <v>1</v>
      </c>
      <c r="D239" t="str">
        <f>IF(G239="n","-",MIN(X239,AI239,AN239))</f>
        <v>-</v>
      </c>
      <c r="E239" t="s">
        <v>9</v>
      </c>
      <c r="F239" t="str">
        <f t="shared" si="21"/>
        <v/>
      </c>
      <c r="G239" t="str">
        <f t="shared" si="22"/>
        <v>n</v>
      </c>
      <c r="H239" t="str">
        <f t="shared" si="19"/>
        <v>None</v>
      </c>
      <c r="I239" t="s">
        <v>319</v>
      </c>
      <c r="J239" t="s">
        <v>1068</v>
      </c>
      <c r="M239">
        <v>48650</v>
      </c>
      <c r="N239">
        <v>0.16900000000000001</v>
      </c>
      <c r="O239">
        <v>2637</v>
      </c>
      <c r="P239" t="s">
        <v>1067</v>
      </c>
      <c r="Q239">
        <v>0.17899999999999999</v>
      </c>
      <c r="R239">
        <v>73800</v>
      </c>
      <c r="S239">
        <v>34</v>
      </c>
      <c r="T239" t="s">
        <v>88</v>
      </c>
      <c r="U239" t="s">
        <v>127</v>
      </c>
      <c r="V239" t="s">
        <v>1</v>
      </c>
      <c r="W239" t="s">
        <v>816</v>
      </c>
      <c r="X239" t="s">
        <v>9</v>
      </c>
      <c r="Y239" t="s">
        <v>9</v>
      </c>
      <c r="Z239" t="s">
        <v>9</v>
      </c>
      <c r="AA239">
        <v>2020</v>
      </c>
      <c r="AB239">
        <v>0</v>
      </c>
      <c r="AC239">
        <v>0</v>
      </c>
      <c r="AD239">
        <v>0</v>
      </c>
      <c r="AE239" t="s">
        <v>1066</v>
      </c>
      <c r="AF239">
        <v>0</v>
      </c>
      <c r="AG239">
        <v>0</v>
      </c>
      <c r="AH239">
        <v>0</v>
      </c>
      <c r="AI239">
        <v>0</v>
      </c>
      <c r="AL239">
        <v>0</v>
      </c>
      <c r="AM239" t="s">
        <v>1065</v>
      </c>
    </row>
    <row r="240" spans="1:48" customFormat="1">
      <c r="A240" s="1">
        <v>230</v>
      </c>
      <c r="B240" t="s">
        <v>1060</v>
      </c>
      <c r="C240" t="s">
        <v>1</v>
      </c>
      <c r="D240" t="str">
        <f>IF(G240="n","-",MIN(X240,AI240,AN240))</f>
        <v>-</v>
      </c>
      <c r="E240" t="s">
        <v>9</v>
      </c>
      <c r="F240" t="str">
        <f t="shared" si="21"/>
        <v/>
      </c>
      <c r="G240" t="str">
        <f t="shared" si="22"/>
        <v>n</v>
      </c>
      <c r="H240" t="str">
        <f t="shared" si="19"/>
        <v>None</v>
      </c>
      <c r="I240" t="s">
        <v>171</v>
      </c>
      <c r="J240" t="s">
        <v>171</v>
      </c>
      <c r="M240">
        <v>48368</v>
      </c>
      <c r="N240">
        <v>4.9000000000000002E-2</v>
      </c>
      <c r="O240">
        <v>2295.6</v>
      </c>
      <c r="P240" t="s">
        <v>1064</v>
      </c>
      <c r="Q240">
        <v>-0.20699999999999999</v>
      </c>
      <c r="R240">
        <v>171992</v>
      </c>
      <c r="S240">
        <v>-1</v>
      </c>
      <c r="T240" t="s">
        <v>88</v>
      </c>
      <c r="U240" t="s">
        <v>207</v>
      </c>
      <c r="V240" t="s">
        <v>1</v>
      </c>
      <c r="W240" t="s">
        <v>1063</v>
      </c>
      <c r="X240" t="s">
        <v>9</v>
      </c>
      <c r="Y240" t="s">
        <v>9</v>
      </c>
      <c r="Z240">
        <v>2013</v>
      </c>
      <c r="AA240">
        <v>2026</v>
      </c>
      <c r="AB240" t="s">
        <v>1062</v>
      </c>
      <c r="AC240">
        <v>0</v>
      </c>
      <c r="AD240">
        <v>0</v>
      </c>
      <c r="AE240" t="s">
        <v>1061</v>
      </c>
      <c r="AF240">
        <v>0</v>
      </c>
      <c r="AG240">
        <v>0</v>
      </c>
      <c r="AH240">
        <v>0</v>
      </c>
      <c r="AI240">
        <v>0</v>
      </c>
      <c r="AL240">
        <v>0</v>
      </c>
      <c r="AM240" t="s">
        <v>1060</v>
      </c>
    </row>
    <row r="241" spans="1:48" customFormat="1">
      <c r="A241" s="1">
        <v>231</v>
      </c>
      <c r="B241" t="s">
        <v>1054</v>
      </c>
      <c r="C241" t="s">
        <v>1</v>
      </c>
      <c r="D241">
        <f>IF(G241="n","",MIN(X241,AI241,AN241))</f>
        <v>2018</v>
      </c>
      <c r="F241">
        <f t="shared" si="21"/>
        <v>2018</v>
      </c>
      <c r="G241" t="str">
        <f t="shared" si="22"/>
        <v>y</v>
      </c>
      <c r="H241" t="str">
        <f t="shared" si="19"/>
        <v xml:space="preserve"> SBT</v>
      </c>
      <c r="I241" t="s">
        <v>91</v>
      </c>
      <c r="J241" t="s">
        <v>90</v>
      </c>
      <c r="M241">
        <v>48155.7</v>
      </c>
      <c r="N241">
        <v>0.105</v>
      </c>
      <c r="O241">
        <v>2890.9</v>
      </c>
      <c r="P241" t="s">
        <v>1059</v>
      </c>
      <c r="Q241">
        <v>3.7999999999999999E-2</v>
      </c>
      <c r="R241">
        <v>65662</v>
      </c>
      <c r="S241">
        <v>19</v>
      </c>
      <c r="T241" t="s">
        <v>88</v>
      </c>
      <c r="U241" t="s">
        <v>207</v>
      </c>
      <c r="V241" t="s">
        <v>1</v>
      </c>
      <c r="W241" t="s">
        <v>391</v>
      </c>
      <c r="X241" t="s">
        <v>9</v>
      </c>
      <c r="Y241" t="s">
        <v>9</v>
      </c>
      <c r="Z241">
        <v>2013</v>
      </c>
      <c r="AA241">
        <v>2030</v>
      </c>
      <c r="AB241" t="s">
        <v>109</v>
      </c>
      <c r="AC241">
        <v>0</v>
      </c>
      <c r="AD241">
        <v>0</v>
      </c>
      <c r="AE241" t="s">
        <v>1058</v>
      </c>
      <c r="AF241" t="s">
        <v>66</v>
      </c>
      <c r="AG241" t="s">
        <v>22</v>
      </c>
      <c r="AH241" t="s">
        <v>1057</v>
      </c>
      <c r="AI241">
        <v>2018</v>
      </c>
      <c r="AJ241">
        <v>2030</v>
      </c>
      <c r="AK241" t="s">
        <v>1056</v>
      </c>
      <c r="AL241" t="s">
        <v>1055</v>
      </c>
      <c r="AM241" t="s">
        <v>1054</v>
      </c>
    </row>
    <row r="242" spans="1:48" customFormat="1">
      <c r="A242" s="1">
        <v>232</v>
      </c>
      <c r="B242" t="s">
        <v>1052</v>
      </c>
      <c r="C242" t="s">
        <v>1</v>
      </c>
      <c r="D242" t="str">
        <f>IF(G242="n","-",MIN(X242,AI242,AN242))</f>
        <v>-</v>
      </c>
      <c r="E242" t="s">
        <v>9</v>
      </c>
      <c r="F242" t="str">
        <f t="shared" si="21"/>
        <v/>
      </c>
      <c r="G242" t="str">
        <f t="shared" si="22"/>
        <v>n</v>
      </c>
      <c r="H242" t="str">
        <f t="shared" si="19"/>
        <v>None</v>
      </c>
      <c r="I242" t="s">
        <v>76</v>
      </c>
      <c r="J242" t="s">
        <v>80</v>
      </c>
      <c r="M242">
        <v>47981.3</v>
      </c>
      <c r="N242">
        <v>0.108</v>
      </c>
      <c r="O242">
        <v>7608.4</v>
      </c>
      <c r="P242" t="s">
        <v>1053</v>
      </c>
      <c r="Q242">
        <v>3.2000000000000001E-2</v>
      </c>
      <c r="R242">
        <v>58338</v>
      </c>
      <c r="S242">
        <v>19</v>
      </c>
      <c r="T242" t="s">
        <v>88</v>
      </c>
      <c r="U242" t="s">
        <v>73</v>
      </c>
      <c r="V242" t="s">
        <v>1</v>
      </c>
      <c r="W242" t="s">
        <v>9</v>
      </c>
      <c r="X242" t="s">
        <v>9</v>
      </c>
      <c r="Y242" t="s">
        <v>9</v>
      </c>
      <c r="Z242" t="s">
        <v>9</v>
      </c>
      <c r="AA242" t="s">
        <v>9</v>
      </c>
      <c r="AB242">
        <v>0</v>
      </c>
      <c r="AC242">
        <v>0</v>
      </c>
      <c r="AD242">
        <v>0</v>
      </c>
      <c r="AE242">
        <v>0</v>
      </c>
      <c r="AF242">
        <v>0</v>
      </c>
      <c r="AG242">
        <v>0</v>
      </c>
      <c r="AH242">
        <v>0</v>
      </c>
      <c r="AI242">
        <v>0</v>
      </c>
      <c r="AL242">
        <v>0</v>
      </c>
      <c r="AM242" t="s">
        <v>1052</v>
      </c>
    </row>
    <row r="243" spans="1:48" customFormat="1">
      <c r="A243" s="1">
        <v>233</v>
      </c>
      <c r="B243" t="s">
        <v>1051</v>
      </c>
      <c r="C243" t="s">
        <v>1</v>
      </c>
      <c r="D243">
        <f>IF(G243="n","",MIN(X243,AI243,AN243))</f>
        <v>2015</v>
      </c>
      <c r="E243" t="s">
        <v>369</v>
      </c>
      <c r="F243">
        <f t="shared" si="21"/>
        <v>2015</v>
      </c>
      <c r="G243" t="str">
        <f t="shared" si="22"/>
        <v>y</v>
      </c>
      <c r="H243" t="str">
        <f t="shared" si="19"/>
        <v xml:space="preserve"> SBT</v>
      </c>
      <c r="I243" t="s">
        <v>342</v>
      </c>
      <c r="J243" t="s">
        <v>342</v>
      </c>
      <c r="M243">
        <v>47842.1</v>
      </c>
      <c r="N243">
        <v>3.5999999999999997E-2</v>
      </c>
      <c r="O243">
        <v>1335.7</v>
      </c>
      <c r="P243" t="s">
        <v>1050</v>
      </c>
      <c r="Q243">
        <v>0.155</v>
      </c>
      <c r="R243">
        <v>201522</v>
      </c>
      <c r="S243">
        <v>-5</v>
      </c>
      <c r="T243" t="s">
        <v>88</v>
      </c>
      <c r="U243" t="s">
        <v>161</v>
      </c>
      <c r="V243" t="s">
        <v>1</v>
      </c>
      <c r="W243" t="s">
        <v>9</v>
      </c>
      <c r="X243" t="s">
        <v>9</v>
      </c>
      <c r="Y243" t="s">
        <v>9</v>
      </c>
      <c r="Z243" t="s">
        <v>9</v>
      </c>
      <c r="AA243" t="s">
        <v>9</v>
      </c>
      <c r="AB243">
        <v>0</v>
      </c>
      <c r="AC243">
        <v>0</v>
      </c>
      <c r="AD243">
        <v>0</v>
      </c>
      <c r="AE243">
        <v>0</v>
      </c>
      <c r="AF243" t="s">
        <v>454</v>
      </c>
      <c r="AG243" t="s">
        <v>165</v>
      </c>
      <c r="AH243" t="s">
        <v>1049</v>
      </c>
      <c r="AI243">
        <v>2015</v>
      </c>
      <c r="AL243">
        <v>0</v>
      </c>
      <c r="AM243" t="s">
        <v>1048</v>
      </c>
    </row>
    <row r="244" spans="1:48" customFormat="1">
      <c r="A244" s="1">
        <v>234</v>
      </c>
      <c r="B244" t="s">
        <v>1044</v>
      </c>
      <c r="C244" t="s">
        <v>1</v>
      </c>
      <c r="D244">
        <f>IF(G244="n","",MIN(X244,AI244,AN244))</f>
        <v>2018</v>
      </c>
      <c r="F244">
        <f t="shared" si="21"/>
        <v>2018</v>
      </c>
      <c r="G244" t="str">
        <f t="shared" si="22"/>
        <v>y</v>
      </c>
      <c r="H244" t="str">
        <f t="shared" si="19"/>
        <v>RE100</v>
      </c>
      <c r="I244" t="s">
        <v>76</v>
      </c>
      <c r="J244" t="s">
        <v>80</v>
      </c>
      <c r="M244">
        <v>47608</v>
      </c>
      <c r="N244">
        <v>2.4E-2</v>
      </c>
      <c r="O244">
        <v>6283.2</v>
      </c>
      <c r="P244" t="s">
        <v>1047</v>
      </c>
      <c r="Q244">
        <v>0.58399999999999996</v>
      </c>
      <c r="R244">
        <v>125627</v>
      </c>
      <c r="S244">
        <v>-10</v>
      </c>
      <c r="T244" t="s">
        <v>88</v>
      </c>
      <c r="U244" t="s">
        <v>267</v>
      </c>
      <c r="V244" t="s">
        <v>1</v>
      </c>
      <c r="W244" t="s">
        <v>1046</v>
      </c>
      <c r="X244" t="s">
        <v>9</v>
      </c>
      <c r="Y244" t="s">
        <v>9</v>
      </c>
      <c r="Z244" t="s">
        <v>9</v>
      </c>
      <c r="AA244">
        <v>2025</v>
      </c>
      <c r="AB244">
        <v>0</v>
      </c>
      <c r="AC244">
        <v>0</v>
      </c>
      <c r="AD244">
        <v>0</v>
      </c>
      <c r="AE244" t="s">
        <v>1045</v>
      </c>
      <c r="AF244">
        <v>0</v>
      </c>
      <c r="AG244">
        <v>0</v>
      </c>
      <c r="AH244">
        <v>0</v>
      </c>
      <c r="AL244">
        <v>0</v>
      </c>
      <c r="AM244" t="s">
        <v>1044</v>
      </c>
      <c r="AN244">
        <v>2018</v>
      </c>
      <c r="AO244">
        <v>2030</v>
      </c>
      <c r="AP244" t="s">
        <v>1043</v>
      </c>
      <c r="AQ244">
        <v>0.27</v>
      </c>
      <c r="AR244" t="s">
        <v>13</v>
      </c>
      <c r="AS244" t="s">
        <v>13</v>
      </c>
      <c r="AT244" t="s">
        <v>1042</v>
      </c>
    </row>
    <row r="245" spans="1:48" customFormat="1">
      <c r="A245" s="1">
        <v>235</v>
      </c>
      <c r="B245" t="s">
        <v>1041</v>
      </c>
      <c r="C245" t="s">
        <v>1</v>
      </c>
      <c r="D245" t="str">
        <f>IF(G245="n","-",MIN(X245,AI245,AN245))</f>
        <v>-</v>
      </c>
      <c r="E245" t="s">
        <v>9</v>
      </c>
      <c r="F245" t="str">
        <f t="shared" si="21"/>
        <v/>
      </c>
      <c r="G245" t="str">
        <f t="shared" si="22"/>
        <v>n</v>
      </c>
      <c r="H245" t="str">
        <f t="shared" si="19"/>
        <v>None</v>
      </c>
      <c r="I245" t="s">
        <v>76</v>
      </c>
      <c r="J245" t="s">
        <v>488</v>
      </c>
      <c r="M245">
        <v>47389</v>
      </c>
      <c r="N245">
        <v>-4.2999999999999997E-2</v>
      </c>
      <c r="O245">
        <v>-6</v>
      </c>
      <c r="P245" t="s">
        <v>1040</v>
      </c>
      <c r="Q245" t="s">
        <v>9</v>
      </c>
      <c r="R245">
        <v>49600</v>
      </c>
      <c r="S245">
        <v>-28</v>
      </c>
      <c r="T245" t="s">
        <v>88</v>
      </c>
      <c r="U245" t="s">
        <v>127</v>
      </c>
      <c r="V245" t="s">
        <v>1</v>
      </c>
      <c r="W245" t="s">
        <v>1039</v>
      </c>
      <c r="X245" t="s">
        <v>9</v>
      </c>
      <c r="Y245" t="s">
        <v>9</v>
      </c>
      <c r="Z245" t="s">
        <v>9</v>
      </c>
      <c r="AA245">
        <v>2023</v>
      </c>
      <c r="AB245">
        <v>0</v>
      </c>
      <c r="AC245">
        <v>0</v>
      </c>
      <c r="AD245">
        <v>0</v>
      </c>
      <c r="AE245" t="s">
        <v>1038</v>
      </c>
      <c r="AF245">
        <v>0</v>
      </c>
      <c r="AG245">
        <v>0</v>
      </c>
      <c r="AH245">
        <v>0</v>
      </c>
      <c r="AI245">
        <v>0</v>
      </c>
      <c r="AL245">
        <v>0</v>
      </c>
      <c r="AM245" t="s">
        <v>1037</v>
      </c>
    </row>
    <row r="246" spans="1:48" customFormat="1">
      <c r="A246" s="1">
        <v>236</v>
      </c>
      <c r="B246" t="s">
        <v>1033</v>
      </c>
      <c r="C246" t="s">
        <v>1</v>
      </c>
      <c r="D246">
        <f>IF(G246="n","",MIN(X246,AI246,AN246))</f>
        <v>2018</v>
      </c>
      <c r="F246">
        <f t="shared" si="21"/>
        <v>2018</v>
      </c>
      <c r="G246" t="str">
        <f t="shared" si="22"/>
        <v>y</v>
      </c>
      <c r="H246" t="str">
        <f t="shared" si="19"/>
        <v>CN</v>
      </c>
      <c r="I246" t="s">
        <v>76</v>
      </c>
      <c r="J246" t="s">
        <v>80</v>
      </c>
      <c r="M246">
        <v>47286</v>
      </c>
      <c r="N246">
        <v>-6.0000000000000001E-3</v>
      </c>
      <c r="O246">
        <v>328.8</v>
      </c>
      <c r="P246" t="s">
        <v>1036</v>
      </c>
      <c r="Q246" t="s">
        <v>9</v>
      </c>
      <c r="R246">
        <v>257252</v>
      </c>
      <c r="S246">
        <v>-20</v>
      </c>
      <c r="T246" t="s">
        <v>180</v>
      </c>
      <c r="U246" t="s">
        <v>87</v>
      </c>
      <c r="V246" t="s">
        <v>32</v>
      </c>
      <c r="W246" t="s">
        <v>9</v>
      </c>
      <c r="X246">
        <v>2018</v>
      </c>
      <c r="Y246" t="s">
        <v>9</v>
      </c>
      <c r="Z246" t="s">
        <v>9</v>
      </c>
      <c r="AA246">
        <v>2030</v>
      </c>
      <c r="AB246" t="s">
        <v>31</v>
      </c>
      <c r="AC246">
        <v>0</v>
      </c>
      <c r="AD246" t="s">
        <v>1035</v>
      </c>
      <c r="AE246" t="s">
        <v>1034</v>
      </c>
      <c r="AF246">
        <v>0</v>
      </c>
      <c r="AG246">
        <v>0</v>
      </c>
      <c r="AH246">
        <v>0</v>
      </c>
      <c r="AL246">
        <v>0</v>
      </c>
      <c r="AM246" t="s">
        <v>1033</v>
      </c>
    </row>
    <row r="247" spans="1:48" customFormat="1">
      <c r="A247" s="1">
        <v>237</v>
      </c>
      <c r="B247" t="s">
        <v>1031</v>
      </c>
      <c r="C247" t="s">
        <v>1</v>
      </c>
      <c r="D247" t="str">
        <f>IF(G247="n","-",MIN(X247,AI247,AN247))</f>
        <v>-</v>
      </c>
      <c r="E247" t="s">
        <v>9</v>
      </c>
      <c r="F247" t="str">
        <f t="shared" si="21"/>
        <v/>
      </c>
      <c r="G247" t="str">
        <f t="shared" si="22"/>
        <v>n</v>
      </c>
      <c r="H247" t="str">
        <f t="shared" si="19"/>
        <v>None</v>
      </c>
      <c r="I247" t="s">
        <v>186</v>
      </c>
      <c r="J247" t="s">
        <v>215</v>
      </c>
      <c r="M247">
        <v>47272.7</v>
      </c>
      <c r="N247">
        <v>0.34399999999999997</v>
      </c>
      <c r="O247">
        <v>11900.6</v>
      </c>
      <c r="P247" t="s">
        <v>1032</v>
      </c>
      <c r="Q247">
        <v>0.125</v>
      </c>
      <c r="R247">
        <v>54309</v>
      </c>
      <c r="S247">
        <v>94</v>
      </c>
      <c r="T247" t="s">
        <v>88</v>
      </c>
      <c r="U247" t="s">
        <v>73</v>
      </c>
      <c r="V247" t="s">
        <v>1</v>
      </c>
      <c r="W247" t="s">
        <v>9</v>
      </c>
      <c r="X247" t="s">
        <v>9</v>
      </c>
      <c r="Y247" t="s">
        <v>9</v>
      </c>
      <c r="Z247" t="s">
        <v>9</v>
      </c>
      <c r="AA247" t="s">
        <v>9</v>
      </c>
      <c r="AB247">
        <v>0</v>
      </c>
      <c r="AC247">
        <v>0</v>
      </c>
      <c r="AD247">
        <v>0</v>
      </c>
      <c r="AE247">
        <v>0</v>
      </c>
      <c r="AF247">
        <v>0</v>
      </c>
      <c r="AG247">
        <v>0</v>
      </c>
      <c r="AH247">
        <v>0</v>
      </c>
      <c r="AI247">
        <v>0</v>
      </c>
      <c r="AL247">
        <v>0</v>
      </c>
      <c r="AM247" t="s">
        <v>1031</v>
      </c>
    </row>
    <row r="248" spans="1:48" customFormat="1">
      <c r="A248" s="1">
        <v>238</v>
      </c>
      <c r="B248" t="s">
        <v>1027</v>
      </c>
      <c r="C248" t="s">
        <v>1</v>
      </c>
      <c r="D248">
        <f>IF(G248="n","",MIN(X248,AI248,AN248))</f>
        <v>2014</v>
      </c>
      <c r="F248">
        <f t="shared" si="21"/>
        <v>2014</v>
      </c>
      <c r="G248" t="str">
        <f t="shared" si="22"/>
        <v>y</v>
      </c>
      <c r="H248" t="str">
        <f t="shared" si="19"/>
        <v>CN</v>
      </c>
      <c r="I248" t="s">
        <v>76</v>
      </c>
      <c r="J248" t="s">
        <v>269</v>
      </c>
      <c r="M248">
        <v>47180</v>
      </c>
      <c r="N248">
        <v>-0.26200000000000001</v>
      </c>
      <c r="O248">
        <v>3716</v>
      </c>
      <c r="P248" t="s">
        <v>1030</v>
      </c>
      <c r="Q248">
        <v>0.23699999999999999</v>
      </c>
      <c r="R248">
        <v>52267</v>
      </c>
      <c r="S248">
        <v>-96</v>
      </c>
      <c r="T248" t="s">
        <v>88</v>
      </c>
      <c r="U248" t="s">
        <v>287</v>
      </c>
      <c r="V248" t="s">
        <v>32</v>
      </c>
      <c r="W248" t="s">
        <v>9</v>
      </c>
      <c r="X248">
        <v>2014</v>
      </c>
      <c r="Y248" t="s">
        <v>9</v>
      </c>
      <c r="Z248" t="s">
        <v>9</v>
      </c>
      <c r="AA248" t="s">
        <v>9</v>
      </c>
      <c r="AB248" t="s">
        <v>31</v>
      </c>
      <c r="AC248">
        <v>0</v>
      </c>
      <c r="AD248" t="s">
        <v>1029</v>
      </c>
      <c r="AE248" t="s">
        <v>1028</v>
      </c>
      <c r="AF248" t="s">
        <v>93</v>
      </c>
      <c r="AG248">
        <v>0</v>
      </c>
      <c r="AH248">
        <v>0</v>
      </c>
      <c r="AL248">
        <v>0</v>
      </c>
      <c r="AM248" t="s">
        <v>1027</v>
      </c>
      <c r="AV248" t="s">
        <v>361</v>
      </c>
    </row>
    <row r="249" spans="1:48" customFormat="1">
      <c r="A249" s="1">
        <v>239</v>
      </c>
      <c r="B249" t="s">
        <v>1023</v>
      </c>
      <c r="C249" t="s">
        <v>1</v>
      </c>
      <c r="D249">
        <f>IF(G249="n","",MIN(X249,AI249,AN249))</f>
        <v>2013</v>
      </c>
      <c r="F249">
        <f t="shared" si="21"/>
        <v>2013</v>
      </c>
      <c r="G249" t="str">
        <f t="shared" si="22"/>
        <v>y</v>
      </c>
      <c r="H249" t="str">
        <f t="shared" si="19"/>
        <v>CN</v>
      </c>
      <c r="I249" t="s">
        <v>76</v>
      </c>
      <c r="J249" t="s">
        <v>80</v>
      </c>
      <c r="M249">
        <v>46969.5</v>
      </c>
      <c r="N249">
        <v>0.01</v>
      </c>
      <c r="O249">
        <v>315.10000000000002</v>
      </c>
      <c r="P249" t="s">
        <v>1026</v>
      </c>
      <c r="Q249" t="s">
        <v>9</v>
      </c>
      <c r="R249">
        <v>91737</v>
      </c>
      <c r="S249">
        <v>-16</v>
      </c>
      <c r="T249" t="s">
        <v>88</v>
      </c>
      <c r="U249" t="s">
        <v>146</v>
      </c>
      <c r="V249" t="s">
        <v>32</v>
      </c>
      <c r="W249" t="s">
        <v>9</v>
      </c>
      <c r="X249">
        <v>2013</v>
      </c>
      <c r="Y249" t="s">
        <v>9</v>
      </c>
      <c r="Z249" t="s">
        <v>9</v>
      </c>
      <c r="AA249" t="s">
        <v>9</v>
      </c>
      <c r="AB249" t="s">
        <v>31</v>
      </c>
      <c r="AC249">
        <v>0</v>
      </c>
      <c r="AD249" t="s">
        <v>1025</v>
      </c>
      <c r="AE249" t="s">
        <v>1024</v>
      </c>
      <c r="AF249" t="s">
        <v>93</v>
      </c>
      <c r="AG249">
        <v>0</v>
      </c>
      <c r="AH249">
        <v>0</v>
      </c>
      <c r="AL249">
        <v>0</v>
      </c>
      <c r="AM249" t="s">
        <v>1023</v>
      </c>
    </row>
    <row r="250" spans="1:48" customFormat="1">
      <c r="A250" s="1">
        <v>240</v>
      </c>
      <c r="B250" t="s">
        <v>1019</v>
      </c>
      <c r="C250" t="s">
        <v>1</v>
      </c>
      <c r="D250" t="str">
        <f t="shared" ref="D250:D274" si="23">IF(G250="n","-",MIN(X250,AI250,AN250))</f>
        <v>-</v>
      </c>
      <c r="E250" t="s">
        <v>9</v>
      </c>
      <c r="F250" t="str">
        <f t="shared" si="21"/>
        <v/>
      </c>
      <c r="G250" t="str">
        <f t="shared" si="22"/>
        <v>n</v>
      </c>
      <c r="H250" t="str">
        <f t="shared" si="19"/>
        <v>None</v>
      </c>
      <c r="I250" t="s">
        <v>319</v>
      </c>
      <c r="J250" t="s">
        <v>573</v>
      </c>
      <c r="M250">
        <v>46718.1</v>
      </c>
      <c r="N250">
        <v>-0.1</v>
      </c>
      <c r="O250">
        <v>2000.4</v>
      </c>
      <c r="P250" t="s">
        <v>1022</v>
      </c>
      <c r="Q250">
        <v>-0.75800000000000001</v>
      </c>
      <c r="R250">
        <v>116998</v>
      </c>
      <c r="S250">
        <v>-47</v>
      </c>
      <c r="T250" t="s">
        <v>88</v>
      </c>
      <c r="U250" t="s">
        <v>146</v>
      </c>
      <c r="V250" t="s">
        <v>1</v>
      </c>
      <c r="W250" t="s">
        <v>1021</v>
      </c>
      <c r="X250" t="s">
        <v>9</v>
      </c>
      <c r="Y250" t="s">
        <v>9</v>
      </c>
      <c r="Z250">
        <v>2015</v>
      </c>
      <c r="AA250">
        <v>2020</v>
      </c>
      <c r="AB250" t="s">
        <v>31</v>
      </c>
      <c r="AC250">
        <v>0</v>
      </c>
      <c r="AD250">
        <v>0</v>
      </c>
      <c r="AE250" t="s">
        <v>1020</v>
      </c>
      <c r="AF250">
        <v>0</v>
      </c>
      <c r="AG250">
        <v>0</v>
      </c>
      <c r="AH250">
        <v>0</v>
      </c>
      <c r="AI250">
        <v>0</v>
      </c>
      <c r="AL250">
        <v>0</v>
      </c>
      <c r="AM250" t="s">
        <v>1019</v>
      </c>
    </row>
    <row r="251" spans="1:48" customFormat="1">
      <c r="A251" s="1">
        <v>241</v>
      </c>
      <c r="B251" t="s">
        <v>1018</v>
      </c>
      <c r="C251" t="s">
        <v>1</v>
      </c>
      <c r="D251" t="str">
        <f t="shared" si="23"/>
        <v>-</v>
      </c>
      <c r="E251" t="s">
        <v>9</v>
      </c>
      <c r="F251" t="str">
        <f t="shared" si="21"/>
        <v/>
      </c>
      <c r="G251" t="str">
        <f t="shared" si="22"/>
        <v>n</v>
      </c>
      <c r="H251" t="str">
        <f t="shared" si="19"/>
        <v>None</v>
      </c>
      <c r="I251" t="s">
        <v>319</v>
      </c>
      <c r="J251" t="s">
        <v>779</v>
      </c>
      <c r="M251">
        <v>46677</v>
      </c>
      <c r="N251">
        <v>-0.02</v>
      </c>
      <c r="O251">
        <v>3787</v>
      </c>
      <c r="P251" t="s">
        <v>1017</v>
      </c>
      <c r="Q251">
        <v>0.70899999999999996</v>
      </c>
      <c r="R251">
        <v>229000</v>
      </c>
      <c r="S251">
        <v>-26</v>
      </c>
      <c r="T251" t="s">
        <v>88</v>
      </c>
      <c r="U251" t="s">
        <v>127</v>
      </c>
      <c r="V251" t="s">
        <v>1</v>
      </c>
      <c r="W251" t="s">
        <v>9</v>
      </c>
      <c r="X251" t="s">
        <v>9</v>
      </c>
      <c r="Y251" t="s">
        <v>9</v>
      </c>
      <c r="Z251" t="s">
        <v>9</v>
      </c>
      <c r="AA251" t="s">
        <v>9</v>
      </c>
      <c r="AB251">
        <v>0</v>
      </c>
      <c r="AC251">
        <v>0</v>
      </c>
      <c r="AD251">
        <v>0</v>
      </c>
      <c r="AE251">
        <v>0</v>
      </c>
      <c r="AF251">
        <v>0</v>
      </c>
      <c r="AG251">
        <v>0</v>
      </c>
      <c r="AH251">
        <v>0</v>
      </c>
      <c r="AI251">
        <v>0</v>
      </c>
      <c r="AL251">
        <v>0</v>
      </c>
      <c r="AM251" t="s">
        <v>1016</v>
      </c>
    </row>
    <row r="252" spans="1:48" customFormat="1">
      <c r="A252" s="1">
        <v>242</v>
      </c>
      <c r="B252" t="s">
        <v>1014</v>
      </c>
      <c r="C252" t="s">
        <v>1</v>
      </c>
      <c r="D252" t="str">
        <f t="shared" si="23"/>
        <v>-</v>
      </c>
      <c r="E252" t="s">
        <v>9</v>
      </c>
      <c r="F252" t="str">
        <f t="shared" si="21"/>
        <v/>
      </c>
      <c r="G252" t="str">
        <f t="shared" si="22"/>
        <v>n</v>
      </c>
      <c r="H252" t="str">
        <f t="shared" si="19"/>
        <v>None</v>
      </c>
      <c r="I252" t="s">
        <v>76</v>
      </c>
      <c r="J252" t="s">
        <v>976</v>
      </c>
      <c r="M252">
        <v>46207.1</v>
      </c>
      <c r="N252">
        <v>0.249</v>
      </c>
      <c r="O252">
        <v>1495.9</v>
      </c>
      <c r="P252" t="s">
        <v>1015</v>
      </c>
      <c r="Q252">
        <v>0.29799999999999999</v>
      </c>
      <c r="R252">
        <v>97527</v>
      </c>
      <c r="S252">
        <v>70</v>
      </c>
      <c r="T252" t="s">
        <v>180</v>
      </c>
      <c r="U252" t="s">
        <v>73</v>
      </c>
      <c r="V252" t="s">
        <v>1</v>
      </c>
      <c r="W252" t="s">
        <v>9</v>
      </c>
      <c r="X252" t="s">
        <v>9</v>
      </c>
      <c r="Y252" t="s">
        <v>9</v>
      </c>
      <c r="Z252" t="s">
        <v>9</v>
      </c>
      <c r="AA252" t="s">
        <v>9</v>
      </c>
      <c r="AB252">
        <v>0</v>
      </c>
      <c r="AC252">
        <v>0</v>
      </c>
      <c r="AD252">
        <v>0</v>
      </c>
      <c r="AE252">
        <v>0</v>
      </c>
      <c r="AF252">
        <v>0</v>
      </c>
      <c r="AG252">
        <v>0</v>
      </c>
      <c r="AH252">
        <v>0</v>
      </c>
      <c r="AI252">
        <v>0</v>
      </c>
      <c r="AL252">
        <v>0</v>
      </c>
      <c r="AM252" t="s">
        <v>1014</v>
      </c>
    </row>
    <row r="253" spans="1:48" customFormat="1">
      <c r="A253" s="1">
        <v>243</v>
      </c>
      <c r="B253" t="s">
        <v>1012</v>
      </c>
      <c r="C253" t="s">
        <v>1</v>
      </c>
      <c r="D253" t="str">
        <f t="shared" si="23"/>
        <v>-</v>
      </c>
      <c r="E253" t="s">
        <v>9</v>
      </c>
      <c r="F253" t="str">
        <f t="shared" si="21"/>
        <v/>
      </c>
      <c r="G253" t="str">
        <f t="shared" si="22"/>
        <v>n</v>
      </c>
      <c r="H253" t="str">
        <f t="shared" si="19"/>
        <v>None</v>
      </c>
      <c r="I253" t="s">
        <v>178</v>
      </c>
      <c r="J253" t="s">
        <v>860</v>
      </c>
      <c r="M253">
        <v>46114.400000000001</v>
      </c>
      <c r="N253">
        <v>3.7999999999999999E-2</v>
      </c>
      <c r="O253">
        <v>930.2</v>
      </c>
      <c r="P253" t="s">
        <v>1013</v>
      </c>
      <c r="Q253">
        <v>0.29799999999999999</v>
      </c>
      <c r="R253">
        <v>165274</v>
      </c>
      <c r="S253">
        <v>2</v>
      </c>
      <c r="T253" t="s">
        <v>180</v>
      </c>
      <c r="U253" t="s">
        <v>73</v>
      </c>
      <c r="V253" t="s">
        <v>1</v>
      </c>
      <c r="W253" t="s">
        <v>9</v>
      </c>
      <c r="X253" t="s">
        <v>9</v>
      </c>
      <c r="Y253" t="s">
        <v>9</v>
      </c>
      <c r="Z253" t="s">
        <v>9</v>
      </c>
      <c r="AA253" t="s">
        <v>9</v>
      </c>
      <c r="AB253">
        <v>0</v>
      </c>
      <c r="AC253">
        <v>0</v>
      </c>
      <c r="AD253">
        <v>0</v>
      </c>
      <c r="AE253">
        <v>0</v>
      </c>
      <c r="AF253">
        <v>0</v>
      </c>
      <c r="AG253">
        <v>0</v>
      </c>
      <c r="AH253">
        <v>0</v>
      </c>
      <c r="AI253">
        <v>0</v>
      </c>
      <c r="AL253">
        <v>0</v>
      </c>
      <c r="AM253" t="s">
        <v>1012</v>
      </c>
    </row>
    <row r="254" spans="1:48" customFormat="1">
      <c r="A254" s="1">
        <v>244</v>
      </c>
      <c r="B254" t="s">
        <v>1010</v>
      </c>
      <c r="C254" t="s">
        <v>1</v>
      </c>
      <c r="D254" t="str">
        <f t="shared" si="23"/>
        <v>-</v>
      </c>
      <c r="E254" t="s">
        <v>9</v>
      </c>
      <c r="F254" t="str">
        <f t="shared" si="21"/>
        <v/>
      </c>
      <c r="G254" t="str">
        <f t="shared" si="22"/>
        <v>n</v>
      </c>
      <c r="H254" t="str">
        <f t="shared" si="19"/>
        <v>None</v>
      </c>
      <c r="I254" t="s">
        <v>178</v>
      </c>
      <c r="J254" t="s">
        <v>360</v>
      </c>
      <c r="M254">
        <v>45925.7</v>
      </c>
      <c r="N254">
        <v>0.14899999999999999</v>
      </c>
      <c r="O254">
        <v>4468.7</v>
      </c>
      <c r="P254" t="s">
        <v>1011</v>
      </c>
      <c r="Q254">
        <v>0.106</v>
      </c>
      <c r="R254">
        <v>115281</v>
      </c>
      <c r="S254">
        <v>36</v>
      </c>
      <c r="T254" t="s">
        <v>180</v>
      </c>
      <c r="U254" t="s">
        <v>73</v>
      </c>
      <c r="V254" t="s">
        <v>1</v>
      </c>
      <c r="W254" t="s">
        <v>9</v>
      </c>
      <c r="X254" t="s">
        <v>9</v>
      </c>
      <c r="Y254" t="s">
        <v>9</v>
      </c>
      <c r="Z254" t="s">
        <v>9</v>
      </c>
      <c r="AA254" t="s">
        <v>9</v>
      </c>
      <c r="AB254">
        <v>0</v>
      </c>
      <c r="AC254">
        <v>0</v>
      </c>
      <c r="AD254">
        <v>0</v>
      </c>
      <c r="AE254">
        <v>0</v>
      </c>
      <c r="AF254">
        <v>0</v>
      </c>
      <c r="AG254">
        <v>0</v>
      </c>
      <c r="AH254">
        <v>0</v>
      </c>
      <c r="AI254">
        <v>0</v>
      </c>
      <c r="AL254">
        <v>0</v>
      </c>
      <c r="AM254" t="s">
        <v>1010</v>
      </c>
    </row>
    <row r="255" spans="1:48" customFormat="1">
      <c r="A255" s="1">
        <v>245</v>
      </c>
      <c r="B255" t="s">
        <v>1006</v>
      </c>
      <c r="C255" t="s">
        <v>1</v>
      </c>
      <c r="D255" t="str">
        <f t="shared" si="23"/>
        <v>-</v>
      </c>
      <c r="E255" t="s">
        <v>9</v>
      </c>
      <c r="F255" t="str">
        <f t="shared" si="21"/>
        <v/>
      </c>
      <c r="G255" t="str">
        <f t="shared" si="22"/>
        <v>n</v>
      </c>
      <c r="H255" t="str">
        <f t="shared" si="19"/>
        <v>None</v>
      </c>
      <c r="I255" t="s">
        <v>461</v>
      </c>
      <c r="J255" t="s">
        <v>461</v>
      </c>
      <c r="M255">
        <v>45820.800000000003</v>
      </c>
      <c r="N255">
        <v>7.0000000000000001E-3</v>
      </c>
      <c r="O255">
        <v>5570.9</v>
      </c>
      <c r="P255" t="s">
        <v>1009</v>
      </c>
      <c r="Q255">
        <v>7.8E-2</v>
      </c>
      <c r="R255">
        <v>41996</v>
      </c>
      <c r="S255">
        <v>-9</v>
      </c>
      <c r="T255" t="s">
        <v>88</v>
      </c>
      <c r="U255" t="s">
        <v>207</v>
      </c>
      <c r="V255" t="s">
        <v>1</v>
      </c>
      <c r="W255" t="s">
        <v>1008</v>
      </c>
      <c r="X255" t="s">
        <v>9</v>
      </c>
      <c r="Y255" t="s">
        <v>9</v>
      </c>
      <c r="Z255">
        <v>2014</v>
      </c>
      <c r="AA255">
        <v>2031</v>
      </c>
      <c r="AB255">
        <v>0</v>
      </c>
      <c r="AC255">
        <v>0</v>
      </c>
      <c r="AD255">
        <v>0</v>
      </c>
      <c r="AE255" t="s">
        <v>1007</v>
      </c>
      <c r="AF255">
        <v>0</v>
      </c>
      <c r="AG255">
        <v>0</v>
      </c>
      <c r="AH255">
        <v>0</v>
      </c>
      <c r="AI255">
        <v>0</v>
      </c>
      <c r="AL255">
        <v>0</v>
      </c>
      <c r="AM255" t="s">
        <v>1006</v>
      </c>
    </row>
    <row r="256" spans="1:48" customFormat="1">
      <c r="A256" s="1">
        <v>246</v>
      </c>
      <c r="B256" t="s">
        <v>1005</v>
      </c>
      <c r="C256" t="s">
        <v>1</v>
      </c>
      <c r="D256" t="str">
        <f t="shared" si="23"/>
        <v>-</v>
      </c>
      <c r="E256" t="s">
        <v>9</v>
      </c>
      <c r="F256" t="str">
        <f t="shared" si="21"/>
        <v/>
      </c>
      <c r="G256" t="str">
        <f t="shared" si="22"/>
        <v>n</v>
      </c>
      <c r="H256" t="str">
        <f t="shared" si="19"/>
        <v>None</v>
      </c>
      <c r="I256" t="s">
        <v>71</v>
      </c>
      <c r="J256" t="s">
        <v>138</v>
      </c>
      <c r="K256" s="7" t="s">
        <v>1004</v>
      </c>
      <c r="L256" t="s">
        <v>1003</v>
      </c>
      <c r="M256">
        <v>45809</v>
      </c>
      <c r="N256">
        <v>0.19700000000000001</v>
      </c>
      <c r="O256">
        <v>3705</v>
      </c>
      <c r="P256" t="s">
        <v>1002</v>
      </c>
      <c r="Q256">
        <v>-0.371</v>
      </c>
      <c r="R256">
        <v>27161</v>
      </c>
      <c r="S256">
        <v>50</v>
      </c>
      <c r="T256" t="s">
        <v>88</v>
      </c>
      <c r="U256" t="s">
        <v>161</v>
      </c>
      <c r="V256" t="s">
        <v>1</v>
      </c>
      <c r="W256" t="s">
        <v>9</v>
      </c>
      <c r="X256" t="s">
        <v>9</v>
      </c>
      <c r="Y256" t="s">
        <v>9</v>
      </c>
      <c r="Z256" t="s">
        <v>9</v>
      </c>
      <c r="AA256" t="s">
        <v>9</v>
      </c>
      <c r="AB256">
        <v>0</v>
      </c>
      <c r="AC256">
        <v>0</v>
      </c>
      <c r="AD256" t="s">
        <v>1001</v>
      </c>
      <c r="AE256" t="s">
        <v>1000</v>
      </c>
      <c r="AF256">
        <v>0</v>
      </c>
      <c r="AG256">
        <v>0</v>
      </c>
      <c r="AH256">
        <v>0</v>
      </c>
      <c r="AI256">
        <v>0</v>
      </c>
      <c r="AL256">
        <v>0</v>
      </c>
      <c r="AM256" t="s">
        <v>999</v>
      </c>
    </row>
    <row r="257" spans="1:39" customFormat="1">
      <c r="A257" s="1">
        <v>247</v>
      </c>
      <c r="B257" t="s">
        <v>995</v>
      </c>
      <c r="C257" t="s">
        <v>1</v>
      </c>
      <c r="D257" t="str">
        <f t="shared" si="23"/>
        <v>-</v>
      </c>
      <c r="E257" t="s">
        <v>9</v>
      </c>
      <c r="F257" t="str">
        <f t="shared" si="21"/>
        <v/>
      </c>
      <c r="G257" t="str">
        <f t="shared" si="22"/>
        <v>n</v>
      </c>
      <c r="H257" t="str">
        <f t="shared" si="19"/>
        <v>None</v>
      </c>
      <c r="I257" t="s">
        <v>124</v>
      </c>
      <c r="J257" t="s">
        <v>560</v>
      </c>
      <c r="M257">
        <v>45743</v>
      </c>
      <c r="N257">
        <v>-1E-3</v>
      </c>
      <c r="O257">
        <v>267</v>
      </c>
      <c r="P257" t="s">
        <v>998</v>
      </c>
      <c r="Q257">
        <v>0.66900000000000004</v>
      </c>
      <c r="R257">
        <v>31000</v>
      </c>
      <c r="S257">
        <v>-14</v>
      </c>
      <c r="T257" t="s">
        <v>88</v>
      </c>
      <c r="U257" t="s">
        <v>127</v>
      </c>
      <c r="V257" t="s">
        <v>1</v>
      </c>
      <c r="W257" t="s">
        <v>997</v>
      </c>
      <c r="X257" t="s">
        <v>9</v>
      </c>
      <c r="Y257" t="s">
        <v>9</v>
      </c>
      <c r="Z257">
        <v>2016</v>
      </c>
      <c r="AA257">
        <v>2026</v>
      </c>
      <c r="AB257">
        <v>0</v>
      </c>
      <c r="AC257">
        <v>0</v>
      </c>
      <c r="AD257">
        <v>0</v>
      </c>
      <c r="AE257" t="s">
        <v>996</v>
      </c>
      <c r="AF257">
        <v>0</v>
      </c>
      <c r="AG257">
        <v>0</v>
      </c>
      <c r="AH257">
        <v>0</v>
      </c>
      <c r="AI257">
        <v>0</v>
      </c>
      <c r="AL257">
        <v>0</v>
      </c>
      <c r="AM257" t="s">
        <v>995</v>
      </c>
    </row>
    <row r="258" spans="1:39" customFormat="1">
      <c r="A258" s="1">
        <v>248</v>
      </c>
      <c r="B258" t="s">
        <v>993</v>
      </c>
      <c r="C258" t="s">
        <v>1</v>
      </c>
      <c r="D258" t="str">
        <f t="shared" si="23"/>
        <v>-</v>
      </c>
      <c r="E258" t="s">
        <v>9</v>
      </c>
      <c r="F258" t="str">
        <f t="shared" si="21"/>
        <v/>
      </c>
      <c r="G258" t="str">
        <f t="shared" si="22"/>
        <v>n</v>
      </c>
      <c r="H258" t="str">
        <f t="shared" ref="H258:H321" si="24">IF((OR(V258="Carbon Neutral",V258="No - but have a post-2030 commitment")),           IF((OR(AG258="Committed",AG258="Targets Set")),                    IF(AN258&gt;1, "CN, SBT &amp; RE100", "CN &amp; SBT"),                   IF(AN258&gt;1, "CN &amp; RE100", "CN")      ),                                                                                             IF((OR(AG258="Committed",AG258="Targets Set")),                IF(AN258&gt;1, "SBT &amp; RE100", " SBT"),                                 IF(AN258&gt;1, "RE100", "None")           )                         )</f>
        <v>None</v>
      </c>
      <c r="I258" t="s">
        <v>76</v>
      </c>
      <c r="J258" t="s">
        <v>199</v>
      </c>
      <c r="M258">
        <v>45461.3</v>
      </c>
      <c r="N258">
        <v>-0.104</v>
      </c>
      <c r="O258">
        <v>1612.9</v>
      </c>
      <c r="P258" t="s">
        <v>994</v>
      </c>
      <c r="Q258">
        <v>0.114</v>
      </c>
      <c r="R258">
        <v>5243</v>
      </c>
      <c r="S258">
        <v>-47</v>
      </c>
      <c r="T258" t="s">
        <v>88</v>
      </c>
      <c r="U258" t="s">
        <v>63</v>
      </c>
      <c r="V258" t="s">
        <v>1</v>
      </c>
      <c r="W258" t="s">
        <v>9</v>
      </c>
      <c r="X258" t="s">
        <v>9</v>
      </c>
      <c r="Y258" t="s">
        <v>9</v>
      </c>
      <c r="Z258" t="s">
        <v>9</v>
      </c>
      <c r="AA258" t="s">
        <v>9</v>
      </c>
      <c r="AB258">
        <v>0</v>
      </c>
      <c r="AC258">
        <v>0</v>
      </c>
      <c r="AD258">
        <v>0</v>
      </c>
      <c r="AE258">
        <v>0</v>
      </c>
      <c r="AF258">
        <v>0</v>
      </c>
      <c r="AG258">
        <v>0</v>
      </c>
      <c r="AH258">
        <v>0</v>
      </c>
      <c r="AI258">
        <v>0</v>
      </c>
      <c r="AL258">
        <v>0</v>
      </c>
      <c r="AM258" t="s">
        <v>993</v>
      </c>
    </row>
    <row r="259" spans="1:39" customFormat="1">
      <c r="A259" s="1">
        <v>249</v>
      </c>
      <c r="B259" t="s">
        <v>991</v>
      </c>
      <c r="C259" t="s">
        <v>1</v>
      </c>
      <c r="D259" t="str">
        <f t="shared" si="23"/>
        <v>-</v>
      </c>
      <c r="E259" t="s">
        <v>9</v>
      </c>
      <c r="F259" t="str">
        <f t="shared" si="21"/>
        <v/>
      </c>
      <c r="G259" t="str">
        <f t="shared" si="22"/>
        <v>n</v>
      </c>
      <c r="H259" t="str">
        <f t="shared" si="24"/>
        <v>None</v>
      </c>
      <c r="I259" t="s">
        <v>91</v>
      </c>
      <c r="J259" t="s">
        <v>90</v>
      </c>
      <c r="M259">
        <v>45435</v>
      </c>
      <c r="N259">
        <v>0.11</v>
      </c>
      <c r="O259">
        <v>362.4</v>
      </c>
      <c r="P259" t="s">
        <v>992</v>
      </c>
      <c r="Q259">
        <v>9.6000000000000002E-2</v>
      </c>
      <c r="R259">
        <v>20142</v>
      </c>
      <c r="S259">
        <v>21</v>
      </c>
      <c r="T259" t="s">
        <v>88</v>
      </c>
      <c r="U259" t="s">
        <v>73</v>
      </c>
      <c r="V259" t="s">
        <v>1</v>
      </c>
      <c r="W259" t="s">
        <v>9</v>
      </c>
      <c r="X259" t="s">
        <v>9</v>
      </c>
      <c r="Y259" t="s">
        <v>9</v>
      </c>
      <c r="Z259" t="s">
        <v>9</v>
      </c>
      <c r="AA259" t="s">
        <v>9</v>
      </c>
      <c r="AB259">
        <v>0</v>
      </c>
      <c r="AC259">
        <v>0</v>
      </c>
      <c r="AD259">
        <v>0</v>
      </c>
      <c r="AE259">
        <v>0</v>
      </c>
      <c r="AF259">
        <v>0</v>
      </c>
      <c r="AG259">
        <v>0</v>
      </c>
      <c r="AH259">
        <v>0</v>
      </c>
      <c r="AI259">
        <v>0</v>
      </c>
      <c r="AL259">
        <v>0</v>
      </c>
      <c r="AM259" t="s">
        <v>991</v>
      </c>
    </row>
    <row r="260" spans="1:39" customFormat="1">
      <c r="A260" s="1">
        <v>250</v>
      </c>
      <c r="B260" t="s">
        <v>989</v>
      </c>
      <c r="C260" t="s">
        <v>1</v>
      </c>
      <c r="D260" t="str">
        <f t="shared" si="23"/>
        <v>-</v>
      </c>
      <c r="E260" t="s">
        <v>9</v>
      </c>
      <c r="F260" t="str">
        <f t="shared" si="21"/>
        <v/>
      </c>
      <c r="G260" t="str">
        <f t="shared" si="22"/>
        <v>n</v>
      </c>
      <c r="H260" t="str">
        <f t="shared" si="24"/>
        <v>None</v>
      </c>
      <c r="I260" t="s">
        <v>283</v>
      </c>
      <c r="J260" t="s">
        <v>495</v>
      </c>
      <c r="M260">
        <v>45424</v>
      </c>
      <c r="N260">
        <v>6.5000000000000002E-2</v>
      </c>
      <c r="O260">
        <v>487.8</v>
      </c>
      <c r="P260" t="s">
        <v>990</v>
      </c>
      <c r="Q260">
        <v>3.4000000000000002E-2</v>
      </c>
      <c r="R260">
        <v>147099</v>
      </c>
      <c r="S260">
        <v>6</v>
      </c>
      <c r="T260" t="s">
        <v>180</v>
      </c>
      <c r="U260" t="s">
        <v>73</v>
      </c>
      <c r="V260" t="s">
        <v>1</v>
      </c>
      <c r="W260" t="s">
        <v>9</v>
      </c>
      <c r="X260" t="s">
        <v>9</v>
      </c>
      <c r="Y260" t="s">
        <v>9</v>
      </c>
      <c r="Z260" t="s">
        <v>9</v>
      </c>
      <c r="AA260" t="s">
        <v>9</v>
      </c>
      <c r="AB260">
        <v>0</v>
      </c>
      <c r="AC260">
        <v>0</v>
      </c>
      <c r="AD260">
        <v>0</v>
      </c>
      <c r="AE260">
        <v>0</v>
      </c>
      <c r="AF260">
        <v>0</v>
      </c>
      <c r="AG260">
        <v>0</v>
      </c>
      <c r="AH260">
        <v>0</v>
      </c>
      <c r="AI260">
        <v>0</v>
      </c>
      <c r="AL260">
        <v>0</v>
      </c>
      <c r="AM260" t="s">
        <v>989</v>
      </c>
    </row>
    <row r="261" spans="1:39" customFormat="1">
      <c r="A261" s="1">
        <v>251</v>
      </c>
      <c r="B261" t="s">
        <v>987</v>
      </c>
      <c r="C261" t="s">
        <v>1</v>
      </c>
      <c r="D261" t="str">
        <f t="shared" si="23"/>
        <v>-</v>
      </c>
      <c r="E261" t="s">
        <v>9</v>
      </c>
      <c r="F261" t="str">
        <f t="shared" si="21"/>
        <v/>
      </c>
      <c r="G261" t="str">
        <f t="shared" si="22"/>
        <v>n</v>
      </c>
      <c r="H261" t="str">
        <f t="shared" si="24"/>
        <v>None</v>
      </c>
      <c r="I261" t="s">
        <v>85</v>
      </c>
      <c r="J261" t="s">
        <v>84</v>
      </c>
      <c r="M261">
        <v>45383.8</v>
      </c>
      <c r="N261">
        <v>-2.8000000000000001E-2</v>
      </c>
      <c r="O261">
        <v>112.7</v>
      </c>
      <c r="P261" t="s">
        <v>988</v>
      </c>
      <c r="Q261" t="s">
        <v>9</v>
      </c>
      <c r="R261">
        <v>124965</v>
      </c>
      <c r="S261">
        <v>-29</v>
      </c>
      <c r="T261" t="s">
        <v>88</v>
      </c>
      <c r="U261" t="s">
        <v>73</v>
      </c>
      <c r="V261" t="s">
        <v>1</v>
      </c>
      <c r="W261" t="s">
        <v>9</v>
      </c>
      <c r="X261" t="s">
        <v>9</v>
      </c>
      <c r="Y261" t="s">
        <v>9</v>
      </c>
      <c r="Z261" t="s">
        <v>9</v>
      </c>
      <c r="AA261" t="s">
        <v>9</v>
      </c>
      <c r="AB261">
        <v>0</v>
      </c>
      <c r="AC261">
        <v>0</v>
      </c>
      <c r="AD261">
        <v>0</v>
      </c>
      <c r="AE261">
        <v>0</v>
      </c>
      <c r="AF261">
        <v>0</v>
      </c>
      <c r="AG261">
        <v>0</v>
      </c>
      <c r="AH261">
        <v>0</v>
      </c>
      <c r="AI261">
        <v>0</v>
      </c>
      <c r="AL261">
        <v>0</v>
      </c>
      <c r="AM261" t="s">
        <v>987</v>
      </c>
    </row>
    <row r="262" spans="1:39" customFormat="1">
      <c r="A262" s="1">
        <v>252</v>
      </c>
      <c r="B262" t="s">
        <v>982</v>
      </c>
      <c r="C262" t="s">
        <v>1</v>
      </c>
      <c r="D262" t="str">
        <f t="shared" si="23"/>
        <v>-</v>
      </c>
      <c r="E262" t="s">
        <v>9</v>
      </c>
      <c r="F262" t="str">
        <f t="shared" si="21"/>
        <v/>
      </c>
      <c r="G262" t="str">
        <f t="shared" si="22"/>
        <v>n</v>
      </c>
      <c r="H262" t="str">
        <f t="shared" si="24"/>
        <v>None</v>
      </c>
      <c r="I262" t="s">
        <v>66</v>
      </c>
      <c r="J262" t="s">
        <v>66</v>
      </c>
      <c r="M262">
        <v>45096.4</v>
      </c>
      <c r="N262">
        <v>0.129</v>
      </c>
      <c r="O262">
        <v>5738.3</v>
      </c>
      <c r="P262" t="s">
        <v>986</v>
      </c>
      <c r="Q262">
        <v>0.16800000000000001</v>
      </c>
      <c r="R262">
        <v>33000</v>
      </c>
      <c r="S262">
        <v>29</v>
      </c>
      <c r="T262" t="s">
        <v>88</v>
      </c>
      <c r="U262" t="s">
        <v>985</v>
      </c>
      <c r="V262" t="s">
        <v>1</v>
      </c>
      <c r="W262" t="s">
        <v>9</v>
      </c>
      <c r="X262" t="s">
        <v>9</v>
      </c>
      <c r="Y262" t="s">
        <v>9</v>
      </c>
      <c r="Z262" t="s">
        <v>9</v>
      </c>
      <c r="AA262" t="s">
        <v>9</v>
      </c>
      <c r="AB262">
        <v>0</v>
      </c>
      <c r="AC262">
        <v>0</v>
      </c>
      <c r="AD262" t="s">
        <v>984</v>
      </c>
      <c r="AE262" t="s">
        <v>983</v>
      </c>
      <c r="AF262">
        <v>0</v>
      </c>
      <c r="AG262">
        <v>0</v>
      </c>
      <c r="AH262">
        <v>0</v>
      </c>
      <c r="AI262">
        <v>0</v>
      </c>
      <c r="AL262">
        <v>0</v>
      </c>
      <c r="AM262" t="s">
        <v>982</v>
      </c>
    </row>
    <row r="263" spans="1:39" customFormat="1">
      <c r="A263" s="1">
        <v>253</v>
      </c>
      <c r="B263" t="s">
        <v>977</v>
      </c>
      <c r="C263" t="s">
        <v>1</v>
      </c>
      <c r="D263" t="str">
        <f t="shared" si="23"/>
        <v>-</v>
      </c>
      <c r="E263" t="s">
        <v>9</v>
      </c>
      <c r="F263" t="str">
        <f t="shared" si="21"/>
        <v/>
      </c>
      <c r="G263" t="str">
        <f t="shared" si="22"/>
        <v>n</v>
      </c>
      <c r="H263" t="str">
        <f t="shared" si="24"/>
        <v>None</v>
      </c>
      <c r="I263" t="s">
        <v>171</v>
      </c>
      <c r="J263" t="s">
        <v>171</v>
      </c>
      <c r="M263">
        <v>44957</v>
      </c>
      <c r="N263">
        <v>0.14799999999999999</v>
      </c>
      <c r="O263">
        <v>2863.9</v>
      </c>
      <c r="P263" t="s">
        <v>981</v>
      </c>
      <c r="Q263">
        <v>0.16600000000000001</v>
      </c>
      <c r="R263">
        <v>98652</v>
      </c>
      <c r="S263">
        <v>33</v>
      </c>
      <c r="T263" t="s">
        <v>88</v>
      </c>
      <c r="U263" t="s">
        <v>980</v>
      </c>
      <c r="V263" t="s">
        <v>1</v>
      </c>
      <c r="W263" t="s">
        <v>9</v>
      </c>
      <c r="X263" t="s">
        <v>9</v>
      </c>
      <c r="Y263" t="s">
        <v>9</v>
      </c>
      <c r="Z263" t="s">
        <v>9</v>
      </c>
      <c r="AA263" t="s">
        <v>9</v>
      </c>
      <c r="AB263">
        <v>0</v>
      </c>
      <c r="AC263">
        <v>0</v>
      </c>
      <c r="AD263" t="s">
        <v>979</v>
      </c>
      <c r="AE263" t="s">
        <v>978</v>
      </c>
      <c r="AF263">
        <v>0</v>
      </c>
      <c r="AG263">
        <v>0</v>
      </c>
      <c r="AH263">
        <v>0</v>
      </c>
      <c r="AI263">
        <v>0</v>
      </c>
      <c r="AL263">
        <v>0</v>
      </c>
      <c r="AM263" t="s">
        <v>977</v>
      </c>
    </row>
    <row r="264" spans="1:39" customFormat="1">
      <c r="A264" s="1">
        <v>254</v>
      </c>
      <c r="B264" t="s">
        <v>974</v>
      </c>
      <c r="C264" t="s">
        <v>1</v>
      </c>
      <c r="D264" t="str">
        <f t="shared" si="23"/>
        <v>-</v>
      </c>
      <c r="E264" t="s">
        <v>9</v>
      </c>
      <c r="F264" t="str">
        <f t="shared" si="21"/>
        <v/>
      </c>
      <c r="G264" t="str">
        <f t="shared" si="22"/>
        <v>n</v>
      </c>
      <c r="H264" t="str">
        <f t="shared" si="24"/>
        <v>None</v>
      </c>
      <c r="I264" t="s">
        <v>76</v>
      </c>
      <c r="J264" t="s">
        <v>976</v>
      </c>
      <c r="M264">
        <v>44912.6</v>
      </c>
      <c r="N264">
        <v>0.27900000000000003</v>
      </c>
      <c r="O264">
        <v>5105.7</v>
      </c>
      <c r="P264" t="s">
        <v>975</v>
      </c>
      <c r="Q264">
        <v>0.23</v>
      </c>
      <c r="R264">
        <v>104300</v>
      </c>
      <c r="S264">
        <v>78</v>
      </c>
      <c r="T264" t="s">
        <v>88</v>
      </c>
      <c r="U264" t="s">
        <v>73</v>
      </c>
      <c r="V264" t="s">
        <v>1</v>
      </c>
      <c r="W264" t="s">
        <v>9</v>
      </c>
      <c r="X264" t="s">
        <v>9</v>
      </c>
      <c r="Y264" t="s">
        <v>9</v>
      </c>
      <c r="Z264" t="s">
        <v>9</v>
      </c>
      <c r="AA264" t="s">
        <v>9</v>
      </c>
      <c r="AB264">
        <v>0</v>
      </c>
      <c r="AC264">
        <v>0</v>
      </c>
      <c r="AD264">
        <v>0</v>
      </c>
      <c r="AE264">
        <v>0</v>
      </c>
      <c r="AF264">
        <v>0</v>
      </c>
      <c r="AG264">
        <v>0</v>
      </c>
      <c r="AH264">
        <v>0</v>
      </c>
      <c r="AI264">
        <v>0</v>
      </c>
      <c r="AL264">
        <v>0</v>
      </c>
      <c r="AM264" t="s">
        <v>974</v>
      </c>
    </row>
    <row r="265" spans="1:39" customFormat="1">
      <c r="A265" s="1">
        <v>255</v>
      </c>
      <c r="B265" t="s">
        <v>971</v>
      </c>
      <c r="C265" t="s">
        <v>1</v>
      </c>
      <c r="D265" t="str">
        <f t="shared" si="23"/>
        <v>-</v>
      </c>
      <c r="E265" t="s">
        <v>9</v>
      </c>
      <c r="F265" t="str">
        <f t="shared" si="21"/>
        <v/>
      </c>
      <c r="G265" t="str">
        <f t="shared" si="22"/>
        <v>n</v>
      </c>
      <c r="H265" t="str">
        <f t="shared" si="24"/>
        <v>None</v>
      </c>
      <c r="I265" t="s">
        <v>76</v>
      </c>
      <c r="J265" t="s">
        <v>80</v>
      </c>
      <c r="M265">
        <v>44898.400000000001</v>
      </c>
      <c r="N265">
        <v>-9.7000000000000003E-2</v>
      </c>
      <c r="O265">
        <v>13268.5</v>
      </c>
      <c r="P265" t="s">
        <v>973</v>
      </c>
      <c r="Q265">
        <v>3.1E-2</v>
      </c>
      <c r="R265">
        <v>293752</v>
      </c>
      <c r="S265">
        <v>-50</v>
      </c>
      <c r="T265" t="s">
        <v>88</v>
      </c>
      <c r="U265" t="s">
        <v>972</v>
      </c>
      <c r="V265" t="s">
        <v>1</v>
      </c>
      <c r="W265" t="s">
        <v>9</v>
      </c>
      <c r="X265" t="s">
        <v>9</v>
      </c>
      <c r="Y265" t="s">
        <v>9</v>
      </c>
      <c r="Z265" t="s">
        <v>9</v>
      </c>
      <c r="AA265" t="s">
        <v>9</v>
      </c>
      <c r="AB265">
        <v>0</v>
      </c>
      <c r="AC265">
        <v>0</v>
      </c>
      <c r="AD265">
        <v>0</v>
      </c>
      <c r="AE265">
        <v>0</v>
      </c>
      <c r="AF265">
        <v>0</v>
      </c>
      <c r="AG265">
        <v>0</v>
      </c>
      <c r="AH265">
        <v>0</v>
      </c>
      <c r="AI265">
        <v>0</v>
      </c>
      <c r="AL265">
        <v>0</v>
      </c>
      <c r="AM265" t="s">
        <v>971</v>
      </c>
    </row>
    <row r="266" spans="1:39" customFormat="1">
      <c r="A266" s="1">
        <v>256</v>
      </c>
      <c r="B266" t="s">
        <v>969</v>
      </c>
      <c r="C266" t="s">
        <v>1</v>
      </c>
      <c r="D266" t="str">
        <f t="shared" si="23"/>
        <v>-</v>
      </c>
      <c r="E266" t="s">
        <v>9</v>
      </c>
      <c r="F266" t="str">
        <f t="shared" si="21"/>
        <v/>
      </c>
      <c r="G266" t="str">
        <f t="shared" si="22"/>
        <v>n</v>
      </c>
      <c r="H266" t="str">
        <f t="shared" si="24"/>
        <v>None</v>
      </c>
      <c r="I266" t="s">
        <v>76</v>
      </c>
      <c r="J266" t="s">
        <v>80</v>
      </c>
      <c r="M266">
        <v>44609.3</v>
      </c>
      <c r="N266">
        <v>0.157</v>
      </c>
      <c r="O266">
        <v>9635.7999999999993</v>
      </c>
      <c r="P266" t="s">
        <v>970</v>
      </c>
      <c r="Q266">
        <v>0.10299999999999999</v>
      </c>
      <c r="R266">
        <v>81870</v>
      </c>
      <c r="S266">
        <v>36</v>
      </c>
      <c r="T266" t="s">
        <v>88</v>
      </c>
      <c r="U266" t="s">
        <v>78</v>
      </c>
      <c r="V266" t="s">
        <v>1</v>
      </c>
      <c r="W266" t="s">
        <v>9</v>
      </c>
      <c r="X266" t="s">
        <v>9</v>
      </c>
      <c r="Y266" t="s">
        <v>9</v>
      </c>
      <c r="Z266" t="s">
        <v>9</v>
      </c>
      <c r="AA266" t="s">
        <v>9</v>
      </c>
      <c r="AB266">
        <v>0</v>
      </c>
      <c r="AC266">
        <v>0</v>
      </c>
      <c r="AD266">
        <v>0</v>
      </c>
      <c r="AE266">
        <v>0</v>
      </c>
      <c r="AF266">
        <v>0</v>
      </c>
      <c r="AG266">
        <v>0</v>
      </c>
      <c r="AH266">
        <v>0</v>
      </c>
      <c r="AI266">
        <v>0</v>
      </c>
      <c r="AL266">
        <v>0</v>
      </c>
      <c r="AM266" t="s">
        <v>969</v>
      </c>
    </row>
    <row r="267" spans="1:39" customFormat="1">
      <c r="A267" s="1">
        <v>257</v>
      </c>
      <c r="B267" t="s">
        <v>964</v>
      </c>
      <c r="C267" t="s">
        <v>1</v>
      </c>
      <c r="D267" t="str">
        <f t="shared" si="23"/>
        <v>-</v>
      </c>
      <c r="E267" t="s">
        <v>9</v>
      </c>
      <c r="F267" t="str">
        <f t="shared" si="21"/>
        <v/>
      </c>
      <c r="G267" t="str">
        <f t="shared" si="22"/>
        <v>n</v>
      </c>
      <c r="H267" t="str">
        <f t="shared" si="24"/>
        <v>None</v>
      </c>
      <c r="I267" t="s">
        <v>178</v>
      </c>
      <c r="J267" t="s">
        <v>177</v>
      </c>
      <c r="M267">
        <v>44541</v>
      </c>
      <c r="N267">
        <v>5.5E-2</v>
      </c>
      <c r="O267">
        <v>1412</v>
      </c>
      <c r="P267" t="s">
        <v>968</v>
      </c>
      <c r="Q267">
        <v>-0.26400000000000001</v>
      </c>
      <c r="R267">
        <v>128900</v>
      </c>
      <c r="S267">
        <v>3</v>
      </c>
      <c r="T267" t="s">
        <v>88</v>
      </c>
      <c r="U267" t="s">
        <v>127</v>
      </c>
      <c r="V267" t="s">
        <v>1</v>
      </c>
      <c r="W267" t="s">
        <v>967</v>
      </c>
      <c r="X267" t="s">
        <v>9</v>
      </c>
      <c r="Y267" t="s">
        <v>9</v>
      </c>
      <c r="Z267">
        <v>2005</v>
      </c>
      <c r="AA267">
        <v>2050</v>
      </c>
      <c r="AB267" t="s">
        <v>609</v>
      </c>
      <c r="AC267">
        <v>0</v>
      </c>
      <c r="AD267" t="s">
        <v>966</v>
      </c>
      <c r="AE267" t="s">
        <v>965</v>
      </c>
      <c r="AF267">
        <v>0</v>
      </c>
      <c r="AG267">
        <v>0</v>
      </c>
      <c r="AH267">
        <v>0</v>
      </c>
      <c r="AI267">
        <v>0</v>
      </c>
      <c r="AL267">
        <v>0</v>
      </c>
      <c r="AM267" t="s">
        <v>964</v>
      </c>
    </row>
    <row r="268" spans="1:39" customFormat="1">
      <c r="A268" s="1">
        <v>258</v>
      </c>
      <c r="B268" t="s">
        <v>962</v>
      </c>
      <c r="C268" t="s">
        <v>1</v>
      </c>
      <c r="D268" t="str">
        <f t="shared" si="23"/>
        <v>-</v>
      </c>
      <c r="E268" t="s">
        <v>9</v>
      </c>
      <c r="F268" t="str">
        <f t="shared" si="21"/>
        <v/>
      </c>
      <c r="G268" t="str">
        <f t="shared" si="22"/>
        <v>n</v>
      </c>
      <c r="H268" t="str">
        <f t="shared" si="24"/>
        <v>None</v>
      </c>
      <c r="I268" t="s">
        <v>124</v>
      </c>
      <c r="J268" t="s">
        <v>560</v>
      </c>
      <c r="M268">
        <v>44497.7</v>
      </c>
      <c r="N268">
        <v>1.4999999999999999E-2</v>
      </c>
      <c r="O268">
        <v>1128</v>
      </c>
      <c r="P268" t="s">
        <v>963</v>
      </c>
      <c r="Q268">
        <v>-7.4999999999999997E-2</v>
      </c>
      <c r="R268">
        <v>90000</v>
      </c>
      <c r="S268">
        <v>-10</v>
      </c>
      <c r="T268" t="s">
        <v>88</v>
      </c>
      <c r="U268" t="s">
        <v>183</v>
      </c>
      <c r="V268" t="s">
        <v>1</v>
      </c>
      <c r="W268" t="s">
        <v>9</v>
      </c>
      <c r="X268" t="s">
        <v>9</v>
      </c>
      <c r="Y268" t="s">
        <v>9</v>
      </c>
      <c r="Z268" t="s">
        <v>9</v>
      </c>
      <c r="AA268" t="s">
        <v>9</v>
      </c>
      <c r="AB268">
        <v>0</v>
      </c>
      <c r="AC268">
        <v>0</v>
      </c>
      <c r="AD268">
        <v>0</v>
      </c>
      <c r="AE268">
        <v>0</v>
      </c>
      <c r="AF268">
        <v>0</v>
      </c>
      <c r="AG268">
        <v>0</v>
      </c>
      <c r="AH268">
        <v>0</v>
      </c>
      <c r="AI268">
        <v>0</v>
      </c>
      <c r="AL268">
        <v>0</v>
      </c>
      <c r="AM268" t="s">
        <v>962</v>
      </c>
    </row>
    <row r="269" spans="1:39" customFormat="1">
      <c r="A269" s="1">
        <v>259</v>
      </c>
      <c r="B269" t="s">
        <v>960</v>
      </c>
      <c r="C269" t="s">
        <v>1</v>
      </c>
      <c r="D269" t="str">
        <f t="shared" si="23"/>
        <v>-</v>
      </c>
      <c r="E269" t="s">
        <v>9</v>
      </c>
      <c r="F269" t="str">
        <f t="shared" si="21"/>
        <v/>
      </c>
      <c r="G269" t="str">
        <f t="shared" si="22"/>
        <v>n</v>
      </c>
      <c r="H269" t="str">
        <f t="shared" si="24"/>
        <v>None</v>
      </c>
      <c r="I269" t="s">
        <v>186</v>
      </c>
      <c r="J269" t="s">
        <v>282</v>
      </c>
      <c r="M269">
        <v>44453.3</v>
      </c>
      <c r="N269">
        <v>0.13300000000000001</v>
      </c>
      <c r="O269">
        <v>368.7</v>
      </c>
      <c r="P269" t="s">
        <v>961</v>
      </c>
      <c r="Q269">
        <v>-0.23599999999999999</v>
      </c>
      <c r="R269">
        <v>156477</v>
      </c>
      <c r="S269">
        <v>26</v>
      </c>
      <c r="T269" t="s">
        <v>88</v>
      </c>
      <c r="U269" t="s">
        <v>103</v>
      </c>
      <c r="V269" t="s">
        <v>1</v>
      </c>
      <c r="W269" t="s">
        <v>9</v>
      </c>
      <c r="X269" t="s">
        <v>9</v>
      </c>
      <c r="Y269" t="s">
        <v>9</v>
      </c>
      <c r="Z269" t="s">
        <v>9</v>
      </c>
      <c r="AA269" t="s">
        <v>9</v>
      </c>
      <c r="AB269">
        <v>0</v>
      </c>
      <c r="AC269">
        <v>0</v>
      </c>
      <c r="AD269">
        <v>0</v>
      </c>
      <c r="AE269">
        <v>0</v>
      </c>
      <c r="AF269">
        <v>0</v>
      </c>
      <c r="AG269">
        <v>0</v>
      </c>
      <c r="AH269">
        <v>0</v>
      </c>
      <c r="AI269">
        <v>0</v>
      </c>
      <c r="AL269">
        <v>0</v>
      </c>
      <c r="AM269" t="s">
        <v>960</v>
      </c>
    </row>
    <row r="270" spans="1:39" customFormat="1">
      <c r="A270" s="1">
        <v>260</v>
      </c>
      <c r="B270" t="s">
        <v>958</v>
      </c>
      <c r="C270" t="s">
        <v>1</v>
      </c>
      <c r="D270" t="str">
        <f t="shared" si="23"/>
        <v>-</v>
      </c>
      <c r="E270" t="s">
        <v>9</v>
      </c>
      <c r="F270" t="str">
        <f t="shared" si="21"/>
        <v/>
      </c>
      <c r="G270" t="str">
        <f t="shared" si="22"/>
        <v>n</v>
      </c>
      <c r="H270" t="str">
        <f t="shared" si="24"/>
        <v>None</v>
      </c>
      <c r="I270" t="s">
        <v>178</v>
      </c>
      <c r="J270" t="s">
        <v>177</v>
      </c>
      <c r="M270">
        <v>44438</v>
      </c>
      <c r="N270">
        <v>7.6999999999999999E-2</v>
      </c>
      <c r="O270">
        <v>3935</v>
      </c>
      <c r="P270" t="s">
        <v>959</v>
      </c>
      <c r="Q270">
        <v>0.1</v>
      </c>
      <c r="R270">
        <v>88680</v>
      </c>
      <c r="S270">
        <v>6</v>
      </c>
      <c r="T270" t="s">
        <v>88</v>
      </c>
      <c r="U270" t="s">
        <v>127</v>
      </c>
      <c r="V270" t="s">
        <v>1</v>
      </c>
      <c r="W270" t="s">
        <v>9</v>
      </c>
      <c r="X270" t="s">
        <v>9</v>
      </c>
      <c r="Y270" t="s">
        <v>9</v>
      </c>
      <c r="Z270" t="s">
        <v>9</v>
      </c>
      <c r="AA270" t="s">
        <v>9</v>
      </c>
      <c r="AB270">
        <v>0</v>
      </c>
      <c r="AC270">
        <v>0</v>
      </c>
      <c r="AD270">
        <v>0</v>
      </c>
      <c r="AE270">
        <v>0</v>
      </c>
      <c r="AF270">
        <v>0</v>
      </c>
      <c r="AG270">
        <v>0</v>
      </c>
      <c r="AH270">
        <v>0</v>
      </c>
      <c r="AI270">
        <v>0</v>
      </c>
      <c r="AL270">
        <v>0</v>
      </c>
      <c r="AM270" t="s">
        <v>958</v>
      </c>
    </row>
    <row r="271" spans="1:39" customFormat="1">
      <c r="A271" s="1">
        <v>261</v>
      </c>
      <c r="B271" t="s">
        <v>956</v>
      </c>
      <c r="C271" t="s">
        <v>1</v>
      </c>
      <c r="D271" t="str">
        <f t="shared" si="23"/>
        <v>-</v>
      </c>
      <c r="E271" t="s">
        <v>9</v>
      </c>
      <c r="F271" t="str">
        <f t="shared" si="21"/>
        <v/>
      </c>
      <c r="G271" t="str">
        <f t="shared" si="22"/>
        <v>n</v>
      </c>
      <c r="H271" t="str">
        <f t="shared" si="24"/>
        <v>None</v>
      </c>
      <c r="I271" t="s">
        <v>76</v>
      </c>
      <c r="J271" t="s">
        <v>199</v>
      </c>
      <c r="M271">
        <v>44303</v>
      </c>
      <c r="N271">
        <v>-6.0000000000000001E-3</v>
      </c>
      <c r="O271">
        <v>425.8</v>
      </c>
      <c r="P271" t="s">
        <v>957</v>
      </c>
      <c r="Q271">
        <v>0.187</v>
      </c>
      <c r="R271">
        <v>58070</v>
      </c>
      <c r="S271">
        <v>-17</v>
      </c>
      <c r="T271" t="s">
        <v>88</v>
      </c>
      <c r="U271" t="s">
        <v>114</v>
      </c>
      <c r="V271" t="s">
        <v>1</v>
      </c>
      <c r="W271" t="s">
        <v>9</v>
      </c>
      <c r="X271" t="s">
        <v>9</v>
      </c>
      <c r="Y271" t="s">
        <v>9</v>
      </c>
      <c r="Z271" t="s">
        <v>9</v>
      </c>
      <c r="AA271" t="s">
        <v>9</v>
      </c>
      <c r="AB271">
        <v>0</v>
      </c>
      <c r="AC271">
        <v>0</v>
      </c>
      <c r="AD271">
        <v>0</v>
      </c>
      <c r="AE271">
        <v>0</v>
      </c>
      <c r="AF271">
        <v>0</v>
      </c>
      <c r="AG271">
        <v>0</v>
      </c>
      <c r="AH271">
        <v>0</v>
      </c>
      <c r="AI271">
        <v>0</v>
      </c>
      <c r="AL271">
        <v>0</v>
      </c>
      <c r="AM271" t="s">
        <v>956</v>
      </c>
    </row>
    <row r="272" spans="1:39" customFormat="1">
      <c r="A272" s="1">
        <v>262</v>
      </c>
      <c r="B272" t="s">
        <v>954</v>
      </c>
      <c r="C272" t="s">
        <v>1</v>
      </c>
      <c r="D272" t="str">
        <f t="shared" si="23"/>
        <v>-</v>
      </c>
      <c r="E272" t="s">
        <v>9</v>
      </c>
      <c r="F272" t="str">
        <f t="shared" ref="F272:F335" si="25">IF(G272="n","",MIN(IF(V272="Carbon Neutral",X272,"3000"),AI272,IF(AO272&gt;2030,"3000",AN272)))</f>
        <v/>
      </c>
      <c r="G272" t="str">
        <f t="shared" ref="G272:G335" si="26">IF( V272="Carbon Neutral", "y",   IF(AI272&gt;1, "y", IF(AND(AO272&lt;=2030, AO272&gt;0),"y","n" )    )       )</f>
        <v>n</v>
      </c>
      <c r="H272" t="str">
        <f t="shared" si="24"/>
        <v>None</v>
      </c>
      <c r="I272" t="s">
        <v>461</v>
      </c>
      <c r="J272" t="s">
        <v>461</v>
      </c>
      <c r="M272">
        <v>43974.400000000001</v>
      </c>
      <c r="N272">
        <v>8.1000000000000003E-2</v>
      </c>
      <c r="O272">
        <v>616.9</v>
      </c>
      <c r="P272" t="s">
        <v>955</v>
      </c>
      <c r="Q272">
        <v>8.7910000000000004</v>
      </c>
      <c r="R272">
        <v>246299</v>
      </c>
      <c r="S272">
        <v>11</v>
      </c>
      <c r="T272" t="s">
        <v>88</v>
      </c>
      <c r="U272" t="s">
        <v>73</v>
      </c>
      <c r="V272" t="s">
        <v>1</v>
      </c>
      <c r="W272" t="s">
        <v>9</v>
      </c>
      <c r="X272" t="s">
        <v>9</v>
      </c>
      <c r="Y272" t="s">
        <v>9</v>
      </c>
      <c r="Z272" t="s">
        <v>9</v>
      </c>
      <c r="AA272" t="s">
        <v>9</v>
      </c>
      <c r="AB272">
        <v>0</v>
      </c>
      <c r="AC272">
        <v>0</v>
      </c>
      <c r="AD272">
        <v>0</v>
      </c>
      <c r="AE272">
        <v>0</v>
      </c>
      <c r="AF272">
        <v>0</v>
      </c>
      <c r="AG272">
        <v>0</v>
      </c>
      <c r="AH272">
        <v>0</v>
      </c>
      <c r="AI272">
        <v>0</v>
      </c>
      <c r="AL272">
        <v>0</v>
      </c>
      <c r="AM272" t="s">
        <v>954</v>
      </c>
    </row>
    <row r="273" spans="1:47" customFormat="1">
      <c r="A273" s="1">
        <v>263</v>
      </c>
      <c r="B273" t="s">
        <v>952</v>
      </c>
      <c r="C273" t="s">
        <v>1</v>
      </c>
      <c r="D273" t="str">
        <f t="shared" si="23"/>
        <v>-</v>
      </c>
      <c r="E273" t="s">
        <v>9</v>
      </c>
      <c r="F273" t="str">
        <f t="shared" si="25"/>
        <v/>
      </c>
      <c r="G273" t="str">
        <f t="shared" si="26"/>
        <v>n</v>
      </c>
      <c r="H273" t="str">
        <f t="shared" si="24"/>
        <v>None</v>
      </c>
      <c r="I273" t="s">
        <v>71</v>
      </c>
      <c r="J273" t="s">
        <v>138</v>
      </c>
      <c r="M273">
        <v>43858.1</v>
      </c>
      <c r="N273">
        <v>0.128</v>
      </c>
      <c r="O273">
        <v>306.5</v>
      </c>
      <c r="P273" t="s">
        <v>953</v>
      </c>
      <c r="Q273">
        <v>0.83699999999999997</v>
      </c>
      <c r="R273">
        <v>136016</v>
      </c>
      <c r="S273">
        <v>25</v>
      </c>
      <c r="T273" t="s">
        <v>180</v>
      </c>
      <c r="U273" t="s">
        <v>73</v>
      </c>
      <c r="V273" t="s">
        <v>1</v>
      </c>
      <c r="W273" t="s">
        <v>9</v>
      </c>
      <c r="X273" t="s">
        <v>9</v>
      </c>
      <c r="Y273" t="s">
        <v>9</v>
      </c>
      <c r="Z273" t="s">
        <v>9</v>
      </c>
      <c r="AA273" t="s">
        <v>9</v>
      </c>
      <c r="AB273">
        <v>0</v>
      </c>
      <c r="AC273">
        <v>0</v>
      </c>
      <c r="AD273">
        <v>0</v>
      </c>
      <c r="AE273">
        <v>0</v>
      </c>
      <c r="AF273">
        <v>0</v>
      </c>
      <c r="AG273">
        <v>0</v>
      </c>
      <c r="AH273">
        <v>0</v>
      </c>
      <c r="AI273">
        <v>0</v>
      </c>
      <c r="AL273">
        <v>0</v>
      </c>
      <c r="AM273" t="s">
        <v>952</v>
      </c>
    </row>
    <row r="274" spans="1:47" customFormat="1">
      <c r="A274" s="1">
        <v>264</v>
      </c>
      <c r="B274" t="s">
        <v>950</v>
      </c>
      <c r="C274" t="s">
        <v>1</v>
      </c>
      <c r="D274" t="str">
        <f t="shared" si="23"/>
        <v>-</v>
      </c>
      <c r="E274" t="s">
        <v>9</v>
      </c>
      <c r="F274" t="str">
        <f t="shared" si="25"/>
        <v/>
      </c>
      <c r="G274" t="str">
        <f t="shared" si="26"/>
        <v>n</v>
      </c>
      <c r="H274" t="str">
        <f t="shared" si="24"/>
        <v>None</v>
      </c>
      <c r="I274" t="s">
        <v>461</v>
      </c>
      <c r="J274" t="s">
        <v>461</v>
      </c>
      <c r="M274">
        <v>43634</v>
      </c>
      <c r="N274">
        <v>4.9000000000000002E-2</v>
      </c>
      <c r="O274">
        <v>1230</v>
      </c>
      <c r="P274" t="s">
        <v>951</v>
      </c>
      <c r="Q274">
        <v>-0.876</v>
      </c>
      <c r="R274">
        <v>98000</v>
      </c>
      <c r="S274" t="s">
        <v>9</v>
      </c>
      <c r="T274" t="s">
        <v>88</v>
      </c>
      <c r="U274" t="s">
        <v>127</v>
      </c>
      <c r="V274" t="s">
        <v>1</v>
      </c>
      <c r="W274" t="s">
        <v>9</v>
      </c>
      <c r="X274" t="s">
        <v>9</v>
      </c>
      <c r="Y274" t="s">
        <v>9</v>
      </c>
      <c r="Z274" t="s">
        <v>9</v>
      </c>
      <c r="AA274" t="s">
        <v>9</v>
      </c>
      <c r="AB274">
        <v>0</v>
      </c>
      <c r="AC274">
        <v>0</v>
      </c>
      <c r="AD274">
        <v>0</v>
      </c>
      <c r="AE274">
        <v>0</v>
      </c>
      <c r="AF274">
        <v>0</v>
      </c>
      <c r="AG274">
        <v>0</v>
      </c>
      <c r="AH274">
        <v>0</v>
      </c>
      <c r="AI274">
        <v>0</v>
      </c>
      <c r="AL274">
        <v>0</v>
      </c>
      <c r="AM274" t="s">
        <v>950</v>
      </c>
    </row>
    <row r="275" spans="1:47" customFormat="1">
      <c r="A275" s="1">
        <v>265</v>
      </c>
      <c r="B275" t="s">
        <v>948</v>
      </c>
      <c r="C275" t="s">
        <v>1</v>
      </c>
      <c r="D275">
        <f>IF(G275="n","",MIN(X275,AI275,AN275))</f>
        <v>2016</v>
      </c>
      <c r="F275">
        <f t="shared" si="25"/>
        <v>2016</v>
      </c>
      <c r="G275" t="str">
        <f t="shared" si="26"/>
        <v>y</v>
      </c>
      <c r="H275" t="str">
        <f t="shared" si="24"/>
        <v>RE100</v>
      </c>
      <c r="I275" t="s">
        <v>171</v>
      </c>
      <c r="J275" t="s">
        <v>171</v>
      </c>
      <c r="M275">
        <v>43599.199999999997</v>
      </c>
      <c r="N275">
        <v>-4.9000000000000002E-2</v>
      </c>
      <c r="O275">
        <v>-4122</v>
      </c>
      <c r="P275" t="s">
        <v>949</v>
      </c>
      <c r="Q275">
        <v>-3.956</v>
      </c>
      <c r="R275">
        <v>81090</v>
      </c>
      <c r="S275">
        <v>-33</v>
      </c>
      <c r="T275" t="s">
        <v>88</v>
      </c>
      <c r="U275" t="s">
        <v>87</v>
      </c>
      <c r="V275" t="s">
        <v>1</v>
      </c>
      <c r="W275" t="s">
        <v>9</v>
      </c>
      <c r="X275" t="s">
        <v>9</v>
      </c>
      <c r="Y275" t="s">
        <v>9</v>
      </c>
      <c r="Z275" t="s">
        <v>9</v>
      </c>
      <c r="AA275" t="s">
        <v>9</v>
      </c>
      <c r="AB275">
        <v>0</v>
      </c>
      <c r="AC275">
        <v>0</v>
      </c>
      <c r="AD275">
        <v>0</v>
      </c>
      <c r="AE275">
        <v>0</v>
      </c>
      <c r="AF275">
        <v>0</v>
      </c>
      <c r="AG275">
        <v>0</v>
      </c>
      <c r="AH275">
        <v>0</v>
      </c>
      <c r="AL275">
        <v>0</v>
      </c>
      <c r="AM275" t="s">
        <v>948</v>
      </c>
      <c r="AN275">
        <v>2016</v>
      </c>
      <c r="AO275">
        <v>2030</v>
      </c>
      <c r="AP275" t="s">
        <v>947</v>
      </c>
      <c r="AQ275">
        <v>0.21</v>
      </c>
      <c r="AR275">
        <v>0.16</v>
      </c>
      <c r="AS275">
        <v>0.04</v>
      </c>
      <c r="AT275">
        <v>0.08</v>
      </c>
      <c r="AU275" t="s">
        <v>946</v>
      </c>
    </row>
    <row r="276" spans="1:47" customFormat="1">
      <c r="A276" s="1">
        <v>266</v>
      </c>
      <c r="B276" t="s">
        <v>944</v>
      </c>
      <c r="C276" t="s">
        <v>1</v>
      </c>
      <c r="D276" t="str">
        <f>IF(G276="n","-",MIN(X276,AI276,AN276))</f>
        <v>-</v>
      </c>
      <c r="E276" t="s">
        <v>9</v>
      </c>
      <c r="F276" t="str">
        <f t="shared" si="25"/>
        <v/>
      </c>
      <c r="G276" t="str">
        <f t="shared" si="26"/>
        <v>n</v>
      </c>
      <c r="H276" t="str">
        <f t="shared" si="24"/>
        <v>None</v>
      </c>
      <c r="I276" t="s">
        <v>171</v>
      </c>
      <c r="J276" t="s">
        <v>171</v>
      </c>
      <c r="M276">
        <v>43582.400000000001</v>
      </c>
      <c r="N276">
        <v>6.0999999999999999E-2</v>
      </c>
      <c r="O276">
        <v>1064.5</v>
      </c>
      <c r="P276" t="s">
        <v>945</v>
      </c>
      <c r="Q276">
        <v>-0.129</v>
      </c>
      <c r="R276">
        <v>148969</v>
      </c>
      <c r="S276">
        <v>2</v>
      </c>
      <c r="T276" t="s">
        <v>350</v>
      </c>
      <c r="U276" t="s">
        <v>146</v>
      </c>
      <c r="V276" t="s">
        <v>1</v>
      </c>
      <c r="W276" t="s">
        <v>9</v>
      </c>
      <c r="X276" t="s">
        <v>9</v>
      </c>
      <c r="Y276" t="s">
        <v>9</v>
      </c>
      <c r="Z276" t="s">
        <v>9</v>
      </c>
      <c r="AA276" t="s">
        <v>9</v>
      </c>
      <c r="AB276">
        <v>0</v>
      </c>
      <c r="AC276">
        <v>0</v>
      </c>
      <c r="AD276">
        <v>0</v>
      </c>
      <c r="AE276">
        <v>0</v>
      </c>
      <c r="AF276">
        <v>0</v>
      </c>
      <c r="AG276">
        <v>0</v>
      </c>
      <c r="AH276">
        <v>0</v>
      </c>
      <c r="AI276">
        <v>0</v>
      </c>
      <c r="AL276">
        <v>0</v>
      </c>
      <c r="AM276" t="s">
        <v>944</v>
      </c>
    </row>
    <row r="277" spans="1:47" customFormat="1">
      <c r="A277" s="1">
        <v>267</v>
      </c>
      <c r="B277" t="s">
        <v>940</v>
      </c>
      <c r="C277" t="s">
        <v>1</v>
      </c>
      <c r="D277">
        <f>IF(G277="n","",MIN(X277,AI277,AN277))</f>
        <v>2016</v>
      </c>
      <c r="F277">
        <f t="shared" si="25"/>
        <v>2016</v>
      </c>
      <c r="G277" t="str">
        <f t="shared" si="26"/>
        <v>y</v>
      </c>
      <c r="H277" t="str">
        <f t="shared" si="24"/>
        <v xml:space="preserve"> SBT</v>
      </c>
      <c r="I277" t="s">
        <v>119</v>
      </c>
      <c r="M277">
        <v>43466.5</v>
      </c>
      <c r="N277">
        <v>6.0999999999999999E-2</v>
      </c>
      <c r="O277">
        <v>409.3</v>
      </c>
      <c r="P277" t="s">
        <v>943</v>
      </c>
      <c r="Q277">
        <v>0.14199999999999999</v>
      </c>
      <c r="R277">
        <v>132293</v>
      </c>
      <c r="S277">
        <v>2</v>
      </c>
      <c r="T277" t="s">
        <v>88</v>
      </c>
      <c r="U277" t="s">
        <v>146</v>
      </c>
      <c r="V277" t="s">
        <v>1</v>
      </c>
      <c r="W277" t="s">
        <v>9</v>
      </c>
      <c r="X277" t="s">
        <v>9</v>
      </c>
      <c r="Y277" t="s">
        <v>9</v>
      </c>
      <c r="Z277" t="s">
        <v>9</v>
      </c>
      <c r="AA277" t="s">
        <v>9</v>
      </c>
      <c r="AB277">
        <v>0</v>
      </c>
      <c r="AC277">
        <v>0</v>
      </c>
      <c r="AD277">
        <v>0</v>
      </c>
      <c r="AE277">
        <v>0</v>
      </c>
      <c r="AF277" t="s">
        <v>942</v>
      </c>
      <c r="AG277" t="s">
        <v>165</v>
      </c>
      <c r="AH277" t="s">
        <v>941</v>
      </c>
      <c r="AI277">
        <v>2016</v>
      </c>
      <c r="AL277">
        <v>0</v>
      </c>
      <c r="AM277" t="s">
        <v>940</v>
      </c>
    </row>
    <row r="278" spans="1:47" customFormat="1">
      <c r="A278" s="1">
        <v>268</v>
      </c>
      <c r="B278" t="s">
        <v>938</v>
      </c>
      <c r="C278" t="s">
        <v>1</v>
      </c>
      <c r="D278" t="str">
        <f t="shared" ref="D278:D283" si="27">IF(G278="n","-",MIN(X278,AI278,AN278))</f>
        <v>-</v>
      </c>
      <c r="E278" t="s">
        <v>9</v>
      </c>
      <c r="F278" t="str">
        <f t="shared" si="25"/>
        <v/>
      </c>
      <c r="G278" t="str">
        <f t="shared" si="26"/>
        <v>n</v>
      </c>
      <c r="H278" t="str">
        <f t="shared" si="24"/>
        <v>None</v>
      </c>
      <c r="I278" t="s">
        <v>76</v>
      </c>
      <c r="J278" t="s">
        <v>98</v>
      </c>
      <c r="M278">
        <v>43425.3</v>
      </c>
      <c r="N278">
        <v>2.7E-2</v>
      </c>
      <c r="O278">
        <v>880</v>
      </c>
      <c r="P278" t="s">
        <v>939</v>
      </c>
      <c r="Q278">
        <v>-0.52900000000000003</v>
      </c>
      <c r="R278">
        <v>11388</v>
      </c>
      <c r="S278">
        <v>-10</v>
      </c>
      <c r="T278" t="s">
        <v>350</v>
      </c>
      <c r="U278" t="s">
        <v>127</v>
      </c>
      <c r="V278" t="s">
        <v>1</v>
      </c>
      <c r="W278" t="s">
        <v>9</v>
      </c>
      <c r="X278" t="s">
        <v>9</v>
      </c>
      <c r="Y278" t="s">
        <v>9</v>
      </c>
      <c r="Z278" t="s">
        <v>9</v>
      </c>
      <c r="AA278" t="s">
        <v>9</v>
      </c>
      <c r="AB278">
        <v>0</v>
      </c>
      <c r="AC278">
        <v>0</v>
      </c>
      <c r="AD278">
        <v>0</v>
      </c>
      <c r="AE278">
        <v>0</v>
      </c>
      <c r="AF278">
        <v>0</v>
      </c>
      <c r="AG278">
        <v>0</v>
      </c>
      <c r="AH278">
        <v>0</v>
      </c>
      <c r="AI278">
        <v>0</v>
      </c>
      <c r="AL278">
        <v>0</v>
      </c>
      <c r="AM278" t="s">
        <v>938</v>
      </c>
    </row>
    <row r="279" spans="1:47" customFormat="1">
      <c r="A279" s="1">
        <v>269</v>
      </c>
      <c r="B279" t="s">
        <v>936</v>
      </c>
      <c r="C279" t="s">
        <v>1</v>
      </c>
      <c r="D279" t="str">
        <f t="shared" si="27"/>
        <v>-</v>
      </c>
      <c r="E279" t="s">
        <v>9</v>
      </c>
      <c r="F279" t="str">
        <f t="shared" si="25"/>
        <v/>
      </c>
      <c r="G279" t="str">
        <f t="shared" si="26"/>
        <v>n</v>
      </c>
      <c r="H279" t="str">
        <f t="shared" si="24"/>
        <v>None</v>
      </c>
      <c r="I279" t="s">
        <v>76</v>
      </c>
      <c r="J279" t="s">
        <v>80</v>
      </c>
      <c r="M279">
        <v>43332.9</v>
      </c>
      <c r="N279">
        <v>-0.216</v>
      </c>
      <c r="O279">
        <v>3782.9</v>
      </c>
      <c r="P279" t="s">
        <v>937</v>
      </c>
      <c r="Q279">
        <v>0.13600000000000001</v>
      </c>
      <c r="R279">
        <v>96889</v>
      </c>
      <c r="S279">
        <v>-94</v>
      </c>
      <c r="T279" t="s">
        <v>88</v>
      </c>
      <c r="U279" t="s">
        <v>68</v>
      </c>
      <c r="V279" t="s">
        <v>1</v>
      </c>
      <c r="W279" t="s">
        <v>9</v>
      </c>
      <c r="X279" t="s">
        <v>9</v>
      </c>
      <c r="Y279" t="s">
        <v>9</v>
      </c>
      <c r="Z279" t="s">
        <v>9</v>
      </c>
      <c r="AA279" t="s">
        <v>9</v>
      </c>
      <c r="AB279">
        <v>0</v>
      </c>
      <c r="AC279">
        <v>0</v>
      </c>
      <c r="AD279">
        <v>0</v>
      </c>
      <c r="AE279">
        <v>0</v>
      </c>
      <c r="AF279">
        <v>0</v>
      </c>
      <c r="AG279">
        <v>0</v>
      </c>
      <c r="AH279">
        <v>0</v>
      </c>
      <c r="AI279">
        <v>0</v>
      </c>
      <c r="AL279">
        <v>0</v>
      </c>
      <c r="AM279" t="s">
        <v>936</v>
      </c>
    </row>
    <row r="280" spans="1:47" customFormat="1">
      <c r="A280" s="1">
        <v>270</v>
      </c>
      <c r="B280" t="s">
        <v>932</v>
      </c>
      <c r="C280" t="s">
        <v>1</v>
      </c>
      <c r="D280" t="str">
        <f t="shared" si="27"/>
        <v>-</v>
      </c>
      <c r="E280" t="s">
        <v>9</v>
      </c>
      <c r="F280" t="str">
        <f t="shared" si="25"/>
        <v/>
      </c>
      <c r="G280" t="str">
        <f t="shared" si="26"/>
        <v>n</v>
      </c>
      <c r="H280" t="str">
        <f t="shared" si="24"/>
        <v>None</v>
      </c>
      <c r="I280" t="s">
        <v>76</v>
      </c>
      <c r="J280" t="s">
        <v>112</v>
      </c>
      <c r="M280">
        <v>43281</v>
      </c>
      <c r="N280">
        <v>0.216</v>
      </c>
      <c r="O280">
        <v>6921</v>
      </c>
      <c r="P280" t="s">
        <v>935</v>
      </c>
      <c r="Q280">
        <v>1.53</v>
      </c>
      <c r="R280">
        <v>59000</v>
      </c>
      <c r="S280">
        <v>57</v>
      </c>
      <c r="T280" t="s">
        <v>88</v>
      </c>
      <c r="U280" t="s">
        <v>127</v>
      </c>
      <c r="V280" t="s">
        <v>1</v>
      </c>
      <c r="W280" t="s">
        <v>934</v>
      </c>
      <c r="X280" t="s">
        <v>9</v>
      </c>
      <c r="Y280" t="s">
        <v>9</v>
      </c>
      <c r="Z280">
        <v>2011</v>
      </c>
      <c r="AA280">
        <v>2040</v>
      </c>
      <c r="AB280" t="s">
        <v>109</v>
      </c>
      <c r="AC280">
        <v>0</v>
      </c>
      <c r="AD280">
        <v>0</v>
      </c>
      <c r="AE280" t="s">
        <v>933</v>
      </c>
      <c r="AF280">
        <v>0</v>
      </c>
      <c r="AG280">
        <v>0</v>
      </c>
      <c r="AH280">
        <v>0</v>
      </c>
      <c r="AI280">
        <v>0</v>
      </c>
      <c r="AL280">
        <v>0</v>
      </c>
      <c r="AM280" t="s">
        <v>932</v>
      </c>
    </row>
    <row r="281" spans="1:47" customFormat="1">
      <c r="A281" s="1">
        <v>271</v>
      </c>
      <c r="B281" t="s">
        <v>929</v>
      </c>
      <c r="C281" t="s">
        <v>1</v>
      </c>
      <c r="D281" t="str">
        <f t="shared" si="27"/>
        <v>-</v>
      </c>
      <c r="E281" t="s">
        <v>9</v>
      </c>
      <c r="F281" t="str">
        <f t="shared" si="25"/>
        <v/>
      </c>
      <c r="G281" t="str">
        <f t="shared" si="26"/>
        <v>n</v>
      </c>
      <c r="H281" t="str">
        <f t="shared" si="24"/>
        <v>None</v>
      </c>
      <c r="I281" t="s">
        <v>76</v>
      </c>
      <c r="J281" t="s">
        <v>931</v>
      </c>
      <c r="M281">
        <v>43270</v>
      </c>
      <c r="N281">
        <v>-1.4999999999999999E-2</v>
      </c>
      <c r="O281">
        <v>512.6</v>
      </c>
      <c r="P281" t="s">
        <v>930</v>
      </c>
      <c r="Q281">
        <v>1.079</v>
      </c>
      <c r="R281">
        <v>30472</v>
      </c>
      <c r="S281">
        <v>-24</v>
      </c>
      <c r="T281" t="s">
        <v>88</v>
      </c>
      <c r="U281" t="s">
        <v>127</v>
      </c>
      <c r="V281" t="s">
        <v>1</v>
      </c>
      <c r="W281" t="s">
        <v>9</v>
      </c>
      <c r="X281" t="s">
        <v>9</v>
      </c>
      <c r="Y281" t="s">
        <v>9</v>
      </c>
      <c r="Z281" t="s">
        <v>9</v>
      </c>
      <c r="AA281" t="s">
        <v>9</v>
      </c>
      <c r="AB281">
        <v>0</v>
      </c>
      <c r="AC281">
        <v>0</v>
      </c>
      <c r="AD281">
        <v>0</v>
      </c>
      <c r="AE281">
        <v>0</v>
      </c>
      <c r="AF281">
        <v>0</v>
      </c>
      <c r="AG281">
        <v>0</v>
      </c>
      <c r="AH281">
        <v>0</v>
      </c>
      <c r="AI281">
        <v>0</v>
      </c>
      <c r="AL281">
        <v>0</v>
      </c>
      <c r="AM281" t="s">
        <v>929</v>
      </c>
    </row>
    <row r="282" spans="1:47" customFormat="1">
      <c r="A282" s="1">
        <v>272</v>
      </c>
      <c r="B282" t="s">
        <v>927</v>
      </c>
      <c r="C282" t="s">
        <v>1</v>
      </c>
      <c r="D282" t="str">
        <f t="shared" si="27"/>
        <v>-</v>
      </c>
      <c r="E282" t="s">
        <v>9</v>
      </c>
      <c r="F282" t="str">
        <f t="shared" si="25"/>
        <v/>
      </c>
      <c r="G282" t="str">
        <f t="shared" si="26"/>
        <v>n</v>
      </c>
      <c r="H282" t="str">
        <f t="shared" si="24"/>
        <v>None</v>
      </c>
      <c r="I282" t="s">
        <v>135</v>
      </c>
      <c r="J282" t="s">
        <v>135</v>
      </c>
      <c r="M282">
        <v>43263.199999999997</v>
      </c>
      <c r="N282">
        <v>0.1</v>
      </c>
      <c r="O282">
        <v>1079.9000000000001</v>
      </c>
      <c r="P282" t="s">
        <v>928</v>
      </c>
      <c r="Q282">
        <v>0.19500000000000001</v>
      </c>
      <c r="R282">
        <v>195461</v>
      </c>
      <c r="S282">
        <v>12</v>
      </c>
      <c r="T282" t="s">
        <v>88</v>
      </c>
      <c r="U282" t="s">
        <v>267</v>
      </c>
      <c r="V282" t="s">
        <v>1</v>
      </c>
      <c r="W282" t="s">
        <v>9</v>
      </c>
      <c r="X282" t="s">
        <v>9</v>
      </c>
      <c r="Y282" t="s">
        <v>9</v>
      </c>
      <c r="Z282" t="s">
        <v>9</v>
      </c>
      <c r="AA282" t="s">
        <v>9</v>
      </c>
      <c r="AB282">
        <v>0</v>
      </c>
      <c r="AC282">
        <v>0</v>
      </c>
      <c r="AD282">
        <v>0</v>
      </c>
      <c r="AE282">
        <v>0</v>
      </c>
      <c r="AF282">
        <v>0</v>
      </c>
      <c r="AG282">
        <v>0</v>
      </c>
      <c r="AH282">
        <v>0</v>
      </c>
      <c r="AI282">
        <v>0</v>
      </c>
      <c r="AL282">
        <v>0</v>
      </c>
      <c r="AM282" t="s">
        <v>927</v>
      </c>
    </row>
    <row r="283" spans="1:47" customFormat="1">
      <c r="A283" s="1">
        <v>273</v>
      </c>
      <c r="B283" t="s">
        <v>926</v>
      </c>
      <c r="C283" t="s">
        <v>1</v>
      </c>
      <c r="D283" t="str">
        <f t="shared" si="27"/>
        <v>-</v>
      </c>
      <c r="E283" t="s">
        <v>9</v>
      </c>
      <c r="F283" t="str">
        <f t="shared" si="25"/>
        <v/>
      </c>
      <c r="G283" t="str">
        <f t="shared" si="26"/>
        <v>n</v>
      </c>
      <c r="H283" t="str">
        <f t="shared" si="24"/>
        <v>None</v>
      </c>
      <c r="I283" t="s">
        <v>283</v>
      </c>
      <c r="J283" t="s">
        <v>925</v>
      </c>
      <c r="M283">
        <v>43008.4</v>
      </c>
      <c r="N283">
        <v>-0.192</v>
      </c>
      <c r="O283">
        <v>852.6</v>
      </c>
      <c r="P283" t="s">
        <v>924</v>
      </c>
      <c r="Q283">
        <v>-0.32900000000000001</v>
      </c>
      <c r="R283">
        <v>106044</v>
      </c>
      <c r="S283">
        <v>-88</v>
      </c>
      <c r="T283" t="s">
        <v>350</v>
      </c>
      <c r="U283" t="s">
        <v>73</v>
      </c>
      <c r="V283" t="s">
        <v>1</v>
      </c>
      <c r="W283" t="s">
        <v>9</v>
      </c>
      <c r="X283" t="s">
        <v>9</v>
      </c>
      <c r="Y283" t="s">
        <v>9</v>
      </c>
      <c r="Z283" t="s">
        <v>9</v>
      </c>
      <c r="AA283" t="s">
        <v>9</v>
      </c>
      <c r="AB283">
        <v>0</v>
      </c>
      <c r="AC283">
        <v>0</v>
      </c>
      <c r="AD283">
        <v>0</v>
      </c>
      <c r="AE283">
        <v>0</v>
      </c>
      <c r="AF283">
        <v>0</v>
      </c>
      <c r="AG283">
        <v>0</v>
      </c>
      <c r="AH283">
        <v>0</v>
      </c>
      <c r="AI283">
        <v>0</v>
      </c>
      <c r="AL283">
        <v>0</v>
      </c>
      <c r="AM283" t="s">
        <v>923</v>
      </c>
    </row>
    <row r="284" spans="1:47" customFormat="1">
      <c r="A284" s="1">
        <v>274</v>
      </c>
      <c r="B284" t="s">
        <v>919</v>
      </c>
      <c r="C284" t="s">
        <v>1</v>
      </c>
      <c r="D284">
        <f>IF(G284="n","",MIN(X284,AI284,AN284))</f>
        <v>2015</v>
      </c>
      <c r="E284" t="s">
        <v>369</v>
      </c>
      <c r="F284">
        <f t="shared" si="25"/>
        <v>2015</v>
      </c>
      <c r="G284" t="str">
        <f t="shared" si="26"/>
        <v>y</v>
      </c>
      <c r="H284" t="str">
        <f t="shared" si="24"/>
        <v>RE100</v>
      </c>
      <c r="I284" t="s">
        <v>76</v>
      </c>
      <c r="J284" t="s">
        <v>80</v>
      </c>
      <c r="M284">
        <v>42960</v>
      </c>
      <c r="N284">
        <v>7.5999999999999998E-2</v>
      </c>
      <c r="O284">
        <v>4516</v>
      </c>
      <c r="P284" t="s">
        <v>922</v>
      </c>
      <c r="Q284">
        <v>3.2210000000000001</v>
      </c>
      <c r="R284">
        <v>66888</v>
      </c>
      <c r="S284">
        <v>32</v>
      </c>
      <c r="T284" t="s">
        <v>88</v>
      </c>
      <c r="U284" t="s">
        <v>287</v>
      </c>
      <c r="V284" t="s">
        <v>1</v>
      </c>
      <c r="W284" t="s">
        <v>921</v>
      </c>
      <c r="X284" t="s">
        <v>9</v>
      </c>
      <c r="Y284" t="s">
        <v>9</v>
      </c>
      <c r="Z284">
        <v>2004</v>
      </c>
      <c r="AA284">
        <v>2020</v>
      </c>
      <c r="AB284">
        <v>0</v>
      </c>
      <c r="AC284">
        <v>0</v>
      </c>
      <c r="AD284">
        <v>0</v>
      </c>
      <c r="AE284" t="s">
        <v>920</v>
      </c>
      <c r="AF284">
        <v>0</v>
      </c>
      <c r="AG284">
        <v>0</v>
      </c>
      <c r="AH284">
        <v>0</v>
      </c>
      <c r="AL284">
        <v>0</v>
      </c>
      <c r="AM284" t="s">
        <v>919</v>
      </c>
      <c r="AN284">
        <v>2015</v>
      </c>
      <c r="AO284">
        <v>2020</v>
      </c>
      <c r="AP284" t="s">
        <v>13</v>
      </c>
      <c r="AQ284">
        <v>0.56000000000000005</v>
      </c>
      <c r="AR284">
        <v>0.56000000000000005</v>
      </c>
      <c r="AS284">
        <v>0.53</v>
      </c>
      <c r="AT284">
        <v>0.53</v>
      </c>
      <c r="AU284" t="s">
        <v>12</v>
      </c>
    </row>
    <row r="285" spans="1:47" customFormat="1">
      <c r="A285" s="1">
        <v>275</v>
      </c>
      <c r="B285" t="s">
        <v>917</v>
      </c>
      <c r="C285" t="s">
        <v>1</v>
      </c>
      <c r="D285" t="str">
        <f>IF(G285="n","-",MIN(X285,AI285,AN285))</f>
        <v>-</v>
      </c>
      <c r="E285" t="s">
        <v>9</v>
      </c>
      <c r="F285" t="str">
        <f t="shared" si="25"/>
        <v/>
      </c>
      <c r="G285" t="str">
        <f t="shared" si="26"/>
        <v>n</v>
      </c>
      <c r="H285" t="str">
        <f t="shared" si="24"/>
        <v>None</v>
      </c>
      <c r="I285" t="s">
        <v>71</v>
      </c>
      <c r="J285" t="s">
        <v>105</v>
      </c>
      <c r="M285">
        <v>42935.6</v>
      </c>
      <c r="N285">
        <v>0.16500000000000001</v>
      </c>
      <c r="O285">
        <v>1115.7</v>
      </c>
      <c r="P285" t="s">
        <v>918</v>
      </c>
      <c r="Q285">
        <v>-0.20200000000000001</v>
      </c>
      <c r="R285">
        <v>12865</v>
      </c>
      <c r="S285">
        <v>39</v>
      </c>
      <c r="T285" t="s">
        <v>88</v>
      </c>
      <c r="U285" t="s">
        <v>87</v>
      </c>
      <c r="V285" t="s">
        <v>1</v>
      </c>
      <c r="W285" t="s">
        <v>9</v>
      </c>
      <c r="X285" t="s">
        <v>9</v>
      </c>
      <c r="Y285" t="s">
        <v>9</v>
      </c>
      <c r="Z285" t="s">
        <v>9</v>
      </c>
      <c r="AA285" t="s">
        <v>9</v>
      </c>
      <c r="AB285">
        <v>0</v>
      </c>
      <c r="AC285">
        <v>0</v>
      </c>
      <c r="AD285">
        <v>0</v>
      </c>
      <c r="AE285">
        <v>0</v>
      </c>
      <c r="AF285">
        <v>0</v>
      </c>
      <c r="AG285">
        <v>0</v>
      </c>
      <c r="AH285">
        <v>0</v>
      </c>
      <c r="AI285">
        <v>0</v>
      </c>
      <c r="AL285">
        <v>0</v>
      </c>
      <c r="AM285" t="s">
        <v>917</v>
      </c>
    </row>
    <row r="286" spans="1:47" customFormat="1">
      <c r="A286" s="1">
        <v>276</v>
      </c>
      <c r="B286" t="s">
        <v>913</v>
      </c>
      <c r="C286" t="s">
        <v>1</v>
      </c>
      <c r="D286">
        <f>IF(G286="n","",MIN(X286,AI286,AN286))</f>
        <v>2018</v>
      </c>
      <c r="F286">
        <f t="shared" si="25"/>
        <v>2018</v>
      </c>
      <c r="G286" t="str">
        <f t="shared" si="26"/>
        <v>y</v>
      </c>
      <c r="H286" t="str">
        <f t="shared" si="24"/>
        <v xml:space="preserve"> SBT</v>
      </c>
      <c r="I286" t="s">
        <v>119</v>
      </c>
      <c r="J286" t="s">
        <v>118</v>
      </c>
      <c r="M286">
        <v>42879</v>
      </c>
      <c r="N286">
        <v>1.7000000000000001E-2</v>
      </c>
      <c r="O286">
        <v>1464</v>
      </c>
      <c r="P286" t="s">
        <v>916</v>
      </c>
      <c r="Q286">
        <v>0.46400000000000002</v>
      </c>
      <c r="R286">
        <v>125000</v>
      </c>
      <c r="S286">
        <v>-15</v>
      </c>
      <c r="T286" t="s">
        <v>88</v>
      </c>
      <c r="U286" t="s">
        <v>127</v>
      </c>
      <c r="V286" t="s">
        <v>1</v>
      </c>
      <c r="W286" t="s">
        <v>915</v>
      </c>
      <c r="X286" t="s">
        <v>9</v>
      </c>
      <c r="Y286">
        <v>2017</v>
      </c>
      <c r="Z286" t="s">
        <v>9</v>
      </c>
      <c r="AA286">
        <v>2020</v>
      </c>
      <c r="AB286">
        <v>0</v>
      </c>
      <c r="AC286">
        <v>0</v>
      </c>
      <c r="AD286">
        <v>0</v>
      </c>
      <c r="AE286" t="s">
        <v>914</v>
      </c>
      <c r="AF286" t="s">
        <v>454</v>
      </c>
      <c r="AG286" t="s">
        <v>165</v>
      </c>
      <c r="AH286" t="s">
        <v>499</v>
      </c>
      <c r="AI286">
        <v>2018</v>
      </c>
      <c r="AL286">
        <v>0</v>
      </c>
      <c r="AM286" t="s">
        <v>913</v>
      </c>
    </row>
    <row r="287" spans="1:47" customFormat="1">
      <c r="A287" s="1">
        <v>277</v>
      </c>
      <c r="B287" t="s">
        <v>911</v>
      </c>
      <c r="C287" t="s">
        <v>1</v>
      </c>
      <c r="D287" t="str">
        <f t="shared" ref="D287:D294" si="28">IF(G287="n","-",MIN(X287,AI287,AN287))</f>
        <v>-</v>
      </c>
      <c r="E287" t="s">
        <v>9</v>
      </c>
      <c r="F287" t="str">
        <f t="shared" si="25"/>
        <v/>
      </c>
      <c r="G287" t="str">
        <f t="shared" si="26"/>
        <v>n</v>
      </c>
      <c r="H287" t="str">
        <f t="shared" si="24"/>
        <v>None</v>
      </c>
      <c r="I287" t="s">
        <v>91</v>
      </c>
      <c r="J287" t="s">
        <v>90</v>
      </c>
      <c r="M287">
        <v>42726.3</v>
      </c>
      <c r="N287">
        <v>0.311</v>
      </c>
      <c r="O287">
        <v>631.29999999999995</v>
      </c>
      <c r="P287" t="s">
        <v>912</v>
      </c>
      <c r="Q287">
        <v>1.069</v>
      </c>
      <c r="R287">
        <v>24016</v>
      </c>
      <c r="S287">
        <v>85</v>
      </c>
      <c r="T287" t="s">
        <v>88</v>
      </c>
      <c r="U287" t="s">
        <v>73</v>
      </c>
      <c r="V287" t="s">
        <v>1</v>
      </c>
      <c r="W287" t="s">
        <v>9</v>
      </c>
      <c r="X287" t="s">
        <v>9</v>
      </c>
      <c r="Y287" t="s">
        <v>9</v>
      </c>
      <c r="Z287" t="s">
        <v>9</v>
      </c>
      <c r="AA287" t="s">
        <v>9</v>
      </c>
      <c r="AB287">
        <v>0</v>
      </c>
      <c r="AC287">
        <v>0</v>
      </c>
      <c r="AD287">
        <v>0</v>
      </c>
      <c r="AE287">
        <v>0</v>
      </c>
      <c r="AF287">
        <v>0</v>
      </c>
      <c r="AG287">
        <v>0</v>
      </c>
      <c r="AH287">
        <v>0</v>
      </c>
      <c r="AI287">
        <v>0</v>
      </c>
      <c r="AL287">
        <v>0</v>
      </c>
      <c r="AM287" t="s">
        <v>911</v>
      </c>
    </row>
    <row r="288" spans="1:47" customFormat="1">
      <c r="A288" s="1">
        <v>278</v>
      </c>
      <c r="B288" t="s">
        <v>908</v>
      </c>
      <c r="C288" t="s">
        <v>1</v>
      </c>
      <c r="D288" t="str">
        <f t="shared" si="28"/>
        <v>-</v>
      </c>
      <c r="E288" t="s">
        <v>9</v>
      </c>
      <c r="F288" t="str">
        <f t="shared" si="25"/>
        <v/>
      </c>
      <c r="G288" t="str">
        <f t="shared" si="26"/>
        <v>n</v>
      </c>
      <c r="H288" t="str">
        <f t="shared" si="24"/>
        <v>None</v>
      </c>
      <c r="I288" t="s">
        <v>76</v>
      </c>
      <c r="J288" t="s">
        <v>910</v>
      </c>
      <c r="M288">
        <v>42685</v>
      </c>
      <c r="N288">
        <v>0</v>
      </c>
      <c r="O288">
        <v>2160</v>
      </c>
      <c r="P288" t="s">
        <v>909</v>
      </c>
      <c r="Q288">
        <v>126.059</v>
      </c>
      <c r="R288">
        <v>50000</v>
      </c>
      <c r="S288">
        <v>-23</v>
      </c>
      <c r="T288" t="s">
        <v>350</v>
      </c>
      <c r="U288" t="s">
        <v>127</v>
      </c>
      <c r="V288" t="s">
        <v>1</v>
      </c>
      <c r="W288" t="s">
        <v>9</v>
      </c>
      <c r="X288" t="s">
        <v>9</v>
      </c>
      <c r="Y288" t="s">
        <v>9</v>
      </c>
      <c r="Z288" t="s">
        <v>9</v>
      </c>
      <c r="AA288" t="s">
        <v>9</v>
      </c>
      <c r="AB288">
        <v>0</v>
      </c>
      <c r="AC288">
        <v>0</v>
      </c>
      <c r="AD288">
        <v>0</v>
      </c>
      <c r="AE288">
        <v>0</v>
      </c>
      <c r="AF288">
        <v>0</v>
      </c>
      <c r="AG288">
        <v>0</v>
      </c>
      <c r="AH288">
        <v>0</v>
      </c>
      <c r="AI288">
        <v>0</v>
      </c>
      <c r="AL288">
        <v>0</v>
      </c>
      <c r="AM288" t="s">
        <v>908</v>
      </c>
    </row>
    <row r="289" spans="1:48" customFormat="1">
      <c r="A289" s="1">
        <v>279</v>
      </c>
      <c r="B289" t="s">
        <v>906</v>
      </c>
      <c r="C289" t="s">
        <v>1</v>
      </c>
      <c r="D289" t="str">
        <f t="shared" si="28"/>
        <v>-</v>
      </c>
      <c r="E289" t="s">
        <v>9</v>
      </c>
      <c r="F289" t="str">
        <f t="shared" si="25"/>
        <v/>
      </c>
      <c r="G289" t="str">
        <f t="shared" si="26"/>
        <v>n</v>
      </c>
      <c r="H289" t="str">
        <f t="shared" si="24"/>
        <v>None</v>
      </c>
      <c r="I289" t="s">
        <v>178</v>
      </c>
      <c r="J289" t="s">
        <v>860</v>
      </c>
      <c r="M289">
        <v>42607.7</v>
      </c>
      <c r="N289">
        <v>0.22900000000000001</v>
      </c>
      <c r="O289">
        <v>1554.5</v>
      </c>
      <c r="P289" t="s">
        <v>907</v>
      </c>
      <c r="Q289">
        <v>0.107</v>
      </c>
      <c r="R289">
        <v>111397</v>
      </c>
      <c r="S289">
        <v>56</v>
      </c>
      <c r="T289" t="s">
        <v>180</v>
      </c>
      <c r="U289" t="s">
        <v>73</v>
      </c>
      <c r="V289" t="s">
        <v>1</v>
      </c>
      <c r="W289" t="s">
        <v>9</v>
      </c>
      <c r="X289" t="s">
        <v>9</v>
      </c>
      <c r="Y289" t="s">
        <v>9</v>
      </c>
      <c r="Z289" t="s">
        <v>9</v>
      </c>
      <c r="AA289" t="s">
        <v>9</v>
      </c>
      <c r="AB289">
        <v>0</v>
      </c>
      <c r="AC289">
        <v>0</v>
      </c>
      <c r="AD289">
        <v>0</v>
      </c>
      <c r="AE289">
        <v>0</v>
      </c>
      <c r="AF289">
        <v>0</v>
      </c>
      <c r="AG289">
        <v>0</v>
      </c>
      <c r="AH289">
        <v>0</v>
      </c>
      <c r="AI289">
        <v>0</v>
      </c>
      <c r="AL289">
        <v>0</v>
      </c>
      <c r="AM289" t="s">
        <v>906</v>
      </c>
    </row>
    <row r="290" spans="1:48" customFormat="1">
      <c r="A290" s="1">
        <v>280</v>
      </c>
      <c r="B290" t="s">
        <v>904</v>
      </c>
      <c r="C290" t="s">
        <v>1</v>
      </c>
      <c r="D290" t="str">
        <f t="shared" si="28"/>
        <v>-</v>
      </c>
      <c r="E290" t="s">
        <v>9</v>
      </c>
      <c r="F290" t="str">
        <f t="shared" si="25"/>
        <v/>
      </c>
      <c r="G290" t="str">
        <f t="shared" si="26"/>
        <v>n</v>
      </c>
      <c r="H290" t="str">
        <f t="shared" si="24"/>
        <v>None</v>
      </c>
      <c r="I290" t="s">
        <v>171</v>
      </c>
      <c r="J290" t="s">
        <v>171</v>
      </c>
      <c r="M290">
        <v>42527</v>
      </c>
      <c r="N290">
        <v>7.8E-2</v>
      </c>
      <c r="O290">
        <v>1732</v>
      </c>
      <c r="P290" t="s">
        <v>905</v>
      </c>
      <c r="Q290">
        <v>-0.54200000000000004</v>
      </c>
      <c r="R290">
        <v>469000</v>
      </c>
      <c r="S290">
        <v>3</v>
      </c>
      <c r="T290" t="s">
        <v>88</v>
      </c>
      <c r="U290" t="s">
        <v>73</v>
      </c>
      <c r="V290" t="s">
        <v>1</v>
      </c>
      <c r="W290" t="s">
        <v>9</v>
      </c>
      <c r="X290" t="s">
        <v>9</v>
      </c>
      <c r="Y290" t="s">
        <v>9</v>
      </c>
      <c r="Z290" t="s">
        <v>9</v>
      </c>
      <c r="AA290" t="s">
        <v>9</v>
      </c>
      <c r="AB290">
        <v>0</v>
      </c>
      <c r="AC290">
        <v>0</v>
      </c>
      <c r="AD290">
        <v>0</v>
      </c>
      <c r="AE290">
        <v>0</v>
      </c>
      <c r="AF290">
        <v>0</v>
      </c>
      <c r="AG290">
        <v>0</v>
      </c>
      <c r="AH290">
        <v>0</v>
      </c>
      <c r="AI290">
        <v>0</v>
      </c>
      <c r="AL290">
        <v>0</v>
      </c>
      <c r="AM290" t="s">
        <v>904</v>
      </c>
    </row>
    <row r="291" spans="1:48" customFormat="1">
      <c r="A291" s="1">
        <v>281</v>
      </c>
      <c r="B291" t="s">
        <v>902</v>
      </c>
      <c r="C291" t="s">
        <v>1</v>
      </c>
      <c r="D291" t="str">
        <f t="shared" si="28"/>
        <v>-</v>
      </c>
      <c r="E291" t="s">
        <v>9</v>
      </c>
      <c r="F291" t="str">
        <f t="shared" si="25"/>
        <v/>
      </c>
      <c r="G291" t="str">
        <f t="shared" si="26"/>
        <v>n</v>
      </c>
      <c r="H291" t="str">
        <f t="shared" si="24"/>
        <v>None</v>
      </c>
      <c r="I291" t="s">
        <v>71</v>
      </c>
      <c r="J291" t="s">
        <v>138</v>
      </c>
      <c r="M291">
        <v>42418.8</v>
      </c>
      <c r="N291">
        <v>0.10199999999999999</v>
      </c>
      <c r="O291">
        <v>90.8</v>
      </c>
      <c r="P291" t="s">
        <v>903</v>
      </c>
      <c r="Q291">
        <v>0.23300000000000001</v>
      </c>
      <c r="R291">
        <v>120095</v>
      </c>
      <c r="S291">
        <v>13</v>
      </c>
      <c r="T291" t="s">
        <v>180</v>
      </c>
      <c r="U291" t="s">
        <v>73</v>
      </c>
      <c r="V291" t="s">
        <v>1</v>
      </c>
      <c r="W291" t="s">
        <v>9</v>
      </c>
      <c r="X291" t="s">
        <v>9</v>
      </c>
      <c r="Y291" t="s">
        <v>9</v>
      </c>
      <c r="Z291" t="s">
        <v>9</v>
      </c>
      <c r="AA291" t="s">
        <v>9</v>
      </c>
      <c r="AB291">
        <v>0</v>
      </c>
      <c r="AC291">
        <v>0</v>
      </c>
      <c r="AD291">
        <v>0</v>
      </c>
      <c r="AE291">
        <v>0</v>
      </c>
      <c r="AF291">
        <v>0</v>
      </c>
      <c r="AG291">
        <v>0</v>
      </c>
      <c r="AH291">
        <v>0</v>
      </c>
      <c r="AI291">
        <v>0</v>
      </c>
      <c r="AL291">
        <v>0</v>
      </c>
      <c r="AM291" t="s">
        <v>902</v>
      </c>
    </row>
    <row r="292" spans="1:48" customFormat="1">
      <c r="A292" s="1">
        <v>282</v>
      </c>
      <c r="B292" t="s">
        <v>900</v>
      </c>
      <c r="C292" t="s">
        <v>1</v>
      </c>
      <c r="D292" t="str">
        <f t="shared" si="28"/>
        <v>-</v>
      </c>
      <c r="E292" t="s">
        <v>9</v>
      </c>
      <c r="F292" t="str">
        <f t="shared" si="25"/>
        <v/>
      </c>
      <c r="G292" t="str">
        <f t="shared" si="26"/>
        <v>n</v>
      </c>
      <c r="H292" t="str">
        <f t="shared" si="24"/>
        <v>None</v>
      </c>
      <c r="I292" t="s">
        <v>76</v>
      </c>
      <c r="J292" t="s">
        <v>269</v>
      </c>
      <c r="M292">
        <v>42390.5</v>
      </c>
      <c r="N292">
        <v>9.8000000000000004E-2</v>
      </c>
      <c r="O292">
        <v>829.7</v>
      </c>
      <c r="P292" t="s">
        <v>901</v>
      </c>
      <c r="Q292">
        <v>9.5000000000000001E-2</v>
      </c>
      <c r="R292">
        <v>20780</v>
      </c>
      <c r="S292">
        <v>9</v>
      </c>
      <c r="T292" t="s">
        <v>88</v>
      </c>
      <c r="U292" t="s">
        <v>146</v>
      </c>
      <c r="V292" t="s">
        <v>1</v>
      </c>
      <c r="W292" t="s">
        <v>9</v>
      </c>
      <c r="X292" t="s">
        <v>9</v>
      </c>
      <c r="Y292" t="s">
        <v>9</v>
      </c>
      <c r="Z292" t="s">
        <v>9</v>
      </c>
      <c r="AA292" t="s">
        <v>9</v>
      </c>
      <c r="AB292">
        <v>0</v>
      </c>
      <c r="AC292">
        <v>0</v>
      </c>
      <c r="AD292">
        <v>0</v>
      </c>
      <c r="AE292">
        <v>0</v>
      </c>
      <c r="AF292">
        <v>0</v>
      </c>
      <c r="AG292">
        <v>0</v>
      </c>
      <c r="AH292">
        <v>0</v>
      </c>
      <c r="AI292">
        <v>0</v>
      </c>
      <c r="AL292">
        <v>0</v>
      </c>
      <c r="AM292" t="s">
        <v>900</v>
      </c>
    </row>
    <row r="293" spans="1:48" customFormat="1">
      <c r="A293" s="1">
        <v>283</v>
      </c>
      <c r="B293" t="s">
        <v>897</v>
      </c>
      <c r="C293" t="s">
        <v>1</v>
      </c>
      <c r="D293" t="str">
        <f t="shared" si="28"/>
        <v>-</v>
      </c>
      <c r="E293" t="s">
        <v>9</v>
      </c>
      <c r="F293" t="str">
        <f t="shared" si="25"/>
        <v/>
      </c>
      <c r="G293" t="str">
        <f t="shared" si="26"/>
        <v>n</v>
      </c>
      <c r="H293" t="str">
        <f t="shared" si="24"/>
        <v>None</v>
      </c>
      <c r="I293" t="s">
        <v>91</v>
      </c>
      <c r="J293" t="s">
        <v>899</v>
      </c>
      <c r="M293">
        <v>42370.9</v>
      </c>
      <c r="N293">
        <v>0.32600000000000001</v>
      </c>
      <c r="O293">
        <v>476.2</v>
      </c>
      <c r="P293" t="s">
        <v>898</v>
      </c>
      <c r="Q293">
        <v>0.186</v>
      </c>
      <c r="R293">
        <v>13181</v>
      </c>
      <c r="S293">
        <v>88</v>
      </c>
      <c r="T293" t="s">
        <v>180</v>
      </c>
      <c r="U293" t="s">
        <v>73</v>
      </c>
      <c r="V293" t="s">
        <v>1</v>
      </c>
      <c r="W293" t="s">
        <v>9</v>
      </c>
      <c r="X293" t="s">
        <v>9</v>
      </c>
      <c r="Y293" t="s">
        <v>9</v>
      </c>
      <c r="Z293" t="s">
        <v>9</v>
      </c>
      <c r="AA293" t="s">
        <v>9</v>
      </c>
      <c r="AB293">
        <v>0</v>
      </c>
      <c r="AC293">
        <v>0</v>
      </c>
      <c r="AD293">
        <v>0</v>
      </c>
      <c r="AE293">
        <v>0</v>
      </c>
      <c r="AF293">
        <v>0</v>
      </c>
      <c r="AG293">
        <v>0</v>
      </c>
      <c r="AH293">
        <v>0</v>
      </c>
      <c r="AI293">
        <v>0</v>
      </c>
      <c r="AL293">
        <v>0</v>
      </c>
      <c r="AM293" t="s">
        <v>897</v>
      </c>
    </row>
    <row r="294" spans="1:48" customFormat="1">
      <c r="A294" s="1">
        <v>284</v>
      </c>
      <c r="B294" t="s">
        <v>892</v>
      </c>
      <c r="C294" t="s">
        <v>1</v>
      </c>
      <c r="D294" t="str">
        <f t="shared" si="28"/>
        <v>-</v>
      </c>
      <c r="E294" t="s">
        <v>9</v>
      </c>
      <c r="F294" t="str">
        <f t="shared" si="25"/>
        <v/>
      </c>
      <c r="G294" t="str">
        <f t="shared" si="26"/>
        <v>n</v>
      </c>
      <c r="H294" t="str">
        <f t="shared" si="24"/>
        <v>None</v>
      </c>
      <c r="I294" t="s">
        <v>178</v>
      </c>
      <c r="J294" t="s">
        <v>177</v>
      </c>
      <c r="M294">
        <v>42302</v>
      </c>
      <c r="N294">
        <v>5.5E-2</v>
      </c>
      <c r="O294">
        <v>2552.6999999999998</v>
      </c>
      <c r="P294" t="s">
        <v>896</v>
      </c>
      <c r="Q294">
        <v>-4.2000000000000003E-2</v>
      </c>
      <c r="R294">
        <v>115882</v>
      </c>
      <c r="S294">
        <v>-7</v>
      </c>
      <c r="T294" t="s">
        <v>88</v>
      </c>
      <c r="U294" t="s">
        <v>146</v>
      </c>
      <c r="V294" t="s">
        <v>1</v>
      </c>
      <c r="W294" t="s">
        <v>895</v>
      </c>
      <c r="X294" t="s">
        <v>9</v>
      </c>
      <c r="Y294" t="s">
        <v>9</v>
      </c>
      <c r="Z294">
        <v>2006</v>
      </c>
      <c r="AA294">
        <v>2020</v>
      </c>
      <c r="AB294" t="s">
        <v>894</v>
      </c>
      <c r="AC294">
        <v>0</v>
      </c>
      <c r="AD294">
        <v>0</v>
      </c>
      <c r="AE294" t="s">
        <v>893</v>
      </c>
      <c r="AF294">
        <v>0</v>
      </c>
      <c r="AG294">
        <v>0</v>
      </c>
      <c r="AH294">
        <v>0</v>
      </c>
      <c r="AI294">
        <v>0</v>
      </c>
      <c r="AL294">
        <v>0</v>
      </c>
      <c r="AM294" t="s">
        <v>892</v>
      </c>
    </row>
    <row r="295" spans="1:48" customFormat="1">
      <c r="A295" s="1">
        <v>285</v>
      </c>
      <c r="B295" t="s">
        <v>887</v>
      </c>
      <c r="C295" t="s">
        <v>1</v>
      </c>
      <c r="D295">
        <f>IF(G295="n","",MIN(X295,AI295,AN295))</f>
        <v>2017</v>
      </c>
      <c r="F295">
        <f t="shared" si="25"/>
        <v>2017</v>
      </c>
      <c r="G295" t="str">
        <f t="shared" si="26"/>
        <v>y</v>
      </c>
      <c r="H295" t="str">
        <f t="shared" si="24"/>
        <v xml:space="preserve"> SBT</v>
      </c>
      <c r="I295" t="s">
        <v>319</v>
      </c>
      <c r="J295" t="s">
        <v>573</v>
      </c>
      <c r="M295">
        <v>42294</v>
      </c>
      <c r="N295">
        <v>5.3999999999999999E-2</v>
      </c>
      <c r="O295">
        <v>6220</v>
      </c>
      <c r="P295" t="s">
        <v>891</v>
      </c>
      <c r="Q295">
        <v>1.5980000000000001</v>
      </c>
      <c r="R295">
        <v>69000</v>
      </c>
      <c r="S295">
        <v>-9</v>
      </c>
      <c r="T295" t="s">
        <v>88</v>
      </c>
      <c r="U295" t="s">
        <v>127</v>
      </c>
      <c r="V295" t="s">
        <v>1</v>
      </c>
      <c r="W295" t="s">
        <v>890</v>
      </c>
      <c r="X295" t="s">
        <v>9</v>
      </c>
      <c r="Y295" t="s">
        <v>9</v>
      </c>
      <c r="Z295">
        <v>2015</v>
      </c>
      <c r="AA295">
        <v>2025</v>
      </c>
      <c r="AB295" t="s">
        <v>889</v>
      </c>
      <c r="AC295">
        <v>0</v>
      </c>
      <c r="AD295">
        <v>0</v>
      </c>
      <c r="AE295" t="s">
        <v>888</v>
      </c>
      <c r="AF295" t="s">
        <v>842</v>
      </c>
      <c r="AG295" t="s">
        <v>165</v>
      </c>
      <c r="AH295" t="s">
        <v>668</v>
      </c>
      <c r="AI295">
        <v>2017</v>
      </c>
      <c r="AL295">
        <v>0</v>
      </c>
      <c r="AM295" t="s">
        <v>887</v>
      </c>
    </row>
    <row r="296" spans="1:48" customFormat="1">
      <c r="A296" s="1">
        <v>286</v>
      </c>
      <c r="B296" t="s">
        <v>885</v>
      </c>
      <c r="C296" t="s">
        <v>1</v>
      </c>
      <c r="D296" t="str">
        <f>IF(G296="n","-",MIN(X296,AI296,AN296))</f>
        <v>-</v>
      </c>
      <c r="E296" t="s">
        <v>9</v>
      </c>
      <c r="F296" t="str">
        <f t="shared" si="25"/>
        <v/>
      </c>
      <c r="G296" t="str">
        <f t="shared" si="26"/>
        <v>n</v>
      </c>
      <c r="H296" t="str">
        <f t="shared" si="24"/>
        <v>None</v>
      </c>
      <c r="I296" t="s">
        <v>71</v>
      </c>
      <c r="J296" t="s">
        <v>71</v>
      </c>
      <c r="M296">
        <v>42280.9</v>
      </c>
      <c r="N296">
        <v>8.7999999999999995E-2</v>
      </c>
      <c r="O296">
        <v>8.9</v>
      </c>
      <c r="P296" t="s">
        <v>886</v>
      </c>
      <c r="Q296">
        <v>-0.95899999999999996</v>
      </c>
      <c r="R296">
        <v>136031</v>
      </c>
      <c r="S296">
        <v>3</v>
      </c>
      <c r="T296" t="s">
        <v>180</v>
      </c>
      <c r="U296" t="s">
        <v>73</v>
      </c>
      <c r="V296" t="s">
        <v>1</v>
      </c>
      <c r="W296" t="s">
        <v>9</v>
      </c>
      <c r="X296" t="s">
        <v>9</v>
      </c>
      <c r="Y296" t="s">
        <v>9</v>
      </c>
      <c r="Z296" t="s">
        <v>9</v>
      </c>
      <c r="AA296" t="s">
        <v>9</v>
      </c>
      <c r="AB296">
        <v>0</v>
      </c>
      <c r="AC296">
        <v>0</v>
      </c>
      <c r="AD296">
        <v>0</v>
      </c>
      <c r="AE296">
        <v>0</v>
      </c>
      <c r="AF296">
        <v>0</v>
      </c>
      <c r="AG296">
        <v>0</v>
      </c>
      <c r="AH296">
        <v>0</v>
      </c>
      <c r="AI296">
        <v>0</v>
      </c>
      <c r="AL296">
        <v>0</v>
      </c>
      <c r="AM296" t="s">
        <v>885</v>
      </c>
    </row>
    <row r="297" spans="1:48" customFormat="1">
      <c r="A297" s="1">
        <v>287</v>
      </c>
      <c r="B297" t="s">
        <v>883</v>
      </c>
      <c r="C297" t="s">
        <v>1</v>
      </c>
      <c r="D297" t="str">
        <f>IF(G297="n","-",MIN(X297,AI297,AN297))</f>
        <v>-</v>
      </c>
      <c r="E297" t="s">
        <v>9</v>
      </c>
      <c r="F297" t="str">
        <f t="shared" si="25"/>
        <v/>
      </c>
      <c r="G297" t="str">
        <f t="shared" si="26"/>
        <v>n</v>
      </c>
      <c r="H297" t="str">
        <f t="shared" si="24"/>
        <v>None</v>
      </c>
      <c r="I297" t="s">
        <v>135</v>
      </c>
      <c r="J297" t="s">
        <v>135</v>
      </c>
      <c r="M297">
        <v>42179.199999999997</v>
      </c>
      <c r="N297">
        <v>0.13200000000000001</v>
      </c>
      <c r="O297">
        <v>1547.2</v>
      </c>
      <c r="P297" t="s">
        <v>884</v>
      </c>
      <c r="Q297">
        <v>0.26500000000000001</v>
      </c>
      <c r="R297">
        <v>129275</v>
      </c>
      <c r="S297">
        <v>20</v>
      </c>
      <c r="T297" t="s">
        <v>88</v>
      </c>
      <c r="U297" t="s">
        <v>63</v>
      </c>
      <c r="V297" t="s">
        <v>1</v>
      </c>
      <c r="W297" t="s">
        <v>9</v>
      </c>
      <c r="X297" t="s">
        <v>9</v>
      </c>
      <c r="Y297" t="s">
        <v>9</v>
      </c>
      <c r="Z297" t="s">
        <v>9</v>
      </c>
      <c r="AA297" t="s">
        <v>9</v>
      </c>
      <c r="AB297">
        <v>0</v>
      </c>
      <c r="AC297">
        <v>0</v>
      </c>
      <c r="AD297">
        <v>0</v>
      </c>
      <c r="AE297">
        <v>0</v>
      </c>
      <c r="AF297">
        <v>0</v>
      </c>
      <c r="AG297">
        <v>0</v>
      </c>
      <c r="AH297">
        <v>0</v>
      </c>
      <c r="AI297">
        <v>0</v>
      </c>
      <c r="AL297">
        <v>0</v>
      </c>
      <c r="AM297" t="s">
        <v>883</v>
      </c>
    </row>
    <row r="298" spans="1:48" customFormat="1">
      <c r="A298" s="1">
        <v>288</v>
      </c>
      <c r="B298" t="s">
        <v>880</v>
      </c>
      <c r="C298" t="s">
        <v>1</v>
      </c>
      <c r="D298">
        <f>IF(G298="n","",MIN(X298,AI298,AN298))</f>
        <v>2018</v>
      </c>
      <c r="F298">
        <f t="shared" si="25"/>
        <v>2018</v>
      </c>
      <c r="G298" t="str">
        <f t="shared" si="26"/>
        <v>y</v>
      </c>
      <c r="H298" t="str">
        <f t="shared" si="24"/>
        <v xml:space="preserve"> SBT</v>
      </c>
      <c r="I298" t="s">
        <v>319</v>
      </c>
      <c r="J298" t="s">
        <v>573</v>
      </c>
      <c r="M298">
        <v>42104.9</v>
      </c>
      <c r="N298">
        <v>3.2000000000000001E-2</v>
      </c>
      <c r="O298">
        <v>5081.8</v>
      </c>
      <c r="P298" t="s">
        <v>882</v>
      </c>
      <c r="Q298">
        <v>-0.46500000000000002</v>
      </c>
      <c r="R298">
        <v>104226</v>
      </c>
      <c r="S298">
        <v>-17</v>
      </c>
      <c r="T298" t="s">
        <v>88</v>
      </c>
      <c r="U298" t="s">
        <v>63</v>
      </c>
      <c r="V298" t="s">
        <v>1</v>
      </c>
      <c r="W298" t="s">
        <v>9</v>
      </c>
      <c r="X298" t="s">
        <v>9</v>
      </c>
      <c r="Y298" t="s">
        <v>9</v>
      </c>
      <c r="Z298" t="s">
        <v>9</v>
      </c>
      <c r="AA298" t="s">
        <v>9</v>
      </c>
      <c r="AB298">
        <v>0</v>
      </c>
      <c r="AC298">
        <v>0</v>
      </c>
      <c r="AD298">
        <v>0</v>
      </c>
      <c r="AE298">
        <v>0</v>
      </c>
      <c r="AF298" t="s">
        <v>842</v>
      </c>
      <c r="AG298" t="s">
        <v>165</v>
      </c>
      <c r="AH298" t="s">
        <v>881</v>
      </c>
      <c r="AI298">
        <v>2018</v>
      </c>
      <c r="AL298">
        <v>0</v>
      </c>
      <c r="AM298" t="s">
        <v>880</v>
      </c>
    </row>
    <row r="299" spans="1:48" customFormat="1">
      <c r="A299" s="1">
        <v>289</v>
      </c>
      <c r="B299" t="s">
        <v>878</v>
      </c>
      <c r="C299" t="s">
        <v>1</v>
      </c>
      <c r="D299" t="str">
        <f>IF(G299="n","-",MIN(X299,AI299,AN299))</f>
        <v>-</v>
      </c>
      <c r="E299" t="s">
        <v>9</v>
      </c>
      <c r="F299" t="str">
        <f t="shared" si="25"/>
        <v/>
      </c>
      <c r="G299" t="str">
        <f t="shared" si="26"/>
        <v>n</v>
      </c>
      <c r="H299" t="str">
        <f t="shared" si="24"/>
        <v>None</v>
      </c>
      <c r="I299" t="s">
        <v>76</v>
      </c>
      <c r="J299" t="s">
        <v>80</v>
      </c>
      <c r="M299">
        <v>41879.699999999997</v>
      </c>
      <c r="N299">
        <v>0.16900000000000001</v>
      </c>
      <c r="O299">
        <v>1890.8</v>
      </c>
      <c r="P299" t="s">
        <v>879</v>
      </c>
      <c r="Q299">
        <v>-2E-3</v>
      </c>
      <c r="R299">
        <v>70000</v>
      </c>
      <c r="S299">
        <v>33</v>
      </c>
      <c r="T299" t="s">
        <v>88</v>
      </c>
      <c r="U299" t="s">
        <v>73</v>
      </c>
      <c r="V299" t="s">
        <v>1</v>
      </c>
      <c r="W299" t="s">
        <v>9</v>
      </c>
      <c r="X299" t="s">
        <v>9</v>
      </c>
      <c r="Y299" t="s">
        <v>9</v>
      </c>
      <c r="Z299" t="s">
        <v>9</v>
      </c>
      <c r="AA299" t="s">
        <v>9</v>
      </c>
      <c r="AB299">
        <v>0</v>
      </c>
      <c r="AC299">
        <v>0</v>
      </c>
      <c r="AD299">
        <v>0</v>
      </c>
      <c r="AE299">
        <v>0</v>
      </c>
      <c r="AF299">
        <v>0</v>
      </c>
      <c r="AG299">
        <v>0</v>
      </c>
      <c r="AH299">
        <v>0</v>
      </c>
      <c r="AI299">
        <v>0</v>
      </c>
      <c r="AL299">
        <v>0</v>
      </c>
      <c r="AM299" t="s">
        <v>878</v>
      </c>
    </row>
    <row r="300" spans="1:48" customFormat="1">
      <c r="A300" s="1">
        <v>290</v>
      </c>
      <c r="B300" t="s">
        <v>875</v>
      </c>
      <c r="C300" t="s">
        <v>1</v>
      </c>
      <c r="D300" t="str">
        <f>IF(G300="n","-",MIN(X300,AI300,AN300))</f>
        <v>-</v>
      </c>
      <c r="E300" t="s">
        <v>9</v>
      </c>
      <c r="F300" t="str">
        <f t="shared" si="25"/>
        <v/>
      </c>
      <c r="G300" t="str">
        <f t="shared" si="26"/>
        <v>n</v>
      </c>
      <c r="H300" t="str">
        <f t="shared" si="24"/>
        <v>None</v>
      </c>
      <c r="I300" t="s">
        <v>283</v>
      </c>
      <c r="J300" t="s">
        <v>877</v>
      </c>
      <c r="M300">
        <v>41802</v>
      </c>
      <c r="N300">
        <v>3.1E-2</v>
      </c>
      <c r="O300">
        <v>6765</v>
      </c>
      <c r="P300" t="s">
        <v>876</v>
      </c>
      <c r="Q300">
        <v>3.0880000000000001</v>
      </c>
      <c r="R300">
        <v>114000</v>
      </c>
      <c r="S300">
        <v>-15</v>
      </c>
      <c r="T300" t="s">
        <v>88</v>
      </c>
      <c r="U300" t="s">
        <v>127</v>
      </c>
      <c r="V300" t="s">
        <v>1</v>
      </c>
      <c r="W300" t="s">
        <v>9</v>
      </c>
      <c r="X300" t="s">
        <v>9</v>
      </c>
      <c r="Y300" t="s">
        <v>9</v>
      </c>
      <c r="Z300" t="s">
        <v>9</v>
      </c>
      <c r="AA300" t="s">
        <v>9</v>
      </c>
      <c r="AB300">
        <v>0</v>
      </c>
      <c r="AC300">
        <v>0</v>
      </c>
      <c r="AD300">
        <v>0</v>
      </c>
      <c r="AE300">
        <v>0</v>
      </c>
      <c r="AF300">
        <v>0</v>
      </c>
      <c r="AG300">
        <v>0</v>
      </c>
      <c r="AH300">
        <v>0</v>
      </c>
      <c r="AI300">
        <v>0</v>
      </c>
      <c r="AL300">
        <v>0</v>
      </c>
      <c r="AM300" t="s">
        <v>875</v>
      </c>
    </row>
    <row r="301" spans="1:48" customFormat="1">
      <c r="A301" s="1">
        <v>291</v>
      </c>
      <c r="B301" t="s">
        <v>873</v>
      </c>
      <c r="C301" t="s">
        <v>1</v>
      </c>
      <c r="D301" t="str">
        <f>IF(G301="n","-",MIN(X301,AI301,AN301))</f>
        <v>-</v>
      </c>
      <c r="E301" t="s">
        <v>9</v>
      </c>
      <c r="F301" t="str">
        <f t="shared" si="25"/>
        <v/>
      </c>
      <c r="G301" t="str">
        <f t="shared" si="26"/>
        <v>n</v>
      </c>
      <c r="H301" t="str">
        <f t="shared" si="24"/>
        <v>None</v>
      </c>
      <c r="I301" t="s">
        <v>91</v>
      </c>
      <c r="J301" t="s">
        <v>90</v>
      </c>
      <c r="M301">
        <v>41437.5</v>
      </c>
      <c r="N301">
        <v>0.25900000000000001</v>
      </c>
      <c r="O301">
        <v>62.8</v>
      </c>
      <c r="P301" t="s">
        <v>874</v>
      </c>
      <c r="Q301">
        <v>-0.41</v>
      </c>
      <c r="R301">
        <v>23159</v>
      </c>
      <c r="S301">
        <v>69</v>
      </c>
      <c r="T301" t="s">
        <v>180</v>
      </c>
      <c r="U301" t="s">
        <v>73</v>
      </c>
      <c r="V301" t="s">
        <v>1</v>
      </c>
      <c r="W301" t="s">
        <v>9</v>
      </c>
      <c r="X301" t="s">
        <v>9</v>
      </c>
      <c r="Y301" t="s">
        <v>9</v>
      </c>
      <c r="Z301" t="s">
        <v>9</v>
      </c>
      <c r="AA301" t="s">
        <v>9</v>
      </c>
      <c r="AB301">
        <v>0</v>
      </c>
      <c r="AC301">
        <v>0</v>
      </c>
      <c r="AD301">
        <v>0</v>
      </c>
      <c r="AE301">
        <v>0</v>
      </c>
      <c r="AF301">
        <v>0</v>
      </c>
      <c r="AG301">
        <v>0</v>
      </c>
      <c r="AH301">
        <v>0</v>
      </c>
      <c r="AI301">
        <v>0</v>
      </c>
      <c r="AL301">
        <v>0</v>
      </c>
      <c r="AM301" t="s">
        <v>873</v>
      </c>
    </row>
    <row r="302" spans="1:48" customFormat="1">
      <c r="A302" s="1">
        <v>292</v>
      </c>
      <c r="B302" t="s">
        <v>866</v>
      </c>
      <c r="C302" t="s">
        <v>1</v>
      </c>
      <c r="D302">
        <f>IF(G302="n","",MIN(X302,AI302,AN302))</f>
        <v>2017</v>
      </c>
      <c r="F302">
        <f t="shared" si="25"/>
        <v>2019</v>
      </c>
      <c r="G302" t="str">
        <f t="shared" si="26"/>
        <v>y</v>
      </c>
      <c r="H302" t="str">
        <f t="shared" si="24"/>
        <v>CN &amp; SBT</v>
      </c>
      <c r="I302" t="s">
        <v>71</v>
      </c>
      <c r="J302" t="s">
        <v>789</v>
      </c>
      <c r="M302">
        <v>41395.4</v>
      </c>
      <c r="N302">
        <v>0.17499999999999999</v>
      </c>
      <c r="O302">
        <v>3557.1</v>
      </c>
      <c r="P302" t="s">
        <v>872</v>
      </c>
      <c r="Q302">
        <v>0.125</v>
      </c>
      <c r="R302">
        <v>33216</v>
      </c>
      <c r="S302">
        <v>38</v>
      </c>
      <c r="T302" t="s">
        <v>88</v>
      </c>
      <c r="U302" t="s">
        <v>267</v>
      </c>
      <c r="V302" t="s">
        <v>337</v>
      </c>
      <c r="W302" t="s">
        <v>9</v>
      </c>
      <c r="X302">
        <v>2017</v>
      </c>
      <c r="Y302" t="s">
        <v>9</v>
      </c>
      <c r="Z302" t="s">
        <v>9</v>
      </c>
      <c r="AA302">
        <v>2050</v>
      </c>
      <c r="AB302" t="s">
        <v>418</v>
      </c>
      <c r="AC302">
        <v>0</v>
      </c>
      <c r="AD302" t="s">
        <v>871</v>
      </c>
      <c r="AE302" t="s">
        <v>870</v>
      </c>
      <c r="AF302" t="s">
        <v>869</v>
      </c>
      <c r="AG302" t="s">
        <v>22</v>
      </c>
      <c r="AH302" t="s">
        <v>868</v>
      </c>
      <c r="AI302">
        <v>2019</v>
      </c>
      <c r="AJ302">
        <v>2030</v>
      </c>
      <c r="AK302" t="s">
        <v>20</v>
      </c>
      <c r="AL302" t="s">
        <v>867</v>
      </c>
      <c r="AM302" t="s">
        <v>866</v>
      </c>
      <c r="AV302" t="s">
        <v>361</v>
      </c>
    </row>
    <row r="303" spans="1:48" customFormat="1">
      <c r="A303" s="1">
        <v>293</v>
      </c>
      <c r="B303" t="s">
        <v>865</v>
      </c>
      <c r="C303" t="s">
        <v>1</v>
      </c>
      <c r="D303" t="str">
        <f>IF(G303="n","-",MIN(X303,AI303,AN303))</f>
        <v>-</v>
      </c>
      <c r="E303" t="s">
        <v>9</v>
      </c>
      <c r="F303" t="str">
        <f t="shared" si="25"/>
        <v/>
      </c>
      <c r="G303" t="str">
        <f t="shared" si="26"/>
        <v>n</v>
      </c>
      <c r="H303" t="str">
        <f t="shared" si="24"/>
        <v>None</v>
      </c>
      <c r="I303" t="s">
        <v>178</v>
      </c>
      <c r="J303" t="s">
        <v>177</v>
      </c>
      <c r="M303">
        <v>41303</v>
      </c>
      <c r="N303">
        <v>9.5000000000000001E-2</v>
      </c>
      <c r="O303">
        <v>2129</v>
      </c>
      <c r="P303" t="s">
        <v>864</v>
      </c>
      <c r="Q303">
        <v>-1E-3</v>
      </c>
      <c r="R303">
        <v>92000</v>
      </c>
      <c r="S303">
        <v>8</v>
      </c>
      <c r="T303" t="s">
        <v>88</v>
      </c>
      <c r="U303" t="s">
        <v>127</v>
      </c>
      <c r="V303" t="s">
        <v>1</v>
      </c>
      <c r="W303" t="s">
        <v>9</v>
      </c>
      <c r="X303" t="s">
        <v>9</v>
      </c>
      <c r="Y303" t="s">
        <v>9</v>
      </c>
      <c r="Z303" t="s">
        <v>9</v>
      </c>
      <c r="AA303" t="s">
        <v>9</v>
      </c>
      <c r="AB303">
        <v>0</v>
      </c>
      <c r="AC303">
        <v>0</v>
      </c>
      <c r="AD303" t="s">
        <v>863</v>
      </c>
      <c r="AE303" t="s">
        <v>862</v>
      </c>
      <c r="AF303">
        <v>0</v>
      </c>
      <c r="AG303">
        <v>0</v>
      </c>
      <c r="AH303">
        <v>0</v>
      </c>
      <c r="AI303">
        <v>0</v>
      </c>
      <c r="AL303">
        <v>0</v>
      </c>
      <c r="AM303" t="s">
        <v>861</v>
      </c>
    </row>
    <row r="304" spans="1:48" customFormat="1">
      <c r="A304" s="1">
        <v>294</v>
      </c>
      <c r="B304" t="s">
        <v>854</v>
      </c>
      <c r="C304" t="s">
        <v>1</v>
      </c>
      <c r="D304">
        <f>IF(G304="n","",MIN(X304,AI304,AN304))</f>
        <v>2018</v>
      </c>
      <c r="F304">
        <f t="shared" si="25"/>
        <v>2019</v>
      </c>
      <c r="G304" t="str">
        <f t="shared" si="26"/>
        <v>y</v>
      </c>
      <c r="H304" t="str">
        <f t="shared" si="24"/>
        <v>CN &amp; SBT</v>
      </c>
      <c r="I304" t="s">
        <v>178</v>
      </c>
      <c r="J304" t="s">
        <v>860</v>
      </c>
      <c r="M304">
        <v>41256</v>
      </c>
      <c r="N304">
        <v>0.1</v>
      </c>
      <c r="O304">
        <v>3169</v>
      </c>
      <c r="P304" t="s">
        <v>859</v>
      </c>
      <c r="Q304" t="s">
        <v>9</v>
      </c>
      <c r="R304">
        <v>84404</v>
      </c>
      <c r="S304">
        <v>11</v>
      </c>
      <c r="T304" t="s">
        <v>88</v>
      </c>
      <c r="U304" t="s">
        <v>858</v>
      </c>
      <c r="V304" t="s">
        <v>337</v>
      </c>
      <c r="W304" t="s">
        <v>9</v>
      </c>
      <c r="X304">
        <v>2018</v>
      </c>
      <c r="Y304" t="s">
        <v>9</v>
      </c>
      <c r="Z304" t="s">
        <v>9</v>
      </c>
      <c r="AA304">
        <v>2050</v>
      </c>
      <c r="AB304" t="s">
        <v>31</v>
      </c>
      <c r="AC304">
        <v>0</v>
      </c>
      <c r="AD304" t="s">
        <v>857</v>
      </c>
      <c r="AE304" t="s">
        <v>856</v>
      </c>
      <c r="AF304" t="s">
        <v>355</v>
      </c>
      <c r="AG304" t="s">
        <v>165</v>
      </c>
      <c r="AH304" t="s">
        <v>855</v>
      </c>
      <c r="AI304">
        <v>2019</v>
      </c>
      <c r="AL304">
        <v>0</v>
      </c>
      <c r="AM304" t="s">
        <v>854</v>
      </c>
    </row>
    <row r="305" spans="1:47" customFormat="1">
      <c r="A305" s="1">
        <v>295</v>
      </c>
      <c r="B305" t="s">
        <v>849</v>
      </c>
      <c r="C305" t="s">
        <v>1</v>
      </c>
      <c r="D305">
        <f>IF(G305="n","",MIN(X305,AI305,AN305))</f>
        <v>2010</v>
      </c>
      <c r="F305">
        <f t="shared" si="25"/>
        <v>2010</v>
      </c>
      <c r="G305" t="str">
        <f t="shared" si="26"/>
        <v>y</v>
      </c>
      <c r="H305" t="str">
        <f t="shared" si="24"/>
        <v>CN &amp; RE100</v>
      </c>
      <c r="I305" t="s">
        <v>76</v>
      </c>
      <c r="J305" t="s">
        <v>80</v>
      </c>
      <c r="M305">
        <v>41198.699999999997</v>
      </c>
      <c r="N305">
        <v>0.19400000000000001</v>
      </c>
      <c r="O305">
        <v>8751.5</v>
      </c>
      <c r="P305" t="s">
        <v>853</v>
      </c>
      <c r="Q305">
        <v>0.10100000000000001</v>
      </c>
      <c r="R305">
        <v>84383</v>
      </c>
      <c r="S305">
        <v>42</v>
      </c>
      <c r="T305" t="s">
        <v>88</v>
      </c>
      <c r="U305" t="s">
        <v>78</v>
      </c>
      <c r="V305" t="s">
        <v>32</v>
      </c>
      <c r="W305" t="s">
        <v>9</v>
      </c>
      <c r="X305">
        <v>2010</v>
      </c>
      <c r="Y305" t="s">
        <v>9</v>
      </c>
      <c r="Z305" t="s">
        <v>9</v>
      </c>
      <c r="AA305" t="s">
        <v>9</v>
      </c>
      <c r="AB305" t="s">
        <v>852</v>
      </c>
      <c r="AC305">
        <v>0</v>
      </c>
      <c r="AD305" t="s">
        <v>851</v>
      </c>
      <c r="AE305" t="s">
        <v>850</v>
      </c>
      <c r="AF305">
        <v>0</v>
      </c>
      <c r="AG305">
        <v>0</v>
      </c>
      <c r="AH305">
        <v>0</v>
      </c>
      <c r="AL305">
        <v>0</v>
      </c>
      <c r="AM305" t="s">
        <v>849</v>
      </c>
      <c r="AN305">
        <v>2016</v>
      </c>
      <c r="AO305">
        <v>2017</v>
      </c>
      <c r="AP305" t="s">
        <v>13</v>
      </c>
      <c r="AQ305">
        <v>1</v>
      </c>
      <c r="AR305">
        <v>1</v>
      </c>
      <c r="AS305">
        <v>1</v>
      </c>
      <c r="AT305" t="s">
        <v>13</v>
      </c>
      <c r="AU305" t="s">
        <v>352</v>
      </c>
    </row>
    <row r="306" spans="1:47" customFormat="1">
      <c r="A306" s="1">
        <v>296</v>
      </c>
      <c r="B306" t="s">
        <v>840</v>
      </c>
      <c r="C306" t="s">
        <v>1</v>
      </c>
      <c r="D306">
        <f>IF(G306="n","",MIN(X306,AI306,AN306))</f>
        <v>2011</v>
      </c>
      <c r="E306" t="s">
        <v>848</v>
      </c>
      <c r="F306">
        <f t="shared" si="25"/>
        <v>2015</v>
      </c>
      <c r="G306" t="str">
        <f t="shared" si="26"/>
        <v>y</v>
      </c>
      <c r="H306" t="str">
        <f t="shared" si="24"/>
        <v>CN &amp; SBT</v>
      </c>
      <c r="I306" t="s">
        <v>319</v>
      </c>
      <c r="J306" t="s">
        <v>573</v>
      </c>
      <c r="M306">
        <v>41108.5</v>
      </c>
      <c r="N306">
        <v>5.8000000000000003E-2</v>
      </c>
      <c r="O306">
        <v>4832.3</v>
      </c>
      <c r="P306" t="s">
        <v>846</v>
      </c>
      <c r="Q306">
        <v>1.45</v>
      </c>
      <c r="R306">
        <v>95490</v>
      </c>
      <c r="S306">
        <v>-6</v>
      </c>
      <c r="T306" t="s">
        <v>88</v>
      </c>
      <c r="U306" t="s">
        <v>275</v>
      </c>
      <c r="V306" t="s">
        <v>337</v>
      </c>
      <c r="W306" t="s">
        <v>9</v>
      </c>
      <c r="X306">
        <v>2011</v>
      </c>
      <c r="Y306" t="s">
        <v>9</v>
      </c>
      <c r="Z306" t="s">
        <v>9</v>
      </c>
      <c r="AA306">
        <v>2050</v>
      </c>
      <c r="AB306" t="s">
        <v>42</v>
      </c>
      <c r="AD306" t="s">
        <v>847</v>
      </c>
      <c r="AE306" t="s">
        <v>843</v>
      </c>
      <c r="AF306" t="s">
        <v>842</v>
      </c>
      <c r="AG306" t="s">
        <v>165</v>
      </c>
      <c r="AH306" t="s">
        <v>841</v>
      </c>
      <c r="AI306">
        <v>2015</v>
      </c>
    </row>
    <row r="307" spans="1:47" customFormat="1">
      <c r="A307" s="1">
        <v>296</v>
      </c>
      <c r="B307" t="s">
        <v>840</v>
      </c>
      <c r="C307" t="s">
        <v>361</v>
      </c>
      <c r="D307">
        <f>IF(G307="n","",MIN(X307,AI307,AN307))</f>
        <v>2015</v>
      </c>
      <c r="F307">
        <f t="shared" si="25"/>
        <v>2015</v>
      </c>
      <c r="G307" t="str">
        <f t="shared" si="26"/>
        <v>y</v>
      </c>
      <c r="H307" t="str">
        <f t="shared" si="24"/>
        <v xml:space="preserve"> SBT</v>
      </c>
      <c r="M307">
        <v>41108.5</v>
      </c>
      <c r="N307">
        <v>5.8000000000000003E-2</v>
      </c>
      <c r="O307">
        <v>4832.3</v>
      </c>
      <c r="P307" t="s">
        <v>846</v>
      </c>
      <c r="Q307">
        <v>1.45</v>
      </c>
      <c r="R307">
        <v>95490</v>
      </c>
      <c r="S307">
        <v>-6</v>
      </c>
      <c r="T307" t="s">
        <v>88</v>
      </c>
      <c r="U307" t="s">
        <v>275</v>
      </c>
      <c r="V307" t="s">
        <v>1</v>
      </c>
      <c r="W307" t="s">
        <v>845</v>
      </c>
      <c r="X307" t="s">
        <v>9</v>
      </c>
      <c r="Y307" t="s">
        <v>9</v>
      </c>
      <c r="Z307">
        <v>2010</v>
      </c>
      <c r="AA307">
        <v>2020</v>
      </c>
      <c r="AB307" t="s">
        <v>31</v>
      </c>
      <c r="AC307">
        <v>0</v>
      </c>
      <c r="AD307" t="s">
        <v>844</v>
      </c>
      <c r="AE307" t="s">
        <v>843</v>
      </c>
      <c r="AF307" t="s">
        <v>842</v>
      </c>
      <c r="AG307" t="s">
        <v>165</v>
      </c>
      <c r="AH307" t="s">
        <v>841</v>
      </c>
      <c r="AI307">
        <v>2015</v>
      </c>
      <c r="AL307">
        <v>0</v>
      </c>
      <c r="AM307" t="s">
        <v>840</v>
      </c>
    </row>
    <row r="308" spans="1:47" customFormat="1">
      <c r="A308" s="1">
        <v>297</v>
      </c>
      <c r="B308" t="s">
        <v>838</v>
      </c>
      <c r="C308" t="s">
        <v>1</v>
      </c>
      <c r="D308" t="str">
        <f>IF(G308="n","-",MIN(X308,AI308,AN308))</f>
        <v>-</v>
      </c>
      <c r="E308" t="s">
        <v>9</v>
      </c>
      <c r="F308" t="str">
        <f t="shared" si="25"/>
        <v/>
      </c>
      <c r="G308" t="str">
        <f t="shared" si="26"/>
        <v>n</v>
      </c>
      <c r="H308" t="str">
        <f t="shared" si="24"/>
        <v>None</v>
      </c>
      <c r="I308" t="s">
        <v>76</v>
      </c>
      <c r="J308" t="s">
        <v>98</v>
      </c>
      <c r="M308">
        <v>41052.1</v>
      </c>
      <c r="N308">
        <v>0.14000000000000001</v>
      </c>
      <c r="O308">
        <v>1560.5</v>
      </c>
      <c r="P308" t="s">
        <v>839</v>
      </c>
      <c r="Q308">
        <v>0.48699999999999999</v>
      </c>
      <c r="R308">
        <v>17643</v>
      </c>
      <c r="S308">
        <v>22</v>
      </c>
      <c r="T308" t="s">
        <v>350</v>
      </c>
      <c r="U308" t="s">
        <v>127</v>
      </c>
      <c r="V308" t="s">
        <v>1</v>
      </c>
      <c r="W308" t="s">
        <v>9</v>
      </c>
      <c r="X308" t="s">
        <v>9</v>
      </c>
      <c r="Y308" t="s">
        <v>9</v>
      </c>
      <c r="Z308" t="s">
        <v>9</v>
      </c>
      <c r="AA308" t="s">
        <v>9</v>
      </c>
      <c r="AB308">
        <v>0</v>
      </c>
      <c r="AC308">
        <v>0</v>
      </c>
      <c r="AD308">
        <v>0</v>
      </c>
      <c r="AE308">
        <v>0</v>
      </c>
      <c r="AF308">
        <v>0</v>
      </c>
      <c r="AG308">
        <v>0</v>
      </c>
      <c r="AH308">
        <v>0</v>
      </c>
      <c r="AI308">
        <v>0</v>
      </c>
      <c r="AL308">
        <v>0</v>
      </c>
      <c r="AM308" t="s">
        <v>838</v>
      </c>
    </row>
    <row r="309" spans="1:47" customFormat="1">
      <c r="A309" s="1">
        <v>298</v>
      </c>
      <c r="B309" t="s">
        <v>830</v>
      </c>
      <c r="C309" t="s">
        <v>1</v>
      </c>
      <c r="D309">
        <f>IF(G309="n","",MIN(X309,AI309,AN309))</f>
        <v>2018</v>
      </c>
      <c r="F309">
        <f t="shared" si="25"/>
        <v>2018</v>
      </c>
      <c r="G309" t="str">
        <f t="shared" si="26"/>
        <v>y</v>
      </c>
      <c r="H309" t="str">
        <f t="shared" si="24"/>
        <v xml:space="preserve"> SBT</v>
      </c>
      <c r="I309" t="s">
        <v>186</v>
      </c>
      <c r="J309" t="s">
        <v>837</v>
      </c>
      <c r="M309">
        <v>40993</v>
      </c>
      <c r="N309">
        <v>0.115</v>
      </c>
      <c r="O309">
        <v>4059.9</v>
      </c>
      <c r="P309" t="s">
        <v>836</v>
      </c>
      <c r="Q309">
        <v>0.17799999999999999</v>
      </c>
      <c r="R309">
        <v>459000</v>
      </c>
      <c r="S309">
        <v>18</v>
      </c>
      <c r="T309" t="s">
        <v>88</v>
      </c>
      <c r="U309" t="s">
        <v>400</v>
      </c>
      <c r="V309" t="s">
        <v>1</v>
      </c>
      <c r="W309" t="s">
        <v>835</v>
      </c>
      <c r="X309" t="s">
        <v>9</v>
      </c>
      <c r="Y309">
        <v>2018</v>
      </c>
      <c r="Z309">
        <v>2016</v>
      </c>
      <c r="AA309">
        <v>2025</v>
      </c>
      <c r="AB309" t="s">
        <v>31</v>
      </c>
      <c r="AC309">
        <v>0</v>
      </c>
      <c r="AD309">
        <v>0</v>
      </c>
      <c r="AE309" t="s">
        <v>834</v>
      </c>
      <c r="AF309" t="s">
        <v>833</v>
      </c>
      <c r="AG309" t="s">
        <v>22</v>
      </c>
      <c r="AH309" t="s">
        <v>832</v>
      </c>
      <c r="AI309">
        <v>2018</v>
      </c>
      <c r="AJ309">
        <v>2025</v>
      </c>
      <c r="AK309" t="s">
        <v>361</v>
      </c>
      <c r="AL309" t="s">
        <v>831</v>
      </c>
      <c r="AM309" t="s">
        <v>830</v>
      </c>
    </row>
    <row r="310" spans="1:47" customFormat="1">
      <c r="A310" s="1">
        <v>299</v>
      </c>
      <c r="B310" t="s">
        <v>828</v>
      </c>
      <c r="C310" t="s">
        <v>1</v>
      </c>
      <c r="D310" t="str">
        <f>IF(G310="n","-",MIN(X310,AI310,AN310))</f>
        <v>-</v>
      </c>
      <c r="E310" t="s">
        <v>9</v>
      </c>
      <c r="F310" t="str">
        <f t="shared" si="25"/>
        <v/>
      </c>
      <c r="G310" t="str">
        <f t="shared" si="26"/>
        <v>n</v>
      </c>
      <c r="H310" t="str">
        <f t="shared" si="24"/>
        <v>None</v>
      </c>
      <c r="I310" t="s">
        <v>171</v>
      </c>
      <c r="J310" t="s">
        <v>171</v>
      </c>
      <c r="M310">
        <v>40827</v>
      </c>
      <c r="N310">
        <v>4.8000000000000001E-2</v>
      </c>
      <c r="O310">
        <v>2296</v>
      </c>
      <c r="P310" t="s">
        <v>829</v>
      </c>
      <c r="Q310">
        <v>4.1000000000000002E-2</v>
      </c>
      <c r="R310">
        <v>174000</v>
      </c>
      <c r="S310">
        <v>-12</v>
      </c>
      <c r="T310" t="s">
        <v>88</v>
      </c>
      <c r="U310" t="s">
        <v>78</v>
      </c>
      <c r="V310" t="s">
        <v>1</v>
      </c>
      <c r="W310" t="s">
        <v>9</v>
      </c>
      <c r="X310" t="s">
        <v>9</v>
      </c>
      <c r="Y310" t="s">
        <v>9</v>
      </c>
      <c r="Z310" t="s">
        <v>9</v>
      </c>
      <c r="AA310" t="s">
        <v>9</v>
      </c>
      <c r="AB310">
        <v>0</v>
      </c>
      <c r="AC310">
        <v>0</v>
      </c>
      <c r="AD310">
        <v>0</v>
      </c>
      <c r="AE310">
        <v>0</v>
      </c>
      <c r="AF310">
        <v>0</v>
      </c>
      <c r="AG310">
        <v>0</v>
      </c>
      <c r="AH310">
        <v>0</v>
      </c>
      <c r="AI310">
        <v>0</v>
      </c>
      <c r="AL310">
        <v>0</v>
      </c>
      <c r="AM310" t="s">
        <v>828</v>
      </c>
    </row>
    <row r="311" spans="1:47" customFormat="1">
      <c r="A311" s="1">
        <v>300</v>
      </c>
      <c r="B311" t="s">
        <v>826</v>
      </c>
      <c r="C311" t="s">
        <v>1</v>
      </c>
      <c r="D311">
        <f>IF(G311="n","",MIN(X311,AI311,AN311))</f>
        <v>2018</v>
      </c>
      <c r="F311">
        <f t="shared" si="25"/>
        <v>2018</v>
      </c>
      <c r="G311" t="str">
        <f t="shared" si="26"/>
        <v>y</v>
      </c>
      <c r="H311" t="str">
        <f t="shared" si="24"/>
        <v xml:space="preserve"> SBT</v>
      </c>
      <c r="I311" t="s">
        <v>283</v>
      </c>
      <c r="J311" t="s">
        <v>282</v>
      </c>
      <c r="M311">
        <v>40766.1</v>
      </c>
      <c r="N311">
        <v>1.9E-2</v>
      </c>
      <c r="O311">
        <v>2044.2</v>
      </c>
      <c r="P311" t="s">
        <v>827</v>
      </c>
      <c r="Q311">
        <v>-0.16700000000000001</v>
      </c>
      <c r="R311">
        <v>145817</v>
      </c>
      <c r="S311">
        <v>-21</v>
      </c>
      <c r="T311" t="s">
        <v>88</v>
      </c>
      <c r="U311" t="s">
        <v>207</v>
      </c>
      <c r="V311" t="s">
        <v>1</v>
      </c>
      <c r="W311" t="s">
        <v>9</v>
      </c>
      <c r="X311" t="s">
        <v>9</v>
      </c>
      <c r="Y311" t="s">
        <v>9</v>
      </c>
      <c r="Z311" t="s">
        <v>9</v>
      </c>
      <c r="AA311" t="s">
        <v>9</v>
      </c>
      <c r="AB311">
        <v>0</v>
      </c>
      <c r="AC311">
        <v>0</v>
      </c>
      <c r="AD311">
        <v>0</v>
      </c>
      <c r="AE311">
        <v>0</v>
      </c>
      <c r="AF311" t="s">
        <v>431</v>
      </c>
      <c r="AG311" t="s">
        <v>165</v>
      </c>
      <c r="AH311" t="s">
        <v>499</v>
      </c>
      <c r="AI311">
        <v>2018</v>
      </c>
      <c r="AL311">
        <v>0</v>
      </c>
      <c r="AM311" t="s">
        <v>826</v>
      </c>
    </row>
    <row r="312" spans="1:47" customFormat="1">
      <c r="A312" s="1">
        <v>301</v>
      </c>
      <c r="B312" t="s">
        <v>824</v>
      </c>
      <c r="C312" t="s">
        <v>1</v>
      </c>
      <c r="D312" t="str">
        <f>IF(G312="n","-",MIN(X312,AI312,AN312))</f>
        <v>-</v>
      </c>
      <c r="E312" t="s">
        <v>9</v>
      </c>
      <c r="F312" t="str">
        <f t="shared" si="25"/>
        <v/>
      </c>
      <c r="G312" t="str">
        <f t="shared" si="26"/>
        <v>n</v>
      </c>
      <c r="H312" t="str">
        <f t="shared" si="24"/>
        <v>None</v>
      </c>
      <c r="I312" t="s">
        <v>91</v>
      </c>
      <c r="J312" t="s">
        <v>90</v>
      </c>
      <c r="M312">
        <v>40640.800000000003</v>
      </c>
      <c r="N312">
        <v>0.24199999999999999</v>
      </c>
      <c r="O312">
        <v>844.7</v>
      </c>
      <c r="P312" t="s">
        <v>825</v>
      </c>
      <c r="Q312">
        <v>-0.20899999999999999</v>
      </c>
      <c r="R312">
        <v>31547</v>
      </c>
      <c r="S312">
        <v>60</v>
      </c>
      <c r="T312" t="s">
        <v>350</v>
      </c>
      <c r="U312" t="s">
        <v>73</v>
      </c>
      <c r="V312" t="s">
        <v>1</v>
      </c>
      <c r="W312" t="s">
        <v>9</v>
      </c>
      <c r="X312" t="s">
        <v>9</v>
      </c>
      <c r="Y312" t="s">
        <v>9</v>
      </c>
      <c r="Z312" t="s">
        <v>9</v>
      </c>
      <c r="AA312" t="s">
        <v>9</v>
      </c>
      <c r="AB312">
        <v>0</v>
      </c>
      <c r="AC312">
        <v>0</v>
      </c>
      <c r="AD312">
        <v>0</v>
      </c>
      <c r="AE312">
        <v>0</v>
      </c>
      <c r="AF312">
        <v>0</v>
      </c>
      <c r="AG312">
        <v>0</v>
      </c>
      <c r="AH312">
        <v>0</v>
      </c>
      <c r="AI312">
        <v>0</v>
      </c>
      <c r="AL312">
        <v>0</v>
      </c>
      <c r="AM312" t="s">
        <v>824</v>
      </c>
    </row>
    <row r="313" spans="1:47" customFormat="1">
      <c r="A313" s="1">
        <v>302</v>
      </c>
      <c r="B313" t="s">
        <v>823</v>
      </c>
      <c r="C313" t="s">
        <v>1</v>
      </c>
      <c r="D313" t="str">
        <f>IF(G313="n","-",MIN(X313,AI313,AN313))</f>
        <v>-</v>
      </c>
      <c r="E313" t="s">
        <v>9</v>
      </c>
      <c r="F313" t="str">
        <f t="shared" si="25"/>
        <v/>
      </c>
      <c r="G313" t="str">
        <f t="shared" si="26"/>
        <v>n</v>
      </c>
      <c r="H313" t="str">
        <f t="shared" si="24"/>
        <v>None</v>
      </c>
      <c r="I313" t="s">
        <v>124</v>
      </c>
      <c r="J313" t="s">
        <v>560</v>
      </c>
      <c r="M313">
        <v>40571</v>
      </c>
      <c r="N313">
        <v>-0.26800000000000002</v>
      </c>
      <c r="O313">
        <v>355</v>
      </c>
      <c r="P313" t="s">
        <v>822</v>
      </c>
      <c r="Q313">
        <v>0.12</v>
      </c>
      <c r="R313">
        <v>16785</v>
      </c>
      <c r="S313">
        <v>-129</v>
      </c>
      <c r="T313" t="s">
        <v>350</v>
      </c>
      <c r="U313" t="s">
        <v>96</v>
      </c>
      <c r="V313" t="s">
        <v>1</v>
      </c>
      <c r="W313" t="s">
        <v>9</v>
      </c>
      <c r="X313" t="s">
        <v>9</v>
      </c>
      <c r="Y313" t="s">
        <v>9</v>
      </c>
      <c r="Z313" t="s">
        <v>9</v>
      </c>
      <c r="AA313" t="s">
        <v>9</v>
      </c>
      <c r="AB313">
        <v>0</v>
      </c>
      <c r="AC313">
        <v>0</v>
      </c>
      <c r="AD313">
        <v>0</v>
      </c>
      <c r="AE313">
        <v>0</v>
      </c>
      <c r="AF313">
        <v>0</v>
      </c>
      <c r="AG313">
        <v>0</v>
      </c>
      <c r="AH313">
        <v>0</v>
      </c>
      <c r="AI313">
        <v>0</v>
      </c>
      <c r="AL313">
        <v>0</v>
      </c>
      <c r="AM313" t="s">
        <v>821</v>
      </c>
    </row>
    <row r="314" spans="1:47" customFormat="1">
      <c r="A314" s="1">
        <v>303</v>
      </c>
      <c r="B314" t="s">
        <v>819</v>
      </c>
      <c r="C314" t="s">
        <v>1</v>
      </c>
      <c r="D314" t="str">
        <f>IF(G314="n","-",MIN(X314,AI314,AN314))</f>
        <v>-</v>
      </c>
      <c r="E314" t="s">
        <v>9</v>
      </c>
      <c r="F314" t="str">
        <f t="shared" si="25"/>
        <v/>
      </c>
      <c r="G314" t="str">
        <f t="shared" si="26"/>
        <v>n</v>
      </c>
      <c r="H314" t="str">
        <f t="shared" si="24"/>
        <v>None</v>
      </c>
      <c r="I314" t="s">
        <v>71</v>
      </c>
      <c r="J314" t="s">
        <v>138</v>
      </c>
      <c r="M314">
        <v>40522</v>
      </c>
      <c r="N314">
        <v>1.2E-2</v>
      </c>
      <c r="O314">
        <v>13638</v>
      </c>
      <c r="P314" t="s">
        <v>820</v>
      </c>
      <c r="Q314">
        <v>0.55600000000000005</v>
      </c>
      <c r="R314">
        <v>47458</v>
      </c>
      <c r="S314">
        <v>-25</v>
      </c>
      <c r="T314" t="s">
        <v>88</v>
      </c>
      <c r="U314" t="s">
        <v>275</v>
      </c>
      <c r="V314" t="s">
        <v>1</v>
      </c>
      <c r="W314" t="s">
        <v>9</v>
      </c>
      <c r="X314" t="s">
        <v>9</v>
      </c>
      <c r="Y314" t="s">
        <v>9</v>
      </c>
      <c r="Z314" t="s">
        <v>9</v>
      </c>
      <c r="AA314" t="s">
        <v>9</v>
      </c>
      <c r="AB314">
        <v>0</v>
      </c>
      <c r="AC314">
        <v>0</v>
      </c>
      <c r="AD314">
        <v>0</v>
      </c>
      <c r="AE314">
        <v>0</v>
      </c>
      <c r="AF314">
        <v>0</v>
      </c>
      <c r="AG314">
        <v>0</v>
      </c>
      <c r="AH314">
        <v>0</v>
      </c>
      <c r="AI314">
        <v>0</v>
      </c>
      <c r="AL314">
        <v>0</v>
      </c>
      <c r="AM314" t="s">
        <v>819</v>
      </c>
    </row>
    <row r="315" spans="1:47" customFormat="1">
      <c r="A315" s="1">
        <v>304</v>
      </c>
      <c r="B315" t="s">
        <v>814</v>
      </c>
      <c r="C315" t="s">
        <v>1</v>
      </c>
      <c r="D315" t="str">
        <f>IF(G315="n","-",MIN(X315,AI315,AN315))</f>
        <v>-</v>
      </c>
      <c r="E315" t="s">
        <v>9</v>
      </c>
      <c r="F315" t="str">
        <f t="shared" si="25"/>
        <v/>
      </c>
      <c r="G315" t="str">
        <f t="shared" si="26"/>
        <v>n</v>
      </c>
      <c r="H315" t="str">
        <f t="shared" si="24"/>
        <v>None</v>
      </c>
      <c r="I315" t="s">
        <v>91</v>
      </c>
      <c r="J315" t="s">
        <v>818</v>
      </c>
      <c r="M315">
        <v>40454.199999999997</v>
      </c>
      <c r="N315">
        <v>0.09</v>
      </c>
      <c r="O315">
        <v>380</v>
      </c>
      <c r="P315" t="s">
        <v>817</v>
      </c>
      <c r="Q315">
        <v>0.10100000000000001</v>
      </c>
      <c r="R315">
        <v>376000</v>
      </c>
      <c r="S315">
        <v>6</v>
      </c>
      <c r="T315" t="s">
        <v>350</v>
      </c>
      <c r="U315" t="s">
        <v>146</v>
      </c>
      <c r="V315" t="s">
        <v>1</v>
      </c>
      <c r="W315" t="s">
        <v>816</v>
      </c>
      <c r="X315" t="s">
        <v>9</v>
      </c>
      <c r="Y315" t="s">
        <v>9</v>
      </c>
      <c r="Z315">
        <v>2007</v>
      </c>
      <c r="AA315">
        <v>2020</v>
      </c>
      <c r="AB315" t="s">
        <v>31</v>
      </c>
      <c r="AC315">
        <v>0</v>
      </c>
      <c r="AD315">
        <v>0</v>
      </c>
      <c r="AE315" t="s">
        <v>815</v>
      </c>
      <c r="AF315">
        <v>0</v>
      </c>
      <c r="AG315">
        <v>0</v>
      </c>
      <c r="AH315">
        <v>0</v>
      </c>
      <c r="AI315">
        <v>0</v>
      </c>
      <c r="AL315">
        <v>0</v>
      </c>
      <c r="AM315" t="s">
        <v>814</v>
      </c>
    </row>
    <row r="316" spans="1:47" customFormat="1">
      <c r="A316" s="6">
        <v>305</v>
      </c>
      <c r="B316" t="s">
        <v>812</v>
      </c>
      <c r="C316" t="s">
        <v>1</v>
      </c>
      <c r="D316" t="str">
        <f>IF(G316="n","",MIN(X316,-I316,-N316))</f>
        <v/>
      </c>
      <c r="F316" t="str">
        <f t="shared" si="25"/>
        <v/>
      </c>
      <c r="G316" t="str">
        <f t="shared" si="26"/>
        <v>n</v>
      </c>
      <c r="H316" t="str">
        <f t="shared" si="24"/>
        <v>None</v>
      </c>
      <c r="I316" t="s">
        <v>76</v>
      </c>
      <c r="J316" t="s">
        <v>80</v>
      </c>
      <c r="M316">
        <v>40240.5</v>
      </c>
      <c r="N316">
        <v>-0.26100000000000001</v>
      </c>
      <c r="O316">
        <v>2833.3</v>
      </c>
      <c r="P316" t="s">
        <v>813</v>
      </c>
      <c r="Q316">
        <v>-0.27700000000000002</v>
      </c>
      <c r="R316">
        <v>84952</v>
      </c>
      <c r="S316" t="s">
        <v>64</v>
      </c>
      <c r="T316" t="e">
        <v>#N/A</v>
      </c>
      <c r="U316" t="s">
        <v>68</v>
      </c>
      <c r="V316" t="s">
        <v>1</v>
      </c>
      <c r="W316" t="s">
        <v>9</v>
      </c>
      <c r="X316" t="s">
        <v>9</v>
      </c>
      <c r="Y316" t="s">
        <v>9</v>
      </c>
      <c r="Z316" t="s">
        <v>9</v>
      </c>
      <c r="AM316" t="s">
        <v>812</v>
      </c>
    </row>
    <row r="317" spans="1:47" customFormat="1">
      <c r="A317" s="1">
        <v>306</v>
      </c>
      <c r="B317" t="s">
        <v>805</v>
      </c>
      <c r="C317" t="s">
        <v>1</v>
      </c>
      <c r="D317">
        <f>IF(G317="n","",MIN(X317,AI317,AN317))</f>
        <v>2018</v>
      </c>
      <c r="F317">
        <f t="shared" si="25"/>
        <v>2018</v>
      </c>
      <c r="G317" t="str">
        <f t="shared" si="26"/>
        <v>y</v>
      </c>
      <c r="H317" t="str">
        <f t="shared" si="24"/>
        <v xml:space="preserve"> SBT</v>
      </c>
      <c r="I317" t="s">
        <v>124</v>
      </c>
      <c r="J317" t="s">
        <v>560</v>
      </c>
      <c r="M317">
        <v>40052</v>
      </c>
      <c r="N317">
        <v>4.7E-2</v>
      </c>
      <c r="O317">
        <v>3024</v>
      </c>
      <c r="P317" t="s">
        <v>811</v>
      </c>
      <c r="Q317">
        <v>0.70499999999999996</v>
      </c>
      <c r="R317">
        <v>121000</v>
      </c>
      <c r="S317">
        <v>-9</v>
      </c>
      <c r="T317" t="s">
        <v>88</v>
      </c>
      <c r="U317" t="s">
        <v>127</v>
      </c>
      <c r="V317" t="s">
        <v>1</v>
      </c>
      <c r="W317" t="s">
        <v>810</v>
      </c>
      <c r="X317" t="s">
        <v>9</v>
      </c>
      <c r="Y317">
        <v>2018</v>
      </c>
      <c r="Z317">
        <v>2016</v>
      </c>
      <c r="AA317">
        <v>2030</v>
      </c>
      <c r="AB317" t="s">
        <v>809</v>
      </c>
      <c r="AC317">
        <v>0</v>
      </c>
      <c r="AD317">
        <v>0</v>
      </c>
      <c r="AE317">
        <v>0</v>
      </c>
      <c r="AF317" t="s">
        <v>23</v>
      </c>
      <c r="AG317" t="s">
        <v>22</v>
      </c>
      <c r="AH317" t="s">
        <v>808</v>
      </c>
      <c r="AI317">
        <v>2018</v>
      </c>
      <c r="AJ317">
        <v>2030</v>
      </c>
      <c r="AK317" t="s">
        <v>807</v>
      </c>
      <c r="AL317" t="s">
        <v>806</v>
      </c>
      <c r="AM317" t="s">
        <v>805</v>
      </c>
    </row>
    <row r="318" spans="1:47" customFormat="1">
      <c r="A318" s="1">
        <v>307</v>
      </c>
      <c r="B318" t="s">
        <v>802</v>
      </c>
      <c r="C318" t="s">
        <v>1</v>
      </c>
      <c r="D318" t="str">
        <f>IF(G318="n","-",MIN(X318,AI318,AN318))</f>
        <v>-</v>
      </c>
      <c r="E318" t="s">
        <v>9</v>
      </c>
      <c r="F318" t="str">
        <f t="shared" si="25"/>
        <v/>
      </c>
      <c r="G318" t="str">
        <f t="shared" si="26"/>
        <v>n</v>
      </c>
      <c r="H318" t="str">
        <f t="shared" si="24"/>
        <v>None</v>
      </c>
      <c r="I318" t="s">
        <v>186</v>
      </c>
      <c r="J318" t="s">
        <v>368</v>
      </c>
      <c r="M318">
        <v>39831</v>
      </c>
      <c r="N318">
        <v>5.6000000000000001E-2</v>
      </c>
      <c r="O318">
        <v>3825</v>
      </c>
      <c r="P318" t="s">
        <v>804</v>
      </c>
      <c r="Q318">
        <v>-0.59</v>
      </c>
      <c r="R318">
        <v>137000</v>
      </c>
      <c r="S318">
        <v>-5</v>
      </c>
      <c r="T318" t="s">
        <v>88</v>
      </c>
      <c r="U318" t="s">
        <v>127</v>
      </c>
      <c r="V318" t="s">
        <v>1</v>
      </c>
      <c r="W318" t="s">
        <v>803</v>
      </c>
      <c r="X318" t="s">
        <v>9</v>
      </c>
      <c r="Y318" t="s">
        <v>9</v>
      </c>
      <c r="Z318" t="s">
        <v>9</v>
      </c>
      <c r="AA318">
        <v>2020</v>
      </c>
      <c r="AB318">
        <v>0</v>
      </c>
      <c r="AC318">
        <v>0</v>
      </c>
      <c r="AD318">
        <v>0</v>
      </c>
      <c r="AE318">
        <v>0</v>
      </c>
      <c r="AF318">
        <v>0</v>
      </c>
      <c r="AG318">
        <v>0</v>
      </c>
      <c r="AH318">
        <v>0</v>
      </c>
      <c r="AI318">
        <v>0</v>
      </c>
      <c r="AL318">
        <v>0</v>
      </c>
      <c r="AM318" t="s">
        <v>802</v>
      </c>
    </row>
    <row r="319" spans="1:47" customFormat="1">
      <c r="A319" s="1">
        <v>308</v>
      </c>
      <c r="B319" t="s">
        <v>798</v>
      </c>
      <c r="C319" t="s">
        <v>1</v>
      </c>
      <c r="D319" t="str">
        <f>IF(G319="n","-",MIN(X319,AI319,AN319))</f>
        <v>-</v>
      </c>
      <c r="E319" t="s">
        <v>9</v>
      </c>
      <c r="F319" t="str">
        <f t="shared" si="25"/>
        <v/>
      </c>
      <c r="G319" t="str">
        <f t="shared" si="26"/>
        <v>n</v>
      </c>
      <c r="H319" t="str">
        <f t="shared" si="24"/>
        <v>None</v>
      </c>
      <c r="I319" t="s">
        <v>76</v>
      </c>
      <c r="J319" t="s">
        <v>269</v>
      </c>
      <c r="M319">
        <v>39815</v>
      </c>
      <c r="N319">
        <v>3.4000000000000002E-2</v>
      </c>
      <c r="O319">
        <v>2252</v>
      </c>
      <c r="P319" t="s">
        <v>801</v>
      </c>
      <c r="Q319">
        <v>-0.29399999999999998</v>
      </c>
      <c r="R319">
        <v>45420</v>
      </c>
      <c r="S319">
        <v>-15</v>
      </c>
      <c r="T319" t="s">
        <v>88</v>
      </c>
      <c r="U319" t="s">
        <v>127</v>
      </c>
      <c r="V319" t="s">
        <v>1</v>
      </c>
      <c r="W319" t="s">
        <v>9</v>
      </c>
      <c r="X319" t="s">
        <v>9</v>
      </c>
      <c r="Y319" t="s">
        <v>9</v>
      </c>
      <c r="Z319" t="s">
        <v>9</v>
      </c>
      <c r="AA319" t="s">
        <v>9</v>
      </c>
      <c r="AB319">
        <v>0</v>
      </c>
      <c r="AC319">
        <v>0</v>
      </c>
      <c r="AD319" t="s">
        <v>800</v>
      </c>
      <c r="AE319" t="s">
        <v>799</v>
      </c>
      <c r="AF319">
        <v>0</v>
      </c>
      <c r="AG319">
        <v>0</v>
      </c>
      <c r="AH319">
        <v>0</v>
      </c>
      <c r="AI319">
        <v>0</v>
      </c>
      <c r="AL319">
        <v>0</v>
      </c>
      <c r="AM319" t="s">
        <v>798</v>
      </c>
    </row>
    <row r="320" spans="1:47" customFormat="1">
      <c r="A320" s="1">
        <v>309</v>
      </c>
      <c r="B320" t="s">
        <v>796</v>
      </c>
      <c r="C320" t="s">
        <v>1</v>
      </c>
      <c r="D320" t="str">
        <f>IF(G320="n","-",MIN(X320,AI320,AN320))</f>
        <v>-</v>
      </c>
      <c r="E320" t="s">
        <v>9</v>
      </c>
      <c r="F320" t="str">
        <f t="shared" si="25"/>
        <v/>
      </c>
      <c r="G320" t="str">
        <f t="shared" si="26"/>
        <v>n</v>
      </c>
      <c r="H320" t="str">
        <f t="shared" si="24"/>
        <v>None</v>
      </c>
      <c r="I320" t="s">
        <v>71</v>
      </c>
      <c r="J320" t="s">
        <v>71</v>
      </c>
      <c r="M320">
        <v>39750.300000000003</v>
      </c>
      <c r="N320">
        <v>0.18</v>
      </c>
      <c r="O320">
        <v>127.7</v>
      </c>
      <c r="P320" t="s">
        <v>797</v>
      </c>
      <c r="Q320" t="s">
        <v>9</v>
      </c>
      <c r="R320">
        <v>5000</v>
      </c>
      <c r="S320">
        <v>42</v>
      </c>
      <c r="T320" t="s">
        <v>88</v>
      </c>
      <c r="U320" t="s">
        <v>127</v>
      </c>
      <c r="V320" t="s">
        <v>1</v>
      </c>
      <c r="W320" t="s">
        <v>9</v>
      </c>
      <c r="X320" t="s">
        <v>9</v>
      </c>
      <c r="Y320" t="s">
        <v>9</v>
      </c>
      <c r="Z320" t="s">
        <v>9</v>
      </c>
      <c r="AA320" t="s">
        <v>9</v>
      </c>
      <c r="AB320">
        <v>0</v>
      </c>
      <c r="AC320">
        <v>0</v>
      </c>
      <c r="AD320">
        <v>0</v>
      </c>
      <c r="AE320">
        <v>0</v>
      </c>
      <c r="AF320">
        <v>0</v>
      </c>
      <c r="AG320">
        <v>0</v>
      </c>
      <c r="AH320">
        <v>0</v>
      </c>
      <c r="AI320">
        <v>0</v>
      </c>
      <c r="AL320">
        <v>0</v>
      </c>
      <c r="AM320" t="s">
        <v>796</v>
      </c>
    </row>
    <row r="321" spans="1:47" customFormat="1">
      <c r="A321" s="1">
        <v>310</v>
      </c>
      <c r="B321" t="s">
        <v>790</v>
      </c>
      <c r="C321" t="s">
        <v>1</v>
      </c>
      <c r="D321">
        <f>IF(G321="n","",MIN(X321,AI321,AN321))</f>
        <v>2007</v>
      </c>
      <c r="F321">
        <f t="shared" si="25"/>
        <v>2007</v>
      </c>
      <c r="G321" t="str">
        <f t="shared" si="26"/>
        <v>y</v>
      </c>
      <c r="H321" t="str">
        <f t="shared" si="24"/>
        <v>CN, SBT &amp; RE100</v>
      </c>
      <c r="I321" t="s">
        <v>76</v>
      </c>
      <c r="J321" t="s">
        <v>795</v>
      </c>
      <c r="M321">
        <v>39598.199999999997</v>
      </c>
      <c r="N321">
        <v>-0.29699999999999999</v>
      </c>
      <c r="O321">
        <v>5618.8</v>
      </c>
      <c r="P321" t="s">
        <v>794</v>
      </c>
      <c r="Q321">
        <v>-8.7999999999999995E-2</v>
      </c>
      <c r="R321">
        <v>53768</v>
      </c>
      <c r="S321">
        <v>-139</v>
      </c>
      <c r="T321" t="s">
        <v>88</v>
      </c>
      <c r="U321" t="s">
        <v>96</v>
      </c>
      <c r="V321" t="s">
        <v>32</v>
      </c>
      <c r="W321" t="s">
        <v>9</v>
      </c>
      <c r="X321">
        <v>2007</v>
      </c>
      <c r="Y321" t="s">
        <v>9</v>
      </c>
      <c r="Z321" t="s">
        <v>9</v>
      </c>
      <c r="AA321" t="s">
        <v>9</v>
      </c>
      <c r="AB321" t="s">
        <v>31</v>
      </c>
      <c r="AC321">
        <v>0</v>
      </c>
      <c r="AD321" t="s">
        <v>793</v>
      </c>
      <c r="AE321" t="s">
        <v>792</v>
      </c>
      <c r="AF321" t="s">
        <v>93</v>
      </c>
      <c r="AG321" t="s">
        <v>165</v>
      </c>
      <c r="AH321" t="s">
        <v>791</v>
      </c>
      <c r="AI321">
        <v>2015</v>
      </c>
      <c r="AL321">
        <v>0</v>
      </c>
      <c r="AM321" t="s">
        <v>790</v>
      </c>
      <c r="AN321">
        <v>2015</v>
      </c>
      <c r="AO321">
        <v>2020</v>
      </c>
      <c r="AP321" t="s">
        <v>13</v>
      </c>
      <c r="AQ321">
        <v>0.95</v>
      </c>
      <c r="AR321">
        <v>0.91</v>
      </c>
      <c r="AS321">
        <v>0.86</v>
      </c>
      <c r="AT321">
        <v>0.86</v>
      </c>
      <c r="AU321" t="s">
        <v>12</v>
      </c>
    </row>
    <row r="322" spans="1:47" customFormat="1">
      <c r="A322" s="1">
        <v>311</v>
      </c>
      <c r="B322" t="s">
        <v>782</v>
      </c>
      <c r="C322" t="s">
        <v>1</v>
      </c>
      <c r="D322" t="str">
        <f t="shared" ref="D322:D337" si="29">IF(G322="n","-",MIN(X322,AI322,AN322))</f>
        <v>-</v>
      </c>
      <c r="E322" t="s">
        <v>9</v>
      </c>
      <c r="F322" t="str">
        <f t="shared" si="25"/>
        <v/>
      </c>
      <c r="G322" t="str">
        <f t="shared" si="26"/>
        <v>n</v>
      </c>
      <c r="H322" t="str">
        <f t="shared" ref="H322:H385" si="30">IF((OR(V322="Carbon Neutral",V322="No - but have a post-2030 commitment")),           IF((OR(AG322="Committed",AG322="Targets Set")),                    IF(AN322&gt;1, "CN, SBT &amp; RE100", "CN &amp; SBT"),                   IF(AN322&gt;1, "CN &amp; RE100", "CN")      ),                                                                                             IF((OR(AG322="Committed",AG322="Targets Set")),                IF(AN322&gt;1, "SBT &amp; RE100", " SBT"),                                 IF(AN322&gt;1, "RE100", "None")           )                         )</f>
        <v>CN</v>
      </c>
      <c r="I322" t="s">
        <v>71</v>
      </c>
      <c r="J322" t="s">
        <v>789</v>
      </c>
      <c r="M322">
        <v>39594.699999999997</v>
      </c>
      <c r="N322">
        <v>9.7000000000000003E-2</v>
      </c>
      <c r="O322">
        <v>244.1</v>
      </c>
      <c r="P322" t="s">
        <v>787</v>
      </c>
      <c r="Q322">
        <v>-0.43099999999999999</v>
      </c>
      <c r="R322">
        <v>31780</v>
      </c>
      <c r="S322">
        <v>7</v>
      </c>
      <c r="T322" t="s">
        <v>88</v>
      </c>
      <c r="U322" t="s">
        <v>275</v>
      </c>
      <c r="V322" t="s">
        <v>337</v>
      </c>
      <c r="W322" t="s">
        <v>9</v>
      </c>
      <c r="X322">
        <v>2019</v>
      </c>
      <c r="Y322" t="s">
        <v>9</v>
      </c>
      <c r="Z322" t="s">
        <v>9</v>
      </c>
      <c r="AA322">
        <v>2050</v>
      </c>
      <c r="AB322" t="s">
        <v>788</v>
      </c>
      <c r="AD322" t="s">
        <v>784</v>
      </c>
      <c r="AE322" t="s">
        <v>783</v>
      </c>
      <c r="AI322">
        <v>0</v>
      </c>
    </row>
    <row r="323" spans="1:47" customFormat="1">
      <c r="A323" s="1">
        <v>311</v>
      </c>
      <c r="B323" t="s">
        <v>782</v>
      </c>
      <c r="C323" t="s">
        <v>361</v>
      </c>
      <c r="D323" t="str">
        <f t="shared" si="29"/>
        <v>-</v>
      </c>
      <c r="E323" t="s">
        <v>9</v>
      </c>
      <c r="F323" t="str">
        <f t="shared" si="25"/>
        <v/>
      </c>
      <c r="G323" t="str">
        <f t="shared" si="26"/>
        <v>n</v>
      </c>
      <c r="H323" t="str">
        <f t="shared" si="30"/>
        <v>None</v>
      </c>
      <c r="M323">
        <v>39594.699999999997</v>
      </c>
      <c r="N323">
        <v>9.7000000000000003E-2</v>
      </c>
      <c r="O323">
        <v>244.1</v>
      </c>
      <c r="P323" t="s">
        <v>787</v>
      </c>
      <c r="Q323">
        <v>-0.43099999999999999</v>
      </c>
      <c r="R323">
        <v>31780</v>
      </c>
      <c r="S323">
        <v>7</v>
      </c>
      <c r="T323" t="s">
        <v>88</v>
      </c>
      <c r="U323" t="s">
        <v>275</v>
      </c>
      <c r="V323" t="s">
        <v>1</v>
      </c>
      <c r="W323" t="s">
        <v>786</v>
      </c>
      <c r="X323">
        <v>2019</v>
      </c>
      <c r="Y323" t="s">
        <v>9</v>
      </c>
      <c r="Z323">
        <v>2015</v>
      </c>
      <c r="AA323">
        <v>2030</v>
      </c>
      <c r="AB323" t="s">
        <v>785</v>
      </c>
      <c r="AC323">
        <v>0</v>
      </c>
      <c r="AD323" t="s">
        <v>784</v>
      </c>
      <c r="AE323" t="s">
        <v>783</v>
      </c>
      <c r="AF323">
        <v>0</v>
      </c>
      <c r="AG323">
        <v>0</v>
      </c>
      <c r="AH323">
        <v>0</v>
      </c>
      <c r="AI323">
        <v>0</v>
      </c>
      <c r="AL323">
        <v>0</v>
      </c>
      <c r="AM323" t="s">
        <v>782</v>
      </c>
    </row>
    <row r="324" spans="1:47" customFormat="1">
      <c r="A324" s="1">
        <v>312</v>
      </c>
      <c r="B324" t="s">
        <v>780</v>
      </c>
      <c r="C324" t="s">
        <v>1</v>
      </c>
      <c r="D324" t="str">
        <f t="shared" si="29"/>
        <v>-</v>
      </c>
      <c r="E324" t="s">
        <v>9</v>
      </c>
      <c r="F324" t="str">
        <f t="shared" si="25"/>
        <v/>
      </c>
      <c r="G324" t="str">
        <f t="shared" si="26"/>
        <v>n</v>
      </c>
      <c r="H324" t="str">
        <f t="shared" si="30"/>
        <v>None</v>
      </c>
      <c r="I324" t="s">
        <v>283</v>
      </c>
      <c r="J324" t="s">
        <v>282</v>
      </c>
      <c r="M324">
        <v>39581.599999999999</v>
      </c>
      <c r="N324">
        <v>0.106</v>
      </c>
      <c r="O324">
        <v>3058.5</v>
      </c>
      <c r="P324" t="s">
        <v>781</v>
      </c>
      <c r="Q324">
        <v>0.19600000000000001</v>
      </c>
      <c r="R324">
        <v>114765</v>
      </c>
      <c r="S324">
        <v>11</v>
      </c>
      <c r="T324" t="s">
        <v>88</v>
      </c>
      <c r="U324" t="s">
        <v>73</v>
      </c>
      <c r="V324" t="s">
        <v>1</v>
      </c>
      <c r="W324" t="s">
        <v>9</v>
      </c>
      <c r="X324" t="s">
        <v>9</v>
      </c>
      <c r="Y324" t="s">
        <v>9</v>
      </c>
      <c r="Z324" t="s">
        <v>9</v>
      </c>
      <c r="AA324" t="s">
        <v>9</v>
      </c>
      <c r="AB324">
        <v>0</v>
      </c>
      <c r="AC324">
        <v>0</v>
      </c>
      <c r="AD324">
        <v>0</v>
      </c>
      <c r="AE324">
        <v>0</v>
      </c>
      <c r="AF324">
        <v>0</v>
      </c>
      <c r="AG324">
        <v>0</v>
      </c>
      <c r="AH324">
        <v>0</v>
      </c>
      <c r="AI324">
        <v>0</v>
      </c>
      <c r="AL324">
        <v>0</v>
      </c>
      <c r="AM324" t="s">
        <v>780</v>
      </c>
    </row>
    <row r="325" spans="1:47" customFormat="1">
      <c r="A325" s="1">
        <v>313</v>
      </c>
      <c r="B325" t="s">
        <v>777</v>
      </c>
      <c r="C325" t="s">
        <v>1</v>
      </c>
      <c r="D325" t="str">
        <f t="shared" si="29"/>
        <v>-</v>
      </c>
      <c r="E325" t="s">
        <v>9</v>
      </c>
      <c r="F325" t="str">
        <f t="shared" si="25"/>
        <v/>
      </c>
      <c r="G325" t="str">
        <f t="shared" si="26"/>
        <v>n</v>
      </c>
      <c r="H325" t="str">
        <f t="shared" si="30"/>
        <v>None</v>
      </c>
      <c r="I325" t="s">
        <v>319</v>
      </c>
      <c r="J325" t="s">
        <v>779</v>
      </c>
      <c r="M325">
        <v>39571</v>
      </c>
      <c r="N325">
        <v>3.5999999999999997E-2</v>
      </c>
      <c r="O325">
        <v>2392.1999999999998</v>
      </c>
      <c r="P325" t="s">
        <v>778</v>
      </c>
      <c r="Q325">
        <v>0.17</v>
      </c>
      <c r="R325">
        <v>276750</v>
      </c>
      <c r="S325">
        <v>-15</v>
      </c>
      <c r="T325" t="s">
        <v>88</v>
      </c>
      <c r="U325" t="s">
        <v>146</v>
      </c>
      <c r="V325" t="s">
        <v>1</v>
      </c>
      <c r="W325" t="s">
        <v>9</v>
      </c>
      <c r="X325" t="s">
        <v>9</v>
      </c>
      <c r="Y325" t="s">
        <v>9</v>
      </c>
      <c r="Z325" t="s">
        <v>9</v>
      </c>
      <c r="AA325" t="s">
        <v>9</v>
      </c>
      <c r="AB325">
        <v>0</v>
      </c>
      <c r="AC325">
        <v>0</v>
      </c>
      <c r="AD325">
        <v>0</v>
      </c>
      <c r="AE325">
        <v>0</v>
      </c>
      <c r="AF325">
        <v>0</v>
      </c>
      <c r="AG325">
        <v>0</v>
      </c>
      <c r="AH325">
        <v>0</v>
      </c>
      <c r="AI325">
        <v>0</v>
      </c>
      <c r="AL325">
        <v>0</v>
      </c>
      <c r="AM325" t="s">
        <v>777</v>
      </c>
    </row>
    <row r="326" spans="1:47" customFormat="1">
      <c r="A326" s="1">
        <v>314</v>
      </c>
      <c r="B326" t="s">
        <v>775</v>
      </c>
      <c r="C326" t="s">
        <v>1</v>
      </c>
      <c r="D326" t="str">
        <f t="shared" si="29"/>
        <v>-</v>
      </c>
      <c r="E326" t="s">
        <v>9</v>
      </c>
      <c r="F326" t="str">
        <f t="shared" si="25"/>
        <v/>
      </c>
      <c r="G326" t="str">
        <f t="shared" si="26"/>
        <v>n</v>
      </c>
      <c r="H326" t="str">
        <f t="shared" si="30"/>
        <v>None</v>
      </c>
      <c r="I326" t="s">
        <v>76</v>
      </c>
      <c r="J326" t="s">
        <v>75</v>
      </c>
      <c r="M326">
        <v>39267.199999999997</v>
      </c>
      <c r="N326">
        <v>0.17199999999999999</v>
      </c>
      <c r="O326">
        <v>397.9</v>
      </c>
      <c r="P326" t="s">
        <v>776</v>
      </c>
      <c r="Q326">
        <v>-0.224</v>
      </c>
      <c r="R326">
        <v>9844</v>
      </c>
      <c r="S326">
        <v>43</v>
      </c>
      <c r="T326" t="s">
        <v>88</v>
      </c>
      <c r="U326" t="s">
        <v>127</v>
      </c>
      <c r="V326" t="s">
        <v>1</v>
      </c>
      <c r="W326" t="s">
        <v>9</v>
      </c>
      <c r="X326" t="s">
        <v>9</v>
      </c>
      <c r="Y326" t="s">
        <v>9</v>
      </c>
      <c r="Z326" t="s">
        <v>9</v>
      </c>
      <c r="AA326" t="s">
        <v>9</v>
      </c>
      <c r="AB326">
        <v>0</v>
      </c>
      <c r="AC326">
        <v>0</v>
      </c>
      <c r="AD326">
        <v>0</v>
      </c>
      <c r="AE326">
        <v>0</v>
      </c>
      <c r="AF326">
        <v>0</v>
      </c>
      <c r="AG326">
        <v>0</v>
      </c>
      <c r="AH326">
        <v>0</v>
      </c>
      <c r="AI326">
        <v>0</v>
      </c>
      <c r="AL326">
        <v>0</v>
      </c>
      <c r="AM326" t="s">
        <v>775</v>
      </c>
    </row>
    <row r="327" spans="1:47" customFormat="1">
      <c r="A327" s="1">
        <v>315</v>
      </c>
      <c r="B327" t="s">
        <v>773</v>
      </c>
      <c r="C327" t="s">
        <v>1</v>
      </c>
      <c r="D327" t="str">
        <f t="shared" si="29"/>
        <v>-</v>
      </c>
      <c r="E327" t="s">
        <v>9</v>
      </c>
      <c r="F327" t="str">
        <f t="shared" si="25"/>
        <v/>
      </c>
      <c r="G327" t="str">
        <f t="shared" si="26"/>
        <v>n</v>
      </c>
      <c r="H327" t="str">
        <f t="shared" si="30"/>
        <v>None</v>
      </c>
      <c r="I327" t="s">
        <v>76</v>
      </c>
      <c r="J327" t="s">
        <v>80</v>
      </c>
      <c r="M327">
        <v>39050.6</v>
      </c>
      <c r="N327">
        <v>9.1999999999999998E-2</v>
      </c>
      <c r="O327">
        <v>4779.7</v>
      </c>
      <c r="P327" t="s">
        <v>774</v>
      </c>
      <c r="Q327">
        <v>-0.42</v>
      </c>
      <c r="R327">
        <v>92117</v>
      </c>
      <c r="S327">
        <v>9</v>
      </c>
      <c r="T327" t="s">
        <v>88</v>
      </c>
      <c r="U327" t="s">
        <v>376</v>
      </c>
      <c r="V327" t="s">
        <v>1</v>
      </c>
      <c r="W327" t="s">
        <v>9</v>
      </c>
      <c r="X327" t="s">
        <v>9</v>
      </c>
      <c r="Y327" t="s">
        <v>9</v>
      </c>
      <c r="Z327" t="s">
        <v>9</v>
      </c>
      <c r="AA327" t="s">
        <v>9</v>
      </c>
      <c r="AB327">
        <v>0</v>
      </c>
      <c r="AC327">
        <v>0</v>
      </c>
      <c r="AD327">
        <v>0</v>
      </c>
      <c r="AE327">
        <v>0</v>
      </c>
      <c r="AF327">
        <v>0</v>
      </c>
      <c r="AG327">
        <v>0</v>
      </c>
      <c r="AH327">
        <v>0</v>
      </c>
      <c r="AI327">
        <v>0</v>
      </c>
      <c r="AL327">
        <v>0</v>
      </c>
      <c r="AM327" t="s">
        <v>773</v>
      </c>
    </row>
    <row r="328" spans="1:47" customFormat="1">
      <c r="A328" s="1">
        <v>316</v>
      </c>
      <c r="B328" t="s">
        <v>771</v>
      </c>
      <c r="C328" t="s">
        <v>1</v>
      </c>
      <c r="D328" t="str">
        <f t="shared" si="29"/>
        <v>-</v>
      </c>
      <c r="E328" t="s">
        <v>9</v>
      </c>
      <c r="F328" t="str">
        <f t="shared" si="25"/>
        <v/>
      </c>
      <c r="G328" t="str">
        <f t="shared" si="26"/>
        <v>n</v>
      </c>
      <c r="H328" t="str">
        <f t="shared" si="30"/>
        <v>None</v>
      </c>
      <c r="I328" t="s">
        <v>66</v>
      </c>
      <c r="J328" t="s">
        <v>66</v>
      </c>
      <c r="M328">
        <v>39004</v>
      </c>
      <c r="N328">
        <v>0.13100000000000001</v>
      </c>
      <c r="O328">
        <v>4688</v>
      </c>
      <c r="P328" t="s">
        <v>772</v>
      </c>
      <c r="Q328">
        <v>-3.9E-2</v>
      </c>
      <c r="R328">
        <v>19450</v>
      </c>
      <c r="S328">
        <v>22</v>
      </c>
      <c r="T328" t="s">
        <v>88</v>
      </c>
      <c r="U328" t="s">
        <v>96</v>
      </c>
      <c r="V328" t="s">
        <v>1</v>
      </c>
      <c r="W328" t="s">
        <v>9</v>
      </c>
      <c r="X328" t="s">
        <v>9</v>
      </c>
      <c r="Y328" t="s">
        <v>9</v>
      </c>
      <c r="Z328" t="s">
        <v>9</v>
      </c>
      <c r="AA328" t="s">
        <v>9</v>
      </c>
      <c r="AB328">
        <v>0</v>
      </c>
      <c r="AC328">
        <v>0</v>
      </c>
      <c r="AD328">
        <v>0</v>
      </c>
      <c r="AE328">
        <v>0</v>
      </c>
      <c r="AF328">
        <v>0</v>
      </c>
      <c r="AG328">
        <v>0</v>
      </c>
      <c r="AH328">
        <v>0</v>
      </c>
      <c r="AI328">
        <v>0</v>
      </c>
      <c r="AL328">
        <v>0</v>
      </c>
      <c r="AM328" t="s">
        <v>771</v>
      </c>
    </row>
    <row r="329" spans="1:47" customFormat="1">
      <c r="A329" s="1">
        <v>317</v>
      </c>
      <c r="B329" t="s">
        <v>768</v>
      </c>
      <c r="C329" t="s">
        <v>1</v>
      </c>
      <c r="D329" t="str">
        <f t="shared" si="29"/>
        <v>-</v>
      </c>
      <c r="E329" t="s">
        <v>9</v>
      </c>
      <c r="F329" t="str">
        <f t="shared" si="25"/>
        <v/>
      </c>
      <c r="G329" t="str">
        <f t="shared" si="26"/>
        <v>n</v>
      </c>
      <c r="H329" t="str">
        <f t="shared" si="30"/>
        <v>None</v>
      </c>
      <c r="I329" t="s">
        <v>119</v>
      </c>
      <c r="J329" t="s">
        <v>118</v>
      </c>
      <c r="M329">
        <v>38972.9</v>
      </c>
      <c r="N329">
        <v>8.6999999999999994E-2</v>
      </c>
      <c r="O329">
        <v>3059.8</v>
      </c>
      <c r="P329" t="s">
        <v>770</v>
      </c>
      <c r="Q329">
        <v>0.17299999999999999</v>
      </c>
      <c r="R329">
        <v>270000</v>
      </c>
      <c r="S329">
        <v>4</v>
      </c>
      <c r="T329" t="s">
        <v>88</v>
      </c>
      <c r="U329" t="s">
        <v>127</v>
      </c>
      <c r="V329" t="s">
        <v>1</v>
      </c>
      <c r="W329" t="s">
        <v>769</v>
      </c>
      <c r="X329" t="s">
        <v>9</v>
      </c>
      <c r="Y329" t="s">
        <v>9</v>
      </c>
      <c r="Z329">
        <v>2010</v>
      </c>
      <c r="AA329">
        <v>2020</v>
      </c>
      <c r="AB329" t="s">
        <v>31</v>
      </c>
      <c r="AC329">
        <v>0</v>
      </c>
      <c r="AD329">
        <v>0</v>
      </c>
      <c r="AE329">
        <v>0</v>
      </c>
      <c r="AF329">
        <v>0</v>
      </c>
      <c r="AG329">
        <v>0</v>
      </c>
      <c r="AH329">
        <v>0</v>
      </c>
      <c r="AI329">
        <v>0</v>
      </c>
      <c r="AL329">
        <v>0</v>
      </c>
      <c r="AM329" t="s">
        <v>768</v>
      </c>
    </row>
    <row r="330" spans="1:47" customFormat="1">
      <c r="A330" s="1">
        <v>318</v>
      </c>
      <c r="B330" t="s">
        <v>766</v>
      </c>
      <c r="C330" t="s">
        <v>1</v>
      </c>
      <c r="D330" t="str">
        <f t="shared" si="29"/>
        <v>-</v>
      </c>
      <c r="E330" t="s">
        <v>9</v>
      </c>
      <c r="F330" t="str">
        <f t="shared" si="25"/>
        <v/>
      </c>
      <c r="G330" t="str">
        <f t="shared" si="26"/>
        <v>n</v>
      </c>
      <c r="H330" t="str">
        <f t="shared" si="30"/>
        <v>None</v>
      </c>
      <c r="I330" t="s">
        <v>71</v>
      </c>
      <c r="J330" t="s">
        <v>138</v>
      </c>
      <c r="M330">
        <v>38887.300000000003</v>
      </c>
      <c r="N330">
        <v>0.31900000000000001</v>
      </c>
      <c r="O330">
        <v>-258</v>
      </c>
      <c r="P330" t="s">
        <v>767</v>
      </c>
      <c r="Q330" t="s">
        <v>9</v>
      </c>
      <c r="R330">
        <v>104668</v>
      </c>
      <c r="S330">
        <v>81</v>
      </c>
      <c r="T330" t="s">
        <v>180</v>
      </c>
      <c r="U330" t="s">
        <v>73</v>
      </c>
      <c r="V330" t="s">
        <v>1</v>
      </c>
      <c r="W330" t="s">
        <v>9</v>
      </c>
      <c r="X330" t="s">
        <v>9</v>
      </c>
      <c r="Y330" t="s">
        <v>9</v>
      </c>
      <c r="Z330" t="s">
        <v>9</v>
      </c>
      <c r="AA330" t="s">
        <v>9</v>
      </c>
      <c r="AB330">
        <v>0</v>
      </c>
      <c r="AC330">
        <v>0</v>
      </c>
      <c r="AD330">
        <v>0</v>
      </c>
      <c r="AE330">
        <v>0</v>
      </c>
      <c r="AF330">
        <v>0</v>
      </c>
      <c r="AG330">
        <v>0</v>
      </c>
      <c r="AH330">
        <v>0</v>
      </c>
      <c r="AI330">
        <v>0</v>
      </c>
      <c r="AL330">
        <v>0</v>
      </c>
      <c r="AM330" t="s">
        <v>766</v>
      </c>
    </row>
    <row r="331" spans="1:47" customFormat="1">
      <c r="A331" s="1">
        <v>319</v>
      </c>
      <c r="B331" t="s">
        <v>761</v>
      </c>
      <c r="C331" t="s">
        <v>1</v>
      </c>
      <c r="D331" t="str">
        <f t="shared" si="29"/>
        <v>-</v>
      </c>
      <c r="E331" t="s">
        <v>9</v>
      </c>
      <c r="F331" t="str">
        <f t="shared" si="25"/>
        <v/>
      </c>
      <c r="G331" t="str">
        <f t="shared" si="26"/>
        <v>n</v>
      </c>
      <c r="H331" t="str">
        <f t="shared" si="30"/>
        <v>None</v>
      </c>
      <c r="I331" t="s">
        <v>71</v>
      </c>
      <c r="J331" t="s">
        <v>138</v>
      </c>
      <c r="K331" s="7" t="s">
        <v>765</v>
      </c>
      <c r="M331">
        <v>38727</v>
      </c>
      <c r="N331">
        <v>0.189</v>
      </c>
      <c r="O331">
        <v>6257</v>
      </c>
      <c r="P331" t="s">
        <v>764</v>
      </c>
      <c r="Q331" t="s">
        <v>9</v>
      </c>
      <c r="R331">
        <v>10800</v>
      </c>
      <c r="S331">
        <v>44</v>
      </c>
      <c r="T331" t="s">
        <v>88</v>
      </c>
      <c r="U331" t="s">
        <v>127</v>
      </c>
      <c r="V331" t="s">
        <v>1</v>
      </c>
      <c r="W331" t="s">
        <v>763</v>
      </c>
      <c r="X331" t="s">
        <v>9</v>
      </c>
      <c r="Y331" t="s">
        <v>9</v>
      </c>
      <c r="Z331">
        <v>2017</v>
      </c>
      <c r="AA331">
        <v>2030</v>
      </c>
      <c r="AB331" t="s">
        <v>31</v>
      </c>
      <c r="AC331">
        <v>0</v>
      </c>
      <c r="AD331">
        <v>0</v>
      </c>
      <c r="AE331" t="s">
        <v>762</v>
      </c>
      <c r="AF331">
        <v>0</v>
      </c>
      <c r="AG331">
        <v>0</v>
      </c>
      <c r="AH331">
        <v>0</v>
      </c>
      <c r="AI331">
        <v>0</v>
      </c>
      <c r="AL331">
        <v>0</v>
      </c>
      <c r="AM331" t="s">
        <v>761</v>
      </c>
    </row>
    <row r="332" spans="1:47" customFormat="1">
      <c r="A332" s="1">
        <v>320</v>
      </c>
      <c r="B332" t="s">
        <v>757</v>
      </c>
      <c r="C332" t="s">
        <v>1</v>
      </c>
      <c r="D332" t="str">
        <f t="shared" si="29"/>
        <v>-</v>
      </c>
      <c r="E332" t="s">
        <v>9</v>
      </c>
      <c r="F332" t="str">
        <f t="shared" si="25"/>
        <v/>
      </c>
      <c r="G332" t="str">
        <f t="shared" si="26"/>
        <v>n</v>
      </c>
      <c r="H332" t="str">
        <f t="shared" si="30"/>
        <v>None</v>
      </c>
      <c r="I332" t="s">
        <v>76</v>
      </c>
      <c r="J332" t="s">
        <v>80</v>
      </c>
      <c r="M332">
        <v>38278.300000000003</v>
      </c>
      <c r="N332">
        <v>0.109</v>
      </c>
      <c r="O332">
        <v>2862.3</v>
      </c>
      <c r="P332" t="s">
        <v>760</v>
      </c>
      <c r="Q332" t="s">
        <v>9</v>
      </c>
      <c r="R332">
        <v>83500</v>
      </c>
      <c r="S332">
        <v>16</v>
      </c>
      <c r="T332" t="s">
        <v>88</v>
      </c>
      <c r="U332" t="s">
        <v>275</v>
      </c>
      <c r="V332" t="s">
        <v>1</v>
      </c>
      <c r="W332" t="s">
        <v>759</v>
      </c>
      <c r="X332" t="s">
        <v>9</v>
      </c>
      <c r="Y332" t="s">
        <v>9</v>
      </c>
      <c r="Z332">
        <v>2018</v>
      </c>
      <c r="AA332">
        <v>2025</v>
      </c>
      <c r="AB332" t="s">
        <v>52</v>
      </c>
      <c r="AC332">
        <v>0</v>
      </c>
      <c r="AD332">
        <v>0</v>
      </c>
      <c r="AE332" t="s">
        <v>758</v>
      </c>
      <c r="AF332">
        <v>0</v>
      </c>
      <c r="AG332">
        <v>0</v>
      </c>
      <c r="AH332">
        <v>0</v>
      </c>
      <c r="AI332">
        <v>0</v>
      </c>
      <c r="AL332">
        <v>0</v>
      </c>
      <c r="AM332" t="s">
        <v>757</v>
      </c>
    </row>
    <row r="333" spans="1:47" customFormat="1">
      <c r="A333" s="1">
        <v>321</v>
      </c>
      <c r="B333" t="s">
        <v>753</v>
      </c>
      <c r="C333" t="s">
        <v>1</v>
      </c>
      <c r="D333" t="str">
        <f t="shared" si="29"/>
        <v>-</v>
      </c>
      <c r="E333" t="s">
        <v>9</v>
      </c>
      <c r="F333" t="str">
        <f t="shared" si="25"/>
        <v/>
      </c>
      <c r="G333" t="str">
        <f t="shared" si="26"/>
        <v>n</v>
      </c>
      <c r="H333" t="str">
        <f t="shared" si="30"/>
        <v>None</v>
      </c>
      <c r="I333" t="s">
        <v>342</v>
      </c>
      <c r="J333" t="s">
        <v>342</v>
      </c>
      <c r="K333" s="7">
        <v>22.26</v>
      </c>
      <c r="M333">
        <v>38064</v>
      </c>
      <c r="N333">
        <v>8.9999999999999993E-3</v>
      </c>
      <c r="O333">
        <v>287.39999999999998</v>
      </c>
      <c r="P333" t="s">
        <v>756</v>
      </c>
      <c r="Q333">
        <v>-0.29799999999999999</v>
      </c>
      <c r="R333">
        <v>116400</v>
      </c>
      <c r="S333">
        <v>-18</v>
      </c>
      <c r="T333" t="s">
        <v>88</v>
      </c>
      <c r="U333" t="s">
        <v>275</v>
      </c>
      <c r="V333" t="s">
        <v>1</v>
      </c>
      <c r="W333" t="s">
        <v>755</v>
      </c>
      <c r="X333" t="s">
        <v>9</v>
      </c>
      <c r="Y333" t="s">
        <v>9</v>
      </c>
      <c r="Z333">
        <v>2005</v>
      </c>
      <c r="AA333">
        <v>2025</v>
      </c>
      <c r="AB333" t="s">
        <v>52</v>
      </c>
      <c r="AC333">
        <v>0</v>
      </c>
      <c r="AD333">
        <v>0</v>
      </c>
      <c r="AE333" t="s">
        <v>754</v>
      </c>
      <c r="AF333">
        <v>0</v>
      </c>
      <c r="AG333">
        <v>0</v>
      </c>
      <c r="AH333">
        <v>0</v>
      </c>
      <c r="AI333">
        <v>0</v>
      </c>
      <c r="AL333">
        <v>0</v>
      </c>
      <c r="AM333" t="s">
        <v>753</v>
      </c>
    </row>
    <row r="334" spans="1:47" customFormat="1">
      <c r="A334" s="1">
        <v>322</v>
      </c>
      <c r="B334" t="s">
        <v>751</v>
      </c>
      <c r="C334" t="s">
        <v>1</v>
      </c>
      <c r="D334" t="str">
        <f t="shared" si="29"/>
        <v>-</v>
      </c>
      <c r="E334" t="s">
        <v>9</v>
      </c>
      <c r="F334" t="str">
        <f t="shared" si="25"/>
        <v/>
      </c>
      <c r="G334" t="str">
        <f t="shared" si="26"/>
        <v>n</v>
      </c>
      <c r="H334" t="str">
        <f t="shared" si="30"/>
        <v>None</v>
      </c>
      <c r="I334" t="s">
        <v>101</v>
      </c>
      <c r="J334" t="s">
        <v>101</v>
      </c>
      <c r="M334">
        <v>37869.800000000003</v>
      </c>
      <c r="N334">
        <v>0.111</v>
      </c>
      <c r="O334">
        <v>1846.4</v>
      </c>
      <c r="P334" t="s">
        <v>752</v>
      </c>
      <c r="Q334">
        <v>0.14899999999999999</v>
      </c>
      <c r="R334">
        <v>146346</v>
      </c>
      <c r="S334">
        <v>24</v>
      </c>
      <c r="T334" t="s">
        <v>180</v>
      </c>
      <c r="U334" t="s">
        <v>73</v>
      </c>
      <c r="V334" t="s">
        <v>1</v>
      </c>
      <c r="W334" t="s">
        <v>9</v>
      </c>
      <c r="X334" t="s">
        <v>9</v>
      </c>
      <c r="Y334" t="s">
        <v>9</v>
      </c>
      <c r="Z334" t="s">
        <v>9</v>
      </c>
      <c r="AA334" t="s">
        <v>9</v>
      </c>
      <c r="AB334">
        <v>0</v>
      </c>
      <c r="AC334">
        <v>0</v>
      </c>
      <c r="AD334">
        <v>0</v>
      </c>
      <c r="AE334">
        <v>0</v>
      </c>
      <c r="AF334">
        <v>0</v>
      </c>
      <c r="AG334">
        <v>0</v>
      </c>
      <c r="AH334">
        <v>0</v>
      </c>
      <c r="AI334">
        <v>0</v>
      </c>
      <c r="AL334">
        <v>0</v>
      </c>
      <c r="AM334" t="s">
        <v>751</v>
      </c>
    </row>
    <row r="335" spans="1:47" customFormat="1">
      <c r="A335" s="1">
        <v>323</v>
      </c>
      <c r="B335" t="s">
        <v>749</v>
      </c>
      <c r="C335" t="s">
        <v>1</v>
      </c>
      <c r="D335" t="str">
        <f t="shared" si="29"/>
        <v>-</v>
      </c>
      <c r="E335" t="s">
        <v>9</v>
      </c>
      <c r="F335" t="str">
        <f t="shared" si="25"/>
        <v/>
      </c>
      <c r="G335" t="str">
        <f t="shared" si="26"/>
        <v>n</v>
      </c>
      <c r="H335" t="str">
        <f t="shared" si="30"/>
        <v>None</v>
      </c>
      <c r="I335" t="s">
        <v>101</v>
      </c>
      <c r="J335" t="s">
        <v>101</v>
      </c>
      <c r="M335">
        <v>37727.599999999999</v>
      </c>
      <c r="N335">
        <v>0.10100000000000001</v>
      </c>
      <c r="O335">
        <v>2463.6999999999998</v>
      </c>
      <c r="P335" t="s">
        <v>750</v>
      </c>
      <c r="Q335">
        <v>0.107</v>
      </c>
      <c r="R335">
        <v>179788</v>
      </c>
      <c r="S335">
        <v>20</v>
      </c>
      <c r="T335" t="s">
        <v>88</v>
      </c>
      <c r="U335" t="s">
        <v>73</v>
      </c>
      <c r="V335" t="s">
        <v>1</v>
      </c>
      <c r="W335" t="s">
        <v>9</v>
      </c>
      <c r="X335" t="s">
        <v>9</v>
      </c>
      <c r="Y335" t="s">
        <v>9</v>
      </c>
      <c r="Z335" t="s">
        <v>9</v>
      </c>
      <c r="AA335" t="s">
        <v>9</v>
      </c>
      <c r="AB335">
        <v>0</v>
      </c>
      <c r="AC335">
        <v>0</v>
      </c>
      <c r="AD335">
        <v>0</v>
      </c>
      <c r="AE335">
        <v>0</v>
      </c>
      <c r="AF335">
        <v>0</v>
      </c>
      <c r="AG335">
        <v>0</v>
      </c>
      <c r="AH335">
        <v>0</v>
      </c>
      <c r="AI335">
        <v>0</v>
      </c>
      <c r="AL335">
        <v>0</v>
      </c>
      <c r="AM335" t="s">
        <v>749</v>
      </c>
    </row>
    <row r="336" spans="1:47" customFormat="1">
      <c r="A336" s="1">
        <v>324</v>
      </c>
      <c r="B336" t="s">
        <v>747</v>
      </c>
      <c r="C336" t="s">
        <v>1</v>
      </c>
      <c r="D336" t="str">
        <f t="shared" si="29"/>
        <v>-</v>
      </c>
      <c r="E336" t="s">
        <v>9</v>
      </c>
      <c r="F336" t="str">
        <f t="shared" ref="F336:F399" si="31">IF(G336="n","",MIN(IF(V336="Carbon Neutral",X336,"3000"),AI336,IF(AO336&gt;2030,"3000",AN336)))</f>
        <v/>
      </c>
      <c r="G336" t="str">
        <f t="shared" ref="G336:G399" si="32">IF( V336="Carbon Neutral", "y",   IF(AI336&gt;1, "y", IF(AND(AO336&lt;=2030, AO336&gt;0),"y","n" )    )       )</f>
        <v>n</v>
      </c>
      <c r="H336" t="str">
        <f t="shared" si="30"/>
        <v>None</v>
      </c>
      <c r="I336" t="s">
        <v>76</v>
      </c>
      <c r="J336" t="s">
        <v>98</v>
      </c>
      <c r="M336">
        <v>37722.9</v>
      </c>
      <c r="N336">
        <v>1.4999999999999999E-2</v>
      </c>
      <c r="O336">
        <v>2070.6</v>
      </c>
      <c r="P336" t="s">
        <v>748</v>
      </c>
      <c r="Q336">
        <v>-0.13400000000000001</v>
      </c>
      <c r="R336">
        <v>42950</v>
      </c>
      <c r="S336">
        <v>-15</v>
      </c>
      <c r="T336" t="s">
        <v>350</v>
      </c>
      <c r="U336" t="s">
        <v>207</v>
      </c>
      <c r="V336" t="s">
        <v>1</v>
      </c>
      <c r="W336" t="s">
        <v>9</v>
      </c>
      <c r="X336" t="s">
        <v>9</v>
      </c>
      <c r="Y336" t="s">
        <v>9</v>
      </c>
      <c r="Z336" t="s">
        <v>9</v>
      </c>
      <c r="AA336" t="s">
        <v>9</v>
      </c>
      <c r="AB336">
        <v>0</v>
      </c>
      <c r="AC336">
        <v>0</v>
      </c>
      <c r="AD336">
        <v>0</v>
      </c>
      <c r="AE336">
        <v>0</v>
      </c>
      <c r="AF336">
        <v>0</v>
      </c>
      <c r="AG336">
        <v>0</v>
      </c>
      <c r="AH336">
        <v>0</v>
      </c>
      <c r="AI336">
        <v>0</v>
      </c>
      <c r="AL336">
        <v>0</v>
      </c>
      <c r="AM336" t="s">
        <v>747</v>
      </c>
    </row>
    <row r="337" spans="1:47" customFormat="1">
      <c r="A337" s="1">
        <v>325</v>
      </c>
      <c r="B337" t="s">
        <v>745</v>
      </c>
      <c r="C337" t="s">
        <v>1</v>
      </c>
      <c r="D337" t="str">
        <f t="shared" si="29"/>
        <v>-</v>
      </c>
      <c r="E337" t="s">
        <v>9</v>
      </c>
      <c r="F337" t="str">
        <f t="shared" si="31"/>
        <v/>
      </c>
      <c r="G337" t="str">
        <f t="shared" si="32"/>
        <v>n</v>
      </c>
      <c r="H337" t="str">
        <f t="shared" si="30"/>
        <v>None</v>
      </c>
      <c r="I337" t="s">
        <v>342</v>
      </c>
      <c r="J337" t="s">
        <v>342</v>
      </c>
      <c r="M337">
        <v>37474.800000000003</v>
      </c>
      <c r="N337">
        <v>7.0000000000000001E-3</v>
      </c>
      <c r="O337">
        <v>442.9</v>
      </c>
      <c r="P337" t="s">
        <v>746</v>
      </c>
      <c r="Q337">
        <v>-0.24299999999999999</v>
      </c>
      <c r="R337">
        <v>197000</v>
      </c>
      <c r="S337">
        <v>-17</v>
      </c>
      <c r="T337" t="s">
        <v>88</v>
      </c>
      <c r="U337" t="s">
        <v>78</v>
      </c>
      <c r="V337" t="s">
        <v>1</v>
      </c>
      <c r="W337" t="s">
        <v>9</v>
      </c>
      <c r="X337" t="s">
        <v>9</v>
      </c>
      <c r="Y337" t="s">
        <v>9</v>
      </c>
      <c r="Z337" t="s">
        <v>9</v>
      </c>
      <c r="AA337" t="s">
        <v>9</v>
      </c>
      <c r="AB337">
        <v>0</v>
      </c>
      <c r="AC337">
        <v>0</v>
      </c>
      <c r="AD337">
        <v>0</v>
      </c>
      <c r="AE337">
        <v>0</v>
      </c>
      <c r="AF337">
        <v>0</v>
      </c>
      <c r="AG337">
        <v>0</v>
      </c>
      <c r="AH337">
        <v>0</v>
      </c>
      <c r="AI337">
        <v>0</v>
      </c>
      <c r="AL337">
        <v>0</v>
      </c>
      <c r="AM337" t="s">
        <v>745</v>
      </c>
    </row>
    <row r="338" spans="1:47" customFormat="1">
      <c r="A338" s="1">
        <v>326</v>
      </c>
      <c r="B338" t="s">
        <v>744</v>
      </c>
      <c r="C338" t="s">
        <v>1</v>
      </c>
      <c r="D338">
        <f>IF(G338="n","",MIN(X338,AI338,AN338))</f>
        <v>2016</v>
      </c>
      <c r="F338">
        <f t="shared" si="31"/>
        <v>2016</v>
      </c>
      <c r="G338" t="str">
        <f t="shared" si="32"/>
        <v>y</v>
      </c>
      <c r="H338" t="str">
        <f t="shared" si="30"/>
        <v xml:space="preserve"> SBT</v>
      </c>
      <c r="I338" t="s">
        <v>178</v>
      </c>
      <c r="J338" t="s">
        <v>250</v>
      </c>
      <c r="M338">
        <v>37388.9</v>
      </c>
      <c r="N338">
        <v>4.2000000000000003E-2</v>
      </c>
      <c r="O338">
        <v>5313.1</v>
      </c>
      <c r="P338" t="s">
        <v>743</v>
      </c>
      <c r="Q338">
        <v>3.149</v>
      </c>
      <c r="R338">
        <v>203865</v>
      </c>
      <c r="S338">
        <v>-6</v>
      </c>
      <c r="T338" t="s">
        <v>180</v>
      </c>
      <c r="U338" t="s">
        <v>63</v>
      </c>
      <c r="V338" t="s">
        <v>1</v>
      </c>
      <c r="W338" t="s">
        <v>9</v>
      </c>
      <c r="X338" t="s">
        <v>9</v>
      </c>
      <c r="Y338" t="s">
        <v>9</v>
      </c>
      <c r="Z338" t="s">
        <v>9</v>
      </c>
      <c r="AA338" t="s">
        <v>9</v>
      </c>
      <c r="AB338">
        <v>0</v>
      </c>
      <c r="AC338">
        <v>0</v>
      </c>
      <c r="AD338">
        <v>0</v>
      </c>
      <c r="AE338">
        <v>0</v>
      </c>
      <c r="AF338" t="s">
        <v>742</v>
      </c>
      <c r="AG338" t="s">
        <v>165</v>
      </c>
      <c r="AH338" t="s">
        <v>453</v>
      </c>
      <c r="AI338">
        <v>2016</v>
      </c>
      <c r="AL338">
        <v>0</v>
      </c>
      <c r="AM338" t="s">
        <v>741</v>
      </c>
    </row>
    <row r="339" spans="1:47" customFormat="1">
      <c r="A339" s="1">
        <v>327</v>
      </c>
      <c r="B339" t="s">
        <v>736</v>
      </c>
      <c r="C339" t="s">
        <v>1</v>
      </c>
      <c r="D339">
        <f>IF(G339="n","",MIN(X339,AI339,AN339))</f>
        <v>2018</v>
      </c>
      <c r="F339">
        <f t="shared" si="31"/>
        <v>2018</v>
      </c>
      <c r="G339" t="str">
        <f t="shared" si="32"/>
        <v>y</v>
      </c>
      <c r="H339" t="str">
        <f t="shared" si="30"/>
        <v>SBT &amp; RE100</v>
      </c>
      <c r="I339" t="s">
        <v>135</v>
      </c>
      <c r="J339" t="s">
        <v>135</v>
      </c>
      <c r="M339">
        <v>37371.199999999997</v>
      </c>
      <c r="N339">
        <v>9.0999999999999998E-2</v>
      </c>
      <c r="O339">
        <v>2141.5</v>
      </c>
      <c r="P339" t="s">
        <v>740</v>
      </c>
      <c r="Q339">
        <v>4.0000000000000001E-3</v>
      </c>
      <c r="R339">
        <v>44947</v>
      </c>
      <c r="S339">
        <v>15</v>
      </c>
      <c r="T339" t="s">
        <v>88</v>
      </c>
      <c r="U339" t="s">
        <v>207</v>
      </c>
      <c r="V339" t="s">
        <v>1</v>
      </c>
      <c r="W339" t="s">
        <v>9</v>
      </c>
      <c r="X339" t="s">
        <v>9</v>
      </c>
      <c r="Y339" t="s">
        <v>9</v>
      </c>
      <c r="Z339" t="s">
        <v>9</v>
      </c>
      <c r="AA339" t="s">
        <v>9</v>
      </c>
      <c r="AB339">
        <v>0</v>
      </c>
      <c r="AC339">
        <v>0</v>
      </c>
      <c r="AD339">
        <v>0</v>
      </c>
      <c r="AE339">
        <v>0</v>
      </c>
      <c r="AF339" t="s">
        <v>739</v>
      </c>
      <c r="AG339" t="s">
        <v>22</v>
      </c>
      <c r="AH339" t="s">
        <v>731</v>
      </c>
      <c r="AI339">
        <v>2018</v>
      </c>
      <c r="AJ339">
        <v>2030</v>
      </c>
      <c r="AK339" t="s">
        <v>738</v>
      </c>
      <c r="AL339" t="s">
        <v>737</v>
      </c>
      <c r="AM339" t="s">
        <v>736</v>
      </c>
      <c r="AN339">
        <v>2018</v>
      </c>
      <c r="AO339">
        <v>2040</v>
      </c>
      <c r="AP339" t="s">
        <v>13</v>
      </c>
      <c r="AQ339">
        <v>0</v>
      </c>
      <c r="AR339" t="s">
        <v>13</v>
      </c>
      <c r="AS339" t="s">
        <v>13</v>
      </c>
      <c r="AT339" t="s">
        <v>13</v>
      </c>
      <c r="AU339" t="s">
        <v>735</v>
      </c>
    </row>
    <row r="340" spans="1:47" customFormat="1">
      <c r="A340" s="1">
        <v>328</v>
      </c>
      <c r="B340" t="s">
        <v>730</v>
      </c>
      <c r="C340" t="s">
        <v>1</v>
      </c>
      <c r="D340">
        <f>IF(G340="n","",MIN(X340,AI340,AN340))</f>
        <v>2018</v>
      </c>
      <c r="F340">
        <f t="shared" si="31"/>
        <v>2018</v>
      </c>
      <c r="G340" t="str">
        <f t="shared" si="32"/>
        <v>y</v>
      </c>
      <c r="H340" t="str">
        <f t="shared" si="30"/>
        <v xml:space="preserve"> SBT</v>
      </c>
      <c r="I340" t="s">
        <v>283</v>
      </c>
      <c r="J340" t="s">
        <v>495</v>
      </c>
      <c r="M340">
        <v>37360</v>
      </c>
      <c r="N340">
        <v>8.8999999999999996E-2</v>
      </c>
      <c r="O340">
        <v>2173</v>
      </c>
      <c r="P340" t="s">
        <v>734</v>
      </c>
      <c r="Q340">
        <v>-1.7999999999999999E-2</v>
      </c>
      <c r="R340">
        <v>146600</v>
      </c>
      <c r="S340">
        <v>13</v>
      </c>
      <c r="T340" t="s">
        <v>88</v>
      </c>
      <c r="U340" t="s">
        <v>287</v>
      </c>
      <c r="V340" t="s">
        <v>1</v>
      </c>
      <c r="W340" t="s">
        <v>9</v>
      </c>
      <c r="X340" t="s">
        <v>9</v>
      </c>
      <c r="Y340" t="s">
        <v>9</v>
      </c>
      <c r="Z340" t="s">
        <v>9</v>
      </c>
      <c r="AA340" t="s">
        <v>9</v>
      </c>
      <c r="AB340">
        <v>0</v>
      </c>
      <c r="AC340">
        <v>0</v>
      </c>
      <c r="AD340" t="s">
        <v>733</v>
      </c>
      <c r="AE340" t="s">
        <v>732</v>
      </c>
      <c r="AF340" t="s">
        <v>431</v>
      </c>
      <c r="AG340" t="s">
        <v>165</v>
      </c>
      <c r="AH340" t="s">
        <v>731</v>
      </c>
      <c r="AI340">
        <v>2018</v>
      </c>
      <c r="AL340">
        <v>0</v>
      </c>
      <c r="AM340" t="s">
        <v>730</v>
      </c>
    </row>
    <row r="341" spans="1:47" customFormat="1">
      <c r="A341" s="1">
        <v>329</v>
      </c>
      <c r="B341" t="s">
        <v>727</v>
      </c>
      <c r="C341" t="s">
        <v>1</v>
      </c>
      <c r="D341" t="str">
        <f>IF(G341="n","-",MIN(X341,AI341,AN341))</f>
        <v>-</v>
      </c>
      <c r="E341" t="s">
        <v>9</v>
      </c>
      <c r="F341" t="str">
        <f t="shared" si="31"/>
        <v/>
      </c>
      <c r="G341" t="str">
        <f t="shared" si="32"/>
        <v>n</v>
      </c>
      <c r="H341" t="str">
        <f t="shared" si="30"/>
        <v>None</v>
      </c>
      <c r="I341" t="s">
        <v>283</v>
      </c>
      <c r="J341" t="s">
        <v>729</v>
      </c>
      <c r="M341">
        <v>37357.699999999997</v>
      </c>
      <c r="N341">
        <v>0.25600000000000001</v>
      </c>
      <c r="O341">
        <v>2368.4</v>
      </c>
      <c r="P341" t="s">
        <v>728</v>
      </c>
      <c r="Q341">
        <v>9.7000000000000003E-2</v>
      </c>
      <c r="R341">
        <v>74413</v>
      </c>
      <c r="S341">
        <v>65</v>
      </c>
      <c r="T341" t="s">
        <v>88</v>
      </c>
      <c r="U341" t="s">
        <v>127</v>
      </c>
      <c r="V341" t="s">
        <v>1</v>
      </c>
      <c r="W341" t="s">
        <v>9</v>
      </c>
      <c r="X341" t="s">
        <v>9</v>
      </c>
      <c r="Y341" t="s">
        <v>9</v>
      </c>
      <c r="Z341" t="s">
        <v>9</v>
      </c>
      <c r="AA341" t="s">
        <v>9</v>
      </c>
      <c r="AB341">
        <v>0</v>
      </c>
      <c r="AC341">
        <v>0</v>
      </c>
      <c r="AD341">
        <v>0</v>
      </c>
      <c r="AE341">
        <v>0</v>
      </c>
      <c r="AF341">
        <v>0</v>
      </c>
      <c r="AG341">
        <v>0</v>
      </c>
      <c r="AH341">
        <v>0</v>
      </c>
      <c r="AI341">
        <v>0</v>
      </c>
      <c r="AL341">
        <v>0</v>
      </c>
      <c r="AM341" t="s">
        <v>727</v>
      </c>
    </row>
    <row r="342" spans="1:47" customFormat="1">
      <c r="A342" s="1">
        <v>330</v>
      </c>
      <c r="B342" t="s">
        <v>725</v>
      </c>
      <c r="C342" t="s">
        <v>1</v>
      </c>
      <c r="D342" t="str">
        <f>IF(G342="n","-",MIN(X342,AI342,AN342))</f>
        <v>-</v>
      </c>
      <c r="E342" t="s">
        <v>9</v>
      </c>
      <c r="F342" t="str">
        <f t="shared" si="31"/>
        <v/>
      </c>
      <c r="G342" t="str">
        <f t="shared" si="32"/>
        <v>n</v>
      </c>
      <c r="H342" t="str">
        <f t="shared" si="30"/>
        <v>None</v>
      </c>
      <c r="I342" t="s">
        <v>91</v>
      </c>
      <c r="J342" t="s">
        <v>395</v>
      </c>
      <c r="M342">
        <v>37239</v>
      </c>
      <c r="N342">
        <v>1.2999999999999999E-2</v>
      </c>
      <c r="O342">
        <v>340.6</v>
      </c>
      <c r="P342" t="s">
        <v>726</v>
      </c>
      <c r="Q342">
        <v>1.92</v>
      </c>
      <c r="R342">
        <v>14000</v>
      </c>
      <c r="S342">
        <v>-15</v>
      </c>
      <c r="T342" t="s">
        <v>88</v>
      </c>
      <c r="U342" t="s">
        <v>127</v>
      </c>
      <c r="V342" t="s">
        <v>1</v>
      </c>
      <c r="W342" t="s">
        <v>9</v>
      </c>
      <c r="X342" t="s">
        <v>9</v>
      </c>
      <c r="Y342" t="s">
        <v>9</v>
      </c>
      <c r="Z342" t="s">
        <v>9</v>
      </c>
      <c r="AA342" t="s">
        <v>9</v>
      </c>
      <c r="AB342">
        <v>0</v>
      </c>
      <c r="AC342">
        <v>0</v>
      </c>
      <c r="AD342">
        <v>0</v>
      </c>
      <c r="AE342">
        <v>0</v>
      </c>
      <c r="AF342">
        <v>0</v>
      </c>
      <c r="AG342">
        <v>0</v>
      </c>
      <c r="AH342">
        <v>0</v>
      </c>
      <c r="AI342">
        <v>0</v>
      </c>
      <c r="AL342">
        <v>0</v>
      </c>
      <c r="AM342" t="s">
        <v>725</v>
      </c>
    </row>
    <row r="343" spans="1:47" customFormat="1">
      <c r="A343" s="1">
        <v>331</v>
      </c>
      <c r="B343" t="s">
        <v>723</v>
      </c>
      <c r="C343" t="s">
        <v>1</v>
      </c>
      <c r="D343" t="str">
        <f>IF(G343="n","-",MIN(X343,AI343,AN343))</f>
        <v>-</v>
      </c>
      <c r="E343" t="s">
        <v>9</v>
      </c>
      <c r="F343" t="str">
        <f t="shared" si="31"/>
        <v/>
      </c>
      <c r="G343" t="str">
        <f t="shared" si="32"/>
        <v>n</v>
      </c>
      <c r="H343" t="str">
        <f t="shared" si="30"/>
        <v>None</v>
      </c>
      <c r="I343" t="s">
        <v>76</v>
      </c>
      <c r="J343" t="s">
        <v>199</v>
      </c>
      <c r="M343">
        <v>37112.199999999997</v>
      </c>
      <c r="N343">
        <v>-0.06</v>
      </c>
      <c r="O343">
        <v>1033.2</v>
      </c>
      <c r="P343" t="s">
        <v>724</v>
      </c>
      <c r="Q343">
        <v>2E-3</v>
      </c>
      <c r="R343">
        <v>30000</v>
      </c>
      <c r="S343">
        <v>-49</v>
      </c>
      <c r="T343" t="s">
        <v>88</v>
      </c>
      <c r="U343" t="s">
        <v>78</v>
      </c>
      <c r="V343" t="s">
        <v>1</v>
      </c>
      <c r="W343" t="s">
        <v>9</v>
      </c>
      <c r="X343" t="s">
        <v>9</v>
      </c>
      <c r="Y343" t="s">
        <v>9</v>
      </c>
      <c r="Z343" t="s">
        <v>9</v>
      </c>
      <c r="AA343" t="s">
        <v>9</v>
      </c>
      <c r="AB343">
        <v>0</v>
      </c>
      <c r="AC343">
        <v>0</v>
      </c>
      <c r="AD343">
        <v>0</v>
      </c>
      <c r="AE343">
        <v>0</v>
      </c>
      <c r="AF343">
        <v>0</v>
      </c>
      <c r="AG343">
        <v>0</v>
      </c>
      <c r="AH343">
        <v>0</v>
      </c>
      <c r="AI343">
        <v>0</v>
      </c>
      <c r="AL343">
        <v>0</v>
      </c>
      <c r="AM343" t="s">
        <v>723</v>
      </c>
    </row>
    <row r="344" spans="1:47" customFormat="1">
      <c r="A344" s="1">
        <v>332</v>
      </c>
      <c r="B344" t="s">
        <v>717</v>
      </c>
      <c r="C344" t="s">
        <v>1</v>
      </c>
      <c r="D344">
        <f>IF(G344="n","",MIN(X344,AI344,AN344))</f>
        <v>2003</v>
      </c>
      <c r="F344">
        <f t="shared" si="31"/>
        <v>2003</v>
      </c>
      <c r="G344" t="str">
        <f t="shared" si="32"/>
        <v>y</v>
      </c>
      <c r="H344" t="str">
        <f t="shared" si="30"/>
        <v>CN &amp; RE100</v>
      </c>
      <c r="I344" t="s">
        <v>76</v>
      </c>
      <c r="J344" t="s">
        <v>269</v>
      </c>
      <c r="M344">
        <v>37047</v>
      </c>
      <c r="N344">
        <v>-0.128</v>
      </c>
      <c r="O344">
        <v>462</v>
      </c>
      <c r="P344" t="s">
        <v>722</v>
      </c>
      <c r="Q344">
        <v>0.161</v>
      </c>
      <c r="R344">
        <v>14943</v>
      </c>
      <c r="S344">
        <v>-75</v>
      </c>
      <c r="T344" t="s">
        <v>88</v>
      </c>
      <c r="U344" t="s">
        <v>287</v>
      </c>
      <c r="V344" t="s">
        <v>32</v>
      </c>
      <c r="W344" t="s">
        <v>9</v>
      </c>
      <c r="X344">
        <v>2003</v>
      </c>
      <c r="Y344" t="s">
        <v>9</v>
      </c>
      <c r="Z344" t="s">
        <v>9</v>
      </c>
      <c r="AA344" t="s">
        <v>9</v>
      </c>
      <c r="AB344" t="s">
        <v>721</v>
      </c>
      <c r="AC344" t="s">
        <v>720</v>
      </c>
      <c r="AD344" t="s">
        <v>719</v>
      </c>
      <c r="AE344" t="s">
        <v>718</v>
      </c>
      <c r="AF344" t="s">
        <v>93</v>
      </c>
      <c r="AG344">
        <v>0</v>
      </c>
      <c r="AH344">
        <v>0</v>
      </c>
      <c r="AL344">
        <v>0</v>
      </c>
      <c r="AM344" t="s">
        <v>717</v>
      </c>
      <c r="AN344">
        <v>2014</v>
      </c>
      <c r="AO344">
        <v>2020</v>
      </c>
      <c r="AP344" t="s">
        <v>13</v>
      </c>
      <c r="AQ344">
        <v>0.84</v>
      </c>
      <c r="AR344">
        <v>0.87</v>
      </c>
      <c r="AS344">
        <v>0.87</v>
      </c>
      <c r="AT344">
        <v>0.8</v>
      </c>
      <c r="AU344" t="s">
        <v>716</v>
      </c>
    </row>
    <row r="345" spans="1:47" customFormat="1">
      <c r="A345" s="1">
        <v>333</v>
      </c>
      <c r="B345" t="s">
        <v>713</v>
      </c>
      <c r="C345" t="s">
        <v>1</v>
      </c>
      <c r="D345" t="str">
        <f t="shared" ref="D345:D352" si="33">IF(G345="n","-",MIN(X345,AI345,AN345))</f>
        <v>-</v>
      </c>
      <c r="E345" t="s">
        <v>9</v>
      </c>
      <c r="F345" t="str">
        <f t="shared" si="31"/>
        <v/>
      </c>
      <c r="G345" t="str">
        <f t="shared" si="32"/>
        <v>n</v>
      </c>
      <c r="H345" t="str">
        <f t="shared" si="30"/>
        <v>None</v>
      </c>
      <c r="I345" t="s">
        <v>119</v>
      </c>
      <c r="J345" t="s">
        <v>118</v>
      </c>
      <c r="M345">
        <v>37032.199999999997</v>
      </c>
      <c r="N345">
        <v>0.33200000000000002</v>
      </c>
      <c r="O345">
        <v>2014.8</v>
      </c>
      <c r="P345" t="s">
        <v>715</v>
      </c>
      <c r="Q345">
        <v>2.2330000000000001</v>
      </c>
      <c r="R345">
        <v>130455</v>
      </c>
      <c r="S345">
        <v>94</v>
      </c>
      <c r="T345">
        <v>0</v>
      </c>
      <c r="U345" t="s">
        <v>73</v>
      </c>
      <c r="V345" t="s">
        <v>1</v>
      </c>
      <c r="W345" t="s">
        <v>9</v>
      </c>
      <c r="X345" t="s">
        <v>9</v>
      </c>
      <c r="Y345" t="s">
        <v>9</v>
      </c>
      <c r="Z345" t="s">
        <v>9</v>
      </c>
      <c r="AA345" t="s">
        <v>9</v>
      </c>
      <c r="AB345">
        <v>0</v>
      </c>
      <c r="AC345">
        <v>0</v>
      </c>
      <c r="AD345" t="s">
        <v>714</v>
      </c>
      <c r="AE345">
        <v>0</v>
      </c>
      <c r="AF345">
        <v>0</v>
      </c>
      <c r="AG345">
        <v>0</v>
      </c>
      <c r="AH345">
        <v>0</v>
      </c>
      <c r="AI345">
        <v>0</v>
      </c>
      <c r="AL345">
        <v>0</v>
      </c>
      <c r="AM345" t="s">
        <v>713</v>
      </c>
    </row>
    <row r="346" spans="1:47" customFormat="1">
      <c r="A346" s="1">
        <v>334</v>
      </c>
      <c r="B346" t="s">
        <v>711</v>
      </c>
      <c r="C346" t="s">
        <v>1</v>
      </c>
      <c r="D346" t="str">
        <f t="shared" si="33"/>
        <v>-</v>
      </c>
      <c r="E346" t="s">
        <v>9</v>
      </c>
      <c r="F346" t="str">
        <f t="shared" si="31"/>
        <v/>
      </c>
      <c r="G346" t="str">
        <f t="shared" si="32"/>
        <v>n</v>
      </c>
      <c r="H346" t="str">
        <f t="shared" si="30"/>
        <v>None</v>
      </c>
      <c r="I346" t="s">
        <v>283</v>
      </c>
      <c r="J346" t="s">
        <v>495</v>
      </c>
      <c r="M346">
        <v>36783.5</v>
      </c>
      <c r="N346">
        <v>-3.0000000000000001E-3</v>
      </c>
      <c r="O346">
        <v>914.1</v>
      </c>
      <c r="P346" t="s">
        <v>712</v>
      </c>
      <c r="Q346" t="s">
        <v>9</v>
      </c>
      <c r="R346">
        <v>80744</v>
      </c>
      <c r="S346">
        <v>-23</v>
      </c>
      <c r="T346" t="s">
        <v>88</v>
      </c>
      <c r="U346" t="s">
        <v>207</v>
      </c>
      <c r="V346" t="s">
        <v>1</v>
      </c>
      <c r="W346" t="s">
        <v>9</v>
      </c>
      <c r="X346" t="s">
        <v>9</v>
      </c>
      <c r="Y346" t="s">
        <v>9</v>
      </c>
      <c r="Z346" t="s">
        <v>9</v>
      </c>
      <c r="AA346" t="s">
        <v>9</v>
      </c>
      <c r="AB346">
        <v>0</v>
      </c>
      <c r="AC346">
        <v>0</v>
      </c>
      <c r="AD346">
        <v>0</v>
      </c>
      <c r="AE346">
        <v>0</v>
      </c>
      <c r="AF346">
        <v>0</v>
      </c>
      <c r="AG346">
        <v>0</v>
      </c>
      <c r="AH346">
        <v>0</v>
      </c>
      <c r="AI346">
        <v>0</v>
      </c>
      <c r="AL346">
        <v>0</v>
      </c>
      <c r="AM346" t="s">
        <v>711</v>
      </c>
    </row>
    <row r="347" spans="1:47" customFormat="1">
      <c r="A347" s="1">
        <v>335</v>
      </c>
      <c r="B347" t="s">
        <v>709</v>
      </c>
      <c r="C347" t="s">
        <v>1</v>
      </c>
      <c r="D347" t="str">
        <f t="shared" si="33"/>
        <v>-</v>
      </c>
      <c r="E347" t="s">
        <v>9</v>
      </c>
      <c r="F347" t="str">
        <f t="shared" si="31"/>
        <v/>
      </c>
      <c r="G347" t="str">
        <f t="shared" si="32"/>
        <v>n</v>
      </c>
      <c r="H347" t="str">
        <f t="shared" si="30"/>
        <v>None</v>
      </c>
      <c r="I347" t="s">
        <v>186</v>
      </c>
      <c r="J347" t="s">
        <v>185</v>
      </c>
      <c r="M347">
        <v>36763.1</v>
      </c>
      <c r="N347">
        <v>0.38</v>
      </c>
      <c r="O347">
        <v>14125.4</v>
      </c>
      <c r="P347" t="s">
        <v>710</v>
      </c>
      <c r="Q347">
        <v>0.5</v>
      </c>
      <c r="R347">
        <v>33000</v>
      </c>
      <c r="S347">
        <v>107</v>
      </c>
      <c r="T347">
        <v>0</v>
      </c>
      <c r="U347" t="s">
        <v>114</v>
      </c>
      <c r="V347" t="s">
        <v>1</v>
      </c>
      <c r="W347" t="s">
        <v>9</v>
      </c>
      <c r="X347" t="s">
        <v>9</v>
      </c>
      <c r="Y347" t="s">
        <v>9</v>
      </c>
      <c r="Z347" t="s">
        <v>9</v>
      </c>
      <c r="AA347" t="s">
        <v>9</v>
      </c>
      <c r="AB347">
        <v>0</v>
      </c>
      <c r="AC347">
        <v>0</v>
      </c>
      <c r="AD347">
        <v>0</v>
      </c>
      <c r="AE347">
        <v>0</v>
      </c>
      <c r="AF347">
        <v>0</v>
      </c>
      <c r="AG347">
        <v>0</v>
      </c>
      <c r="AH347">
        <v>0</v>
      </c>
      <c r="AI347">
        <v>0</v>
      </c>
      <c r="AL347">
        <v>0</v>
      </c>
      <c r="AM347" t="s">
        <v>709</v>
      </c>
    </row>
    <row r="348" spans="1:47" customFormat="1">
      <c r="A348" s="1">
        <v>336</v>
      </c>
      <c r="B348" t="s">
        <v>705</v>
      </c>
      <c r="C348" t="s">
        <v>1</v>
      </c>
      <c r="D348" t="str">
        <f t="shared" si="33"/>
        <v>-</v>
      </c>
      <c r="E348" t="s">
        <v>9</v>
      </c>
      <c r="F348" t="str">
        <f t="shared" si="31"/>
        <v/>
      </c>
      <c r="G348" t="str">
        <f t="shared" si="32"/>
        <v>n</v>
      </c>
      <c r="H348" t="str">
        <f t="shared" si="30"/>
        <v>None</v>
      </c>
      <c r="I348" t="s">
        <v>71</v>
      </c>
      <c r="J348" t="s">
        <v>138</v>
      </c>
      <c r="M348">
        <v>36696</v>
      </c>
      <c r="N348">
        <v>2.8000000000000001E-2</v>
      </c>
      <c r="O348">
        <v>6860</v>
      </c>
      <c r="P348" t="s">
        <v>708</v>
      </c>
      <c r="Q348">
        <v>0.246</v>
      </c>
      <c r="R348">
        <v>70270</v>
      </c>
      <c r="S348">
        <v>-11</v>
      </c>
      <c r="T348" t="s">
        <v>88</v>
      </c>
      <c r="U348" t="s">
        <v>68</v>
      </c>
      <c r="V348" t="s">
        <v>1</v>
      </c>
      <c r="W348" t="s">
        <v>707</v>
      </c>
      <c r="X348" t="s">
        <v>9</v>
      </c>
      <c r="Y348" t="s">
        <v>9</v>
      </c>
      <c r="Z348" t="s">
        <v>9</v>
      </c>
      <c r="AA348">
        <v>2020</v>
      </c>
      <c r="AB348">
        <v>0</v>
      </c>
      <c r="AC348">
        <v>0</v>
      </c>
      <c r="AD348">
        <v>0</v>
      </c>
      <c r="AE348" t="s">
        <v>706</v>
      </c>
      <c r="AF348">
        <v>0</v>
      </c>
      <c r="AG348">
        <v>0</v>
      </c>
      <c r="AH348">
        <v>0</v>
      </c>
      <c r="AI348">
        <v>0</v>
      </c>
      <c r="AL348">
        <v>0</v>
      </c>
      <c r="AM348" t="s">
        <v>705</v>
      </c>
    </row>
    <row r="349" spans="1:47" customFormat="1">
      <c r="A349" s="1">
        <v>337</v>
      </c>
      <c r="B349" t="s">
        <v>703</v>
      </c>
      <c r="C349" t="s">
        <v>1</v>
      </c>
      <c r="D349" t="str">
        <f t="shared" si="33"/>
        <v>-</v>
      </c>
      <c r="E349" t="s">
        <v>9</v>
      </c>
      <c r="F349" t="str">
        <f t="shared" si="31"/>
        <v/>
      </c>
      <c r="G349" t="str">
        <f t="shared" si="32"/>
        <v>n</v>
      </c>
      <c r="H349" t="str">
        <f t="shared" si="30"/>
        <v>None</v>
      </c>
      <c r="I349" t="s">
        <v>71</v>
      </c>
      <c r="J349" t="s">
        <v>70</v>
      </c>
      <c r="M349">
        <v>36534.199999999997</v>
      </c>
      <c r="N349">
        <v>0.249</v>
      </c>
      <c r="O349">
        <v>4172.3999999999996</v>
      </c>
      <c r="P349" t="s">
        <v>704</v>
      </c>
      <c r="Q349">
        <v>0.49099999999999999</v>
      </c>
      <c r="R349">
        <v>7000</v>
      </c>
      <c r="S349">
        <v>66</v>
      </c>
      <c r="T349" t="s">
        <v>88</v>
      </c>
      <c r="U349" t="s">
        <v>127</v>
      </c>
      <c r="V349" t="s">
        <v>1</v>
      </c>
      <c r="W349" t="s">
        <v>9</v>
      </c>
      <c r="X349" t="s">
        <v>9</v>
      </c>
      <c r="Y349" t="s">
        <v>9</v>
      </c>
      <c r="Z349" t="s">
        <v>9</v>
      </c>
      <c r="AA349" t="s">
        <v>9</v>
      </c>
      <c r="AB349">
        <v>0</v>
      </c>
      <c r="AC349">
        <v>0</v>
      </c>
      <c r="AD349">
        <v>0</v>
      </c>
      <c r="AE349">
        <v>0</v>
      </c>
      <c r="AF349">
        <v>0</v>
      </c>
      <c r="AG349">
        <v>0</v>
      </c>
      <c r="AH349">
        <v>0</v>
      </c>
      <c r="AI349">
        <v>0</v>
      </c>
      <c r="AL349">
        <v>0</v>
      </c>
      <c r="AM349" t="s">
        <v>703</v>
      </c>
    </row>
    <row r="350" spans="1:47" customFormat="1">
      <c r="A350" s="1">
        <v>338</v>
      </c>
      <c r="B350" t="s">
        <v>702</v>
      </c>
      <c r="C350" t="s">
        <v>1</v>
      </c>
      <c r="D350" t="str">
        <f t="shared" si="33"/>
        <v>-</v>
      </c>
      <c r="E350" t="s">
        <v>9</v>
      </c>
      <c r="F350" t="str">
        <f t="shared" si="31"/>
        <v/>
      </c>
      <c r="G350" t="str">
        <f t="shared" si="32"/>
        <v>n</v>
      </c>
      <c r="H350" t="str">
        <f t="shared" si="30"/>
        <v>None</v>
      </c>
      <c r="I350" t="s">
        <v>91</v>
      </c>
      <c r="J350" t="s">
        <v>90</v>
      </c>
      <c r="M350">
        <v>36503.699999999997</v>
      </c>
      <c r="N350">
        <v>0.152</v>
      </c>
      <c r="O350">
        <v>199.3</v>
      </c>
      <c r="P350" t="s">
        <v>701</v>
      </c>
      <c r="Q350">
        <v>0.35399999999999998</v>
      </c>
      <c r="R350">
        <v>10350</v>
      </c>
      <c r="S350">
        <v>37</v>
      </c>
      <c r="T350" t="s">
        <v>88</v>
      </c>
      <c r="U350" t="s">
        <v>73</v>
      </c>
      <c r="V350" t="s">
        <v>1</v>
      </c>
      <c r="W350" t="s">
        <v>9</v>
      </c>
      <c r="X350" t="s">
        <v>9</v>
      </c>
      <c r="Y350" t="s">
        <v>9</v>
      </c>
      <c r="Z350" t="s">
        <v>9</v>
      </c>
      <c r="AA350" t="s">
        <v>9</v>
      </c>
      <c r="AB350">
        <v>0</v>
      </c>
      <c r="AC350">
        <v>0</v>
      </c>
      <c r="AD350">
        <v>0</v>
      </c>
      <c r="AE350">
        <v>0</v>
      </c>
      <c r="AF350">
        <v>0</v>
      </c>
      <c r="AG350">
        <v>0</v>
      </c>
      <c r="AH350">
        <v>0</v>
      </c>
      <c r="AI350">
        <v>0</v>
      </c>
      <c r="AL350">
        <v>0</v>
      </c>
      <c r="AM350" t="s">
        <v>700</v>
      </c>
    </row>
    <row r="351" spans="1:47" customFormat="1">
      <c r="A351" s="1">
        <v>339</v>
      </c>
      <c r="B351" t="s">
        <v>698</v>
      </c>
      <c r="C351" t="s">
        <v>1</v>
      </c>
      <c r="D351" t="str">
        <f t="shared" si="33"/>
        <v>-</v>
      </c>
      <c r="E351" t="s">
        <v>9</v>
      </c>
      <c r="F351" t="str">
        <f t="shared" si="31"/>
        <v/>
      </c>
      <c r="G351" t="str">
        <f t="shared" si="32"/>
        <v>n</v>
      </c>
      <c r="H351" t="str">
        <f t="shared" si="30"/>
        <v>None</v>
      </c>
      <c r="I351" t="s">
        <v>171</v>
      </c>
      <c r="J351" t="s">
        <v>171</v>
      </c>
      <c r="M351">
        <v>36465.699999999997</v>
      </c>
      <c r="N351">
        <v>3.4000000000000002E-2</v>
      </c>
      <c r="O351">
        <v>993.2</v>
      </c>
      <c r="P351" t="s">
        <v>699</v>
      </c>
      <c r="Q351">
        <v>-0.182</v>
      </c>
      <c r="R351">
        <v>119732</v>
      </c>
      <c r="S351">
        <v>-10</v>
      </c>
      <c r="T351" t="s">
        <v>88</v>
      </c>
      <c r="U351" t="s">
        <v>207</v>
      </c>
      <c r="V351" t="s">
        <v>1</v>
      </c>
      <c r="W351" t="s">
        <v>9</v>
      </c>
      <c r="X351" t="s">
        <v>9</v>
      </c>
      <c r="Y351" t="s">
        <v>9</v>
      </c>
      <c r="Z351" t="s">
        <v>9</v>
      </c>
      <c r="AA351" t="s">
        <v>9</v>
      </c>
      <c r="AB351">
        <v>0</v>
      </c>
      <c r="AC351">
        <v>0</v>
      </c>
      <c r="AD351">
        <v>0</v>
      </c>
      <c r="AE351">
        <v>0</v>
      </c>
      <c r="AF351">
        <v>0</v>
      </c>
      <c r="AG351">
        <v>0</v>
      </c>
      <c r="AH351">
        <v>0</v>
      </c>
      <c r="AI351">
        <v>0</v>
      </c>
      <c r="AL351">
        <v>0</v>
      </c>
      <c r="AM351" t="s">
        <v>698</v>
      </c>
    </row>
    <row r="352" spans="1:47" customFormat="1">
      <c r="A352" s="1">
        <v>340</v>
      </c>
      <c r="B352" t="s">
        <v>696</v>
      </c>
      <c r="C352" t="s">
        <v>1</v>
      </c>
      <c r="D352" t="str">
        <f t="shared" si="33"/>
        <v>-</v>
      </c>
      <c r="E352" t="s">
        <v>9</v>
      </c>
      <c r="F352" t="str">
        <f t="shared" si="31"/>
        <v/>
      </c>
      <c r="G352" t="str">
        <f t="shared" si="32"/>
        <v>n</v>
      </c>
      <c r="H352" t="str">
        <f t="shared" si="30"/>
        <v>None</v>
      </c>
      <c r="I352" t="s">
        <v>85</v>
      </c>
      <c r="J352" t="s">
        <v>84</v>
      </c>
      <c r="M352">
        <v>36440.9</v>
      </c>
      <c r="N352">
        <v>0.11899999999999999</v>
      </c>
      <c r="O352">
        <v>1869.2</v>
      </c>
      <c r="P352" t="s">
        <v>697</v>
      </c>
      <c r="Q352">
        <v>0.76</v>
      </c>
      <c r="R352">
        <v>31290</v>
      </c>
      <c r="S352">
        <v>24</v>
      </c>
      <c r="T352" t="s">
        <v>88</v>
      </c>
      <c r="U352" t="s">
        <v>73</v>
      </c>
      <c r="V352" t="s">
        <v>1</v>
      </c>
      <c r="W352" t="s">
        <v>9</v>
      </c>
      <c r="X352" t="s">
        <v>9</v>
      </c>
      <c r="Y352" t="s">
        <v>9</v>
      </c>
      <c r="Z352" t="s">
        <v>9</v>
      </c>
      <c r="AA352" t="s">
        <v>9</v>
      </c>
      <c r="AB352">
        <v>0</v>
      </c>
      <c r="AC352">
        <v>0</v>
      </c>
      <c r="AD352">
        <v>0</v>
      </c>
      <c r="AE352">
        <v>0</v>
      </c>
      <c r="AF352">
        <v>0</v>
      </c>
      <c r="AG352">
        <v>0</v>
      </c>
      <c r="AH352">
        <v>0</v>
      </c>
      <c r="AI352">
        <v>0</v>
      </c>
      <c r="AL352">
        <v>0</v>
      </c>
      <c r="AM352" t="s">
        <v>696</v>
      </c>
    </row>
    <row r="353" spans="1:47" customFormat="1">
      <c r="A353" s="1">
        <v>341</v>
      </c>
      <c r="B353" t="s">
        <v>693</v>
      </c>
      <c r="C353" t="s">
        <v>1</v>
      </c>
      <c r="D353">
        <f>IF(G353="n","",MIN(X353,AI353,AN353))</f>
        <v>2015</v>
      </c>
      <c r="E353" t="s">
        <v>369</v>
      </c>
      <c r="F353">
        <f t="shared" si="31"/>
        <v>2015</v>
      </c>
      <c r="G353" t="str">
        <f t="shared" si="32"/>
        <v>y</v>
      </c>
      <c r="H353" t="str">
        <f t="shared" si="30"/>
        <v>SBT &amp; RE100</v>
      </c>
      <c r="I353" t="s">
        <v>149</v>
      </c>
      <c r="J353" t="s">
        <v>149</v>
      </c>
      <c r="M353">
        <v>36397</v>
      </c>
      <c r="N353">
        <v>0.06</v>
      </c>
      <c r="O353">
        <v>1933</v>
      </c>
      <c r="P353" t="s">
        <v>695</v>
      </c>
      <c r="Q353">
        <v>-0.54400000000000004</v>
      </c>
      <c r="R353">
        <v>73100</v>
      </c>
      <c r="S353">
        <v>-1</v>
      </c>
      <c r="T353" t="s">
        <v>88</v>
      </c>
      <c r="U353" t="s">
        <v>127</v>
      </c>
      <c r="V353" t="s">
        <v>1</v>
      </c>
      <c r="W353" t="s">
        <v>9</v>
      </c>
      <c r="X353" t="s">
        <v>9</v>
      </c>
      <c r="Y353" t="s">
        <v>9</v>
      </c>
      <c r="Z353" t="s">
        <v>9</v>
      </c>
      <c r="AA353" t="s">
        <v>9</v>
      </c>
      <c r="AB353">
        <v>0</v>
      </c>
      <c r="AC353">
        <v>0</v>
      </c>
      <c r="AD353">
        <v>0</v>
      </c>
      <c r="AE353">
        <v>0</v>
      </c>
      <c r="AF353" t="s">
        <v>694</v>
      </c>
      <c r="AG353" t="s">
        <v>165</v>
      </c>
      <c r="AH353" t="s">
        <v>21</v>
      </c>
      <c r="AI353">
        <v>2017</v>
      </c>
      <c r="AL353">
        <v>0</v>
      </c>
      <c r="AM353" t="s">
        <v>693</v>
      </c>
      <c r="AN353">
        <v>2015</v>
      </c>
      <c r="AO353">
        <v>2025</v>
      </c>
      <c r="AP353" t="s">
        <v>13</v>
      </c>
      <c r="AQ353">
        <v>0.22</v>
      </c>
      <c r="AR353">
        <v>0.2</v>
      </c>
      <c r="AS353">
        <v>0.14000000000000001</v>
      </c>
      <c r="AT353" t="s">
        <v>13</v>
      </c>
      <c r="AU353" t="s">
        <v>692</v>
      </c>
    </row>
    <row r="354" spans="1:47" customFormat="1">
      <c r="A354" s="1">
        <v>342</v>
      </c>
      <c r="B354" t="s">
        <v>690</v>
      </c>
      <c r="C354" t="s">
        <v>1</v>
      </c>
      <c r="D354" t="str">
        <f t="shared" ref="D354:D359" si="34">IF(G354="n","-",MIN(X354,AI354,AN354))</f>
        <v>-</v>
      </c>
      <c r="E354" t="s">
        <v>9</v>
      </c>
      <c r="F354" t="str">
        <f t="shared" si="31"/>
        <v/>
      </c>
      <c r="G354" t="str">
        <f t="shared" si="32"/>
        <v>n</v>
      </c>
      <c r="H354" t="str">
        <f t="shared" si="30"/>
        <v>None</v>
      </c>
      <c r="I354" t="s">
        <v>342</v>
      </c>
      <c r="J354" t="s">
        <v>342</v>
      </c>
      <c r="M354">
        <v>36395.699999999997</v>
      </c>
      <c r="N354">
        <v>4.4999999999999998E-2</v>
      </c>
      <c r="O354">
        <v>2381.1999999999998</v>
      </c>
      <c r="P354" t="s">
        <v>691</v>
      </c>
      <c r="Q354">
        <v>3.9E-2</v>
      </c>
      <c r="R354">
        <v>202000</v>
      </c>
      <c r="S354">
        <v>-8</v>
      </c>
      <c r="T354" t="s">
        <v>350</v>
      </c>
      <c r="U354" t="s">
        <v>127</v>
      </c>
      <c r="V354" t="s">
        <v>1</v>
      </c>
      <c r="W354" t="s">
        <v>9</v>
      </c>
      <c r="X354" t="s">
        <v>9</v>
      </c>
      <c r="Y354" t="s">
        <v>9</v>
      </c>
      <c r="Z354" t="s">
        <v>9</v>
      </c>
      <c r="AA354" t="s">
        <v>9</v>
      </c>
      <c r="AB354">
        <v>0</v>
      </c>
      <c r="AC354">
        <v>0</v>
      </c>
      <c r="AD354">
        <v>0</v>
      </c>
      <c r="AE354">
        <v>0</v>
      </c>
      <c r="AF354">
        <v>0</v>
      </c>
      <c r="AG354">
        <v>0</v>
      </c>
      <c r="AH354">
        <v>0</v>
      </c>
      <c r="AI354">
        <v>0</v>
      </c>
      <c r="AL354">
        <v>0</v>
      </c>
      <c r="AM354" t="s">
        <v>690</v>
      </c>
    </row>
    <row r="355" spans="1:47" customFormat="1">
      <c r="A355" s="1">
        <v>343</v>
      </c>
      <c r="B355" t="s">
        <v>688</v>
      </c>
      <c r="C355" t="s">
        <v>1</v>
      </c>
      <c r="D355" t="str">
        <f t="shared" si="34"/>
        <v>-</v>
      </c>
      <c r="E355" t="s">
        <v>9</v>
      </c>
      <c r="F355" t="str">
        <f t="shared" si="31"/>
        <v/>
      </c>
      <c r="G355" t="str">
        <f t="shared" si="32"/>
        <v>n</v>
      </c>
      <c r="H355" t="str">
        <f t="shared" si="30"/>
        <v>None</v>
      </c>
      <c r="I355" t="s">
        <v>101</v>
      </c>
      <c r="J355" t="s">
        <v>101</v>
      </c>
      <c r="M355">
        <v>36193</v>
      </c>
      <c r="N355">
        <v>0.16900000000000001</v>
      </c>
      <c r="O355">
        <v>3345</v>
      </c>
      <c r="P355" t="s">
        <v>689</v>
      </c>
      <c r="Q355">
        <v>0.14899999999999999</v>
      </c>
      <c r="R355">
        <v>105600</v>
      </c>
      <c r="S355">
        <v>40</v>
      </c>
      <c r="T355" t="s">
        <v>88</v>
      </c>
      <c r="U355" t="s">
        <v>127</v>
      </c>
      <c r="V355" t="s">
        <v>1</v>
      </c>
      <c r="W355" t="s">
        <v>9</v>
      </c>
      <c r="X355" t="s">
        <v>9</v>
      </c>
      <c r="Y355" t="s">
        <v>9</v>
      </c>
      <c r="Z355" t="s">
        <v>9</v>
      </c>
      <c r="AA355" t="s">
        <v>9</v>
      </c>
      <c r="AB355">
        <v>0</v>
      </c>
      <c r="AC355">
        <v>0</v>
      </c>
      <c r="AD355">
        <v>0</v>
      </c>
      <c r="AE355">
        <v>0</v>
      </c>
      <c r="AF355">
        <v>0</v>
      </c>
      <c r="AG355">
        <v>0</v>
      </c>
      <c r="AH355">
        <v>0</v>
      </c>
      <c r="AI355">
        <v>0</v>
      </c>
      <c r="AL355">
        <v>0</v>
      </c>
      <c r="AM355" t="s">
        <v>688</v>
      </c>
    </row>
    <row r="356" spans="1:47" customFormat="1">
      <c r="A356" s="1">
        <v>344</v>
      </c>
      <c r="B356" t="s">
        <v>684</v>
      </c>
      <c r="C356" t="s">
        <v>1</v>
      </c>
      <c r="D356" t="str">
        <f t="shared" si="34"/>
        <v>-</v>
      </c>
      <c r="E356" t="s">
        <v>9</v>
      </c>
      <c r="F356" t="str">
        <f t="shared" si="31"/>
        <v/>
      </c>
      <c r="G356" t="str">
        <f t="shared" si="32"/>
        <v>n</v>
      </c>
      <c r="H356" t="str">
        <f t="shared" si="30"/>
        <v>None</v>
      </c>
      <c r="I356" t="s">
        <v>71</v>
      </c>
      <c r="J356" t="s">
        <v>265</v>
      </c>
      <c r="M356">
        <v>35985</v>
      </c>
      <c r="N356">
        <v>7.2999999999999995E-2</v>
      </c>
      <c r="O356">
        <v>2010</v>
      </c>
      <c r="P356" t="s">
        <v>687</v>
      </c>
      <c r="Q356">
        <v>-0.46700000000000003</v>
      </c>
      <c r="R356">
        <v>33383</v>
      </c>
      <c r="S356">
        <v>12</v>
      </c>
      <c r="T356" t="s">
        <v>88</v>
      </c>
      <c r="U356" t="s">
        <v>127</v>
      </c>
      <c r="V356" t="s">
        <v>1</v>
      </c>
      <c r="W356" t="s">
        <v>686</v>
      </c>
      <c r="X356" t="s">
        <v>9</v>
      </c>
      <c r="Y356">
        <v>2018</v>
      </c>
      <c r="Z356">
        <v>2018</v>
      </c>
      <c r="AA356">
        <v>2022</v>
      </c>
      <c r="AB356">
        <v>0</v>
      </c>
      <c r="AC356">
        <v>0</v>
      </c>
      <c r="AD356">
        <v>0</v>
      </c>
      <c r="AE356" t="s">
        <v>685</v>
      </c>
      <c r="AF356">
        <v>0</v>
      </c>
      <c r="AG356">
        <v>0</v>
      </c>
      <c r="AH356">
        <v>0</v>
      </c>
      <c r="AI356">
        <v>0</v>
      </c>
      <c r="AL356">
        <v>0</v>
      </c>
      <c r="AM356" t="s">
        <v>684</v>
      </c>
    </row>
    <row r="357" spans="1:47" customFormat="1">
      <c r="A357" s="1">
        <v>345</v>
      </c>
      <c r="B357" t="s">
        <v>682</v>
      </c>
      <c r="C357" t="s">
        <v>1</v>
      </c>
      <c r="D357" t="str">
        <f t="shared" si="34"/>
        <v>-</v>
      </c>
      <c r="E357" t="s">
        <v>9</v>
      </c>
      <c r="F357" t="str">
        <f t="shared" si="31"/>
        <v/>
      </c>
      <c r="G357" t="str">
        <f t="shared" si="32"/>
        <v>n</v>
      </c>
      <c r="H357" t="str">
        <f t="shared" si="30"/>
        <v>None</v>
      </c>
      <c r="I357" t="s">
        <v>186</v>
      </c>
      <c r="J357" t="s">
        <v>380</v>
      </c>
      <c r="M357">
        <v>35796.9</v>
      </c>
      <c r="N357">
        <v>-1.6E-2</v>
      </c>
      <c r="O357">
        <v>2289.5</v>
      </c>
      <c r="P357" t="s">
        <v>683</v>
      </c>
      <c r="Q357">
        <v>6.0999999999999999E-2</v>
      </c>
      <c r="R357">
        <v>195056</v>
      </c>
      <c r="S357">
        <v>-28</v>
      </c>
      <c r="T357" t="s">
        <v>88</v>
      </c>
      <c r="U357" t="s">
        <v>207</v>
      </c>
      <c r="V357" t="s">
        <v>1</v>
      </c>
      <c r="W357" t="s">
        <v>9</v>
      </c>
      <c r="X357" t="s">
        <v>9</v>
      </c>
      <c r="Y357" t="s">
        <v>9</v>
      </c>
      <c r="Z357" t="s">
        <v>9</v>
      </c>
      <c r="AA357" t="s">
        <v>9</v>
      </c>
      <c r="AB357">
        <v>0</v>
      </c>
      <c r="AC357">
        <v>0</v>
      </c>
      <c r="AD357">
        <v>0</v>
      </c>
      <c r="AE357">
        <v>0</v>
      </c>
      <c r="AF357">
        <v>0</v>
      </c>
      <c r="AG357">
        <v>0</v>
      </c>
      <c r="AH357">
        <v>0</v>
      </c>
      <c r="AI357">
        <v>0</v>
      </c>
      <c r="AL357">
        <v>0</v>
      </c>
      <c r="AM357" t="s">
        <v>682</v>
      </c>
    </row>
    <row r="358" spans="1:47" customFormat="1">
      <c r="A358" s="1">
        <v>346</v>
      </c>
      <c r="B358" t="s">
        <v>680</v>
      </c>
      <c r="C358" t="s">
        <v>1</v>
      </c>
      <c r="D358" t="str">
        <f t="shared" si="34"/>
        <v>-</v>
      </c>
      <c r="E358" t="s">
        <v>9</v>
      </c>
      <c r="F358" t="str">
        <f t="shared" si="31"/>
        <v/>
      </c>
      <c r="G358" t="str">
        <f t="shared" si="32"/>
        <v>n</v>
      </c>
      <c r="H358" t="str">
        <f t="shared" si="30"/>
        <v>None</v>
      </c>
      <c r="I358" t="s">
        <v>71</v>
      </c>
      <c r="J358" t="s">
        <v>70</v>
      </c>
      <c r="M358">
        <v>35785</v>
      </c>
      <c r="N358">
        <v>4.5999999999999999E-2</v>
      </c>
      <c r="O358">
        <v>2223.6999999999998</v>
      </c>
      <c r="P358" t="s">
        <v>681</v>
      </c>
      <c r="Q358">
        <v>8.9999999999999993E-3</v>
      </c>
      <c r="R358">
        <v>12000</v>
      </c>
      <c r="S358">
        <v>-1</v>
      </c>
      <c r="T358" t="s">
        <v>88</v>
      </c>
      <c r="U358" t="s">
        <v>78</v>
      </c>
      <c r="V358" t="s">
        <v>1</v>
      </c>
      <c r="W358" t="s">
        <v>9</v>
      </c>
      <c r="X358" t="s">
        <v>9</v>
      </c>
      <c r="Y358" t="s">
        <v>9</v>
      </c>
      <c r="Z358" t="s">
        <v>9</v>
      </c>
      <c r="AA358" t="s">
        <v>9</v>
      </c>
      <c r="AB358">
        <v>0</v>
      </c>
      <c r="AC358">
        <v>0</v>
      </c>
      <c r="AD358">
        <v>0</v>
      </c>
      <c r="AE358">
        <v>0</v>
      </c>
      <c r="AF358">
        <v>0</v>
      </c>
      <c r="AG358">
        <v>0</v>
      </c>
      <c r="AH358">
        <v>0</v>
      </c>
      <c r="AI358">
        <v>0</v>
      </c>
      <c r="AL358">
        <v>0</v>
      </c>
      <c r="AM358" t="s">
        <v>680</v>
      </c>
    </row>
    <row r="359" spans="1:47" customFormat="1">
      <c r="A359" s="1">
        <v>347</v>
      </c>
      <c r="B359" t="s">
        <v>678</v>
      </c>
      <c r="C359" t="s">
        <v>1</v>
      </c>
      <c r="D359" t="str">
        <f t="shared" si="34"/>
        <v>-</v>
      </c>
      <c r="E359" t="s">
        <v>9</v>
      </c>
      <c r="F359" t="str">
        <f t="shared" si="31"/>
        <v/>
      </c>
      <c r="G359" t="str">
        <f t="shared" si="32"/>
        <v>n</v>
      </c>
      <c r="H359" t="str">
        <f t="shared" si="30"/>
        <v>None</v>
      </c>
      <c r="I359" t="s">
        <v>71</v>
      </c>
      <c r="J359" t="s">
        <v>138</v>
      </c>
      <c r="M359">
        <v>35721.300000000003</v>
      </c>
      <c r="N359">
        <v>7.5999999999999998E-2</v>
      </c>
      <c r="O359">
        <v>-152.80000000000001</v>
      </c>
      <c r="P359" t="s">
        <v>679</v>
      </c>
      <c r="Q359" t="s">
        <v>9</v>
      </c>
      <c r="R359">
        <v>112859</v>
      </c>
      <c r="S359">
        <v>12</v>
      </c>
      <c r="T359" t="s">
        <v>180</v>
      </c>
      <c r="U359" t="s">
        <v>73</v>
      </c>
      <c r="V359" t="s">
        <v>1</v>
      </c>
      <c r="W359" t="s">
        <v>9</v>
      </c>
      <c r="X359" t="s">
        <v>9</v>
      </c>
      <c r="Y359" t="s">
        <v>9</v>
      </c>
      <c r="Z359" t="s">
        <v>9</v>
      </c>
      <c r="AA359" t="s">
        <v>9</v>
      </c>
      <c r="AB359">
        <v>0</v>
      </c>
      <c r="AC359">
        <v>0</v>
      </c>
      <c r="AD359">
        <v>0</v>
      </c>
      <c r="AE359">
        <v>0</v>
      </c>
      <c r="AF359">
        <v>0</v>
      </c>
      <c r="AG359">
        <v>0</v>
      </c>
      <c r="AH359">
        <v>0</v>
      </c>
      <c r="AI359">
        <v>0</v>
      </c>
      <c r="AL359">
        <v>0</v>
      </c>
      <c r="AM359" t="s">
        <v>678</v>
      </c>
    </row>
    <row r="360" spans="1:47" customFormat="1">
      <c r="A360" s="1">
        <v>348</v>
      </c>
      <c r="B360" t="s">
        <v>672</v>
      </c>
      <c r="C360" t="s">
        <v>1</v>
      </c>
      <c r="D360">
        <f>IF(G360="n","",MIN(X360,AI360,AN360))</f>
        <v>2017</v>
      </c>
      <c r="F360">
        <f t="shared" si="31"/>
        <v>2017</v>
      </c>
      <c r="G360" t="str">
        <f t="shared" si="32"/>
        <v>y</v>
      </c>
      <c r="H360" t="str">
        <f t="shared" si="30"/>
        <v>CN</v>
      </c>
      <c r="I360" t="s">
        <v>71</v>
      </c>
      <c r="J360" t="s">
        <v>71</v>
      </c>
      <c r="K360" s="7" t="s">
        <v>677</v>
      </c>
      <c r="M360">
        <v>35703.599999999999</v>
      </c>
      <c r="N360">
        <v>-0.16600000000000001</v>
      </c>
      <c r="O360">
        <v>3803.7</v>
      </c>
      <c r="P360" t="s">
        <v>676</v>
      </c>
      <c r="Q360">
        <v>-0.14000000000000001</v>
      </c>
      <c r="R360">
        <v>43302</v>
      </c>
      <c r="S360">
        <v>-94</v>
      </c>
      <c r="T360" t="s">
        <v>88</v>
      </c>
      <c r="U360" t="s">
        <v>146</v>
      </c>
      <c r="V360" t="s">
        <v>32</v>
      </c>
      <c r="W360" t="s">
        <v>9</v>
      </c>
      <c r="X360">
        <v>2017</v>
      </c>
      <c r="Y360" t="s">
        <v>9</v>
      </c>
      <c r="Z360" t="s">
        <v>9</v>
      </c>
      <c r="AA360">
        <v>2030</v>
      </c>
      <c r="AB360" t="s">
        <v>675</v>
      </c>
      <c r="AC360">
        <v>0</v>
      </c>
      <c r="AD360" t="s">
        <v>674</v>
      </c>
      <c r="AE360" t="s">
        <v>673</v>
      </c>
      <c r="AF360">
        <v>0</v>
      </c>
      <c r="AG360">
        <v>0</v>
      </c>
      <c r="AH360">
        <v>0</v>
      </c>
      <c r="AL360">
        <v>0</v>
      </c>
      <c r="AM360" t="s">
        <v>672</v>
      </c>
    </row>
    <row r="361" spans="1:47" customFormat="1">
      <c r="A361" s="1">
        <v>349</v>
      </c>
      <c r="B361" t="s">
        <v>666</v>
      </c>
      <c r="C361" t="s">
        <v>1</v>
      </c>
      <c r="D361">
        <f>IF(G361="n","",MIN(X361,AI361,AN361))</f>
        <v>2017</v>
      </c>
      <c r="F361">
        <f t="shared" si="31"/>
        <v>2017</v>
      </c>
      <c r="G361" t="str">
        <f t="shared" si="32"/>
        <v>y</v>
      </c>
      <c r="H361" t="str">
        <f t="shared" si="30"/>
        <v>CN, SBT &amp; RE100</v>
      </c>
      <c r="I361" t="s">
        <v>186</v>
      </c>
      <c r="J361" t="s">
        <v>209</v>
      </c>
      <c r="M361">
        <v>35647.9</v>
      </c>
      <c r="N361">
        <v>-3.5999999999999997E-2</v>
      </c>
      <c r="O361">
        <v>943.1</v>
      </c>
      <c r="P361" t="s">
        <v>671</v>
      </c>
      <c r="Q361">
        <v>-0.38300000000000001</v>
      </c>
      <c r="R361">
        <v>132138</v>
      </c>
      <c r="S361">
        <v>-36</v>
      </c>
      <c r="T361" t="s">
        <v>88</v>
      </c>
      <c r="U361" t="s">
        <v>207</v>
      </c>
      <c r="V361" t="s">
        <v>337</v>
      </c>
      <c r="W361" t="s">
        <v>9</v>
      </c>
      <c r="X361">
        <v>2017</v>
      </c>
      <c r="Y361" t="s">
        <v>9</v>
      </c>
      <c r="Z361" t="s">
        <v>9</v>
      </c>
      <c r="AA361">
        <v>2050</v>
      </c>
      <c r="AB361" t="s">
        <v>31</v>
      </c>
      <c r="AC361">
        <v>0</v>
      </c>
      <c r="AD361" t="s">
        <v>670</v>
      </c>
      <c r="AE361" t="s">
        <v>669</v>
      </c>
      <c r="AF361" t="s">
        <v>364</v>
      </c>
      <c r="AG361" t="s">
        <v>22</v>
      </c>
      <c r="AH361" t="s">
        <v>668</v>
      </c>
      <c r="AI361">
        <v>2017</v>
      </c>
      <c r="AJ361">
        <v>2030</v>
      </c>
      <c r="AK361" t="s">
        <v>20</v>
      </c>
      <c r="AL361" t="s">
        <v>667</v>
      </c>
      <c r="AM361" t="s">
        <v>666</v>
      </c>
      <c r="AN361">
        <v>2018</v>
      </c>
      <c r="AO361">
        <v>2050</v>
      </c>
      <c r="AP361" t="s">
        <v>665</v>
      </c>
      <c r="AQ361">
        <v>0.03</v>
      </c>
      <c r="AR361" t="s">
        <v>13</v>
      </c>
      <c r="AS361" t="s">
        <v>13</v>
      </c>
      <c r="AT361" t="s">
        <v>13</v>
      </c>
      <c r="AU361" t="s">
        <v>352</v>
      </c>
    </row>
    <row r="362" spans="1:47" customFormat="1">
      <c r="A362" s="1">
        <v>350</v>
      </c>
      <c r="B362" t="s">
        <v>660</v>
      </c>
      <c r="C362" t="s">
        <v>1</v>
      </c>
      <c r="D362" t="str">
        <f t="shared" ref="D362:D370" si="35">IF(G362="n","-",MIN(X362,AI362,AN362))</f>
        <v>-</v>
      </c>
      <c r="E362" t="s">
        <v>9</v>
      </c>
      <c r="F362" t="str">
        <f t="shared" si="31"/>
        <v/>
      </c>
      <c r="G362" t="str">
        <f t="shared" si="32"/>
        <v>n</v>
      </c>
      <c r="H362" t="str">
        <f t="shared" si="30"/>
        <v>None</v>
      </c>
      <c r="I362" t="s">
        <v>76</v>
      </c>
      <c r="J362" t="s">
        <v>80</v>
      </c>
      <c r="M362">
        <v>35406.300000000003</v>
      </c>
      <c r="N362">
        <v>0.10199999999999999</v>
      </c>
      <c r="O362">
        <v>870.9</v>
      </c>
      <c r="P362" t="s">
        <v>664</v>
      </c>
      <c r="Q362">
        <v>-0.83299999999999996</v>
      </c>
      <c r="R362">
        <v>59132</v>
      </c>
      <c r="S362">
        <v>17</v>
      </c>
      <c r="T362" t="s">
        <v>88</v>
      </c>
      <c r="U362" t="s">
        <v>207</v>
      </c>
      <c r="V362" t="s">
        <v>1</v>
      </c>
      <c r="W362" t="s">
        <v>663</v>
      </c>
      <c r="X362" t="s">
        <v>9</v>
      </c>
      <c r="Y362" t="s">
        <v>9</v>
      </c>
      <c r="Z362">
        <v>2009</v>
      </c>
      <c r="AA362">
        <v>2030</v>
      </c>
      <c r="AB362" t="s">
        <v>662</v>
      </c>
      <c r="AC362">
        <v>0</v>
      </c>
      <c r="AD362">
        <v>0</v>
      </c>
      <c r="AE362" t="s">
        <v>661</v>
      </c>
      <c r="AF362">
        <v>0</v>
      </c>
      <c r="AG362">
        <v>0</v>
      </c>
      <c r="AH362">
        <v>0</v>
      </c>
      <c r="AI362">
        <v>0</v>
      </c>
      <c r="AL362">
        <v>0</v>
      </c>
      <c r="AM362" t="s">
        <v>660</v>
      </c>
    </row>
    <row r="363" spans="1:47" customFormat="1">
      <c r="A363" s="1">
        <v>351</v>
      </c>
      <c r="B363" t="s">
        <v>658</v>
      </c>
      <c r="C363" t="s">
        <v>1</v>
      </c>
      <c r="D363" t="str">
        <f t="shared" si="35"/>
        <v>-</v>
      </c>
      <c r="E363" t="s">
        <v>9</v>
      </c>
      <c r="F363" t="str">
        <f t="shared" si="31"/>
        <v/>
      </c>
      <c r="G363" t="str">
        <f t="shared" si="32"/>
        <v>n</v>
      </c>
      <c r="H363" t="str">
        <f t="shared" si="30"/>
        <v>None</v>
      </c>
      <c r="I363" t="s">
        <v>66</v>
      </c>
      <c r="J363" t="s">
        <v>66</v>
      </c>
      <c r="M363">
        <v>35386.400000000001</v>
      </c>
      <c r="N363">
        <v>5.2999999999999999E-2</v>
      </c>
      <c r="O363">
        <v>1529</v>
      </c>
      <c r="P363" t="s">
        <v>659</v>
      </c>
      <c r="Q363">
        <v>-0.2</v>
      </c>
      <c r="R363">
        <v>72020</v>
      </c>
      <c r="S363">
        <v>1</v>
      </c>
      <c r="T363" t="s">
        <v>88</v>
      </c>
      <c r="U363" t="s">
        <v>207</v>
      </c>
      <c r="V363" t="s">
        <v>1</v>
      </c>
      <c r="W363" t="s">
        <v>9</v>
      </c>
      <c r="X363" t="s">
        <v>9</v>
      </c>
      <c r="Y363" t="s">
        <v>9</v>
      </c>
      <c r="Z363" t="s">
        <v>9</v>
      </c>
      <c r="AA363" t="s">
        <v>9</v>
      </c>
      <c r="AB363">
        <v>0</v>
      </c>
      <c r="AC363">
        <v>0</v>
      </c>
      <c r="AD363">
        <v>0</v>
      </c>
      <c r="AE363">
        <v>0</v>
      </c>
      <c r="AF363">
        <v>0</v>
      </c>
      <c r="AG363">
        <v>0</v>
      </c>
      <c r="AH363">
        <v>0</v>
      </c>
      <c r="AI363">
        <v>0</v>
      </c>
      <c r="AL363">
        <v>0</v>
      </c>
      <c r="AM363" t="s">
        <v>658</v>
      </c>
    </row>
    <row r="364" spans="1:47" customFormat="1">
      <c r="A364" s="1">
        <v>352</v>
      </c>
      <c r="B364" t="s">
        <v>656</v>
      </c>
      <c r="C364" t="s">
        <v>1</v>
      </c>
      <c r="D364" t="str">
        <f t="shared" si="35"/>
        <v>-</v>
      </c>
      <c r="E364" t="s">
        <v>9</v>
      </c>
      <c r="F364" t="str">
        <f t="shared" si="31"/>
        <v/>
      </c>
      <c r="G364" t="str">
        <f t="shared" si="32"/>
        <v>n</v>
      </c>
      <c r="H364" t="str">
        <f t="shared" si="30"/>
        <v>None</v>
      </c>
      <c r="I364" t="s">
        <v>119</v>
      </c>
      <c r="J364" t="s">
        <v>118</v>
      </c>
      <c r="M364">
        <v>35361.199999999997</v>
      </c>
      <c r="N364">
        <v>0.109</v>
      </c>
      <c r="O364">
        <v>4976.3</v>
      </c>
      <c r="P364" t="s">
        <v>657</v>
      </c>
      <c r="Q364">
        <v>0.105</v>
      </c>
      <c r="R364">
        <v>300000</v>
      </c>
      <c r="S364">
        <v>22</v>
      </c>
      <c r="T364" t="s">
        <v>88</v>
      </c>
      <c r="U364" t="s">
        <v>73</v>
      </c>
      <c r="V364" t="s">
        <v>1</v>
      </c>
      <c r="W364" t="s">
        <v>9</v>
      </c>
      <c r="X364" t="s">
        <v>9</v>
      </c>
      <c r="Y364" t="s">
        <v>9</v>
      </c>
      <c r="Z364" t="s">
        <v>9</v>
      </c>
      <c r="AA364" t="s">
        <v>9</v>
      </c>
      <c r="AB364">
        <v>0</v>
      </c>
      <c r="AC364">
        <v>0</v>
      </c>
      <c r="AD364">
        <v>0</v>
      </c>
      <c r="AE364">
        <v>0</v>
      </c>
      <c r="AF364">
        <v>0</v>
      </c>
      <c r="AG364">
        <v>0</v>
      </c>
      <c r="AH364">
        <v>0</v>
      </c>
      <c r="AI364">
        <v>0</v>
      </c>
      <c r="AL364">
        <v>0</v>
      </c>
      <c r="AM364" t="s">
        <v>656</v>
      </c>
    </row>
    <row r="365" spans="1:47" customFormat="1">
      <c r="A365" s="1">
        <v>353</v>
      </c>
      <c r="B365" t="s">
        <v>651</v>
      </c>
      <c r="C365" t="s">
        <v>1</v>
      </c>
      <c r="D365" t="str">
        <f t="shared" si="35"/>
        <v>-</v>
      </c>
      <c r="E365" t="s">
        <v>9</v>
      </c>
      <c r="F365" t="str">
        <f t="shared" si="31"/>
        <v/>
      </c>
      <c r="G365" t="str">
        <f t="shared" si="32"/>
        <v>n</v>
      </c>
      <c r="H365" t="str">
        <f t="shared" si="30"/>
        <v>None</v>
      </c>
      <c r="I365" t="s">
        <v>76</v>
      </c>
      <c r="J365" t="s">
        <v>80</v>
      </c>
      <c r="M365">
        <v>35251.9</v>
      </c>
      <c r="N365">
        <v>-0.32800000000000001</v>
      </c>
      <c r="O365">
        <v>5737.9</v>
      </c>
      <c r="P365" t="s">
        <v>655</v>
      </c>
      <c r="Q365">
        <v>0.17100000000000001</v>
      </c>
      <c r="R365">
        <v>64928</v>
      </c>
      <c r="S365">
        <v>-164</v>
      </c>
      <c r="T365" t="s">
        <v>88</v>
      </c>
      <c r="U365" t="s">
        <v>275</v>
      </c>
      <c r="V365" t="s">
        <v>1</v>
      </c>
      <c r="W365" t="s">
        <v>654</v>
      </c>
      <c r="X365" t="s">
        <v>9</v>
      </c>
      <c r="Y365">
        <v>2018</v>
      </c>
      <c r="Z365">
        <v>2009</v>
      </c>
      <c r="AA365">
        <v>2030</v>
      </c>
      <c r="AB365" t="s">
        <v>653</v>
      </c>
      <c r="AC365">
        <v>0</v>
      </c>
      <c r="AD365">
        <v>0</v>
      </c>
      <c r="AE365" t="s">
        <v>652</v>
      </c>
      <c r="AF365">
        <v>0</v>
      </c>
      <c r="AG365">
        <v>0</v>
      </c>
      <c r="AH365">
        <v>0</v>
      </c>
      <c r="AI365">
        <v>0</v>
      </c>
      <c r="AL365">
        <v>0</v>
      </c>
      <c r="AM365" t="s">
        <v>651</v>
      </c>
    </row>
    <row r="366" spans="1:47" customFormat="1">
      <c r="A366" s="1">
        <v>354</v>
      </c>
      <c r="B366" t="s">
        <v>649</v>
      </c>
      <c r="C366" t="s">
        <v>1</v>
      </c>
      <c r="D366" t="str">
        <f t="shared" si="35"/>
        <v>-</v>
      </c>
      <c r="E366" t="s">
        <v>9</v>
      </c>
      <c r="F366" t="str">
        <f t="shared" si="31"/>
        <v/>
      </c>
      <c r="G366" t="str">
        <f t="shared" si="32"/>
        <v>n</v>
      </c>
      <c r="H366" t="str">
        <f t="shared" si="30"/>
        <v>None</v>
      </c>
      <c r="I366" t="s">
        <v>71</v>
      </c>
      <c r="J366" t="s">
        <v>105</v>
      </c>
      <c r="M366">
        <v>35091</v>
      </c>
      <c r="N366">
        <v>0.185</v>
      </c>
      <c r="O366">
        <v>734.6</v>
      </c>
      <c r="P366" t="s">
        <v>650</v>
      </c>
      <c r="Q366">
        <v>-0.499</v>
      </c>
      <c r="R366">
        <v>9476</v>
      </c>
      <c r="S366">
        <v>44</v>
      </c>
      <c r="T366" t="s">
        <v>88</v>
      </c>
      <c r="U366" t="s">
        <v>207</v>
      </c>
      <c r="V366" t="s">
        <v>1</v>
      </c>
      <c r="W366" t="s">
        <v>9</v>
      </c>
      <c r="X366" t="s">
        <v>9</v>
      </c>
      <c r="Y366" t="s">
        <v>9</v>
      </c>
      <c r="Z366" t="s">
        <v>9</v>
      </c>
      <c r="AA366" t="s">
        <v>9</v>
      </c>
      <c r="AB366">
        <v>0</v>
      </c>
      <c r="AC366">
        <v>0</v>
      </c>
      <c r="AD366">
        <v>0</v>
      </c>
      <c r="AE366">
        <v>0</v>
      </c>
      <c r="AF366">
        <v>0</v>
      </c>
      <c r="AG366">
        <v>0</v>
      </c>
      <c r="AH366">
        <v>0</v>
      </c>
      <c r="AI366">
        <v>0</v>
      </c>
      <c r="AL366">
        <v>0</v>
      </c>
      <c r="AM366" t="s">
        <v>649</v>
      </c>
    </row>
    <row r="367" spans="1:47" customFormat="1">
      <c r="A367" s="1">
        <v>355</v>
      </c>
      <c r="B367" t="s">
        <v>647</v>
      </c>
      <c r="C367" t="s">
        <v>1</v>
      </c>
      <c r="D367" t="str">
        <f t="shared" si="35"/>
        <v>-</v>
      </c>
      <c r="E367" t="s">
        <v>9</v>
      </c>
      <c r="F367" t="str">
        <f t="shared" si="31"/>
        <v/>
      </c>
      <c r="G367" t="str">
        <f t="shared" si="32"/>
        <v>n</v>
      </c>
      <c r="H367" t="str">
        <f t="shared" si="30"/>
        <v>None</v>
      </c>
      <c r="I367" t="s">
        <v>76</v>
      </c>
      <c r="J367" t="s">
        <v>199</v>
      </c>
      <c r="M367">
        <v>35071.1</v>
      </c>
      <c r="N367">
        <v>-7.0000000000000007E-2</v>
      </c>
      <c r="O367">
        <v>1651.1</v>
      </c>
      <c r="P367" t="s">
        <v>648</v>
      </c>
      <c r="Q367">
        <v>1.1259999999999999</v>
      </c>
      <c r="R367">
        <v>132388</v>
      </c>
      <c r="S367">
        <v>-51</v>
      </c>
      <c r="T367" t="s">
        <v>88</v>
      </c>
      <c r="U367" t="s">
        <v>376</v>
      </c>
      <c r="V367" t="s">
        <v>1</v>
      </c>
      <c r="W367" t="s">
        <v>9</v>
      </c>
      <c r="X367" t="s">
        <v>9</v>
      </c>
      <c r="Y367" t="s">
        <v>9</v>
      </c>
      <c r="Z367" t="s">
        <v>9</v>
      </c>
      <c r="AA367" t="s">
        <v>9</v>
      </c>
      <c r="AB367">
        <v>0</v>
      </c>
      <c r="AC367">
        <v>0</v>
      </c>
      <c r="AD367">
        <v>0</v>
      </c>
      <c r="AE367">
        <v>0</v>
      </c>
      <c r="AF367">
        <v>0</v>
      </c>
      <c r="AG367">
        <v>0</v>
      </c>
      <c r="AH367">
        <v>0</v>
      </c>
      <c r="AI367">
        <v>0</v>
      </c>
      <c r="AL367">
        <v>0</v>
      </c>
      <c r="AM367" t="s">
        <v>647</v>
      </c>
    </row>
    <row r="368" spans="1:47" customFormat="1">
      <c r="A368" s="1">
        <v>356</v>
      </c>
      <c r="B368" t="s">
        <v>645</v>
      </c>
      <c r="C368" t="s">
        <v>1</v>
      </c>
      <c r="D368" t="str">
        <f t="shared" si="35"/>
        <v>-</v>
      </c>
      <c r="E368" t="s">
        <v>9</v>
      </c>
      <c r="F368" t="str">
        <f t="shared" si="31"/>
        <v/>
      </c>
      <c r="G368" t="str">
        <f t="shared" si="32"/>
        <v>n</v>
      </c>
      <c r="H368" t="str">
        <f t="shared" si="30"/>
        <v>None</v>
      </c>
      <c r="I368" t="s">
        <v>85</v>
      </c>
      <c r="J368" t="s">
        <v>84</v>
      </c>
      <c r="M368">
        <v>34937.4</v>
      </c>
      <c r="N368">
        <v>6.7000000000000004E-2</v>
      </c>
      <c r="O368">
        <v>1474.7</v>
      </c>
      <c r="P368" t="s">
        <v>646</v>
      </c>
      <c r="Q368">
        <v>0.67300000000000004</v>
      </c>
      <c r="R368">
        <v>62083</v>
      </c>
      <c r="S368">
        <v>2</v>
      </c>
      <c r="T368" t="s">
        <v>88</v>
      </c>
      <c r="U368" t="s">
        <v>207</v>
      </c>
      <c r="V368" t="s">
        <v>1</v>
      </c>
      <c r="W368" t="s">
        <v>9</v>
      </c>
      <c r="X368" t="s">
        <v>9</v>
      </c>
      <c r="Y368" t="s">
        <v>9</v>
      </c>
      <c r="Z368" t="s">
        <v>9</v>
      </c>
      <c r="AA368" t="s">
        <v>9</v>
      </c>
      <c r="AB368">
        <v>0</v>
      </c>
      <c r="AC368">
        <v>0</v>
      </c>
      <c r="AD368">
        <v>0</v>
      </c>
      <c r="AE368">
        <v>0</v>
      </c>
      <c r="AF368">
        <v>0</v>
      </c>
      <c r="AG368">
        <v>0</v>
      </c>
      <c r="AH368">
        <v>0</v>
      </c>
      <c r="AI368">
        <v>0</v>
      </c>
      <c r="AL368">
        <v>0</v>
      </c>
      <c r="AM368" t="s">
        <v>645</v>
      </c>
    </row>
    <row r="369" spans="1:47" customFormat="1">
      <c r="A369" s="1">
        <v>357</v>
      </c>
      <c r="B369" t="s">
        <v>642</v>
      </c>
      <c r="C369" t="s">
        <v>1</v>
      </c>
      <c r="D369" t="str">
        <f t="shared" si="35"/>
        <v>-</v>
      </c>
      <c r="E369" t="s">
        <v>9</v>
      </c>
      <c r="F369" t="str">
        <f t="shared" si="31"/>
        <v/>
      </c>
      <c r="G369" t="str">
        <f t="shared" si="32"/>
        <v>n</v>
      </c>
      <c r="H369" t="str">
        <f t="shared" si="30"/>
        <v>None</v>
      </c>
      <c r="I369" t="s">
        <v>171</v>
      </c>
      <c r="J369" t="s">
        <v>171</v>
      </c>
      <c r="M369">
        <v>34917.9</v>
      </c>
      <c r="N369">
        <v>0.03</v>
      </c>
      <c r="O369">
        <v>1612.3</v>
      </c>
      <c r="P369" t="s">
        <v>644</v>
      </c>
      <c r="Q369">
        <v>-0.17199999999999999</v>
      </c>
      <c r="R369">
        <v>67721</v>
      </c>
      <c r="S369">
        <v>-9</v>
      </c>
      <c r="T369" t="s">
        <v>88</v>
      </c>
      <c r="U369" t="s">
        <v>207</v>
      </c>
      <c r="V369" t="s">
        <v>1</v>
      </c>
      <c r="W369" t="s">
        <v>9</v>
      </c>
      <c r="X369" t="s">
        <v>9</v>
      </c>
      <c r="Y369" t="s">
        <v>9</v>
      </c>
      <c r="Z369" t="s">
        <v>9</v>
      </c>
      <c r="AA369" t="s">
        <v>9</v>
      </c>
      <c r="AB369">
        <v>0</v>
      </c>
      <c r="AC369">
        <v>0</v>
      </c>
      <c r="AD369" t="s">
        <v>643</v>
      </c>
      <c r="AE369">
        <v>0</v>
      </c>
      <c r="AF369">
        <v>0</v>
      </c>
      <c r="AG369">
        <v>0</v>
      </c>
      <c r="AH369">
        <v>0</v>
      </c>
      <c r="AI369">
        <v>0</v>
      </c>
      <c r="AL369">
        <v>0</v>
      </c>
      <c r="AM369" t="s">
        <v>642</v>
      </c>
    </row>
    <row r="370" spans="1:47" customFormat="1">
      <c r="A370" s="1">
        <v>358</v>
      </c>
      <c r="B370" t="s">
        <v>640</v>
      </c>
      <c r="C370" t="s">
        <v>1</v>
      </c>
      <c r="D370" t="str">
        <f t="shared" si="35"/>
        <v>-</v>
      </c>
      <c r="E370" t="s">
        <v>9</v>
      </c>
      <c r="F370" t="str">
        <f t="shared" si="31"/>
        <v/>
      </c>
      <c r="G370" t="str">
        <f t="shared" si="32"/>
        <v>n</v>
      </c>
      <c r="H370" t="str">
        <f t="shared" si="30"/>
        <v>None</v>
      </c>
      <c r="I370" t="s">
        <v>85</v>
      </c>
      <c r="J370" t="s">
        <v>84</v>
      </c>
      <c r="M370">
        <v>34870</v>
      </c>
      <c r="N370">
        <v>9.0999999999999998E-2</v>
      </c>
      <c r="O370">
        <v>131.4</v>
      </c>
      <c r="P370" t="s">
        <v>641</v>
      </c>
      <c r="Q370">
        <v>0.158</v>
      </c>
      <c r="R370">
        <v>23194</v>
      </c>
      <c r="S370">
        <v>12</v>
      </c>
      <c r="T370" t="s">
        <v>88</v>
      </c>
      <c r="U370" t="s">
        <v>73</v>
      </c>
      <c r="V370" t="s">
        <v>1</v>
      </c>
      <c r="W370" t="s">
        <v>9</v>
      </c>
      <c r="X370" t="s">
        <v>9</v>
      </c>
      <c r="Y370" t="s">
        <v>9</v>
      </c>
      <c r="Z370" t="s">
        <v>9</v>
      </c>
      <c r="AA370" t="s">
        <v>9</v>
      </c>
      <c r="AB370">
        <v>0</v>
      </c>
      <c r="AC370">
        <v>0</v>
      </c>
      <c r="AD370">
        <v>0</v>
      </c>
      <c r="AE370">
        <v>0</v>
      </c>
      <c r="AF370">
        <v>0</v>
      </c>
      <c r="AG370">
        <v>0</v>
      </c>
      <c r="AH370">
        <v>0</v>
      </c>
      <c r="AI370">
        <v>0</v>
      </c>
      <c r="AL370">
        <v>0</v>
      </c>
      <c r="AM370" t="s">
        <v>640</v>
      </c>
    </row>
    <row r="371" spans="1:47" customFormat="1">
      <c r="A371" s="6">
        <v>359</v>
      </c>
      <c r="B371" t="s">
        <v>638</v>
      </c>
      <c r="C371" t="s">
        <v>1</v>
      </c>
      <c r="D371" t="str">
        <f>IF(G371="n","",MIN(X371,-I371,-N371))</f>
        <v/>
      </c>
      <c r="F371" t="str">
        <f t="shared" si="31"/>
        <v/>
      </c>
      <c r="G371" t="str">
        <f t="shared" si="32"/>
        <v>n</v>
      </c>
      <c r="H371" t="str">
        <f t="shared" si="30"/>
        <v>None</v>
      </c>
      <c r="I371" t="s">
        <v>283</v>
      </c>
      <c r="J371" t="s">
        <v>495</v>
      </c>
      <c r="M371">
        <v>34673</v>
      </c>
      <c r="N371">
        <v>0.08</v>
      </c>
      <c r="O371">
        <v>486.6</v>
      </c>
      <c r="P371" t="s">
        <v>639</v>
      </c>
      <c r="Q371">
        <v>-0.28699999999999998</v>
      </c>
      <c r="R371">
        <v>187959</v>
      </c>
      <c r="S371" t="s">
        <v>64</v>
      </c>
      <c r="T371" t="e">
        <v>#N/A</v>
      </c>
      <c r="U371" t="s">
        <v>73</v>
      </c>
      <c r="V371" t="s">
        <v>1</v>
      </c>
      <c r="W371" t="s">
        <v>9</v>
      </c>
      <c r="X371" t="s">
        <v>9</v>
      </c>
      <c r="Y371" t="s">
        <v>9</v>
      </c>
      <c r="Z371" t="s">
        <v>9</v>
      </c>
      <c r="AM371" t="s">
        <v>638</v>
      </c>
    </row>
    <row r="372" spans="1:47" customFormat="1">
      <c r="A372" s="1">
        <v>360</v>
      </c>
      <c r="B372" t="s">
        <v>634</v>
      </c>
      <c r="C372" t="s">
        <v>1</v>
      </c>
      <c r="D372">
        <f>IF(G372="n","",MIN(X372,AI372,AN372))</f>
        <v>2010</v>
      </c>
      <c r="F372">
        <f t="shared" si="31"/>
        <v>2010</v>
      </c>
      <c r="G372" t="str">
        <f t="shared" si="32"/>
        <v>y</v>
      </c>
      <c r="H372" t="str">
        <f t="shared" si="30"/>
        <v>CN</v>
      </c>
      <c r="I372" t="s">
        <v>76</v>
      </c>
      <c r="J372" t="s">
        <v>80</v>
      </c>
      <c r="M372">
        <v>34284.199999999997</v>
      </c>
      <c r="N372">
        <v>7.4999999999999997E-2</v>
      </c>
      <c r="O372">
        <v>2069.9</v>
      </c>
      <c r="P372" t="s">
        <v>637</v>
      </c>
      <c r="Q372" t="s">
        <v>9</v>
      </c>
      <c r="R372">
        <v>45680</v>
      </c>
      <c r="S372">
        <v>13</v>
      </c>
      <c r="T372" t="s">
        <v>88</v>
      </c>
      <c r="U372" t="s">
        <v>287</v>
      </c>
      <c r="V372" t="s">
        <v>32</v>
      </c>
      <c r="W372" t="s">
        <v>9</v>
      </c>
      <c r="X372">
        <v>2010</v>
      </c>
      <c r="Y372" t="s">
        <v>9</v>
      </c>
      <c r="Z372" t="s">
        <v>9</v>
      </c>
      <c r="AA372" t="s">
        <v>9</v>
      </c>
      <c r="AB372" t="s">
        <v>418</v>
      </c>
      <c r="AC372">
        <v>0</v>
      </c>
      <c r="AD372" t="s">
        <v>636</v>
      </c>
      <c r="AE372" t="s">
        <v>635</v>
      </c>
      <c r="AF372" t="s">
        <v>93</v>
      </c>
      <c r="AG372">
        <v>0</v>
      </c>
      <c r="AH372">
        <v>0</v>
      </c>
      <c r="AL372">
        <v>0</v>
      </c>
      <c r="AM372" t="s">
        <v>634</v>
      </c>
    </row>
    <row r="373" spans="1:47" customFormat="1">
      <c r="A373" s="6">
        <v>361</v>
      </c>
      <c r="B373" t="s">
        <v>632</v>
      </c>
      <c r="C373" t="s">
        <v>1</v>
      </c>
      <c r="D373" t="str">
        <f>IF(G373="n","",MIN(X373,-I373,-N373))</f>
        <v/>
      </c>
      <c r="F373" t="str">
        <f t="shared" si="31"/>
        <v/>
      </c>
      <c r="G373" t="str">
        <f t="shared" si="32"/>
        <v>n</v>
      </c>
      <c r="H373" t="str">
        <f t="shared" si="30"/>
        <v>None</v>
      </c>
      <c r="I373" t="s">
        <v>85</v>
      </c>
      <c r="J373" t="s">
        <v>84</v>
      </c>
      <c r="M373">
        <v>34242.199999999997</v>
      </c>
      <c r="N373">
        <v>0.432</v>
      </c>
      <c r="O373">
        <v>578.6</v>
      </c>
      <c r="P373" t="s">
        <v>633</v>
      </c>
      <c r="Q373">
        <v>0.50700000000000001</v>
      </c>
      <c r="R373">
        <v>56088</v>
      </c>
      <c r="S373" t="s">
        <v>64</v>
      </c>
      <c r="T373" t="e">
        <v>#N/A</v>
      </c>
      <c r="U373" t="s">
        <v>73</v>
      </c>
      <c r="V373" t="s">
        <v>1</v>
      </c>
      <c r="W373" t="s">
        <v>9</v>
      </c>
      <c r="X373" t="s">
        <v>9</v>
      </c>
      <c r="Y373" t="s">
        <v>9</v>
      </c>
      <c r="Z373" t="s">
        <v>9</v>
      </c>
      <c r="AM373" t="s">
        <v>632</v>
      </c>
    </row>
    <row r="374" spans="1:47" customFormat="1">
      <c r="A374" s="1">
        <v>362</v>
      </c>
      <c r="B374" t="s">
        <v>630</v>
      </c>
      <c r="C374" t="s">
        <v>1</v>
      </c>
      <c r="D374" t="str">
        <f>IF(G374="n","-",MIN(X374,AI374,AN374))</f>
        <v>-</v>
      </c>
      <c r="E374" t="s">
        <v>9</v>
      </c>
      <c r="F374" t="str">
        <f t="shared" si="31"/>
        <v/>
      </c>
      <c r="G374" t="str">
        <f t="shared" si="32"/>
        <v>n</v>
      </c>
      <c r="H374" t="str">
        <f t="shared" si="30"/>
        <v>None</v>
      </c>
      <c r="I374" t="s">
        <v>71</v>
      </c>
      <c r="J374" t="s">
        <v>71</v>
      </c>
      <c r="M374">
        <v>34229.199999999997</v>
      </c>
      <c r="N374">
        <v>0.151</v>
      </c>
      <c r="O374">
        <v>170.7</v>
      </c>
      <c r="P374" t="s">
        <v>631</v>
      </c>
      <c r="Q374">
        <v>-0.14000000000000001</v>
      </c>
      <c r="R374">
        <v>124678</v>
      </c>
      <c r="S374">
        <v>33</v>
      </c>
      <c r="T374" t="s">
        <v>350</v>
      </c>
      <c r="U374" t="s">
        <v>73</v>
      </c>
      <c r="V374" t="s">
        <v>1</v>
      </c>
      <c r="W374" t="s">
        <v>9</v>
      </c>
      <c r="X374" t="s">
        <v>9</v>
      </c>
      <c r="Y374" t="s">
        <v>9</v>
      </c>
      <c r="Z374" t="s">
        <v>9</v>
      </c>
      <c r="AA374" t="s">
        <v>9</v>
      </c>
      <c r="AB374">
        <v>0</v>
      </c>
      <c r="AC374">
        <v>0</v>
      </c>
      <c r="AD374">
        <v>0</v>
      </c>
      <c r="AE374">
        <v>0</v>
      </c>
      <c r="AF374">
        <v>0</v>
      </c>
      <c r="AG374">
        <v>0</v>
      </c>
      <c r="AH374">
        <v>0</v>
      </c>
      <c r="AI374">
        <v>0</v>
      </c>
      <c r="AL374">
        <v>0</v>
      </c>
      <c r="AM374" t="s">
        <v>630</v>
      </c>
    </row>
    <row r="375" spans="1:47" customFormat="1">
      <c r="A375" s="1">
        <v>363</v>
      </c>
      <c r="B375" t="s">
        <v>626</v>
      </c>
      <c r="C375" t="s">
        <v>1</v>
      </c>
      <c r="D375">
        <f>IF(G375="n","",MIN(X375,AI375,AN375))</f>
        <v>2017</v>
      </c>
      <c r="F375">
        <f t="shared" si="31"/>
        <v>2017</v>
      </c>
      <c r="G375" t="str">
        <f t="shared" si="32"/>
        <v>y</v>
      </c>
      <c r="H375" t="str">
        <f t="shared" si="30"/>
        <v xml:space="preserve"> SBT</v>
      </c>
      <c r="I375" t="s">
        <v>186</v>
      </c>
      <c r="J375" t="s">
        <v>185</v>
      </c>
      <c r="M375">
        <v>34218.199999999997</v>
      </c>
      <c r="N375">
        <v>6.5000000000000002E-2</v>
      </c>
      <c r="O375">
        <v>12043.9</v>
      </c>
      <c r="P375" t="s">
        <v>629</v>
      </c>
      <c r="Q375">
        <v>6.2E-2</v>
      </c>
      <c r="R375">
        <v>48752</v>
      </c>
      <c r="S375">
        <v>5</v>
      </c>
      <c r="T375" t="s">
        <v>88</v>
      </c>
      <c r="U375" t="s">
        <v>103</v>
      </c>
      <c r="V375" t="s">
        <v>1</v>
      </c>
      <c r="W375" t="s">
        <v>9</v>
      </c>
      <c r="X375" t="s">
        <v>9</v>
      </c>
      <c r="Y375" t="s">
        <v>9</v>
      </c>
      <c r="Z375" t="s">
        <v>9</v>
      </c>
      <c r="AA375" t="s">
        <v>9</v>
      </c>
      <c r="AB375">
        <v>0</v>
      </c>
      <c r="AC375">
        <v>0</v>
      </c>
      <c r="AD375">
        <v>0</v>
      </c>
      <c r="AE375">
        <v>0</v>
      </c>
      <c r="AF375" t="s">
        <v>628</v>
      </c>
      <c r="AG375" t="s">
        <v>165</v>
      </c>
      <c r="AH375" t="s">
        <v>627</v>
      </c>
      <c r="AI375">
        <v>2017</v>
      </c>
      <c r="AL375">
        <v>0</v>
      </c>
      <c r="AM375" t="s">
        <v>626</v>
      </c>
    </row>
    <row r="376" spans="1:47" customFormat="1">
      <c r="A376" s="1">
        <v>364</v>
      </c>
      <c r="B376" t="s">
        <v>624</v>
      </c>
      <c r="C376" t="s">
        <v>1</v>
      </c>
      <c r="D376" t="str">
        <f>IF(G376="n","-",MIN(X376,AI376,AN376))</f>
        <v>-</v>
      </c>
      <c r="E376" t="s">
        <v>9</v>
      </c>
      <c r="F376" t="str">
        <f t="shared" si="31"/>
        <v/>
      </c>
      <c r="G376" t="str">
        <f t="shared" si="32"/>
        <v>n</v>
      </c>
      <c r="H376" t="str">
        <f t="shared" si="30"/>
        <v>None</v>
      </c>
      <c r="I376" t="s">
        <v>135</v>
      </c>
      <c r="J376" t="s">
        <v>135</v>
      </c>
      <c r="M376">
        <v>34176.5</v>
      </c>
      <c r="N376">
        <v>-2.5000000000000001E-2</v>
      </c>
      <c r="O376">
        <v>432.6</v>
      </c>
      <c r="P376" t="s">
        <v>625</v>
      </c>
      <c r="Q376">
        <v>0.16400000000000001</v>
      </c>
      <c r="R376">
        <v>129929</v>
      </c>
      <c r="S376">
        <v>-31</v>
      </c>
      <c r="T376" t="s">
        <v>180</v>
      </c>
      <c r="U376" t="s">
        <v>73</v>
      </c>
      <c r="V376" t="s">
        <v>1</v>
      </c>
      <c r="W376" t="s">
        <v>9</v>
      </c>
      <c r="X376" t="s">
        <v>9</v>
      </c>
      <c r="Y376" t="s">
        <v>9</v>
      </c>
      <c r="Z376" t="s">
        <v>9</v>
      </c>
      <c r="AA376" t="s">
        <v>9</v>
      </c>
      <c r="AB376">
        <v>0</v>
      </c>
      <c r="AC376">
        <v>0</v>
      </c>
      <c r="AD376">
        <v>0</v>
      </c>
      <c r="AE376">
        <v>0</v>
      </c>
      <c r="AF376">
        <v>0</v>
      </c>
      <c r="AG376">
        <v>0</v>
      </c>
      <c r="AH376">
        <v>0</v>
      </c>
      <c r="AI376">
        <v>0</v>
      </c>
      <c r="AL376">
        <v>0</v>
      </c>
      <c r="AM376" t="s">
        <v>624</v>
      </c>
    </row>
    <row r="377" spans="1:47" customFormat="1">
      <c r="A377" s="1">
        <v>365</v>
      </c>
      <c r="B377" t="s">
        <v>621</v>
      </c>
      <c r="C377" t="s">
        <v>1</v>
      </c>
      <c r="D377" t="str">
        <f>IF(G377="n","-",MIN(X377,AI377,AN377))</f>
        <v>-</v>
      </c>
      <c r="E377" t="s">
        <v>9</v>
      </c>
      <c r="F377" t="str">
        <f t="shared" si="31"/>
        <v/>
      </c>
      <c r="G377" t="str">
        <f t="shared" si="32"/>
        <v>n</v>
      </c>
      <c r="H377" t="str">
        <f t="shared" si="30"/>
        <v>None</v>
      </c>
      <c r="I377" t="s">
        <v>186</v>
      </c>
      <c r="J377" t="s">
        <v>380</v>
      </c>
      <c r="M377">
        <v>34102.6</v>
      </c>
      <c r="N377">
        <v>1.6E-2</v>
      </c>
      <c r="O377">
        <v>501.5</v>
      </c>
      <c r="P377" t="s">
        <v>623</v>
      </c>
      <c r="Q377">
        <v>6.2E-2</v>
      </c>
      <c r="R377">
        <v>112421</v>
      </c>
      <c r="S377">
        <v>-11</v>
      </c>
      <c r="T377" t="s">
        <v>88</v>
      </c>
      <c r="U377" t="s">
        <v>103</v>
      </c>
      <c r="V377" t="s">
        <v>622</v>
      </c>
      <c r="W377" t="s">
        <v>9</v>
      </c>
      <c r="X377" t="s">
        <v>9</v>
      </c>
      <c r="Y377" t="s">
        <v>9</v>
      </c>
      <c r="Z377" t="s">
        <v>9</v>
      </c>
      <c r="AA377" t="s">
        <v>9</v>
      </c>
      <c r="AB377">
        <v>0</v>
      </c>
      <c r="AC377">
        <v>0</v>
      </c>
      <c r="AD377">
        <v>0</v>
      </c>
      <c r="AE377">
        <v>0</v>
      </c>
      <c r="AF377">
        <v>0</v>
      </c>
      <c r="AG377">
        <v>0</v>
      </c>
      <c r="AH377">
        <v>0</v>
      </c>
      <c r="AI377">
        <v>0</v>
      </c>
      <c r="AL377">
        <v>0</v>
      </c>
      <c r="AM377" t="s">
        <v>621</v>
      </c>
    </row>
    <row r="378" spans="1:47" customFormat="1">
      <c r="A378" s="1">
        <v>366</v>
      </c>
      <c r="B378" t="s">
        <v>619</v>
      </c>
      <c r="C378" t="s">
        <v>1</v>
      </c>
      <c r="D378" t="str">
        <f>IF(G378="n","-",MIN(X378,AI378,AN378))</f>
        <v>-</v>
      </c>
      <c r="E378" t="s">
        <v>9</v>
      </c>
      <c r="F378" t="str">
        <f t="shared" si="31"/>
        <v/>
      </c>
      <c r="G378" t="str">
        <f t="shared" si="32"/>
        <v>n</v>
      </c>
      <c r="H378" t="str">
        <f t="shared" si="30"/>
        <v>None</v>
      </c>
      <c r="I378" t="s">
        <v>71</v>
      </c>
      <c r="J378" t="s">
        <v>70</v>
      </c>
      <c r="M378">
        <v>34055</v>
      </c>
      <c r="N378">
        <v>0.29899999999999999</v>
      </c>
      <c r="O378">
        <v>334</v>
      </c>
      <c r="P378" t="s">
        <v>620</v>
      </c>
      <c r="Q378" t="s">
        <v>9</v>
      </c>
      <c r="R378">
        <v>4900</v>
      </c>
      <c r="S378">
        <v>86</v>
      </c>
      <c r="T378">
        <v>0</v>
      </c>
      <c r="U378" t="s">
        <v>127</v>
      </c>
      <c r="V378" t="s">
        <v>1</v>
      </c>
      <c r="W378" t="s">
        <v>9</v>
      </c>
      <c r="X378" t="s">
        <v>9</v>
      </c>
      <c r="Y378" t="s">
        <v>9</v>
      </c>
      <c r="Z378" t="s">
        <v>9</v>
      </c>
      <c r="AA378" t="s">
        <v>9</v>
      </c>
      <c r="AB378">
        <v>0</v>
      </c>
      <c r="AC378">
        <v>0</v>
      </c>
      <c r="AD378">
        <v>0</v>
      </c>
      <c r="AE378">
        <v>0</v>
      </c>
      <c r="AF378">
        <v>0</v>
      </c>
      <c r="AG378">
        <v>0</v>
      </c>
      <c r="AH378">
        <v>0</v>
      </c>
      <c r="AI378">
        <v>0</v>
      </c>
      <c r="AL378">
        <v>0</v>
      </c>
      <c r="AM378" t="s">
        <v>619</v>
      </c>
    </row>
    <row r="379" spans="1:47" customFormat="1">
      <c r="A379" s="1">
        <v>367</v>
      </c>
      <c r="B379" t="s">
        <v>617</v>
      </c>
      <c r="C379" t="s">
        <v>1</v>
      </c>
      <c r="D379" t="str">
        <f>IF(G379="n","-",MIN(X379,AI379,AN379))</f>
        <v>-</v>
      </c>
      <c r="E379" t="s">
        <v>9</v>
      </c>
      <c r="F379" t="str">
        <f t="shared" si="31"/>
        <v/>
      </c>
      <c r="G379" t="str">
        <f t="shared" si="32"/>
        <v>n</v>
      </c>
      <c r="H379" t="str">
        <f t="shared" si="30"/>
        <v>None</v>
      </c>
      <c r="I379" t="s">
        <v>101</v>
      </c>
      <c r="J379" t="s">
        <v>101</v>
      </c>
      <c r="M379">
        <v>33895.800000000003</v>
      </c>
      <c r="N379">
        <v>-0.24299999999999999</v>
      </c>
      <c r="O379">
        <v>268.10000000000002</v>
      </c>
      <c r="P379" t="s">
        <v>618</v>
      </c>
      <c r="Q379">
        <v>-0.63700000000000001</v>
      </c>
      <c r="R379">
        <v>198932</v>
      </c>
      <c r="S379">
        <v>-125</v>
      </c>
      <c r="T379" t="s">
        <v>180</v>
      </c>
      <c r="U379" t="s">
        <v>73</v>
      </c>
      <c r="V379" t="s">
        <v>1</v>
      </c>
      <c r="W379" t="s">
        <v>9</v>
      </c>
      <c r="X379" t="s">
        <v>9</v>
      </c>
      <c r="Y379" t="s">
        <v>9</v>
      </c>
      <c r="Z379" t="s">
        <v>9</v>
      </c>
      <c r="AA379" t="s">
        <v>9</v>
      </c>
      <c r="AB379">
        <v>0</v>
      </c>
      <c r="AC379">
        <v>0</v>
      </c>
      <c r="AD379">
        <v>0</v>
      </c>
      <c r="AE379">
        <v>0</v>
      </c>
      <c r="AF379">
        <v>0</v>
      </c>
      <c r="AG379">
        <v>0</v>
      </c>
      <c r="AH379">
        <v>0</v>
      </c>
      <c r="AI379">
        <v>0</v>
      </c>
      <c r="AL379">
        <v>0</v>
      </c>
      <c r="AM379" t="s">
        <v>617</v>
      </c>
    </row>
    <row r="380" spans="1:47" customFormat="1">
      <c r="A380" s="1">
        <v>368</v>
      </c>
      <c r="B380" t="s">
        <v>615</v>
      </c>
      <c r="C380" t="s">
        <v>1</v>
      </c>
      <c r="D380" t="str">
        <f>IF(G380="n","-",MIN(X380,AI380,AN380))</f>
        <v>-</v>
      </c>
      <c r="E380" t="s">
        <v>9</v>
      </c>
      <c r="F380" t="str">
        <f t="shared" si="31"/>
        <v/>
      </c>
      <c r="G380" t="str">
        <f t="shared" si="32"/>
        <v>n</v>
      </c>
      <c r="H380" t="str">
        <f t="shared" si="30"/>
        <v>None</v>
      </c>
      <c r="I380" t="s">
        <v>76</v>
      </c>
      <c r="J380" t="s">
        <v>112</v>
      </c>
      <c r="M380">
        <v>33394.800000000003</v>
      </c>
      <c r="N380">
        <v>0.30399999999999999</v>
      </c>
      <c r="O380">
        <v>613.6</v>
      </c>
      <c r="P380" t="s">
        <v>616</v>
      </c>
      <c r="Q380">
        <v>0.35599999999999998</v>
      </c>
      <c r="R380">
        <v>21849</v>
      </c>
      <c r="S380">
        <v>96</v>
      </c>
      <c r="T380">
        <v>0</v>
      </c>
      <c r="U380" t="s">
        <v>73</v>
      </c>
      <c r="V380" t="s">
        <v>1</v>
      </c>
      <c r="W380" t="s">
        <v>9</v>
      </c>
      <c r="X380" t="s">
        <v>9</v>
      </c>
      <c r="Y380" t="s">
        <v>9</v>
      </c>
      <c r="Z380" t="s">
        <v>9</v>
      </c>
      <c r="AA380" t="s">
        <v>9</v>
      </c>
      <c r="AB380">
        <v>0</v>
      </c>
      <c r="AC380">
        <v>0</v>
      </c>
      <c r="AD380">
        <v>0</v>
      </c>
      <c r="AE380">
        <v>0</v>
      </c>
      <c r="AF380">
        <v>0</v>
      </c>
      <c r="AG380">
        <v>0</v>
      </c>
      <c r="AH380">
        <v>0</v>
      </c>
      <c r="AI380">
        <v>0</v>
      </c>
      <c r="AL380">
        <v>0</v>
      </c>
      <c r="AM380" t="s">
        <v>615</v>
      </c>
    </row>
    <row r="381" spans="1:47" customFormat="1">
      <c r="A381" s="6">
        <v>369</v>
      </c>
      <c r="B381" t="s">
        <v>613</v>
      </c>
      <c r="C381" t="s">
        <v>1</v>
      </c>
      <c r="D381" t="str">
        <f>IF(G381="n","",MIN(X381,-I381,-N381))</f>
        <v/>
      </c>
      <c r="F381" t="str">
        <f t="shared" si="31"/>
        <v/>
      </c>
      <c r="G381" t="str">
        <f t="shared" si="32"/>
        <v>n</v>
      </c>
      <c r="H381" t="str">
        <f t="shared" si="30"/>
        <v>None</v>
      </c>
      <c r="I381" t="s">
        <v>85</v>
      </c>
      <c r="J381" t="s">
        <v>84</v>
      </c>
      <c r="M381">
        <v>33391.599999999999</v>
      </c>
      <c r="N381">
        <v>0.04</v>
      </c>
      <c r="O381">
        <v>234</v>
      </c>
      <c r="P381" t="s">
        <v>614</v>
      </c>
      <c r="Q381">
        <v>0.9</v>
      </c>
      <c r="R381">
        <v>27594</v>
      </c>
      <c r="S381" t="s">
        <v>64</v>
      </c>
      <c r="T381" t="e">
        <v>#N/A</v>
      </c>
      <c r="U381" t="s">
        <v>73</v>
      </c>
      <c r="V381" t="s">
        <v>1</v>
      </c>
      <c r="W381" t="s">
        <v>9</v>
      </c>
      <c r="X381" t="s">
        <v>9</v>
      </c>
      <c r="Y381" t="s">
        <v>9</v>
      </c>
      <c r="Z381" t="s">
        <v>9</v>
      </c>
      <c r="AM381" t="s">
        <v>613</v>
      </c>
    </row>
    <row r="382" spans="1:47" customFormat="1">
      <c r="A382" s="1">
        <v>370</v>
      </c>
      <c r="B382" t="s">
        <v>611</v>
      </c>
      <c r="C382" t="s">
        <v>1</v>
      </c>
      <c r="D382" t="str">
        <f>IF(G382="n","-",MIN(X382,AI382,AN382))</f>
        <v>-</v>
      </c>
      <c r="E382" t="s">
        <v>9</v>
      </c>
      <c r="F382" t="str">
        <f t="shared" si="31"/>
        <v/>
      </c>
      <c r="G382" t="str">
        <f t="shared" si="32"/>
        <v>n</v>
      </c>
      <c r="H382" t="str">
        <f t="shared" si="30"/>
        <v>None</v>
      </c>
      <c r="I382" t="s">
        <v>101</v>
      </c>
      <c r="J382" t="s">
        <v>101</v>
      </c>
      <c r="M382">
        <v>33323.800000000003</v>
      </c>
      <c r="N382">
        <v>0.104</v>
      </c>
      <c r="O382">
        <v>1755.2</v>
      </c>
      <c r="P382" t="s">
        <v>612</v>
      </c>
      <c r="Q382">
        <v>-1.0999999999999999E-2</v>
      </c>
      <c r="R382">
        <v>179636</v>
      </c>
      <c r="S382">
        <v>18</v>
      </c>
      <c r="T382" t="s">
        <v>180</v>
      </c>
      <c r="U382" t="s">
        <v>73</v>
      </c>
      <c r="V382" t="s">
        <v>1</v>
      </c>
      <c r="W382" t="s">
        <v>9</v>
      </c>
      <c r="X382" t="s">
        <v>9</v>
      </c>
      <c r="Y382" t="s">
        <v>9</v>
      </c>
      <c r="Z382" t="s">
        <v>9</v>
      </c>
      <c r="AA382" t="s">
        <v>9</v>
      </c>
      <c r="AB382">
        <v>0</v>
      </c>
      <c r="AC382">
        <v>0</v>
      </c>
      <c r="AD382">
        <v>0</v>
      </c>
      <c r="AE382">
        <v>0</v>
      </c>
      <c r="AF382">
        <v>0</v>
      </c>
      <c r="AG382">
        <v>0</v>
      </c>
      <c r="AH382">
        <v>0</v>
      </c>
      <c r="AI382">
        <v>0</v>
      </c>
      <c r="AL382">
        <v>0</v>
      </c>
      <c r="AM382" t="s">
        <v>611</v>
      </c>
    </row>
    <row r="383" spans="1:47" customFormat="1">
      <c r="A383" s="1">
        <v>371</v>
      </c>
      <c r="B383" t="s">
        <v>606</v>
      </c>
      <c r="C383" t="s">
        <v>1</v>
      </c>
      <c r="D383" t="str">
        <f>IF(G383="n","-",MIN(X383,AI383,AN383))</f>
        <v>-</v>
      </c>
      <c r="E383" t="s">
        <v>9</v>
      </c>
      <c r="F383" t="str">
        <f t="shared" si="31"/>
        <v/>
      </c>
      <c r="G383" t="str">
        <f t="shared" si="32"/>
        <v>n</v>
      </c>
      <c r="H383" t="str">
        <f t="shared" si="30"/>
        <v>None</v>
      </c>
      <c r="I383" t="s">
        <v>186</v>
      </c>
      <c r="J383" t="s">
        <v>282</v>
      </c>
      <c r="M383">
        <v>33312.800000000003</v>
      </c>
      <c r="N383">
        <v>-6.5000000000000002E-2</v>
      </c>
      <c r="O383">
        <v>9138.7999999999993</v>
      </c>
      <c r="P383" t="s">
        <v>610</v>
      </c>
      <c r="Q383">
        <v>0.25900000000000001</v>
      </c>
      <c r="R383">
        <v>128697</v>
      </c>
      <c r="S383">
        <v>-45</v>
      </c>
      <c r="T383" t="s">
        <v>88</v>
      </c>
      <c r="U383" t="s">
        <v>207</v>
      </c>
      <c r="V383" t="s">
        <v>1</v>
      </c>
      <c r="W383" t="s">
        <v>9</v>
      </c>
      <c r="X383" t="s">
        <v>9</v>
      </c>
      <c r="Y383" t="s">
        <v>9</v>
      </c>
      <c r="Z383" t="s">
        <v>9</v>
      </c>
      <c r="AB383" t="s">
        <v>609</v>
      </c>
      <c r="AC383">
        <v>0</v>
      </c>
      <c r="AD383" t="s">
        <v>608</v>
      </c>
      <c r="AE383" t="s">
        <v>607</v>
      </c>
      <c r="AF383">
        <v>0</v>
      </c>
      <c r="AG383">
        <v>0</v>
      </c>
      <c r="AH383">
        <v>0</v>
      </c>
      <c r="AI383">
        <v>0</v>
      </c>
      <c r="AL383">
        <v>0</v>
      </c>
      <c r="AM383" t="s">
        <v>606</v>
      </c>
    </row>
    <row r="384" spans="1:47" customFormat="1">
      <c r="A384" s="1">
        <v>372</v>
      </c>
      <c r="B384" t="s">
        <v>605</v>
      </c>
      <c r="C384" t="s">
        <v>1</v>
      </c>
      <c r="D384">
        <f>IF(G384="n","",MIN(X384,AI384,AN384))</f>
        <v>2018</v>
      </c>
      <c r="F384">
        <f t="shared" si="31"/>
        <v>2018</v>
      </c>
      <c r="G384" t="str">
        <f t="shared" si="32"/>
        <v>y</v>
      </c>
      <c r="H384" t="str">
        <f t="shared" si="30"/>
        <v>RE100</v>
      </c>
      <c r="I384" t="s">
        <v>76</v>
      </c>
      <c r="J384" t="s">
        <v>199</v>
      </c>
      <c r="M384">
        <v>33252.6</v>
      </c>
      <c r="N384">
        <v>-0.70199999999999996</v>
      </c>
      <c r="O384">
        <v>4014.7</v>
      </c>
      <c r="P384" t="s">
        <v>604</v>
      </c>
      <c r="Q384">
        <v>0.30499999999999999</v>
      </c>
      <c r="R384">
        <v>23792</v>
      </c>
      <c r="S384">
        <v>-322</v>
      </c>
      <c r="T384" t="s">
        <v>88</v>
      </c>
      <c r="U384" t="s">
        <v>275</v>
      </c>
      <c r="V384" t="s">
        <v>1</v>
      </c>
      <c r="W384" t="s">
        <v>9</v>
      </c>
      <c r="X384" t="s">
        <v>9</v>
      </c>
      <c r="Y384" t="s">
        <v>9</v>
      </c>
      <c r="Z384" t="s">
        <v>9</v>
      </c>
      <c r="AA384" t="s">
        <v>9</v>
      </c>
      <c r="AB384">
        <v>0</v>
      </c>
      <c r="AC384">
        <v>0</v>
      </c>
      <c r="AD384">
        <v>0</v>
      </c>
      <c r="AE384">
        <v>0</v>
      </c>
      <c r="AF384">
        <v>0</v>
      </c>
      <c r="AG384">
        <v>0</v>
      </c>
      <c r="AH384">
        <v>0</v>
      </c>
      <c r="AL384">
        <v>0</v>
      </c>
      <c r="AM384" t="s">
        <v>603</v>
      </c>
      <c r="AN384">
        <v>2018</v>
      </c>
      <c r="AO384">
        <v>2025</v>
      </c>
      <c r="AP384" t="s">
        <v>13</v>
      </c>
      <c r="AQ384">
        <v>0.3</v>
      </c>
      <c r="AR384" t="s">
        <v>13</v>
      </c>
      <c r="AS384" t="s">
        <v>13</v>
      </c>
      <c r="AT384" t="s">
        <v>13</v>
      </c>
      <c r="AU384" t="s">
        <v>602</v>
      </c>
    </row>
    <row r="385" spans="1:47" customFormat="1">
      <c r="A385" s="1">
        <v>373</v>
      </c>
      <c r="B385" t="s">
        <v>600</v>
      </c>
      <c r="C385" t="s">
        <v>1</v>
      </c>
      <c r="D385">
        <f>IF(G385="n","",MIN(X385,AI385,AN385))</f>
        <v>2018</v>
      </c>
      <c r="F385">
        <f t="shared" si="31"/>
        <v>2018</v>
      </c>
      <c r="G385" t="str">
        <f t="shared" si="32"/>
        <v>y</v>
      </c>
      <c r="H385" t="str">
        <f t="shared" si="30"/>
        <v>RE100</v>
      </c>
      <c r="I385" t="s">
        <v>76</v>
      </c>
      <c r="J385" t="s">
        <v>80</v>
      </c>
      <c r="M385">
        <v>33186.300000000003</v>
      </c>
      <c r="N385">
        <v>-2.1000000000000001E-2</v>
      </c>
      <c r="O385">
        <v>7228</v>
      </c>
      <c r="P385" t="s">
        <v>601</v>
      </c>
      <c r="Q385">
        <v>-3.4000000000000002E-2</v>
      </c>
      <c r="R385">
        <v>45753</v>
      </c>
      <c r="S385">
        <v>-24</v>
      </c>
      <c r="T385" t="s">
        <v>88</v>
      </c>
      <c r="U385" t="s">
        <v>161</v>
      </c>
      <c r="V385" t="s">
        <v>1</v>
      </c>
      <c r="W385" t="s">
        <v>9</v>
      </c>
      <c r="X385" t="s">
        <v>9</v>
      </c>
      <c r="Y385" t="s">
        <v>9</v>
      </c>
      <c r="Z385" t="s">
        <v>9</v>
      </c>
      <c r="AA385" t="s">
        <v>9</v>
      </c>
      <c r="AB385">
        <v>0</v>
      </c>
      <c r="AC385">
        <v>0</v>
      </c>
      <c r="AD385">
        <v>0</v>
      </c>
      <c r="AE385">
        <v>0</v>
      </c>
      <c r="AF385">
        <v>0</v>
      </c>
      <c r="AG385">
        <v>0</v>
      </c>
      <c r="AH385">
        <v>0</v>
      </c>
      <c r="AL385">
        <v>0</v>
      </c>
      <c r="AM385" t="s">
        <v>600</v>
      </c>
      <c r="AN385">
        <v>2018</v>
      </c>
      <c r="AO385">
        <v>2030</v>
      </c>
      <c r="AP385" t="s">
        <v>599</v>
      </c>
      <c r="AQ385">
        <v>0</v>
      </c>
      <c r="AR385" t="s">
        <v>13</v>
      </c>
      <c r="AS385" t="s">
        <v>13</v>
      </c>
      <c r="AT385" t="s">
        <v>13</v>
      </c>
      <c r="AU385" t="s">
        <v>598</v>
      </c>
    </row>
    <row r="386" spans="1:47" customFormat="1">
      <c r="A386" s="1">
        <v>374</v>
      </c>
      <c r="B386" t="s">
        <v>591</v>
      </c>
      <c r="C386" t="s">
        <v>1</v>
      </c>
      <c r="D386">
        <f>IF(G386="n","",MIN(X386,AI386,AN386))</f>
        <v>2017</v>
      </c>
      <c r="F386">
        <f t="shared" si="31"/>
        <v>2017</v>
      </c>
      <c r="G386" t="str">
        <f t="shared" si="32"/>
        <v>y</v>
      </c>
      <c r="H386" t="str">
        <f t="shared" ref="H386:H449" si="36">IF((OR(V386="Carbon Neutral",V386="No - but have a post-2030 commitment")),           IF((OR(AG386="Committed",AG386="Targets Set")),                    IF(AN386&gt;1, "CN, SBT &amp; RE100", "CN &amp; SBT"),                   IF(AN386&gt;1, "CN &amp; RE100", "CN")      ),                                                                                             IF((OR(AG386="Committed",AG386="Targets Set")),                IF(AN386&gt;1, "SBT &amp; RE100", " SBT"),                                 IF(AN386&gt;1, "RE100", "None")           )                         )</f>
        <v xml:space="preserve"> SBT</v>
      </c>
      <c r="I386" t="s">
        <v>171</v>
      </c>
      <c r="J386" t="s">
        <v>171</v>
      </c>
      <c r="M386">
        <v>33062.9</v>
      </c>
      <c r="N386">
        <v>1.7000000000000001E-2</v>
      </c>
      <c r="O386">
        <v>2641.7</v>
      </c>
      <c r="P386" t="s">
        <v>597</v>
      </c>
      <c r="Q386">
        <v>2.7E-2</v>
      </c>
      <c r="R386">
        <v>143509</v>
      </c>
      <c r="S386">
        <v>-9</v>
      </c>
      <c r="T386" t="s">
        <v>88</v>
      </c>
      <c r="U386" t="s">
        <v>207</v>
      </c>
      <c r="V386" t="s">
        <v>1</v>
      </c>
      <c r="W386" t="s">
        <v>596</v>
      </c>
      <c r="X386" t="s">
        <v>9</v>
      </c>
      <c r="Y386">
        <v>2017</v>
      </c>
      <c r="Z386">
        <v>2005</v>
      </c>
      <c r="AA386">
        <v>2020</v>
      </c>
      <c r="AB386" t="s">
        <v>595</v>
      </c>
      <c r="AC386">
        <v>0</v>
      </c>
      <c r="AD386">
        <v>0</v>
      </c>
      <c r="AE386" t="s">
        <v>594</v>
      </c>
      <c r="AF386" t="s">
        <v>593</v>
      </c>
      <c r="AG386" t="s">
        <v>165</v>
      </c>
      <c r="AH386" t="s">
        <v>592</v>
      </c>
      <c r="AI386">
        <v>2017</v>
      </c>
      <c r="AL386">
        <v>0</v>
      </c>
      <c r="AM386" t="s">
        <v>591</v>
      </c>
    </row>
    <row r="387" spans="1:47" customFormat="1">
      <c r="A387" s="1">
        <v>375</v>
      </c>
      <c r="B387" t="s">
        <v>589</v>
      </c>
      <c r="C387" t="s">
        <v>1</v>
      </c>
      <c r="D387" t="str">
        <f>IF(G387="n","-",MIN(X387,AI387,AN387))</f>
        <v>-</v>
      </c>
      <c r="E387" t="s">
        <v>9</v>
      </c>
      <c r="F387" t="str">
        <f t="shared" si="31"/>
        <v/>
      </c>
      <c r="G387" t="str">
        <f t="shared" si="32"/>
        <v>n</v>
      </c>
      <c r="H387" t="str">
        <f t="shared" si="36"/>
        <v>None</v>
      </c>
      <c r="I387" t="s">
        <v>186</v>
      </c>
      <c r="J387" t="s">
        <v>282</v>
      </c>
      <c r="M387">
        <v>33055.699999999997</v>
      </c>
      <c r="N387">
        <v>3.3000000000000002E-2</v>
      </c>
      <c r="O387">
        <v>350.3</v>
      </c>
      <c r="P387" t="s">
        <v>590</v>
      </c>
      <c r="Q387">
        <v>1.1000000000000001</v>
      </c>
      <c r="R387">
        <v>135297</v>
      </c>
      <c r="S387">
        <v>-6</v>
      </c>
      <c r="T387" t="s">
        <v>180</v>
      </c>
      <c r="U387" t="s">
        <v>73</v>
      </c>
      <c r="V387" t="s">
        <v>1</v>
      </c>
      <c r="W387" t="s">
        <v>9</v>
      </c>
      <c r="X387" t="s">
        <v>9</v>
      </c>
      <c r="Y387" t="s">
        <v>9</v>
      </c>
      <c r="Z387" t="s">
        <v>9</v>
      </c>
      <c r="AA387" t="s">
        <v>9</v>
      </c>
      <c r="AB387">
        <v>0</v>
      </c>
      <c r="AC387">
        <v>0</v>
      </c>
      <c r="AD387">
        <v>0</v>
      </c>
      <c r="AE387">
        <v>0</v>
      </c>
      <c r="AF387">
        <v>0</v>
      </c>
      <c r="AG387">
        <v>0</v>
      </c>
      <c r="AH387">
        <v>0</v>
      </c>
      <c r="AI387">
        <v>0</v>
      </c>
      <c r="AL387">
        <v>0</v>
      </c>
      <c r="AM387" t="s">
        <v>589</v>
      </c>
    </row>
    <row r="388" spans="1:47" customFormat="1">
      <c r="A388" s="1">
        <v>376</v>
      </c>
      <c r="B388" t="s">
        <v>587</v>
      </c>
      <c r="C388" t="s">
        <v>1</v>
      </c>
      <c r="D388" t="str">
        <f>IF(G388="n","-",MIN(X388,AI388,AN388))</f>
        <v>-</v>
      </c>
      <c r="E388" t="s">
        <v>9</v>
      </c>
      <c r="F388" t="str">
        <f t="shared" si="31"/>
        <v/>
      </c>
      <c r="G388" t="str">
        <f t="shared" si="32"/>
        <v>n</v>
      </c>
      <c r="H388" t="str">
        <f t="shared" si="36"/>
        <v>None</v>
      </c>
      <c r="I388" t="s">
        <v>71</v>
      </c>
      <c r="J388" t="s">
        <v>105</v>
      </c>
      <c r="M388">
        <v>33052.699999999997</v>
      </c>
      <c r="N388">
        <v>0.23200000000000001</v>
      </c>
      <c r="O388">
        <v>639.5</v>
      </c>
      <c r="P388" t="s">
        <v>588</v>
      </c>
      <c r="Q388">
        <v>-0.497</v>
      </c>
      <c r="R388">
        <v>3212</v>
      </c>
      <c r="S388">
        <v>62</v>
      </c>
      <c r="T388">
        <v>0</v>
      </c>
      <c r="U388" t="s">
        <v>114</v>
      </c>
      <c r="V388" t="s">
        <v>1</v>
      </c>
      <c r="W388" t="s">
        <v>9</v>
      </c>
      <c r="X388" t="s">
        <v>9</v>
      </c>
      <c r="Y388" t="s">
        <v>9</v>
      </c>
      <c r="Z388" t="s">
        <v>9</v>
      </c>
      <c r="AA388" t="s">
        <v>9</v>
      </c>
      <c r="AB388">
        <v>0</v>
      </c>
      <c r="AC388">
        <v>0</v>
      </c>
      <c r="AD388">
        <v>0</v>
      </c>
      <c r="AE388">
        <v>0</v>
      </c>
      <c r="AF388">
        <v>0</v>
      </c>
      <c r="AG388">
        <v>0</v>
      </c>
      <c r="AH388">
        <v>0</v>
      </c>
      <c r="AI388">
        <v>0</v>
      </c>
      <c r="AL388">
        <v>0</v>
      </c>
      <c r="AM388" t="s">
        <v>587</v>
      </c>
    </row>
    <row r="389" spans="1:47" customFormat="1">
      <c r="A389" s="1">
        <v>377</v>
      </c>
      <c r="B389" t="s">
        <v>584</v>
      </c>
      <c r="C389" t="s">
        <v>1</v>
      </c>
      <c r="D389">
        <f>IF(G389="n","",MIN(X389,AI389,AN389))</f>
        <v>2018</v>
      </c>
      <c r="F389">
        <f t="shared" si="31"/>
        <v>2018</v>
      </c>
      <c r="G389" t="str">
        <f t="shared" si="32"/>
        <v>y</v>
      </c>
      <c r="H389" t="str">
        <f t="shared" si="36"/>
        <v xml:space="preserve"> SBT</v>
      </c>
      <c r="I389" t="s">
        <v>76</v>
      </c>
      <c r="J389" t="s">
        <v>528</v>
      </c>
      <c r="M389">
        <v>32857.4</v>
      </c>
      <c r="N389">
        <v>-3.4000000000000002E-2</v>
      </c>
      <c r="O389">
        <v>1322.5</v>
      </c>
      <c r="P389" t="s">
        <v>586</v>
      </c>
      <c r="Q389">
        <v>4.8000000000000001E-2</v>
      </c>
      <c r="R389">
        <v>49837</v>
      </c>
      <c r="S389">
        <v>-30</v>
      </c>
      <c r="T389" t="s">
        <v>88</v>
      </c>
      <c r="U389" t="s">
        <v>207</v>
      </c>
      <c r="V389" t="s">
        <v>1</v>
      </c>
      <c r="W389" t="s">
        <v>9</v>
      </c>
      <c r="X389" t="s">
        <v>9</v>
      </c>
      <c r="Y389" t="s">
        <v>9</v>
      </c>
      <c r="Z389" t="s">
        <v>9</v>
      </c>
      <c r="AA389" t="s">
        <v>9</v>
      </c>
      <c r="AB389">
        <v>0</v>
      </c>
      <c r="AC389">
        <v>0</v>
      </c>
      <c r="AD389">
        <v>0</v>
      </c>
      <c r="AE389">
        <v>0</v>
      </c>
      <c r="AF389" t="s">
        <v>93</v>
      </c>
      <c r="AG389" t="s">
        <v>165</v>
      </c>
      <c r="AH389" t="s">
        <v>585</v>
      </c>
      <c r="AI389">
        <v>2018</v>
      </c>
      <c r="AL389">
        <v>0</v>
      </c>
      <c r="AM389" t="s">
        <v>584</v>
      </c>
    </row>
    <row r="390" spans="1:47" customFormat="1">
      <c r="A390" s="1">
        <v>378</v>
      </c>
      <c r="B390" t="s">
        <v>582</v>
      </c>
      <c r="C390" t="s">
        <v>1</v>
      </c>
      <c r="D390" t="str">
        <f t="shared" ref="D390:D396" si="37">IF(G390="n","-",MIN(X390,AI390,AN390))</f>
        <v>-</v>
      </c>
      <c r="E390" t="s">
        <v>9</v>
      </c>
      <c r="F390" t="str">
        <f t="shared" si="31"/>
        <v/>
      </c>
      <c r="G390" t="str">
        <f t="shared" si="32"/>
        <v>n</v>
      </c>
      <c r="H390" t="str">
        <f t="shared" si="36"/>
        <v>None</v>
      </c>
      <c r="I390" t="s">
        <v>76</v>
      </c>
      <c r="J390" t="s">
        <v>98</v>
      </c>
      <c r="M390">
        <v>32825</v>
      </c>
      <c r="N390">
        <v>-2.9000000000000001E-2</v>
      </c>
      <c r="O390">
        <v>435.3</v>
      </c>
      <c r="P390" t="s">
        <v>583</v>
      </c>
      <c r="Q390">
        <v>-0.309</v>
      </c>
      <c r="R390">
        <v>42848</v>
      </c>
      <c r="S390">
        <v>-28</v>
      </c>
      <c r="T390" t="s">
        <v>350</v>
      </c>
      <c r="U390" t="s">
        <v>207</v>
      </c>
      <c r="V390" t="s">
        <v>1</v>
      </c>
      <c r="W390" t="s">
        <v>9</v>
      </c>
      <c r="X390" t="s">
        <v>9</v>
      </c>
      <c r="Y390" t="s">
        <v>9</v>
      </c>
      <c r="Z390" t="s">
        <v>9</v>
      </c>
      <c r="AA390" t="s">
        <v>9</v>
      </c>
      <c r="AB390">
        <v>0</v>
      </c>
      <c r="AC390">
        <v>0</v>
      </c>
      <c r="AD390">
        <v>0</v>
      </c>
      <c r="AE390">
        <v>0</v>
      </c>
      <c r="AF390">
        <v>0</v>
      </c>
      <c r="AG390">
        <v>0</v>
      </c>
      <c r="AH390">
        <v>0</v>
      </c>
      <c r="AI390">
        <v>0</v>
      </c>
      <c r="AL390">
        <v>0</v>
      </c>
      <c r="AM390" t="s">
        <v>582</v>
      </c>
    </row>
    <row r="391" spans="1:47" customFormat="1">
      <c r="A391" s="1">
        <v>379</v>
      </c>
      <c r="B391" t="s">
        <v>579</v>
      </c>
      <c r="C391" t="s">
        <v>1</v>
      </c>
      <c r="D391" t="str">
        <f t="shared" si="37"/>
        <v>-</v>
      </c>
      <c r="E391" t="s">
        <v>9</v>
      </c>
      <c r="F391" t="str">
        <f t="shared" si="31"/>
        <v/>
      </c>
      <c r="G391" t="str">
        <f t="shared" si="32"/>
        <v>n</v>
      </c>
      <c r="H391" t="str">
        <f t="shared" si="36"/>
        <v>None</v>
      </c>
      <c r="I391" t="s">
        <v>71</v>
      </c>
      <c r="J391" t="s">
        <v>581</v>
      </c>
      <c r="M391">
        <v>32815</v>
      </c>
      <c r="N391">
        <v>7.8E-2</v>
      </c>
      <c r="O391">
        <v>2138</v>
      </c>
      <c r="P391" t="s">
        <v>580</v>
      </c>
      <c r="Q391" t="s">
        <v>9</v>
      </c>
      <c r="R391">
        <v>100000</v>
      </c>
      <c r="S391">
        <v>7</v>
      </c>
      <c r="T391" t="s">
        <v>88</v>
      </c>
      <c r="U391" t="s">
        <v>127</v>
      </c>
      <c r="V391" t="s">
        <v>1</v>
      </c>
      <c r="W391" t="s">
        <v>9</v>
      </c>
      <c r="X391" t="s">
        <v>9</v>
      </c>
      <c r="Y391" t="s">
        <v>9</v>
      </c>
      <c r="Z391" t="s">
        <v>9</v>
      </c>
      <c r="AA391" t="s">
        <v>9</v>
      </c>
      <c r="AB391">
        <v>0</v>
      </c>
      <c r="AC391">
        <v>0</v>
      </c>
      <c r="AD391">
        <v>0</v>
      </c>
      <c r="AE391">
        <v>0</v>
      </c>
      <c r="AF391">
        <v>0</v>
      </c>
      <c r="AG391">
        <v>0</v>
      </c>
      <c r="AH391">
        <v>0</v>
      </c>
      <c r="AI391">
        <v>0</v>
      </c>
      <c r="AL391">
        <v>0</v>
      </c>
      <c r="AM391" t="s">
        <v>579</v>
      </c>
    </row>
    <row r="392" spans="1:47" customFormat="1">
      <c r="A392" s="1">
        <v>380</v>
      </c>
      <c r="B392" t="s">
        <v>574</v>
      </c>
      <c r="C392" t="s">
        <v>1</v>
      </c>
      <c r="D392" t="str">
        <f t="shared" si="37"/>
        <v>-</v>
      </c>
      <c r="E392" t="s">
        <v>9</v>
      </c>
      <c r="F392" t="str">
        <f t="shared" si="31"/>
        <v/>
      </c>
      <c r="G392" t="str">
        <f t="shared" si="32"/>
        <v>n</v>
      </c>
      <c r="H392" t="str">
        <f t="shared" si="36"/>
        <v>None</v>
      </c>
      <c r="I392" t="s">
        <v>283</v>
      </c>
      <c r="J392" t="s">
        <v>578</v>
      </c>
      <c r="M392">
        <v>32765</v>
      </c>
      <c r="N392">
        <v>3.5000000000000003E-2</v>
      </c>
      <c r="O392">
        <v>5349</v>
      </c>
      <c r="P392" t="s">
        <v>577</v>
      </c>
      <c r="Q392">
        <v>0.10100000000000001</v>
      </c>
      <c r="R392">
        <v>93516</v>
      </c>
      <c r="S392">
        <v>-4</v>
      </c>
      <c r="T392" t="s">
        <v>88</v>
      </c>
      <c r="U392" t="s">
        <v>127</v>
      </c>
      <c r="V392" t="s">
        <v>1</v>
      </c>
      <c r="W392" t="s">
        <v>9</v>
      </c>
      <c r="X392" t="s">
        <v>9</v>
      </c>
      <c r="Y392" t="s">
        <v>9</v>
      </c>
      <c r="Z392" t="s">
        <v>9</v>
      </c>
      <c r="AA392" t="s">
        <v>9</v>
      </c>
      <c r="AB392">
        <v>0</v>
      </c>
      <c r="AC392">
        <v>0</v>
      </c>
      <c r="AD392" t="s">
        <v>576</v>
      </c>
      <c r="AE392" t="s">
        <v>575</v>
      </c>
      <c r="AF392">
        <v>0</v>
      </c>
      <c r="AG392">
        <v>0</v>
      </c>
      <c r="AH392">
        <v>0</v>
      </c>
      <c r="AI392">
        <v>0</v>
      </c>
      <c r="AL392">
        <v>0</v>
      </c>
      <c r="AM392" t="s">
        <v>574</v>
      </c>
    </row>
    <row r="393" spans="1:47" customFormat="1">
      <c r="A393" s="1">
        <v>381</v>
      </c>
      <c r="B393" t="s">
        <v>566</v>
      </c>
      <c r="C393" t="s">
        <v>1</v>
      </c>
      <c r="D393" t="str">
        <f t="shared" si="37"/>
        <v>-</v>
      </c>
      <c r="E393" t="s">
        <v>9</v>
      </c>
      <c r="F393" t="str">
        <f t="shared" si="31"/>
        <v/>
      </c>
      <c r="G393" t="str">
        <f t="shared" si="32"/>
        <v>n</v>
      </c>
      <c r="H393" t="str">
        <f t="shared" si="36"/>
        <v>None</v>
      </c>
      <c r="I393" t="s">
        <v>319</v>
      </c>
      <c r="J393" t="s">
        <v>573</v>
      </c>
      <c r="M393">
        <v>32753</v>
      </c>
      <c r="N393">
        <v>0.161</v>
      </c>
      <c r="O393">
        <v>5687</v>
      </c>
      <c r="P393" t="s">
        <v>570</v>
      </c>
      <c r="Q393">
        <v>7.0999999999999994E-2</v>
      </c>
      <c r="R393">
        <v>30000</v>
      </c>
      <c r="S393">
        <v>41</v>
      </c>
      <c r="T393">
        <v>0</v>
      </c>
      <c r="U393" t="s">
        <v>127</v>
      </c>
      <c r="V393" t="s">
        <v>1</v>
      </c>
      <c r="W393" t="s">
        <v>572</v>
      </c>
      <c r="X393" t="s">
        <v>9</v>
      </c>
      <c r="Y393">
        <v>2015</v>
      </c>
      <c r="Z393">
        <v>2010</v>
      </c>
      <c r="AA393">
        <v>2025</v>
      </c>
      <c r="AB393" t="s">
        <v>568</v>
      </c>
      <c r="AD393" t="s">
        <v>571</v>
      </c>
      <c r="AE393" t="s">
        <v>567</v>
      </c>
      <c r="AI393">
        <v>0</v>
      </c>
      <c r="AM393" t="s">
        <v>566</v>
      </c>
    </row>
    <row r="394" spans="1:47" customFormat="1">
      <c r="A394" s="1">
        <v>381</v>
      </c>
      <c r="B394" t="s">
        <v>566</v>
      </c>
      <c r="C394" t="s">
        <v>361</v>
      </c>
      <c r="D394" t="str">
        <f t="shared" si="37"/>
        <v>-</v>
      </c>
      <c r="E394" t="s">
        <v>9</v>
      </c>
      <c r="F394" t="str">
        <f t="shared" si="31"/>
        <v/>
      </c>
      <c r="G394" t="str">
        <f t="shared" si="32"/>
        <v>n</v>
      </c>
      <c r="H394" t="str">
        <f t="shared" si="36"/>
        <v>None</v>
      </c>
      <c r="M394">
        <v>32753</v>
      </c>
      <c r="N394">
        <v>0.161</v>
      </c>
      <c r="O394">
        <v>5687</v>
      </c>
      <c r="P394" t="s">
        <v>570</v>
      </c>
      <c r="Q394">
        <v>7.0999999999999994E-2</v>
      </c>
      <c r="R394">
        <v>30000</v>
      </c>
      <c r="S394">
        <v>41</v>
      </c>
      <c r="T394">
        <v>0</v>
      </c>
      <c r="U394" t="s">
        <v>127</v>
      </c>
      <c r="V394" t="s">
        <v>1</v>
      </c>
      <c r="W394" t="s">
        <v>569</v>
      </c>
      <c r="X394">
        <v>2015</v>
      </c>
      <c r="Y394" t="s">
        <v>9</v>
      </c>
      <c r="Z394">
        <v>2010</v>
      </c>
      <c r="AA394">
        <v>2035</v>
      </c>
      <c r="AB394" t="s">
        <v>568</v>
      </c>
      <c r="AC394">
        <v>0</v>
      </c>
      <c r="AD394">
        <v>0</v>
      </c>
      <c r="AE394" t="s">
        <v>567</v>
      </c>
      <c r="AF394">
        <v>0</v>
      </c>
      <c r="AG394">
        <v>0</v>
      </c>
      <c r="AH394">
        <v>0</v>
      </c>
      <c r="AI394">
        <v>0</v>
      </c>
      <c r="AL394">
        <v>0</v>
      </c>
      <c r="AM394" t="s">
        <v>566</v>
      </c>
    </row>
    <row r="395" spans="1:47" customFormat="1">
      <c r="A395" s="1">
        <v>382</v>
      </c>
      <c r="B395" t="s">
        <v>561</v>
      </c>
      <c r="C395" t="s">
        <v>1</v>
      </c>
      <c r="D395" t="str">
        <f t="shared" si="37"/>
        <v>-</v>
      </c>
      <c r="E395" t="s">
        <v>9</v>
      </c>
      <c r="F395" t="str">
        <f t="shared" si="31"/>
        <v/>
      </c>
      <c r="G395" t="str">
        <f t="shared" si="32"/>
        <v>n</v>
      </c>
      <c r="H395" t="str">
        <f t="shared" si="36"/>
        <v>None</v>
      </c>
      <c r="I395" t="s">
        <v>76</v>
      </c>
      <c r="J395" t="s">
        <v>528</v>
      </c>
      <c r="M395">
        <v>32717</v>
      </c>
      <c r="N395">
        <v>1.4999999999999999E-2</v>
      </c>
      <c r="O395">
        <v>3962</v>
      </c>
      <c r="P395" t="s">
        <v>565</v>
      </c>
      <c r="Q395">
        <v>2.5999999999999999E-2</v>
      </c>
      <c r="R395">
        <v>32700</v>
      </c>
      <c r="S395">
        <v>-16</v>
      </c>
      <c r="T395" t="s">
        <v>88</v>
      </c>
      <c r="U395" t="s">
        <v>287</v>
      </c>
      <c r="V395" t="s">
        <v>1</v>
      </c>
      <c r="W395" t="s">
        <v>564</v>
      </c>
      <c r="X395" t="s">
        <v>9</v>
      </c>
      <c r="Y395">
        <v>2019</v>
      </c>
      <c r="Z395">
        <v>2016</v>
      </c>
      <c r="AA395">
        <v>2025</v>
      </c>
      <c r="AB395" t="s">
        <v>563</v>
      </c>
      <c r="AC395">
        <v>0</v>
      </c>
      <c r="AD395">
        <v>0</v>
      </c>
      <c r="AE395" t="s">
        <v>562</v>
      </c>
      <c r="AF395">
        <v>0</v>
      </c>
      <c r="AG395">
        <v>0</v>
      </c>
      <c r="AH395">
        <v>0</v>
      </c>
      <c r="AI395">
        <v>0</v>
      </c>
      <c r="AL395">
        <v>0</v>
      </c>
      <c r="AM395" t="s">
        <v>561</v>
      </c>
    </row>
    <row r="396" spans="1:47" customFormat="1">
      <c r="A396" s="1">
        <v>383</v>
      </c>
      <c r="B396" t="s">
        <v>558</v>
      </c>
      <c r="C396" t="s">
        <v>1</v>
      </c>
      <c r="D396" t="str">
        <f t="shared" si="37"/>
        <v>-</v>
      </c>
      <c r="E396" t="s">
        <v>9</v>
      </c>
      <c r="F396" t="str">
        <f t="shared" si="31"/>
        <v/>
      </c>
      <c r="G396" t="str">
        <f t="shared" si="32"/>
        <v>n</v>
      </c>
      <c r="H396" t="str">
        <f t="shared" si="36"/>
        <v>None</v>
      </c>
      <c r="I396" t="s">
        <v>124</v>
      </c>
      <c r="J396" t="s">
        <v>560</v>
      </c>
      <c r="M396">
        <v>32683.3</v>
      </c>
      <c r="N396">
        <v>0.02</v>
      </c>
      <c r="O396">
        <v>775.9</v>
      </c>
      <c r="P396" t="s">
        <v>559</v>
      </c>
      <c r="Q396">
        <v>9.8379999999999992</v>
      </c>
      <c r="R396">
        <v>10495</v>
      </c>
      <c r="S396">
        <v>-11</v>
      </c>
      <c r="T396" t="s">
        <v>88</v>
      </c>
      <c r="U396" t="s">
        <v>127</v>
      </c>
      <c r="V396" t="s">
        <v>1</v>
      </c>
      <c r="W396" t="s">
        <v>9</v>
      </c>
      <c r="X396" t="s">
        <v>9</v>
      </c>
      <c r="Y396" t="s">
        <v>9</v>
      </c>
      <c r="Z396" t="s">
        <v>9</v>
      </c>
      <c r="AA396" t="s">
        <v>9</v>
      </c>
      <c r="AB396">
        <v>0</v>
      </c>
      <c r="AC396">
        <v>0</v>
      </c>
      <c r="AD396">
        <v>0</v>
      </c>
      <c r="AE396">
        <v>0</v>
      </c>
      <c r="AF396">
        <v>0</v>
      </c>
      <c r="AG396">
        <v>0</v>
      </c>
      <c r="AH396">
        <v>0</v>
      </c>
      <c r="AI396">
        <v>0</v>
      </c>
      <c r="AL396">
        <v>0</v>
      </c>
      <c r="AM396" t="s">
        <v>558</v>
      </c>
    </row>
    <row r="397" spans="1:47" customFormat="1">
      <c r="A397" s="1">
        <v>384</v>
      </c>
      <c r="B397" t="s">
        <v>551</v>
      </c>
      <c r="C397" t="s">
        <v>1</v>
      </c>
      <c r="D397">
        <f>IF(G397="n","",MIN(X397,AI397,AN397))</f>
        <v>2019</v>
      </c>
      <c r="F397">
        <f t="shared" si="31"/>
        <v>2019</v>
      </c>
      <c r="G397" t="str">
        <f t="shared" si="32"/>
        <v>y</v>
      </c>
      <c r="H397" t="str">
        <f t="shared" si="36"/>
        <v xml:space="preserve"> SBT</v>
      </c>
      <c r="I397" t="s">
        <v>124</v>
      </c>
      <c r="J397" t="s">
        <v>388</v>
      </c>
      <c r="M397">
        <v>32667</v>
      </c>
      <c r="N397">
        <v>0.25</v>
      </c>
      <c r="O397">
        <v>8045.4</v>
      </c>
      <c r="P397" t="s">
        <v>557</v>
      </c>
      <c r="Q397">
        <v>-0.83399999999999996</v>
      </c>
      <c r="R397">
        <v>63877</v>
      </c>
      <c r="S397">
        <v>69</v>
      </c>
      <c r="T397">
        <v>0</v>
      </c>
      <c r="U397" t="s">
        <v>275</v>
      </c>
      <c r="V397" t="s">
        <v>1</v>
      </c>
      <c r="W397" t="s">
        <v>556</v>
      </c>
      <c r="X397" t="s">
        <v>9</v>
      </c>
      <c r="Y397" t="s">
        <v>9</v>
      </c>
      <c r="Z397">
        <v>2017</v>
      </c>
      <c r="AA397">
        <v>2030</v>
      </c>
      <c r="AB397" t="s">
        <v>109</v>
      </c>
      <c r="AC397">
        <v>0</v>
      </c>
      <c r="AD397">
        <v>0</v>
      </c>
      <c r="AE397" t="s">
        <v>555</v>
      </c>
      <c r="AF397" t="s">
        <v>388</v>
      </c>
      <c r="AG397" t="s">
        <v>22</v>
      </c>
      <c r="AH397" t="s">
        <v>554</v>
      </c>
      <c r="AI397">
        <v>2019</v>
      </c>
      <c r="AJ397">
        <v>2030</v>
      </c>
      <c r="AK397" t="s">
        <v>553</v>
      </c>
      <c r="AL397" t="s">
        <v>552</v>
      </c>
      <c r="AM397" t="s">
        <v>551</v>
      </c>
    </row>
    <row r="398" spans="1:47" customFormat="1">
      <c r="A398" s="1">
        <v>385</v>
      </c>
      <c r="B398" t="s">
        <v>549</v>
      </c>
      <c r="C398" t="s">
        <v>1</v>
      </c>
      <c r="D398" t="str">
        <f>IF(G398="n","-",MIN(X398,AI398,AN398))</f>
        <v>-</v>
      </c>
      <c r="E398" t="s">
        <v>9</v>
      </c>
      <c r="F398" t="str">
        <f t="shared" si="31"/>
        <v/>
      </c>
      <c r="G398" t="str">
        <f t="shared" si="32"/>
        <v>n</v>
      </c>
      <c r="H398" t="str">
        <f t="shared" si="36"/>
        <v>None</v>
      </c>
      <c r="I398" t="s">
        <v>85</v>
      </c>
      <c r="J398" t="s">
        <v>84</v>
      </c>
      <c r="M398">
        <v>32619.4</v>
      </c>
      <c r="N398">
        <v>0.17399999999999999</v>
      </c>
      <c r="O398">
        <v>-254.5</v>
      </c>
      <c r="P398" t="s">
        <v>550</v>
      </c>
      <c r="Q398">
        <v>-5.1660000000000004</v>
      </c>
      <c r="R398">
        <v>136319</v>
      </c>
      <c r="S398">
        <v>43</v>
      </c>
      <c r="T398">
        <v>0</v>
      </c>
      <c r="U398" t="s">
        <v>73</v>
      </c>
      <c r="V398" t="s">
        <v>1</v>
      </c>
      <c r="W398" t="s">
        <v>9</v>
      </c>
      <c r="X398" t="s">
        <v>9</v>
      </c>
      <c r="Y398" t="s">
        <v>9</v>
      </c>
      <c r="Z398" t="s">
        <v>9</v>
      </c>
      <c r="AA398" t="s">
        <v>9</v>
      </c>
      <c r="AB398">
        <v>0</v>
      </c>
      <c r="AC398">
        <v>0</v>
      </c>
      <c r="AD398">
        <v>0</v>
      </c>
      <c r="AE398">
        <v>0</v>
      </c>
      <c r="AF398">
        <v>0</v>
      </c>
      <c r="AG398">
        <v>0</v>
      </c>
      <c r="AH398">
        <v>0</v>
      </c>
      <c r="AI398">
        <v>0</v>
      </c>
      <c r="AL398">
        <v>0</v>
      </c>
      <c r="AM398" t="s">
        <v>549</v>
      </c>
    </row>
    <row r="399" spans="1:47" customFormat="1">
      <c r="A399" s="1">
        <v>386</v>
      </c>
      <c r="B399" t="s">
        <v>547</v>
      </c>
      <c r="C399" t="s">
        <v>1</v>
      </c>
      <c r="D399" t="str">
        <f>IF(G399="n","-",MIN(X399,AI399,AN399))</f>
        <v>-</v>
      </c>
      <c r="E399" t="s">
        <v>9</v>
      </c>
      <c r="F399" t="str">
        <f t="shared" si="31"/>
        <v/>
      </c>
      <c r="G399" t="str">
        <f t="shared" si="32"/>
        <v>n</v>
      </c>
      <c r="H399" t="str">
        <f t="shared" si="36"/>
        <v>None</v>
      </c>
      <c r="I399" t="s">
        <v>71</v>
      </c>
      <c r="J399" t="s">
        <v>265</v>
      </c>
      <c r="M399">
        <v>32421.4</v>
      </c>
      <c r="N399">
        <v>9.5000000000000001E-2</v>
      </c>
      <c r="O399">
        <v>464.4</v>
      </c>
      <c r="P399" t="s">
        <v>548</v>
      </c>
      <c r="Q399">
        <v>0.39300000000000002</v>
      </c>
      <c r="R399">
        <v>97629</v>
      </c>
      <c r="S399">
        <v>11</v>
      </c>
      <c r="T399" t="s">
        <v>88</v>
      </c>
      <c r="U399" t="s">
        <v>73</v>
      </c>
      <c r="V399" t="s">
        <v>1</v>
      </c>
      <c r="W399" t="s">
        <v>9</v>
      </c>
      <c r="X399" t="s">
        <v>9</v>
      </c>
      <c r="Y399" t="s">
        <v>9</v>
      </c>
      <c r="Z399" t="s">
        <v>9</v>
      </c>
      <c r="AA399" t="s">
        <v>9</v>
      </c>
      <c r="AB399">
        <v>0</v>
      </c>
      <c r="AC399">
        <v>0</v>
      </c>
      <c r="AD399">
        <v>0</v>
      </c>
      <c r="AE399">
        <v>0</v>
      </c>
      <c r="AF399">
        <v>0</v>
      </c>
      <c r="AG399">
        <v>0</v>
      </c>
      <c r="AH399">
        <v>0</v>
      </c>
      <c r="AI399">
        <v>0</v>
      </c>
      <c r="AL399">
        <v>0</v>
      </c>
      <c r="AM399" t="s">
        <v>547</v>
      </c>
    </row>
    <row r="400" spans="1:47" customFormat="1">
      <c r="A400" s="1">
        <v>387</v>
      </c>
      <c r="B400" t="s">
        <v>542</v>
      </c>
      <c r="C400" t="s">
        <v>1</v>
      </c>
      <c r="D400">
        <f>IF(G400="n","",MIN(X400,AI400,AN400))</f>
        <v>2018</v>
      </c>
      <c r="F400">
        <f t="shared" ref="F400:F463" si="38">IF(G400="n","",MIN(IF(V400="Carbon Neutral",X400,"3000"),AI400,IF(AO400&gt;2030,"3000",AN400)))</f>
        <v>2018</v>
      </c>
      <c r="G400" t="str">
        <f t="shared" ref="G400:G463" si="39">IF( V400="Carbon Neutral", "y",   IF(AI400&gt;1, "y", IF(AND(AO400&lt;=2030, AO400&gt;0),"y","n" )    )       )</f>
        <v>y</v>
      </c>
      <c r="H400" t="str">
        <f t="shared" si="36"/>
        <v>CN &amp; RE100</v>
      </c>
      <c r="I400" t="s">
        <v>76</v>
      </c>
      <c r="J400" t="s">
        <v>80</v>
      </c>
      <c r="M400">
        <v>32377</v>
      </c>
      <c r="N400">
        <v>7.9000000000000001E-2</v>
      </c>
      <c r="O400">
        <v>6015</v>
      </c>
      <c r="P400" t="s">
        <v>546</v>
      </c>
      <c r="Q400">
        <v>2.0350000000000001</v>
      </c>
      <c r="R400">
        <v>47600</v>
      </c>
      <c r="S400">
        <v>4</v>
      </c>
      <c r="T400" t="s">
        <v>88</v>
      </c>
      <c r="U400" t="s">
        <v>127</v>
      </c>
      <c r="V400" t="s">
        <v>32</v>
      </c>
      <c r="W400" t="s">
        <v>9</v>
      </c>
      <c r="X400">
        <v>2018</v>
      </c>
      <c r="Y400" t="s">
        <v>9</v>
      </c>
      <c r="Z400" t="s">
        <v>9</v>
      </c>
      <c r="AA400" t="s">
        <v>9</v>
      </c>
      <c r="AB400" t="s">
        <v>545</v>
      </c>
      <c r="AC400">
        <v>0</v>
      </c>
      <c r="AD400" t="s">
        <v>544</v>
      </c>
      <c r="AE400" t="s">
        <v>543</v>
      </c>
      <c r="AF400" t="s">
        <v>93</v>
      </c>
      <c r="AG400">
        <v>0</v>
      </c>
      <c r="AH400">
        <v>0</v>
      </c>
      <c r="AL400">
        <v>0</v>
      </c>
      <c r="AM400" t="s">
        <v>542</v>
      </c>
      <c r="AN400">
        <v>2018</v>
      </c>
      <c r="AO400">
        <v>2017</v>
      </c>
      <c r="AP400" t="s">
        <v>13</v>
      </c>
      <c r="AQ400">
        <v>1</v>
      </c>
      <c r="AR400" t="s">
        <v>13</v>
      </c>
      <c r="AS400" t="s">
        <v>13</v>
      </c>
      <c r="AT400" t="s">
        <v>13</v>
      </c>
      <c r="AU400" t="s">
        <v>541</v>
      </c>
    </row>
    <row r="401" spans="1:39" customFormat="1">
      <c r="A401" s="1">
        <v>388</v>
      </c>
      <c r="B401" t="s">
        <v>539</v>
      </c>
      <c r="C401" t="s">
        <v>1</v>
      </c>
      <c r="D401" t="str">
        <f t="shared" ref="D401:D409" si="40">IF(G401="n","-",MIN(X401,AI401,AN401))</f>
        <v>-</v>
      </c>
      <c r="E401" t="s">
        <v>9</v>
      </c>
      <c r="F401" t="str">
        <f t="shared" si="38"/>
        <v/>
      </c>
      <c r="G401" t="str">
        <f t="shared" si="39"/>
        <v>n</v>
      </c>
      <c r="H401" t="str">
        <f t="shared" si="36"/>
        <v>None</v>
      </c>
      <c r="I401" t="s">
        <v>76</v>
      </c>
      <c r="J401" t="s">
        <v>199</v>
      </c>
      <c r="M401">
        <v>32369</v>
      </c>
      <c r="N401">
        <v>-0.188</v>
      </c>
      <c r="O401">
        <v>2597</v>
      </c>
      <c r="P401" t="s">
        <v>540</v>
      </c>
      <c r="Q401">
        <v>-0.6</v>
      </c>
      <c r="R401">
        <v>22000</v>
      </c>
      <c r="S401">
        <v>-93</v>
      </c>
      <c r="T401" t="s">
        <v>88</v>
      </c>
      <c r="U401" t="s">
        <v>73</v>
      </c>
      <c r="V401" t="s">
        <v>1</v>
      </c>
      <c r="W401" t="s">
        <v>9</v>
      </c>
      <c r="X401" t="s">
        <v>9</v>
      </c>
      <c r="Y401" t="s">
        <v>9</v>
      </c>
      <c r="Z401" t="s">
        <v>9</v>
      </c>
      <c r="AA401" t="s">
        <v>9</v>
      </c>
      <c r="AB401">
        <v>0</v>
      </c>
      <c r="AC401">
        <v>0</v>
      </c>
      <c r="AD401">
        <v>0</v>
      </c>
      <c r="AE401">
        <v>0</v>
      </c>
      <c r="AF401">
        <v>0</v>
      </c>
      <c r="AG401">
        <v>0</v>
      </c>
      <c r="AH401">
        <v>0</v>
      </c>
      <c r="AI401">
        <v>0</v>
      </c>
      <c r="AL401">
        <v>0</v>
      </c>
      <c r="AM401" t="s">
        <v>539</v>
      </c>
    </row>
    <row r="402" spans="1:39" customFormat="1">
      <c r="A402" s="1">
        <v>389</v>
      </c>
      <c r="B402" t="s">
        <v>537</v>
      </c>
      <c r="C402" t="s">
        <v>1</v>
      </c>
      <c r="D402" t="str">
        <f t="shared" si="40"/>
        <v>-</v>
      </c>
      <c r="E402" t="s">
        <v>9</v>
      </c>
      <c r="F402" t="str">
        <f t="shared" si="38"/>
        <v/>
      </c>
      <c r="G402" t="str">
        <f t="shared" si="39"/>
        <v>n</v>
      </c>
      <c r="H402" t="str">
        <f t="shared" si="36"/>
        <v>None</v>
      </c>
      <c r="I402" t="s">
        <v>171</v>
      </c>
      <c r="J402" t="s">
        <v>171</v>
      </c>
      <c r="M402">
        <v>32150.799999999999</v>
      </c>
      <c r="N402">
        <v>2.5000000000000001E-2</v>
      </c>
      <c r="O402">
        <v>572.5</v>
      </c>
      <c r="P402" t="s">
        <v>536</v>
      </c>
      <c r="Q402">
        <v>-0.434</v>
      </c>
      <c r="R402">
        <v>49998</v>
      </c>
      <c r="S402">
        <v>-11</v>
      </c>
      <c r="T402" t="s">
        <v>88</v>
      </c>
      <c r="U402" t="s">
        <v>207</v>
      </c>
      <c r="V402" t="s">
        <v>1</v>
      </c>
      <c r="W402" t="s">
        <v>538</v>
      </c>
      <c r="X402" t="s">
        <v>9</v>
      </c>
      <c r="Y402">
        <v>2017</v>
      </c>
      <c r="Z402">
        <v>2010</v>
      </c>
      <c r="AA402">
        <v>2030</v>
      </c>
      <c r="AB402" t="s">
        <v>534</v>
      </c>
      <c r="AC402">
        <v>0</v>
      </c>
      <c r="AD402">
        <v>0</v>
      </c>
      <c r="AE402" t="s">
        <v>533</v>
      </c>
      <c r="AF402">
        <v>0</v>
      </c>
      <c r="AG402">
        <v>0</v>
      </c>
      <c r="AH402">
        <v>0</v>
      </c>
      <c r="AI402">
        <v>0</v>
      </c>
      <c r="AL402">
        <v>0</v>
      </c>
      <c r="AM402" t="s">
        <v>537</v>
      </c>
    </row>
    <row r="403" spans="1:39" customFormat="1">
      <c r="A403" s="1">
        <v>389</v>
      </c>
      <c r="B403" t="s">
        <v>537</v>
      </c>
      <c r="C403" t="s">
        <v>361</v>
      </c>
      <c r="D403" t="str">
        <f t="shared" si="40"/>
        <v>-</v>
      </c>
      <c r="E403" t="s">
        <v>9</v>
      </c>
      <c r="F403" t="str">
        <f t="shared" si="38"/>
        <v/>
      </c>
      <c r="G403" t="str">
        <f t="shared" si="39"/>
        <v>n</v>
      </c>
      <c r="H403" t="str">
        <f t="shared" si="36"/>
        <v>None</v>
      </c>
      <c r="M403">
        <v>32150.799999999999</v>
      </c>
      <c r="N403">
        <v>2.5000000000000001E-2</v>
      </c>
      <c r="O403">
        <v>572.5</v>
      </c>
      <c r="P403" t="s">
        <v>536</v>
      </c>
      <c r="Q403">
        <v>-0.434</v>
      </c>
      <c r="R403">
        <v>49998</v>
      </c>
      <c r="S403">
        <v>-11</v>
      </c>
      <c r="T403" t="s">
        <v>88</v>
      </c>
      <c r="U403" t="s">
        <v>207</v>
      </c>
      <c r="V403" t="s">
        <v>1</v>
      </c>
      <c r="W403" t="s">
        <v>535</v>
      </c>
      <c r="X403">
        <v>2017</v>
      </c>
      <c r="Y403" t="s">
        <v>9</v>
      </c>
      <c r="Z403">
        <v>2010</v>
      </c>
      <c r="AA403">
        <v>2050</v>
      </c>
      <c r="AB403" t="s">
        <v>534</v>
      </c>
      <c r="AE403" t="s">
        <v>533</v>
      </c>
      <c r="AI403">
        <v>0</v>
      </c>
    </row>
    <row r="404" spans="1:39" customFormat="1">
      <c r="A404" s="1">
        <v>390</v>
      </c>
      <c r="B404" t="s">
        <v>529</v>
      </c>
      <c r="C404" t="s">
        <v>1</v>
      </c>
      <c r="D404" t="str">
        <f t="shared" si="40"/>
        <v>-</v>
      </c>
      <c r="E404" t="s">
        <v>9</v>
      </c>
      <c r="F404" t="str">
        <f t="shared" si="38"/>
        <v/>
      </c>
      <c r="G404" t="str">
        <f t="shared" si="39"/>
        <v>n</v>
      </c>
      <c r="H404" t="str">
        <f t="shared" si="36"/>
        <v>None</v>
      </c>
      <c r="I404" t="s">
        <v>186</v>
      </c>
      <c r="J404" t="s">
        <v>380</v>
      </c>
      <c r="M404">
        <v>32102.799999999999</v>
      </c>
      <c r="N404">
        <v>0.1</v>
      </c>
      <c r="O404">
        <v>295.7</v>
      </c>
      <c r="P404" t="s">
        <v>532</v>
      </c>
      <c r="Q404">
        <v>0.56499999999999995</v>
      </c>
      <c r="R404">
        <v>82374</v>
      </c>
      <c r="S404">
        <v>14</v>
      </c>
      <c r="T404" t="s">
        <v>88</v>
      </c>
      <c r="U404" t="s">
        <v>103</v>
      </c>
      <c r="V404" t="s">
        <v>1</v>
      </c>
      <c r="W404" t="s">
        <v>531</v>
      </c>
      <c r="X404" t="s">
        <v>9</v>
      </c>
      <c r="Y404">
        <v>2017</v>
      </c>
      <c r="Z404">
        <v>2014</v>
      </c>
      <c r="AA404">
        <v>2030</v>
      </c>
      <c r="AB404" t="s">
        <v>109</v>
      </c>
      <c r="AC404">
        <v>0</v>
      </c>
      <c r="AD404">
        <v>0</v>
      </c>
      <c r="AE404" t="s">
        <v>530</v>
      </c>
      <c r="AF404">
        <v>0</v>
      </c>
      <c r="AG404">
        <v>0</v>
      </c>
      <c r="AH404">
        <v>0</v>
      </c>
      <c r="AI404">
        <v>0</v>
      </c>
      <c r="AL404">
        <v>0</v>
      </c>
      <c r="AM404" t="s">
        <v>529</v>
      </c>
    </row>
    <row r="405" spans="1:39" customFormat="1">
      <c r="A405" s="1">
        <v>391</v>
      </c>
      <c r="B405" t="s">
        <v>526</v>
      </c>
      <c r="C405" t="s">
        <v>1</v>
      </c>
      <c r="D405" t="str">
        <f t="shared" si="40"/>
        <v>-</v>
      </c>
      <c r="E405" t="s">
        <v>9</v>
      </c>
      <c r="F405" t="str">
        <f t="shared" si="38"/>
        <v/>
      </c>
      <c r="G405" t="str">
        <f t="shared" si="39"/>
        <v>n</v>
      </c>
      <c r="H405" t="str">
        <f t="shared" si="36"/>
        <v>None</v>
      </c>
      <c r="I405" t="s">
        <v>76</v>
      </c>
      <c r="J405" t="s">
        <v>528</v>
      </c>
      <c r="M405">
        <v>31979</v>
      </c>
      <c r="N405">
        <v>0.192</v>
      </c>
      <c r="O405">
        <v>2615.3000000000002</v>
      </c>
      <c r="P405" t="s">
        <v>527</v>
      </c>
      <c r="Q405">
        <v>0.64300000000000002</v>
      </c>
      <c r="R405">
        <v>37346</v>
      </c>
      <c r="S405">
        <v>46</v>
      </c>
      <c r="T405">
        <v>0</v>
      </c>
      <c r="U405" t="s">
        <v>127</v>
      </c>
      <c r="V405" t="s">
        <v>1</v>
      </c>
      <c r="W405" t="s">
        <v>9</v>
      </c>
      <c r="X405" t="s">
        <v>9</v>
      </c>
      <c r="Y405" t="s">
        <v>9</v>
      </c>
      <c r="Z405" t="s">
        <v>9</v>
      </c>
      <c r="AA405" t="s">
        <v>9</v>
      </c>
      <c r="AB405">
        <v>0</v>
      </c>
      <c r="AC405">
        <v>0</v>
      </c>
      <c r="AD405">
        <v>0</v>
      </c>
      <c r="AE405">
        <v>0</v>
      </c>
      <c r="AF405">
        <v>0</v>
      </c>
      <c r="AG405">
        <v>0</v>
      </c>
      <c r="AH405">
        <v>0</v>
      </c>
      <c r="AI405">
        <v>0</v>
      </c>
      <c r="AL405">
        <v>0</v>
      </c>
      <c r="AM405" t="s">
        <v>526</v>
      </c>
    </row>
    <row r="406" spans="1:39" customFormat="1">
      <c r="A406" s="1">
        <v>392</v>
      </c>
      <c r="B406" t="s">
        <v>522</v>
      </c>
      <c r="C406" t="s">
        <v>1</v>
      </c>
      <c r="D406" t="str">
        <f t="shared" si="40"/>
        <v>-</v>
      </c>
      <c r="E406" t="s">
        <v>9</v>
      </c>
      <c r="F406" t="str">
        <f t="shared" si="38"/>
        <v/>
      </c>
      <c r="G406" t="str">
        <f t="shared" si="39"/>
        <v>n</v>
      </c>
      <c r="H406" t="str">
        <f t="shared" si="36"/>
        <v>None</v>
      </c>
      <c r="I406" t="s">
        <v>76</v>
      </c>
      <c r="J406" t="s">
        <v>80</v>
      </c>
      <c r="M406">
        <v>31975.5</v>
      </c>
      <c r="N406">
        <v>-4.7E-2</v>
      </c>
      <c r="O406">
        <v>972.5</v>
      </c>
      <c r="P406" t="s">
        <v>525</v>
      </c>
      <c r="Q406">
        <v>-9.9000000000000005E-2</v>
      </c>
      <c r="R406">
        <v>28682</v>
      </c>
      <c r="S406">
        <v>-37</v>
      </c>
      <c r="T406" t="s">
        <v>350</v>
      </c>
      <c r="U406" t="s">
        <v>146</v>
      </c>
      <c r="V406" t="s">
        <v>1</v>
      </c>
      <c r="W406" t="s">
        <v>524</v>
      </c>
      <c r="X406" t="s">
        <v>9</v>
      </c>
      <c r="Y406" t="s">
        <v>9</v>
      </c>
      <c r="Z406">
        <v>2012</v>
      </c>
      <c r="AA406">
        <v>2020</v>
      </c>
      <c r="AB406" t="s">
        <v>31</v>
      </c>
      <c r="AC406">
        <v>0</v>
      </c>
      <c r="AD406">
        <v>0</v>
      </c>
      <c r="AE406" t="s">
        <v>523</v>
      </c>
      <c r="AF406">
        <v>0</v>
      </c>
      <c r="AG406">
        <v>0</v>
      </c>
      <c r="AH406">
        <v>0</v>
      </c>
      <c r="AI406">
        <v>0</v>
      </c>
      <c r="AL406">
        <v>0</v>
      </c>
      <c r="AM406" t="s">
        <v>522</v>
      </c>
    </row>
    <row r="407" spans="1:39" customFormat="1">
      <c r="A407" s="1">
        <v>393</v>
      </c>
      <c r="B407" t="s">
        <v>520</v>
      </c>
      <c r="C407" t="s">
        <v>1</v>
      </c>
      <c r="D407" t="str">
        <f t="shared" si="40"/>
        <v>-</v>
      </c>
      <c r="E407" t="s">
        <v>9</v>
      </c>
      <c r="F407" t="str">
        <f t="shared" si="38"/>
        <v/>
      </c>
      <c r="G407" t="str">
        <f t="shared" si="39"/>
        <v>n</v>
      </c>
      <c r="H407" t="str">
        <f t="shared" si="36"/>
        <v>None</v>
      </c>
      <c r="I407" t="s">
        <v>171</v>
      </c>
      <c r="J407" t="s">
        <v>171</v>
      </c>
      <c r="M407">
        <v>31949.4</v>
      </c>
      <c r="N407">
        <v>2.8000000000000001E-2</v>
      </c>
      <c r="O407">
        <v>1716.9</v>
      </c>
      <c r="P407" t="s">
        <v>521</v>
      </c>
      <c r="Q407">
        <v>0.23799999999999999</v>
      </c>
      <c r="R407">
        <v>34782</v>
      </c>
      <c r="S407">
        <v>-13</v>
      </c>
      <c r="T407" t="s">
        <v>88</v>
      </c>
      <c r="U407" t="s">
        <v>114</v>
      </c>
      <c r="V407" t="s">
        <v>1</v>
      </c>
      <c r="W407" t="s">
        <v>9</v>
      </c>
      <c r="X407" t="s">
        <v>9</v>
      </c>
      <c r="Y407" t="s">
        <v>9</v>
      </c>
      <c r="Z407" t="s">
        <v>9</v>
      </c>
      <c r="AA407" t="s">
        <v>9</v>
      </c>
      <c r="AB407">
        <v>0</v>
      </c>
      <c r="AC407">
        <v>0</v>
      </c>
      <c r="AD407">
        <v>0</v>
      </c>
      <c r="AE407">
        <v>0</v>
      </c>
      <c r="AF407">
        <v>0</v>
      </c>
      <c r="AG407">
        <v>0</v>
      </c>
      <c r="AH407">
        <v>0</v>
      </c>
      <c r="AI407">
        <v>0</v>
      </c>
      <c r="AL407">
        <v>0</v>
      </c>
      <c r="AM407" t="s">
        <v>520</v>
      </c>
    </row>
    <row r="408" spans="1:39" customFormat="1">
      <c r="A408" s="1">
        <v>394</v>
      </c>
      <c r="B408" t="s">
        <v>518</v>
      </c>
      <c r="C408" t="s">
        <v>1</v>
      </c>
      <c r="D408" t="str">
        <f t="shared" si="40"/>
        <v>-</v>
      </c>
      <c r="E408" t="s">
        <v>9</v>
      </c>
      <c r="F408" t="str">
        <f t="shared" si="38"/>
        <v/>
      </c>
      <c r="G408" t="str">
        <f t="shared" si="39"/>
        <v>n</v>
      </c>
      <c r="H408" t="str">
        <f t="shared" si="36"/>
        <v>None</v>
      </c>
      <c r="I408" t="s">
        <v>71</v>
      </c>
      <c r="J408" t="s">
        <v>105</v>
      </c>
      <c r="M408">
        <v>31928.9</v>
      </c>
      <c r="N408">
        <v>0.17799999999999999</v>
      </c>
      <c r="O408">
        <v>1137.5999999999999</v>
      </c>
      <c r="P408" t="s">
        <v>519</v>
      </c>
      <c r="Q408">
        <v>-0.14099999999999999</v>
      </c>
      <c r="R408">
        <v>15712</v>
      </c>
      <c r="S408">
        <v>42</v>
      </c>
      <c r="T408">
        <v>0</v>
      </c>
      <c r="U408" t="s">
        <v>103</v>
      </c>
      <c r="V408" t="s">
        <v>1</v>
      </c>
      <c r="W408" t="s">
        <v>9</v>
      </c>
      <c r="X408" t="s">
        <v>9</v>
      </c>
      <c r="Y408" t="s">
        <v>9</v>
      </c>
      <c r="Z408" t="s">
        <v>9</v>
      </c>
      <c r="AA408" t="s">
        <v>9</v>
      </c>
      <c r="AB408">
        <v>0</v>
      </c>
      <c r="AC408">
        <v>0</v>
      </c>
      <c r="AD408">
        <v>0</v>
      </c>
      <c r="AE408">
        <v>0</v>
      </c>
      <c r="AF408">
        <v>0</v>
      </c>
      <c r="AG408">
        <v>0</v>
      </c>
      <c r="AH408">
        <v>0</v>
      </c>
      <c r="AI408">
        <v>0</v>
      </c>
      <c r="AL408">
        <v>0</v>
      </c>
      <c r="AM408" t="s">
        <v>518</v>
      </c>
    </row>
    <row r="409" spans="1:39" customFormat="1">
      <c r="A409" s="1">
        <v>395</v>
      </c>
      <c r="B409" t="s">
        <v>517</v>
      </c>
      <c r="C409" t="s">
        <v>1</v>
      </c>
      <c r="D409" t="str">
        <f t="shared" si="40"/>
        <v>-</v>
      </c>
      <c r="E409" t="s">
        <v>9</v>
      </c>
      <c r="F409" t="str">
        <f t="shared" si="38"/>
        <v/>
      </c>
      <c r="G409" t="str">
        <f t="shared" si="39"/>
        <v>n</v>
      </c>
      <c r="H409" t="str">
        <f t="shared" si="36"/>
        <v>None</v>
      </c>
      <c r="I409" t="s">
        <v>124</v>
      </c>
      <c r="J409" t="s">
        <v>123</v>
      </c>
      <c r="M409">
        <v>31856</v>
      </c>
      <c r="N409">
        <v>-0.1</v>
      </c>
      <c r="O409">
        <v>6434</v>
      </c>
      <c r="P409" t="s">
        <v>516</v>
      </c>
      <c r="Q409">
        <v>4.1550000000000002</v>
      </c>
      <c r="R409">
        <v>62600</v>
      </c>
      <c r="S409">
        <v>-67</v>
      </c>
      <c r="T409" t="s">
        <v>88</v>
      </c>
      <c r="U409" t="s">
        <v>127</v>
      </c>
      <c r="V409" t="s">
        <v>1</v>
      </c>
      <c r="W409" t="s">
        <v>515</v>
      </c>
      <c r="X409" t="s">
        <v>9</v>
      </c>
      <c r="Y409" t="s">
        <v>9</v>
      </c>
      <c r="Z409" t="s">
        <v>9</v>
      </c>
      <c r="AA409">
        <v>2025</v>
      </c>
      <c r="AB409" t="s">
        <v>514</v>
      </c>
      <c r="AC409">
        <v>0</v>
      </c>
      <c r="AD409">
        <v>0</v>
      </c>
      <c r="AE409" t="s">
        <v>513</v>
      </c>
      <c r="AI409">
        <v>0</v>
      </c>
    </row>
    <row r="410" spans="1:39" customFormat="1">
      <c r="A410" s="1">
        <v>396</v>
      </c>
      <c r="B410" t="s">
        <v>512</v>
      </c>
      <c r="C410" t="s">
        <v>1</v>
      </c>
      <c r="D410">
        <f>IF(G410="n","",MIN(X410,AI410,AN410))</f>
        <v>2018</v>
      </c>
      <c r="F410">
        <f t="shared" si="38"/>
        <v>2018</v>
      </c>
      <c r="G410" t="str">
        <f t="shared" si="39"/>
        <v>y</v>
      </c>
      <c r="H410" t="str">
        <f t="shared" si="36"/>
        <v>CN</v>
      </c>
      <c r="I410" t="s">
        <v>511</v>
      </c>
      <c r="J410" t="s">
        <v>510</v>
      </c>
      <c r="M410">
        <v>31790.7</v>
      </c>
      <c r="N410">
        <v>6.2E-2</v>
      </c>
      <c r="O410">
        <v>4597.2</v>
      </c>
      <c r="P410" t="s">
        <v>509</v>
      </c>
      <c r="Q410">
        <v>0.13900000000000001</v>
      </c>
      <c r="R410">
        <v>86030</v>
      </c>
      <c r="S410">
        <v>-4</v>
      </c>
      <c r="T410" t="s">
        <v>88</v>
      </c>
      <c r="U410" t="s">
        <v>63</v>
      </c>
      <c r="V410" t="s">
        <v>32</v>
      </c>
      <c r="W410" t="s">
        <v>9</v>
      </c>
      <c r="X410">
        <v>2018</v>
      </c>
      <c r="Y410" t="s">
        <v>9</v>
      </c>
      <c r="Z410" t="s">
        <v>9</v>
      </c>
      <c r="AA410">
        <v>2020</v>
      </c>
      <c r="AB410" t="s">
        <v>508</v>
      </c>
      <c r="AC410">
        <v>0</v>
      </c>
      <c r="AD410" t="s">
        <v>507</v>
      </c>
      <c r="AE410" t="s">
        <v>506</v>
      </c>
      <c r="AF410">
        <v>0</v>
      </c>
      <c r="AG410">
        <v>0</v>
      </c>
      <c r="AH410">
        <v>0</v>
      </c>
      <c r="AL410">
        <v>0</v>
      </c>
      <c r="AM410" t="s">
        <v>505</v>
      </c>
    </row>
    <row r="411" spans="1:39" customFormat="1">
      <c r="A411" s="1">
        <v>397</v>
      </c>
      <c r="B411" t="s">
        <v>498</v>
      </c>
      <c r="C411" t="s">
        <v>1</v>
      </c>
      <c r="D411">
        <f>IF(G411="n","",MIN(X411,AI411,AN411))</f>
        <v>2018</v>
      </c>
      <c r="F411">
        <f t="shared" si="38"/>
        <v>2018</v>
      </c>
      <c r="G411" t="str">
        <f t="shared" si="39"/>
        <v>y</v>
      </c>
      <c r="H411" t="str">
        <f t="shared" si="36"/>
        <v xml:space="preserve"> SBT</v>
      </c>
      <c r="I411" t="s">
        <v>85</v>
      </c>
      <c r="J411" t="s">
        <v>289</v>
      </c>
      <c r="M411">
        <v>31625</v>
      </c>
      <c r="N411">
        <v>1.7999999999999999E-2</v>
      </c>
      <c r="O411">
        <v>2970.5</v>
      </c>
      <c r="P411" t="s">
        <v>504</v>
      </c>
      <c r="Q411">
        <v>0.39100000000000001</v>
      </c>
      <c r="R411">
        <v>89831</v>
      </c>
      <c r="S411">
        <v>-15</v>
      </c>
      <c r="T411" t="s">
        <v>88</v>
      </c>
      <c r="U411" t="s">
        <v>400</v>
      </c>
      <c r="V411" t="s">
        <v>1</v>
      </c>
      <c r="W411" t="s">
        <v>503</v>
      </c>
      <c r="X411" t="s">
        <v>9</v>
      </c>
      <c r="Y411" t="s">
        <v>9</v>
      </c>
      <c r="Z411">
        <v>1990</v>
      </c>
      <c r="AA411">
        <v>2020</v>
      </c>
      <c r="AB411" t="s">
        <v>502</v>
      </c>
      <c r="AC411">
        <v>0</v>
      </c>
      <c r="AD411">
        <v>0</v>
      </c>
      <c r="AE411" t="s">
        <v>501</v>
      </c>
      <c r="AF411" t="s">
        <v>500</v>
      </c>
      <c r="AG411" t="s">
        <v>165</v>
      </c>
      <c r="AH411" t="s">
        <v>499</v>
      </c>
      <c r="AI411">
        <v>2018</v>
      </c>
      <c r="AL411">
        <v>0</v>
      </c>
      <c r="AM411" t="s">
        <v>498</v>
      </c>
    </row>
    <row r="412" spans="1:39" customFormat="1">
      <c r="A412" s="1">
        <v>398</v>
      </c>
      <c r="B412" t="s">
        <v>496</v>
      </c>
      <c r="C412" t="s">
        <v>1</v>
      </c>
      <c r="D412" t="str">
        <f t="shared" ref="D412:D417" si="41">IF(G412="n","-",MIN(X412,AI412,AN412))</f>
        <v>-</v>
      </c>
      <c r="E412" t="s">
        <v>9</v>
      </c>
      <c r="F412" t="str">
        <f t="shared" si="38"/>
        <v/>
      </c>
      <c r="G412" t="str">
        <f t="shared" si="39"/>
        <v>n</v>
      </c>
      <c r="H412" t="str">
        <f t="shared" si="36"/>
        <v>None</v>
      </c>
      <c r="I412" t="s">
        <v>76</v>
      </c>
      <c r="J412" t="s">
        <v>80</v>
      </c>
      <c r="M412">
        <v>31589.3</v>
      </c>
      <c r="N412">
        <v>0.14599999999999999</v>
      </c>
      <c r="O412">
        <v>6642.5</v>
      </c>
      <c r="P412" t="s">
        <v>497</v>
      </c>
      <c r="Q412">
        <v>8.5999999999999993E-2</v>
      </c>
      <c r="R412">
        <v>97629</v>
      </c>
      <c r="S412">
        <v>32</v>
      </c>
      <c r="T412">
        <v>0</v>
      </c>
      <c r="U412" t="s">
        <v>78</v>
      </c>
      <c r="V412" t="s">
        <v>1</v>
      </c>
      <c r="W412" t="s">
        <v>9</v>
      </c>
      <c r="X412" t="s">
        <v>9</v>
      </c>
      <c r="Y412" t="s">
        <v>9</v>
      </c>
      <c r="Z412" t="s">
        <v>9</v>
      </c>
      <c r="AA412" t="s">
        <v>9</v>
      </c>
      <c r="AB412">
        <v>0</v>
      </c>
      <c r="AC412">
        <v>0</v>
      </c>
      <c r="AD412">
        <v>0</v>
      </c>
      <c r="AE412">
        <v>0</v>
      </c>
      <c r="AF412">
        <v>0</v>
      </c>
      <c r="AG412">
        <v>0</v>
      </c>
      <c r="AH412">
        <v>0</v>
      </c>
      <c r="AI412">
        <v>0</v>
      </c>
      <c r="AL412">
        <v>0</v>
      </c>
      <c r="AM412" t="s">
        <v>496</v>
      </c>
    </row>
    <row r="413" spans="1:39" customFormat="1">
      <c r="A413" s="1">
        <v>399</v>
      </c>
      <c r="B413" t="s">
        <v>490</v>
      </c>
      <c r="C413" t="s">
        <v>1</v>
      </c>
      <c r="D413" t="str">
        <f t="shared" si="41"/>
        <v>-</v>
      </c>
      <c r="E413" t="s">
        <v>9</v>
      </c>
      <c r="F413" t="str">
        <f t="shared" si="38"/>
        <v/>
      </c>
      <c r="G413" t="str">
        <f t="shared" si="39"/>
        <v>n</v>
      </c>
      <c r="H413" t="str">
        <f t="shared" si="36"/>
        <v>None</v>
      </c>
      <c r="I413" t="s">
        <v>283</v>
      </c>
      <c r="J413" t="s">
        <v>495</v>
      </c>
      <c r="M413">
        <v>31400</v>
      </c>
      <c r="N413">
        <v>4.1000000000000002E-2</v>
      </c>
      <c r="O413">
        <v>2162</v>
      </c>
      <c r="P413" t="s">
        <v>494</v>
      </c>
      <c r="Q413">
        <v>0.34200000000000003</v>
      </c>
      <c r="R413">
        <v>122000</v>
      </c>
      <c r="S413">
        <v>-10</v>
      </c>
      <c r="T413" t="s">
        <v>88</v>
      </c>
      <c r="U413" t="s">
        <v>400</v>
      </c>
      <c r="V413" t="s">
        <v>1</v>
      </c>
      <c r="W413" t="s">
        <v>493</v>
      </c>
      <c r="X413" t="s">
        <v>9</v>
      </c>
      <c r="Y413" t="s">
        <v>9</v>
      </c>
      <c r="Z413">
        <v>2017</v>
      </c>
      <c r="AA413">
        <v>2025</v>
      </c>
      <c r="AB413" t="s">
        <v>492</v>
      </c>
      <c r="AC413">
        <v>0</v>
      </c>
      <c r="AD413">
        <v>0</v>
      </c>
      <c r="AE413" t="s">
        <v>491</v>
      </c>
      <c r="AF413">
        <v>0</v>
      </c>
      <c r="AG413">
        <v>0</v>
      </c>
      <c r="AH413">
        <v>0</v>
      </c>
      <c r="AI413">
        <v>0</v>
      </c>
      <c r="AL413">
        <v>0</v>
      </c>
      <c r="AM413" t="s">
        <v>490</v>
      </c>
    </row>
    <row r="414" spans="1:39" customFormat="1">
      <c r="A414" s="1">
        <v>400</v>
      </c>
      <c r="B414" t="s">
        <v>489</v>
      </c>
      <c r="C414" t="s">
        <v>1</v>
      </c>
      <c r="D414" t="str">
        <f t="shared" si="41"/>
        <v>-</v>
      </c>
      <c r="E414" t="s">
        <v>9</v>
      </c>
      <c r="F414" t="str">
        <f t="shared" si="38"/>
        <v/>
      </c>
      <c r="G414" t="str">
        <f t="shared" si="39"/>
        <v>n</v>
      </c>
      <c r="H414" t="str">
        <f t="shared" si="36"/>
        <v>None</v>
      </c>
      <c r="I414" t="s">
        <v>76</v>
      </c>
      <c r="J414" t="s">
        <v>488</v>
      </c>
      <c r="M414">
        <v>31367.8</v>
      </c>
      <c r="N414">
        <v>4.4999999999999998E-2</v>
      </c>
      <c r="O414">
        <v>2291.9</v>
      </c>
      <c r="P414" t="s">
        <v>487</v>
      </c>
      <c r="Q414">
        <v>-5.3999999999999999E-2</v>
      </c>
      <c r="R414">
        <v>33689</v>
      </c>
      <c r="S414">
        <v>-10</v>
      </c>
      <c r="T414" t="s">
        <v>350</v>
      </c>
      <c r="U414" t="s">
        <v>127</v>
      </c>
      <c r="V414" t="s">
        <v>1</v>
      </c>
      <c r="W414" t="s">
        <v>9</v>
      </c>
      <c r="X414" t="s">
        <v>9</v>
      </c>
      <c r="Y414" t="s">
        <v>9</v>
      </c>
      <c r="Z414" t="s">
        <v>9</v>
      </c>
      <c r="AA414" t="s">
        <v>9</v>
      </c>
      <c r="AB414">
        <v>0</v>
      </c>
      <c r="AC414">
        <v>0</v>
      </c>
      <c r="AD414">
        <v>0</v>
      </c>
      <c r="AE414">
        <v>0</v>
      </c>
      <c r="AF414">
        <v>0</v>
      </c>
      <c r="AG414">
        <v>0</v>
      </c>
      <c r="AH414">
        <v>0</v>
      </c>
      <c r="AI414">
        <v>0</v>
      </c>
      <c r="AL414">
        <v>0</v>
      </c>
      <c r="AM414" t="s">
        <v>486</v>
      </c>
    </row>
    <row r="415" spans="1:39" customFormat="1">
      <c r="A415" s="1">
        <v>401</v>
      </c>
      <c r="B415" t="s">
        <v>482</v>
      </c>
      <c r="C415" t="s">
        <v>1</v>
      </c>
      <c r="D415" t="str">
        <f t="shared" si="41"/>
        <v>-</v>
      </c>
      <c r="E415" t="s">
        <v>9</v>
      </c>
      <c r="F415" t="str">
        <f t="shared" si="38"/>
        <v/>
      </c>
      <c r="G415" t="str">
        <f t="shared" si="39"/>
        <v>n</v>
      </c>
      <c r="H415" t="str">
        <f t="shared" si="36"/>
        <v>None</v>
      </c>
      <c r="I415" t="s">
        <v>178</v>
      </c>
      <c r="J415" t="s">
        <v>177</v>
      </c>
      <c r="M415">
        <v>31292.2</v>
      </c>
      <c r="N415">
        <v>7.6999999999999999E-2</v>
      </c>
      <c r="O415">
        <v>482.7</v>
      </c>
      <c r="P415" t="s">
        <v>485</v>
      </c>
      <c r="Q415" t="s">
        <v>9</v>
      </c>
      <c r="R415">
        <v>81527</v>
      </c>
      <c r="S415">
        <v>5</v>
      </c>
      <c r="T415" t="s">
        <v>88</v>
      </c>
      <c r="U415" t="s">
        <v>63</v>
      </c>
      <c r="V415" t="s">
        <v>1</v>
      </c>
      <c r="W415" t="s">
        <v>484</v>
      </c>
      <c r="X415" t="s">
        <v>9</v>
      </c>
      <c r="Y415">
        <v>2019</v>
      </c>
      <c r="Z415" t="s">
        <v>9</v>
      </c>
      <c r="AA415">
        <v>2020</v>
      </c>
      <c r="AB415">
        <v>0</v>
      </c>
      <c r="AC415">
        <v>0</v>
      </c>
      <c r="AD415">
        <v>0</v>
      </c>
      <c r="AE415" t="s">
        <v>483</v>
      </c>
      <c r="AF415">
        <v>0</v>
      </c>
      <c r="AG415">
        <v>0</v>
      </c>
      <c r="AH415">
        <v>0</v>
      </c>
      <c r="AI415">
        <v>0</v>
      </c>
      <c r="AL415">
        <v>0</v>
      </c>
      <c r="AM415" t="s">
        <v>482</v>
      </c>
    </row>
    <row r="416" spans="1:39" customFormat="1">
      <c r="A416" s="1">
        <v>402</v>
      </c>
      <c r="B416" t="s">
        <v>480</v>
      </c>
      <c r="C416" t="s">
        <v>1</v>
      </c>
      <c r="D416" t="str">
        <f t="shared" si="41"/>
        <v>-</v>
      </c>
      <c r="E416" t="s">
        <v>9</v>
      </c>
      <c r="F416" t="str">
        <f t="shared" si="38"/>
        <v/>
      </c>
      <c r="G416" t="str">
        <f t="shared" si="39"/>
        <v>n</v>
      </c>
      <c r="H416" t="str">
        <f t="shared" si="36"/>
        <v>None</v>
      </c>
      <c r="I416" t="s">
        <v>85</v>
      </c>
      <c r="J416" t="s">
        <v>84</v>
      </c>
      <c r="M416">
        <v>31103.8</v>
      </c>
      <c r="N416">
        <v>0.13200000000000001</v>
      </c>
      <c r="O416">
        <v>84.2</v>
      </c>
      <c r="P416" t="s">
        <v>481</v>
      </c>
      <c r="Q416">
        <v>95.683000000000007</v>
      </c>
      <c r="R416">
        <v>108086</v>
      </c>
      <c r="S416">
        <v>29</v>
      </c>
      <c r="T416">
        <v>0</v>
      </c>
      <c r="U416" t="s">
        <v>73</v>
      </c>
      <c r="V416" t="s">
        <v>1</v>
      </c>
      <c r="W416" t="s">
        <v>9</v>
      </c>
      <c r="X416" t="s">
        <v>9</v>
      </c>
      <c r="Y416" t="s">
        <v>9</v>
      </c>
      <c r="Z416" t="s">
        <v>9</v>
      </c>
      <c r="AA416" t="s">
        <v>9</v>
      </c>
      <c r="AB416">
        <v>0</v>
      </c>
      <c r="AC416">
        <v>0</v>
      </c>
      <c r="AD416">
        <v>0</v>
      </c>
      <c r="AE416">
        <v>0</v>
      </c>
      <c r="AF416">
        <v>0</v>
      </c>
      <c r="AG416">
        <v>0</v>
      </c>
      <c r="AH416">
        <v>0</v>
      </c>
      <c r="AI416">
        <v>0</v>
      </c>
      <c r="AL416">
        <v>0</v>
      </c>
      <c r="AM416" t="s">
        <v>480</v>
      </c>
    </row>
    <row r="417" spans="1:48" customFormat="1">
      <c r="A417" s="1">
        <v>403</v>
      </c>
      <c r="B417" t="s">
        <v>477</v>
      </c>
      <c r="C417" t="s">
        <v>1</v>
      </c>
      <c r="D417" t="str">
        <f t="shared" si="41"/>
        <v>-</v>
      </c>
      <c r="E417" t="s">
        <v>9</v>
      </c>
      <c r="F417" t="str">
        <f t="shared" si="38"/>
        <v/>
      </c>
      <c r="G417" t="str">
        <f t="shared" si="39"/>
        <v>n</v>
      </c>
      <c r="H417" t="str">
        <f t="shared" si="36"/>
        <v>None</v>
      </c>
      <c r="I417" t="s">
        <v>293</v>
      </c>
      <c r="J417" t="s">
        <v>479</v>
      </c>
      <c r="M417">
        <v>30878.799999999999</v>
      </c>
      <c r="N417">
        <v>8.1000000000000003E-2</v>
      </c>
      <c r="O417">
        <v>1512.7</v>
      </c>
      <c r="P417" t="s">
        <v>478</v>
      </c>
      <c r="Q417">
        <v>2.9000000000000001E-2</v>
      </c>
      <c r="R417">
        <v>595841</v>
      </c>
      <c r="S417">
        <v>10</v>
      </c>
      <c r="T417">
        <v>0</v>
      </c>
      <c r="U417" t="s">
        <v>275</v>
      </c>
      <c r="V417" t="s">
        <v>1</v>
      </c>
      <c r="W417" t="s">
        <v>9</v>
      </c>
      <c r="X417" t="s">
        <v>9</v>
      </c>
      <c r="Y417" t="s">
        <v>9</v>
      </c>
      <c r="Z417" t="s">
        <v>9</v>
      </c>
      <c r="AA417" t="s">
        <v>9</v>
      </c>
      <c r="AB417">
        <v>0</v>
      </c>
      <c r="AC417">
        <v>0</v>
      </c>
      <c r="AD417">
        <v>0</v>
      </c>
      <c r="AE417">
        <v>0</v>
      </c>
      <c r="AF417">
        <v>0</v>
      </c>
      <c r="AG417">
        <v>0</v>
      </c>
      <c r="AH417">
        <v>0</v>
      </c>
      <c r="AI417">
        <v>0</v>
      </c>
      <c r="AL417">
        <v>0</v>
      </c>
      <c r="AM417" t="s">
        <v>477</v>
      </c>
    </row>
    <row r="418" spans="1:48" customFormat="1">
      <c r="A418" s="1">
        <v>404</v>
      </c>
      <c r="B418" t="s">
        <v>469</v>
      </c>
      <c r="C418" t="s">
        <v>1</v>
      </c>
      <c r="D418">
        <f>IF(G418="n","",MIN(X418,AI418,AN418))</f>
        <v>2016</v>
      </c>
      <c r="F418">
        <f t="shared" si="38"/>
        <v>2016</v>
      </c>
      <c r="G418" t="str">
        <f t="shared" si="39"/>
        <v>y</v>
      </c>
      <c r="H418" t="str">
        <f t="shared" si="36"/>
        <v xml:space="preserve"> SBT</v>
      </c>
      <c r="I418" t="s">
        <v>186</v>
      </c>
      <c r="J418" t="s">
        <v>380</v>
      </c>
      <c r="M418">
        <v>30852</v>
      </c>
      <c r="N418">
        <v>6.9000000000000006E-2</v>
      </c>
      <c r="O418">
        <v>1908</v>
      </c>
      <c r="P418" t="s">
        <v>476</v>
      </c>
      <c r="Q418">
        <v>4.5469999999999997</v>
      </c>
      <c r="R418">
        <v>60000</v>
      </c>
      <c r="S418">
        <v>5</v>
      </c>
      <c r="T418" t="s">
        <v>88</v>
      </c>
      <c r="U418" t="s">
        <v>127</v>
      </c>
      <c r="V418" t="s">
        <v>1</v>
      </c>
      <c r="W418" t="s">
        <v>475</v>
      </c>
      <c r="X418" t="s">
        <v>9</v>
      </c>
      <c r="Y418">
        <v>2014</v>
      </c>
      <c r="Z418">
        <v>2010</v>
      </c>
      <c r="AA418">
        <v>2020</v>
      </c>
      <c r="AB418" t="s">
        <v>474</v>
      </c>
      <c r="AC418">
        <v>0</v>
      </c>
      <c r="AD418" t="s">
        <v>473</v>
      </c>
      <c r="AE418" t="s">
        <v>472</v>
      </c>
      <c r="AF418" t="s">
        <v>204</v>
      </c>
      <c r="AG418" t="s">
        <v>22</v>
      </c>
      <c r="AH418" t="s">
        <v>197</v>
      </c>
      <c r="AI418">
        <v>2016</v>
      </c>
      <c r="AJ418">
        <v>2025</v>
      </c>
      <c r="AK418" t="s">
        <v>471</v>
      </c>
      <c r="AL418" t="s">
        <v>470</v>
      </c>
      <c r="AM418" t="s">
        <v>469</v>
      </c>
      <c r="AV418" t="s">
        <v>361</v>
      </c>
    </row>
    <row r="419" spans="1:48" customFormat="1">
      <c r="A419" s="1">
        <v>405</v>
      </c>
      <c r="B419" t="s">
        <v>458</v>
      </c>
      <c r="C419" t="s">
        <v>1</v>
      </c>
      <c r="D419">
        <f>IF(G419="n","",MIN(X419,AI419,AN419))</f>
        <v>2014</v>
      </c>
      <c r="F419">
        <f t="shared" si="38"/>
        <v>2014</v>
      </c>
      <c r="G419" t="str">
        <f t="shared" si="39"/>
        <v>y</v>
      </c>
      <c r="H419" t="str">
        <f t="shared" si="36"/>
        <v>CN, SBT &amp; RE100</v>
      </c>
      <c r="I419" t="s">
        <v>461</v>
      </c>
      <c r="J419" t="s">
        <v>461</v>
      </c>
      <c r="K419" s="7" t="s">
        <v>468</v>
      </c>
      <c r="M419">
        <v>30743</v>
      </c>
      <c r="N419">
        <v>-2.1999999999999999E-2</v>
      </c>
      <c r="O419">
        <v>2833.1</v>
      </c>
      <c r="P419" t="s">
        <v>464</v>
      </c>
      <c r="Q419">
        <v>5.1999999999999998E-2</v>
      </c>
      <c r="R419">
        <v>106700</v>
      </c>
      <c r="S419">
        <v>-28</v>
      </c>
      <c r="T419" t="s">
        <v>88</v>
      </c>
      <c r="U419" t="s">
        <v>275</v>
      </c>
      <c r="V419" t="s">
        <v>337</v>
      </c>
      <c r="W419" t="s">
        <v>9</v>
      </c>
      <c r="X419">
        <v>2018</v>
      </c>
      <c r="Y419" t="s">
        <v>9</v>
      </c>
      <c r="Z419" t="s">
        <v>9</v>
      </c>
      <c r="AA419">
        <v>2045</v>
      </c>
      <c r="AB419" t="s">
        <v>52</v>
      </c>
      <c r="AC419" t="s">
        <v>467</v>
      </c>
      <c r="AD419" t="s">
        <v>466</v>
      </c>
      <c r="AE419" t="s">
        <v>465</v>
      </c>
      <c r="AF419" t="s">
        <v>461</v>
      </c>
      <c r="AG419" t="s">
        <v>22</v>
      </c>
      <c r="AH419" t="s">
        <v>21</v>
      </c>
      <c r="AI419">
        <v>2017</v>
      </c>
      <c r="AJ419">
        <v>2030</v>
      </c>
      <c r="AK419" t="s">
        <v>460</v>
      </c>
      <c r="AL419" t="s">
        <v>459</v>
      </c>
      <c r="AN419">
        <v>2014</v>
      </c>
      <c r="AO419">
        <v>2020</v>
      </c>
      <c r="AP419" t="s">
        <v>13</v>
      </c>
      <c r="AQ419">
        <v>0.8</v>
      </c>
      <c r="AR419">
        <v>0.82</v>
      </c>
      <c r="AS419">
        <v>0.95</v>
      </c>
      <c r="AT419">
        <v>0.94</v>
      </c>
      <c r="AU419" t="s">
        <v>457</v>
      </c>
      <c r="AV419" t="s">
        <v>361</v>
      </c>
    </row>
    <row r="420" spans="1:48" customFormat="1">
      <c r="A420" s="1">
        <v>405</v>
      </c>
      <c r="B420" t="s">
        <v>458</v>
      </c>
      <c r="C420" t="s">
        <v>361</v>
      </c>
      <c r="D420">
        <f>IF(G420="n","",MIN(X420,AI420,AN420))</f>
        <v>2014</v>
      </c>
      <c r="F420">
        <f t="shared" si="38"/>
        <v>2014</v>
      </c>
      <c r="G420" t="str">
        <f t="shared" si="39"/>
        <v>y</v>
      </c>
      <c r="H420" t="str">
        <f t="shared" si="36"/>
        <v>SBT &amp; RE100</v>
      </c>
      <c r="M420">
        <v>30743</v>
      </c>
      <c r="N420">
        <v>-2.1999999999999999E-2</v>
      </c>
      <c r="O420">
        <v>2833.1</v>
      </c>
      <c r="P420" t="s">
        <v>464</v>
      </c>
      <c r="Q420">
        <v>5.1999999999999998E-2</v>
      </c>
      <c r="R420">
        <v>106700</v>
      </c>
      <c r="S420">
        <v>-28</v>
      </c>
      <c r="T420" t="s">
        <v>88</v>
      </c>
      <c r="U420" t="s">
        <v>275</v>
      </c>
      <c r="V420" t="s">
        <v>1</v>
      </c>
      <c r="W420" t="s">
        <v>463</v>
      </c>
      <c r="X420">
        <v>2018</v>
      </c>
      <c r="Y420" t="s">
        <v>9</v>
      </c>
      <c r="Z420">
        <v>2016</v>
      </c>
      <c r="AA420">
        <v>2030</v>
      </c>
      <c r="AB420">
        <v>0</v>
      </c>
      <c r="AC420">
        <v>0</v>
      </c>
      <c r="AD420">
        <v>0</v>
      </c>
      <c r="AE420" t="s">
        <v>462</v>
      </c>
      <c r="AF420" t="s">
        <v>461</v>
      </c>
      <c r="AG420" t="s">
        <v>22</v>
      </c>
      <c r="AH420" t="s">
        <v>21</v>
      </c>
      <c r="AI420">
        <v>2017</v>
      </c>
      <c r="AJ420">
        <v>2030</v>
      </c>
      <c r="AK420" t="s">
        <v>460</v>
      </c>
      <c r="AL420" t="s">
        <v>459</v>
      </c>
      <c r="AM420" t="s">
        <v>458</v>
      </c>
      <c r="AN420">
        <v>2014</v>
      </c>
      <c r="AO420">
        <v>2020</v>
      </c>
      <c r="AP420" t="s">
        <v>13</v>
      </c>
      <c r="AQ420">
        <v>0.8</v>
      </c>
      <c r="AR420">
        <v>0.82</v>
      </c>
      <c r="AS420">
        <v>0.95</v>
      </c>
      <c r="AT420">
        <v>0.94</v>
      </c>
      <c r="AU420" t="s">
        <v>457</v>
      </c>
      <c r="AV420" t="s">
        <v>361</v>
      </c>
    </row>
    <row r="421" spans="1:48" customFormat="1">
      <c r="A421" s="1">
        <v>406</v>
      </c>
      <c r="B421" t="s">
        <v>452</v>
      </c>
      <c r="C421" t="s">
        <v>1</v>
      </c>
      <c r="D421">
        <f>IF(G421="n","",MIN(X421,AI421,AN421))</f>
        <v>2016</v>
      </c>
      <c r="F421">
        <f t="shared" si="38"/>
        <v>2016</v>
      </c>
      <c r="G421" t="str">
        <f t="shared" si="39"/>
        <v>y</v>
      </c>
      <c r="H421" t="str">
        <f t="shared" si="36"/>
        <v xml:space="preserve"> SBT</v>
      </c>
      <c r="I421" t="s">
        <v>119</v>
      </c>
      <c r="J421" t="s">
        <v>118</v>
      </c>
      <c r="K421" s="7" t="s">
        <v>456</v>
      </c>
      <c r="M421">
        <v>30686.7</v>
      </c>
      <c r="N421">
        <v>6.2E-2</v>
      </c>
      <c r="O421">
        <v>4042.3</v>
      </c>
      <c r="P421" t="s">
        <v>455</v>
      </c>
      <c r="Q421">
        <v>5.2999999999999999E-2</v>
      </c>
      <c r="R421">
        <v>174386</v>
      </c>
      <c r="S421">
        <v>2</v>
      </c>
      <c r="T421" t="s">
        <v>88</v>
      </c>
      <c r="U421" t="s">
        <v>267</v>
      </c>
      <c r="V421" t="s">
        <v>1</v>
      </c>
      <c r="W421" t="s">
        <v>9</v>
      </c>
      <c r="X421" t="s">
        <v>9</v>
      </c>
      <c r="Y421" t="s">
        <v>9</v>
      </c>
      <c r="Z421" t="s">
        <v>9</v>
      </c>
      <c r="AA421" t="s">
        <v>9</v>
      </c>
      <c r="AB421">
        <v>0</v>
      </c>
      <c r="AC421">
        <v>0</v>
      </c>
      <c r="AD421">
        <v>0</v>
      </c>
      <c r="AE421">
        <v>0</v>
      </c>
      <c r="AF421" t="s">
        <v>454</v>
      </c>
      <c r="AG421" t="s">
        <v>165</v>
      </c>
      <c r="AH421" t="s">
        <v>453</v>
      </c>
      <c r="AI421">
        <v>2016</v>
      </c>
      <c r="AL421">
        <v>0</v>
      </c>
      <c r="AM421" t="s">
        <v>452</v>
      </c>
    </row>
    <row r="422" spans="1:48" customFormat="1">
      <c r="A422" s="1">
        <v>407</v>
      </c>
      <c r="B422" t="s">
        <v>447</v>
      </c>
      <c r="C422" t="s">
        <v>1</v>
      </c>
      <c r="D422">
        <f>IF(G422="n","",MIN(X422,AI422,AN422))</f>
        <v>2017</v>
      </c>
      <c r="F422">
        <f t="shared" si="38"/>
        <v>2017</v>
      </c>
      <c r="G422" t="str">
        <f t="shared" si="39"/>
        <v>y</v>
      </c>
      <c r="H422" t="str">
        <f t="shared" si="36"/>
        <v xml:space="preserve"> SBT</v>
      </c>
      <c r="I422" t="s">
        <v>71</v>
      </c>
      <c r="J422" t="s">
        <v>265</v>
      </c>
      <c r="K422" s="7">
        <v>35.65</v>
      </c>
      <c r="M422">
        <v>30579.5</v>
      </c>
      <c r="N422">
        <v>0.08</v>
      </c>
      <c r="O422">
        <v>518.4</v>
      </c>
      <c r="P422" t="s">
        <v>451</v>
      </c>
      <c r="Q422">
        <v>0.14499999999999999</v>
      </c>
      <c r="R422">
        <v>170819</v>
      </c>
      <c r="S422">
        <v>12</v>
      </c>
      <c r="T422">
        <v>0</v>
      </c>
      <c r="U422" t="s">
        <v>63</v>
      </c>
      <c r="V422" t="s">
        <v>1</v>
      </c>
      <c r="W422" t="s">
        <v>9</v>
      </c>
      <c r="X422" t="s">
        <v>9</v>
      </c>
      <c r="Y422" t="s">
        <v>9</v>
      </c>
      <c r="Z422" t="s">
        <v>9</v>
      </c>
      <c r="AA422" t="s">
        <v>9</v>
      </c>
      <c r="AB422">
        <v>0</v>
      </c>
      <c r="AC422">
        <v>0</v>
      </c>
      <c r="AD422" t="s">
        <v>450</v>
      </c>
      <c r="AE422" t="s">
        <v>449</v>
      </c>
      <c r="AF422" t="s">
        <v>448</v>
      </c>
      <c r="AG422" t="s">
        <v>165</v>
      </c>
      <c r="AH422" t="s">
        <v>224</v>
      </c>
      <c r="AI422">
        <v>2017</v>
      </c>
      <c r="AL422">
        <v>0</v>
      </c>
      <c r="AM422" t="s">
        <v>447</v>
      </c>
    </row>
    <row r="423" spans="1:48" customFormat="1">
      <c r="A423" s="1">
        <v>408</v>
      </c>
      <c r="B423" t="s">
        <v>443</v>
      </c>
      <c r="C423" t="s">
        <v>1</v>
      </c>
      <c r="D423" t="str">
        <f>IF(G423="n","-",MIN(X423,AI423,AN423))</f>
        <v>-</v>
      </c>
      <c r="E423" t="s">
        <v>9</v>
      </c>
      <c r="F423" t="str">
        <f t="shared" si="38"/>
        <v/>
      </c>
      <c r="G423" t="str">
        <f t="shared" si="39"/>
        <v>n</v>
      </c>
      <c r="H423" t="str">
        <f t="shared" si="36"/>
        <v>None</v>
      </c>
      <c r="I423" t="s">
        <v>319</v>
      </c>
      <c r="J423" t="s">
        <v>402</v>
      </c>
      <c r="M423">
        <v>30578</v>
      </c>
      <c r="N423">
        <v>0.11600000000000001</v>
      </c>
      <c r="O423">
        <v>2368</v>
      </c>
      <c r="P423" t="s">
        <v>446</v>
      </c>
      <c r="Q423">
        <v>3.964</v>
      </c>
      <c r="R423">
        <v>103000</v>
      </c>
      <c r="S423">
        <v>25</v>
      </c>
      <c r="T423">
        <v>0</v>
      </c>
      <c r="U423" t="s">
        <v>127</v>
      </c>
      <c r="V423" t="s">
        <v>1</v>
      </c>
      <c r="W423" t="s">
        <v>445</v>
      </c>
      <c r="X423" t="s">
        <v>9</v>
      </c>
      <c r="Y423" t="s">
        <v>9</v>
      </c>
      <c r="Z423">
        <v>2010</v>
      </c>
      <c r="AA423">
        <v>2020</v>
      </c>
      <c r="AB423" t="s">
        <v>31</v>
      </c>
      <c r="AC423">
        <v>0</v>
      </c>
      <c r="AD423">
        <v>0</v>
      </c>
      <c r="AE423" t="s">
        <v>444</v>
      </c>
      <c r="AF423">
        <v>0</v>
      </c>
      <c r="AG423">
        <v>0</v>
      </c>
      <c r="AH423">
        <v>0</v>
      </c>
      <c r="AI423">
        <v>0</v>
      </c>
      <c r="AL423">
        <v>0</v>
      </c>
      <c r="AM423" t="s">
        <v>443</v>
      </c>
    </row>
    <row r="424" spans="1:48" customFormat="1">
      <c r="A424" s="6">
        <v>409</v>
      </c>
      <c r="B424" t="s">
        <v>441</v>
      </c>
      <c r="C424" t="s">
        <v>1</v>
      </c>
      <c r="D424" t="str">
        <f>IF(G424="n","",MIN(X424,-I424,-N424))</f>
        <v/>
      </c>
      <c r="F424" t="str">
        <f t="shared" si="38"/>
        <v/>
      </c>
      <c r="G424" t="str">
        <f t="shared" si="39"/>
        <v>n</v>
      </c>
      <c r="H424" t="str">
        <f t="shared" si="36"/>
        <v>None</v>
      </c>
      <c r="I424" t="s">
        <v>186</v>
      </c>
      <c r="J424" t="s">
        <v>185</v>
      </c>
      <c r="M424">
        <v>30391</v>
      </c>
      <c r="N424">
        <v>0.495</v>
      </c>
      <c r="O424">
        <v>14135</v>
      </c>
      <c r="P424" t="s">
        <v>442</v>
      </c>
      <c r="Q424">
        <v>1.778</v>
      </c>
      <c r="R424">
        <v>36000</v>
      </c>
      <c r="S424" t="s">
        <v>64</v>
      </c>
      <c r="T424" t="e">
        <v>#N/A</v>
      </c>
      <c r="U424" t="s">
        <v>82</v>
      </c>
      <c r="V424" t="s">
        <v>1</v>
      </c>
      <c r="W424" t="s">
        <v>9</v>
      </c>
      <c r="X424" t="s">
        <v>9</v>
      </c>
      <c r="Y424" t="s">
        <v>9</v>
      </c>
      <c r="Z424" t="s">
        <v>9</v>
      </c>
      <c r="AM424" t="s">
        <v>441</v>
      </c>
    </row>
    <row r="425" spans="1:48" customFormat="1">
      <c r="A425" s="1">
        <v>410</v>
      </c>
      <c r="B425" t="s">
        <v>438</v>
      </c>
      <c r="C425" t="s">
        <v>1</v>
      </c>
      <c r="D425" t="str">
        <f>IF(G425="n","-",MIN(X425,AI425,AN425))</f>
        <v>-</v>
      </c>
      <c r="E425" t="s">
        <v>9</v>
      </c>
      <c r="F425" t="str">
        <f t="shared" si="38"/>
        <v/>
      </c>
      <c r="G425" t="str">
        <f t="shared" si="39"/>
        <v>n</v>
      </c>
      <c r="H425" t="str">
        <f t="shared" si="36"/>
        <v>None</v>
      </c>
      <c r="I425" t="s">
        <v>71</v>
      </c>
      <c r="J425" t="s">
        <v>105</v>
      </c>
      <c r="M425">
        <v>30389.9</v>
      </c>
      <c r="N425">
        <v>0.20300000000000001</v>
      </c>
      <c r="O425">
        <v>1539.1</v>
      </c>
      <c r="P425" t="s">
        <v>440</v>
      </c>
      <c r="Q425">
        <v>-0.127</v>
      </c>
      <c r="R425">
        <v>21282</v>
      </c>
      <c r="S425">
        <v>59</v>
      </c>
      <c r="T425">
        <v>0</v>
      </c>
      <c r="U425" t="s">
        <v>439</v>
      </c>
      <c r="V425" t="s">
        <v>1</v>
      </c>
      <c r="W425" t="s">
        <v>9</v>
      </c>
      <c r="X425" t="s">
        <v>9</v>
      </c>
      <c r="Y425" t="s">
        <v>9</v>
      </c>
      <c r="Z425" t="s">
        <v>9</v>
      </c>
      <c r="AA425" t="s">
        <v>9</v>
      </c>
      <c r="AB425">
        <v>0</v>
      </c>
      <c r="AC425">
        <v>0</v>
      </c>
      <c r="AD425">
        <v>0</v>
      </c>
      <c r="AE425">
        <v>0</v>
      </c>
      <c r="AF425">
        <v>0</v>
      </c>
      <c r="AG425">
        <v>0</v>
      </c>
      <c r="AH425">
        <v>0</v>
      </c>
      <c r="AI425">
        <v>0</v>
      </c>
      <c r="AL425">
        <v>0</v>
      </c>
      <c r="AM425" t="s">
        <v>438</v>
      </c>
    </row>
    <row r="426" spans="1:48" customFormat="1">
      <c r="A426" s="1">
        <v>411</v>
      </c>
      <c r="B426" t="s">
        <v>429</v>
      </c>
      <c r="C426" t="s">
        <v>1</v>
      </c>
      <c r="D426">
        <f>IF(G426="n","",MIN(X426,AI426,AN426))</f>
        <v>2016</v>
      </c>
      <c r="F426">
        <f t="shared" si="38"/>
        <v>2016</v>
      </c>
      <c r="G426" t="str">
        <f t="shared" si="39"/>
        <v>y</v>
      </c>
      <c r="H426" t="str">
        <f t="shared" si="36"/>
        <v>CN, SBT &amp; RE100</v>
      </c>
      <c r="I426" t="s">
        <v>283</v>
      </c>
      <c r="J426" t="s">
        <v>282</v>
      </c>
      <c r="K426" s="7" t="s">
        <v>437</v>
      </c>
      <c r="M426">
        <v>30353.9</v>
      </c>
      <c r="N426">
        <v>8.7999999999999995E-2</v>
      </c>
      <c r="O426">
        <v>2754.5</v>
      </c>
      <c r="P426" t="s">
        <v>434</v>
      </c>
      <c r="Q426">
        <v>0.13700000000000001</v>
      </c>
      <c r="R426">
        <v>137534</v>
      </c>
      <c r="S426">
        <v>13</v>
      </c>
      <c r="T426">
        <v>0</v>
      </c>
      <c r="U426" t="s">
        <v>63</v>
      </c>
      <c r="V426" t="s">
        <v>32</v>
      </c>
      <c r="W426" t="s">
        <v>9</v>
      </c>
      <c r="X426">
        <v>2018</v>
      </c>
      <c r="Y426" t="s">
        <v>9</v>
      </c>
      <c r="Z426" t="s">
        <v>9</v>
      </c>
      <c r="AA426">
        <v>2030</v>
      </c>
      <c r="AB426" t="s">
        <v>436</v>
      </c>
      <c r="AD426" t="s">
        <v>435</v>
      </c>
      <c r="AE426" s="8" t="s">
        <v>432</v>
      </c>
      <c r="AF426" t="s">
        <v>431</v>
      </c>
      <c r="AG426" t="s">
        <v>165</v>
      </c>
      <c r="AH426" t="s">
        <v>430</v>
      </c>
      <c r="AI426">
        <v>2016</v>
      </c>
      <c r="AN426">
        <v>2017</v>
      </c>
      <c r="AO426">
        <v>2030</v>
      </c>
      <c r="AP426" t="s">
        <v>428</v>
      </c>
      <c r="AQ426">
        <v>1.9E-2</v>
      </c>
      <c r="AR426">
        <v>2.5000000000000001E-3</v>
      </c>
      <c r="AS426" t="s">
        <v>13</v>
      </c>
      <c r="AT426" t="s">
        <v>13</v>
      </c>
      <c r="AU426" t="s">
        <v>427</v>
      </c>
    </row>
    <row r="427" spans="1:48" customFormat="1">
      <c r="A427" s="1">
        <v>411</v>
      </c>
      <c r="B427" t="s">
        <v>429</v>
      </c>
      <c r="C427" t="s">
        <v>361</v>
      </c>
      <c r="D427">
        <f>IF(G427="n","",MIN(X427,AI427,AN427))</f>
        <v>2016</v>
      </c>
      <c r="F427">
        <f t="shared" si="38"/>
        <v>2016</v>
      </c>
      <c r="G427" t="str">
        <f t="shared" si="39"/>
        <v>y</v>
      </c>
      <c r="H427" t="str">
        <f t="shared" si="36"/>
        <v>SBT &amp; RE100</v>
      </c>
      <c r="M427">
        <v>30353.9</v>
      </c>
      <c r="N427">
        <v>8.7999999999999995E-2</v>
      </c>
      <c r="O427">
        <v>2754.5</v>
      </c>
      <c r="P427" t="s">
        <v>434</v>
      </c>
      <c r="Q427">
        <v>0.13700000000000001</v>
      </c>
      <c r="R427">
        <v>137534</v>
      </c>
      <c r="S427">
        <v>13</v>
      </c>
      <c r="T427">
        <v>0</v>
      </c>
      <c r="U427" t="s">
        <v>63</v>
      </c>
      <c r="V427" t="s">
        <v>1</v>
      </c>
      <c r="W427" t="s">
        <v>433</v>
      </c>
      <c r="X427" t="s">
        <v>9</v>
      </c>
      <c r="Y427" t="s">
        <v>9</v>
      </c>
      <c r="Z427">
        <v>2015</v>
      </c>
      <c r="AA427">
        <v>2050</v>
      </c>
      <c r="AB427" t="s">
        <v>109</v>
      </c>
      <c r="AC427">
        <v>0</v>
      </c>
      <c r="AD427">
        <v>0</v>
      </c>
      <c r="AE427" t="s">
        <v>432</v>
      </c>
      <c r="AF427" t="s">
        <v>431</v>
      </c>
      <c r="AG427" t="s">
        <v>165</v>
      </c>
      <c r="AH427" t="s">
        <v>430</v>
      </c>
      <c r="AI427">
        <v>2016</v>
      </c>
      <c r="AL427">
        <v>0</v>
      </c>
      <c r="AM427" t="s">
        <v>429</v>
      </c>
      <c r="AN427">
        <v>2017</v>
      </c>
      <c r="AO427">
        <v>2030</v>
      </c>
      <c r="AP427" t="s">
        <v>428</v>
      </c>
      <c r="AQ427">
        <v>1.9E-2</v>
      </c>
      <c r="AR427">
        <v>2.5000000000000001E-3</v>
      </c>
      <c r="AS427" t="s">
        <v>13</v>
      </c>
      <c r="AT427" t="s">
        <v>13</v>
      </c>
      <c r="AU427" t="s">
        <v>427</v>
      </c>
    </row>
    <row r="428" spans="1:48" customFormat="1">
      <c r="A428" s="1">
        <v>412</v>
      </c>
      <c r="B428" t="s">
        <v>425</v>
      </c>
      <c r="C428" t="s">
        <v>1</v>
      </c>
      <c r="D428" t="str">
        <f>IF(G428="n","-",MIN(X428,AI428,AN428))</f>
        <v>-</v>
      </c>
      <c r="E428" t="s">
        <v>9</v>
      </c>
      <c r="F428" t="str">
        <f t="shared" si="38"/>
        <v/>
      </c>
      <c r="G428" t="str">
        <f t="shared" si="39"/>
        <v>n</v>
      </c>
      <c r="H428" t="str">
        <f t="shared" si="36"/>
        <v>None</v>
      </c>
      <c r="I428" t="s">
        <v>319</v>
      </c>
      <c r="J428" t="s">
        <v>318</v>
      </c>
      <c r="M428">
        <v>30296</v>
      </c>
      <c r="N428">
        <v>6.7000000000000004E-2</v>
      </c>
      <c r="O428">
        <v>-174.5</v>
      </c>
      <c r="P428" t="s">
        <v>426</v>
      </c>
      <c r="Q428">
        <v>-1.9470000000000001</v>
      </c>
      <c r="R428">
        <v>29631</v>
      </c>
      <c r="S428">
        <v>5</v>
      </c>
      <c r="T428">
        <v>0</v>
      </c>
      <c r="U428" t="s">
        <v>146</v>
      </c>
      <c r="V428" t="s">
        <v>1</v>
      </c>
      <c r="W428" t="s">
        <v>9</v>
      </c>
      <c r="X428" t="s">
        <v>9</v>
      </c>
      <c r="Y428" t="s">
        <v>9</v>
      </c>
      <c r="Z428" t="s">
        <v>9</v>
      </c>
      <c r="AA428" t="s">
        <v>9</v>
      </c>
      <c r="AB428">
        <v>0</v>
      </c>
      <c r="AC428">
        <v>0</v>
      </c>
      <c r="AD428">
        <v>0</v>
      </c>
      <c r="AE428">
        <v>0</v>
      </c>
      <c r="AF428">
        <v>0</v>
      </c>
      <c r="AG428">
        <v>0</v>
      </c>
      <c r="AH428">
        <v>0</v>
      </c>
      <c r="AI428">
        <v>0</v>
      </c>
      <c r="AL428">
        <v>0</v>
      </c>
      <c r="AM428" t="s">
        <v>425</v>
      </c>
    </row>
    <row r="429" spans="1:48" customFormat="1">
      <c r="A429" s="1">
        <v>413</v>
      </c>
      <c r="B429" t="s">
        <v>422</v>
      </c>
      <c r="C429" t="s">
        <v>1</v>
      </c>
      <c r="D429" t="str">
        <f>IF(G429="n","-",MIN(X429,AI429,AN429))</f>
        <v>-</v>
      </c>
      <c r="E429" t="s">
        <v>9</v>
      </c>
      <c r="F429" t="str">
        <f t="shared" si="38"/>
        <v/>
      </c>
      <c r="G429" t="str">
        <f t="shared" si="39"/>
        <v>n</v>
      </c>
      <c r="H429" t="str">
        <f t="shared" si="36"/>
        <v>None</v>
      </c>
      <c r="I429" t="s">
        <v>76</v>
      </c>
      <c r="J429" t="s">
        <v>424</v>
      </c>
      <c r="M429">
        <v>30282</v>
      </c>
      <c r="N429">
        <v>4.8000000000000001E-2</v>
      </c>
      <c r="O429">
        <v>2523</v>
      </c>
      <c r="P429" t="s">
        <v>423</v>
      </c>
      <c r="Q429">
        <v>0.22700000000000001</v>
      </c>
      <c r="R429">
        <v>30400</v>
      </c>
      <c r="S429">
        <v>-6</v>
      </c>
      <c r="T429" t="s">
        <v>88</v>
      </c>
      <c r="U429" t="s">
        <v>127</v>
      </c>
      <c r="V429" t="s">
        <v>1</v>
      </c>
      <c r="W429" t="s">
        <v>9</v>
      </c>
      <c r="X429" t="s">
        <v>9</v>
      </c>
      <c r="Y429" t="s">
        <v>9</v>
      </c>
      <c r="Z429" t="s">
        <v>9</v>
      </c>
      <c r="AA429" t="s">
        <v>9</v>
      </c>
      <c r="AB429">
        <v>0</v>
      </c>
      <c r="AC429">
        <v>0</v>
      </c>
      <c r="AD429">
        <v>0</v>
      </c>
      <c r="AE429">
        <v>0</v>
      </c>
      <c r="AF429">
        <v>0</v>
      </c>
      <c r="AG429">
        <v>0</v>
      </c>
      <c r="AH429">
        <v>0</v>
      </c>
      <c r="AI429">
        <v>0</v>
      </c>
      <c r="AL429">
        <v>0</v>
      </c>
      <c r="AM429" t="s">
        <v>422</v>
      </c>
    </row>
    <row r="430" spans="1:48" customFormat="1">
      <c r="A430" s="6">
        <v>414</v>
      </c>
      <c r="B430" t="s">
        <v>420</v>
      </c>
      <c r="C430" t="s">
        <v>1</v>
      </c>
      <c r="D430" t="str">
        <f>IF(G430="n","",MIN(X430,-I430,-N430))</f>
        <v/>
      </c>
      <c r="F430" t="str">
        <f t="shared" si="38"/>
        <v/>
      </c>
      <c r="G430" t="str">
        <f t="shared" si="39"/>
        <v>n</v>
      </c>
      <c r="H430" t="str">
        <f t="shared" si="36"/>
        <v>None</v>
      </c>
      <c r="I430" t="s">
        <v>283</v>
      </c>
      <c r="J430" t="s">
        <v>282</v>
      </c>
      <c r="M430">
        <v>30239.4</v>
      </c>
      <c r="N430">
        <v>0.36199999999999999</v>
      </c>
      <c r="O430">
        <v>3961.3</v>
      </c>
      <c r="P430" t="s">
        <v>421</v>
      </c>
      <c r="Q430">
        <v>0.19500000000000001</v>
      </c>
      <c r="R430">
        <v>88800</v>
      </c>
      <c r="S430" t="s">
        <v>64</v>
      </c>
      <c r="T430" t="e">
        <v>#N/A</v>
      </c>
      <c r="U430" t="s">
        <v>73</v>
      </c>
      <c r="V430" t="s">
        <v>1</v>
      </c>
      <c r="W430" t="s">
        <v>9</v>
      </c>
      <c r="X430" t="s">
        <v>9</v>
      </c>
      <c r="Y430" t="s">
        <v>9</v>
      </c>
      <c r="Z430" t="s">
        <v>9</v>
      </c>
      <c r="AM430" t="s">
        <v>420</v>
      </c>
    </row>
    <row r="431" spans="1:48" customFormat="1">
      <c r="A431" s="1">
        <v>415</v>
      </c>
      <c r="B431" t="s">
        <v>415</v>
      </c>
      <c r="C431" t="s">
        <v>1</v>
      </c>
      <c r="D431">
        <f>IF(G431="n","",MIN(X431,AI431,AN431))</f>
        <v>2008</v>
      </c>
      <c r="F431">
        <f t="shared" si="38"/>
        <v>2008</v>
      </c>
      <c r="G431" t="str">
        <f t="shared" si="39"/>
        <v>y</v>
      </c>
      <c r="H431" t="str">
        <f t="shared" si="36"/>
        <v>CN</v>
      </c>
      <c r="I431" t="s">
        <v>342</v>
      </c>
      <c r="J431" t="s">
        <v>342</v>
      </c>
      <c r="M431">
        <v>30235.4</v>
      </c>
      <c r="N431">
        <v>5.7000000000000002E-2</v>
      </c>
      <c r="O431">
        <v>483.7</v>
      </c>
      <c r="P431" t="s">
        <v>419</v>
      </c>
      <c r="Q431">
        <v>-1.7999999999999999E-2</v>
      </c>
      <c r="R431">
        <v>77448</v>
      </c>
      <c r="S431">
        <v>-3</v>
      </c>
      <c r="T431">
        <v>0</v>
      </c>
      <c r="U431" t="s">
        <v>287</v>
      </c>
      <c r="V431" t="s">
        <v>32</v>
      </c>
      <c r="W431" t="s">
        <v>9</v>
      </c>
      <c r="X431">
        <v>2008</v>
      </c>
      <c r="Y431" t="s">
        <v>9</v>
      </c>
      <c r="Z431" t="s">
        <v>9</v>
      </c>
      <c r="AA431">
        <v>2023</v>
      </c>
      <c r="AB431" t="s">
        <v>418</v>
      </c>
      <c r="AC431">
        <v>0</v>
      </c>
      <c r="AD431" t="s">
        <v>417</v>
      </c>
      <c r="AE431" t="s">
        <v>416</v>
      </c>
      <c r="AF431">
        <v>0</v>
      </c>
      <c r="AG431">
        <v>0</v>
      </c>
      <c r="AH431">
        <v>0</v>
      </c>
      <c r="AL431">
        <v>0</v>
      </c>
      <c r="AM431" t="s">
        <v>415</v>
      </c>
    </row>
    <row r="432" spans="1:48" customFormat="1">
      <c r="A432" s="1">
        <v>416</v>
      </c>
      <c r="B432" t="s">
        <v>411</v>
      </c>
      <c r="C432" t="s">
        <v>1</v>
      </c>
      <c r="D432" t="str">
        <f t="shared" ref="D432:D437" si="42">IF(G432="n","-",MIN(X432,AI432,AN432))</f>
        <v>-</v>
      </c>
      <c r="E432" t="s">
        <v>9</v>
      </c>
      <c r="F432" t="str">
        <f t="shared" si="38"/>
        <v/>
      </c>
      <c r="G432" t="str">
        <f t="shared" si="39"/>
        <v>n</v>
      </c>
      <c r="H432" t="str">
        <f t="shared" si="36"/>
        <v>None</v>
      </c>
      <c r="I432" t="s">
        <v>101</v>
      </c>
      <c r="J432" t="s">
        <v>101</v>
      </c>
      <c r="M432">
        <v>30095</v>
      </c>
      <c r="N432">
        <v>0.16600000000000001</v>
      </c>
      <c r="O432">
        <v>3229</v>
      </c>
      <c r="P432" t="s">
        <v>414</v>
      </c>
      <c r="Q432">
        <v>0.60199999999999998</v>
      </c>
      <c r="R432">
        <v>85000</v>
      </c>
      <c r="S432">
        <v>45</v>
      </c>
      <c r="T432">
        <v>0</v>
      </c>
      <c r="U432" t="s">
        <v>127</v>
      </c>
      <c r="V432" t="s">
        <v>1</v>
      </c>
      <c r="W432" t="s">
        <v>413</v>
      </c>
      <c r="X432" t="s">
        <v>9</v>
      </c>
      <c r="Y432">
        <v>2014</v>
      </c>
      <c r="Z432">
        <v>2010</v>
      </c>
      <c r="AA432">
        <v>2020</v>
      </c>
      <c r="AB432" t="s">
        <v>31</v>
      </c>
      <c r="AC432">
        <v>0</v>
      </c>
      <c r="AD432">
        <v>0</v>
      </c>
      <c r="AE432" t="s">
        <v>412</v>
      </c>
      <c r="AF432">
        <v>0</v>
      </c>
      <c r="AG432">
        <v>0</v>
      </c>
      <c r="AH432">
        <v>0</v>
      </c>
      <c r="AI432">
        <v>0</v>
      </c>
      <c r="AL432">
        <v>0</v>
      </c>
      <c r="AM432" t="s">
        <v>411</v>
      </c>
    </row>
    <row r="433" spans="1:48" customFormat="1">
      <c r="A433" s="1">
        <v>417</v>
      </c>
      <c r="B433" t="s">
        <v>405</v>
      </c>
      <c r="C433" t="s">
        <v>1</v>
      </c>
      <c r="D433" t="str">
        <f t="shared" si="42"/>
        <v>-</v>
      </c>
      <c r="E433" t="s">
        <v>9</v>
      </c>
      <c r="F433" t="str">
        <f t="shared" si="38"/>
        <v/>
      </c>
      <c r="G433" t="str">
        <f t="shared" si="39"/>
        <v>n</v>
      </c>
      <c r="H433" t="str">
        <f t="shared" si="36"/>
        <v>None</v>
      </c>
      <c r="I433" t="s">
        <v>71</v>
      </c>
      <c r="J433" t="s">
        <v>105</v>
      </c>
      <c r="K433" s="7" t="s">
        <v>410</v>
      </c>
      <c r="M433">
        <v>30081.4</v>
      </c>
      <c r="N433">
        <v>0.21299999999999999</v>
      </c>
      <c r="O433">
        <v>2540.9</v>
      </c>
      <c r="P433" t="s">
        <v>409</v>
      </c>
      <c r="Q433">
        <v>-0.26</v>
      </c>
      <c r="R433">
        <v>12480</v>
      </c>
      <c r="S433">
        <v>59</v>
      </c>
      <c r="T433">
        <v>0</v>
      </c>
      <c r="U433" t="s">
        <v>78</v>
      </c>
      <c r="V433" t="s">
        <v>1</v>
      </c>
      <c r="W433" t="s">
        <v>408</v>
      </c>
      <c r="X433" t="s">
        <v>9</v>
      </c>
      <c r="Y433" t="s">
        <v>9</v>
      </c>
      <c r="Z433">
        <v>2014</v>
      </c>
      <c r="AA433">
        <v>2030</v>
      </c>
      <c r="AB433" t="s">
        <v>407</v>
      </c>
      <c r="AC433">
        <v>0</v>
      </c>
      <c r="AD433">
        <v>0</v>
      </c>
      <c r="AE433" t="s">
        <v>406</v>
      </c>
      <c r="AF433">
        <v>0</v>
      </c>
      <c r="AG433">
        <v>0</v>
      </c>
      <c r="AH433">
        <v>0</v>
      </c>
      <c r="AI433">
        <v>0</v>
      </c>
      <c r="AL433">
        <v>0</v>
      </c>
      <c r="AM433" t="s">
        <v>405</v>
      </c>
    </row>
    <row r="434" spans="1:48" customFormat="1">
      <c r="A434" s="1">
        <v>418</v>
      </c>
      <c r="B434" t="s">
        <v>403</v>
      </c>
      <c r="C434" t="s">
        <v>1</v>
      </c>
      <c r="D434" t="str">
        <f t="shared" si="42"/>
        <v>-</v>
      </c>
      <c r="E434" t="s">
        <v>9</v>
      </c>
      <c r="F434" t="str">
        <f t="shared" si="38"/>
        <v/>
      </c>
      <c r="G434" t="str">
        <f t="shared" si="39"/>
        <v>n</v>
      </c>
      <c r="H434" t="str">
        <f t="shared" si="36"/>
        <v>None</v>
      </c>
      <c r="I434" t="s">
        <v>76</v>
      </c>
      <c r="J434" t="s">
        <v>199</v>
      </c>
      <c r="M434">
        <v>30070.6</v>
      </c>
      <c r="N434">
        <v>-0.33100000000000002</v>
      </c>
      <c r="O434">
        <v>3703.7</v>
      </c>
      <c r="P434" t="s">
        <v>404</v>
      </c>
      <c r="Q434">
        <v>1.284</v>
      </c>
      <c r="R434">
        <v>34000</v>
      </c>
      <c r="S434">
        <v>-177</v>
      </c>
      <c r="T434" t="s">
        <v>88</v>
      </c>
      <c r="U434" t="s">
        <v>78</v>
      </c>
      <c r="V434" t="s">
        <v>1</v>
      </c>
      <c r="W434" t="s">
        <v>9</v>
      </c>
      <c r="X434" t="s">
        <v>9</v>
      </c>
      <c r="Y434" t="s">
        <v>9</v>
      </c>
      <c r="Z434" t="s">
        <v>9</v>
      </c>
      <c r="AA434" t="s">
        <v>9</v>
      </c>
      <c r="AB434">
        <v>0</v>
      </c>
      <c r="AC434">
        <v>0</v>
      </c>
      <c r="AD434">
        <v>0</v>
      </c>
      <c r="AE434">
        <v>0</v>
      </c>
      <c r="AF434">
        <v>0</v>
      </c>
      <c r="AG434">
        <v>0</v>
      </c>
      <c r="AH434">
        <v>0</v>
      </c>
      <c r="AI434">
        <v>0</v>
      </c>
      <c r="AL434">
        <v>0</v>
      </c>
      <c r="AM434" t="s">
        <v>403</v>
      </c>
    </row>
    <row r="435" spans="1:48" customFormat="1">
      <c r="A435" s="1">
        <v>419</v>
      </c>
      <c r="B435" t="s">
        <v>399</v>
      </c>
      <c r="C435" t="s">
        <v>1</v>
      </c>
      <c r="D435" t="str">
        <f t="shared" si="42"/>
        <v>-</v>
      </c>
      <c r="E435" t="s">
        <v>9</v>
      </c>
      <c r="F435" t="str">
        <f t="shared" si="38"/>
        <v/>
      </c>
      <c r="G435" t="str">
        <f t="shared" si="39"/>
        <v>n</v>
      </c>
      <c r="H435" t="str">
        <f t="shared" si="36"/>
        <v>None</v>
      </c>
      <c r="I435" t="s">
        <v>319</v>
      </c>
      <c r="J435" t="s">
        <v>402</v>
      </c>
      <c r="M435">
        <v>29953</v>
      </c>
      <c r="N435">
        <v>8.0000000000000002E-3</v>
      </c>
      <c r="O435">
        <v>3104</v>
      </c>
      <c r="P435" t="s">
        <v>401</v>
      </c>
      <c r="Q435">
        <v>-0.22900000000000001</v>
      </c>
      <c r="R435">
        <v>98003</v>
      </c>
      <c r="S435">
        <v>-23</v>
      </c>
      <c r="T435" t="s">
        <v>88</v>
      </c>
      <c r="U435" t="s">
        <v>400</v>
      </c>
      <c r="V435" t="s">
        <v>1</v>
      </c>
      <c r="W435" t="s">
        <v>9</v>
      </c>
      <c r="X435" t="s">
        <v>9</v>
      </c>
      <c r="Y435" t="s">
        <v>9</v>
      </c>
      <c r="Z435" t="s">
        <v>9</v>
      </c>
      <c r="AA435" t="s">
        <v>9</v>
      </c>
      <c r="AB435">
        <v>0</v>
      </c>
      <c r="AC435">
        <v>0</v>
      </c>
      <c r="AD435">
        <v>0</v>
      </c>
      <c r="AE435">
        <v>0</v>
      </c>
      <c r="AF435">
        <v>0</v>
      </c>
      <c r="AG435">
        <v>0</v>
      </c>
      <c r="AH435">
        <v>0</v>
      </c>
      <c r="AI435">
        <v>0</v>
      </c>
      <c r="AL435">
        <v>0</v>
      </c>
      <c r="AM435" t="s">
        <v>399</v>
      </c>
    </row>
    <row r="436" spans="1:48" customFormat="1">
      <c r="A436" s="1">
        <v>420</v>
      </c>
      <c r="B436" t="s">
        <v>396</v>
      </c>
      <c r="C436" t="s">
        <v>1</v>
      </c>
      <c r="D436" t="str">
        <f t="shared" si="42"/>
        <v>-</v>
      </c>
      <c r="E436" t="s">
        <v>9</v>
      </c>
      <c r="F436" t="str">
        <f t="shared" si="38"/>
        <v/>
      </c>
      <c r="G436" t="str">
        <f t="shared" si="39"/>
        <v>n</v>
      </c>
      <c r="H436" t="str">
        <f t="shared" si="36"/>
        <v>None</v>
      </c>
      <c r="I436" t="s">
        <v>71</v>
      </c>
      <c r="J436" t="s">
        <v>265</v>
      </c>
      <c r="M436">
        <v>29832.5</v>
      </c>
      <c r="N436">
        <v>5.5E-2</v>
      </c>
      <c r="O436">
        <v>1037.9000000000001</v>
      </c>
      <c r="P436" t="s">
        <v>398</v>
      </c>
      <c r="Q436">
        <v>-0.24299999999999999</v>
      </c>
      <c r="R436">
        <v>32597</v>
      </c>
      <c r="S436" t="s">
        <v>9</v>
      </c>
      <c r="T436">
        <v>0</v>
      </c>
      <c r="U436" t="s">
        <v>207</v>
      </c>
      <c r="V436" t="s">
        <v>1</v>
      </c>
      <c r="W436" t="s">
        <v>9</v>
      </c>
      <c r="X436" t="s">
        <v>9</v>
      </c>
      <c r="Y436" t="s">
        <v>9</v>
      </c>
      <c r="Z436" t="s">
        <v>9</v>
      </c>
      <c r="AA436" t="s">
        <v>9</v>
      </c>
      <c r="AB436">
        <v>0</v>
      </c>
      <c r="AC436">
        <v>0</v>
      </c>
      <c r="AD436" t="s">
        <v>397</v>
      </c>
      <c r="AE436">
        <v>0</v>
      </c>
      <c r="AF436">
        <v>0</v>
      </c>
      <c r="AG436">
        <v>0</v>
      </c>
      <c r="AH436">
        <v>0</v>
      </c>
      <c r="AI436">
        <v>0</v>
      </c>
      <c r="AL436">
        <v>0</v>
      </c>
      <c r="AM436" t="s">
        <v>396</v>
      </c>
    </row>
    <row r="437" spans="1:48" customFormat="1">
      <c r="A437" s="1">
        <v>421</v>
      </c>
      <c r="B437" t="s">
        <v>393</v>
      </c>
      <c r="C437" t="s">
        <v>1</v>
      </c>
      <c r="D437" t="str">
        <f t="shared" si="42"/>
        <v>-</v>
      </c>
      <c r="E437" t="s">
        <v>9</v>
      </c>
      <c r="F437" t="str">
        <f t="shared" si="38"/>
        <v/>
      </c>
      <c r="G437" t="str">
        <f t="shared" si="39"/>
        <v>n</v>
      </c>
      <c r="H437" t="str">
        <f t="shared" si="36"/>
        <v>None</v>
      </c>
      <c r="I437" t="s">
        <v>91</v>
      </c>
      <c r="J437" t="s">
        <v>395</v>
      </c>
      <c r="M437">
        <v>29676.799999999999</v>
      </c>
      <c r="N437">
        <v>0.107</v>
      </c>
      <c r="O437">
        <v>716.2</v>
      </c>
      <c r="P437" t="s">
        <v>394</v>
      </c>
      <c r="Q437">
        <v>0.78200000000000003</v>
      </c>
      <c r="R437">
        <v>20100</v>
      </c>
      <c r="S437">
        <v>19</v>
      </c>
      <c r="T437">
        <v>0</v>
      </c>
      <c r="U437" t="s">
        <v>127</v>
      </c>
      <c r="V437" t="s">
        <v>1</v>
      </c>
      <c r="W437" t="s">
        <v>9</v>
      </c>
      <c r="X437" t="s">
        <v>9</v>
      </c>
      <c r="Y437" t="s">
        <v>9</v>
      </c>
      <c r="Z437" t="s">
        <v>9</v>
      </c>
      <c r="AA437" t="s">
        <v>9</v>
      </c>
      <c r="AB437">
        <v>0</v>
      </c>
      <c r="AC437">
        <v>0</v>
      </c>
      <c r="AD437">
        <v>0</v>
      </c>
      <c r="AE437">
        <v>0</v>
      </c>
      <c r="AF437">
        <v>0</v>
      </c>
      <c r="AG437">
        <v>0</v>
      </c>
      <c r="AH437">
        <v>0</v>
      </c>
      <c r="AI437">
        <v>0</v>
      </c>
      <c r="AL437">
        <v>0</v>
      </c>
      <c r="AM437" t="s">
        <v>393</v>
      </c>
    </row>
    <row r="438" spans="1:48" customFormat="1">
      <c r="A438" s="1">
        <v>422</v>
      </c>
      <c r="B438" t="s">
        <v>386</v>
      </c>
      <c r="C438" t="s">
        <v>1</v>
      </c>
      <c r="D438">
        <f>IF(G438="n","",MIN(X438,AI438,AN438))</f>
        <v>2017</v>
      </c>
      <c r="F438">
        <f t="shared" si="38"/>
        <v>2017</v>
      </c>
      <c r="G438" t="str">
        <f t="shared" si="39"/>
        <v>y</v>
      </c>
      <c r="H438" t="str">
        <f t="shared" si="36"/>
        <v xml:space="preserve"> SBT</v>
      </c>
      <c r="I438" t="s">
        <v>124</v>
      </c>
      <c r="J438" t="s">
        <v>388</v>
      </c>
      <c r="M438">
        <v>29625</v>
      </c>
      <c r="N438">
        <v>3.1E-2</v>
      </c>
      <c r="O438">
        <v>7911</v>
      </c>
      <c r="P438" t="s">
        <v>392</v>
      </c>
      <c r="Q438">
        <v>0.311</v>
      </c>
      <c r="R438">
        <v>77400</v>
      </c>
      <c r="S438">
        <v>-11</v>
      </c>
      <c r="T438" t="s">
        <v>88</v>
      </c>
      <c r="U438" t="s">
        <v>127</v>
      </c>
      <c r="V438" t="s">
        <v>1</v>
      </c>
      <c r="W438" t="s">
        <v>391</v>
      </c>
      <c r="X438" t="s">
        <v>9</v>
      </c>
      <c r="Y438" t="s">
        <v>9</v>
      </c>
      <c r="Z438">
        <v>2010</v>
      </c>
      <c r="AA438">
        <v>2020</v>
      </c>
      <c r="AB438" t="s">
        <v>390</v>
      </c>
      <c r="AC438">
        <v>0</v>
      </c>
      <c r="AD438">
        <v>0</v>
      </c>
      <c r="AE438" t="s">
        <v>389</v>
      </c>
      <c r="AF438" t="s">
        <v>388</v>
      </c>
      <c r="AG438" t="s">
        <v>22</v>
      </c>
      <c r="AH438" t="s">
        <v>224</v>
      </c>
      <c r="AI438">
        <v>2017</v>
      </c>
      <c r="AJ438">
        <v>2030</v>
      </c>
      <c r="AK438" t="s">
        <v>20</v>
      </c>
      <c r="AL438" t="s">
        <v>387</v>
      </c>
      <c r="AM438" t="s">
        <v>386</v>
      </c>
    </row>
    <row r="439" spans="1:48" customFormat="1">
      <c r="A439" s="1">
        <v>423</v>
      </c>
      <c r="B439" t="s">
        <v>385</v>
      </c>
      <c r="C439" t="s">
        <v>1</v>
      </c>
      <c r="D439" t="str">
        <f>IF(G439="n","-",MIN(X439,AI439,AN439))</f>
        <v>-</v>
      </c>
      <c r="E439" t="s">
        <v>9</v>
      </c>
      <c r="F439" t="str">
        <f t="shared" si="38"/>
        <v/>
      </c>
      <c r="G439" t="str">
        <f t="shared" si="39"/>
        <v>n</v>
      </c>
      <c r="H439" t="str">
        <f t="shared" si="36"/>
        <v>None</v>
      </c>
      <c r="I439" t="s">
        <v>71</v>
      </c>
      <c r="J439" t="s">
        <v>384</v>
      </c>
      <c r="M439">
        <v>29592.3</v>
      </c>
      <c r="N439">
        <v>9.1999999999999998E-2</v>
      </c>
      <c r="O439">
        <v>1143.8</v>
      </c>
      <c r="P439" t="s">
        <v>383</v>
      </c>
      <c r="Q439">
        <v>-0.15</v>
      </c>
      <c r="R439">
        <v>92631</v>
      </c>
      <c r="S439">
        <v>12</v>
      </c>
      <c r="T439">
        <v>0</v>
      </c>
      <c r="U439" t="s">
        <v>382</v>
      </c>
      <c r="V439" t="s">
        <v>1</v>
      </c>
      <c r="W439" t="s">
        <v>9</v>
      </c>
      <c r="X439" t="s">
        <v>9</v>
      </c>
      <c r="Y439" t="s">
        <v>9</v>
      </c>
      <c r="Z439" t="s">
        <v>9</v>
      </c>
      <c r="AA439" t="s">
        <v>9</v>
      </c>
      <c r="AB439">
        <v>0</v>
      </c>
      <c r="AC439">
        <v>0</v>
      </c>
      <c r="AD439">
        <v>0</v>
      </c>
      <c r="AE439">
        <v>0</v>
      </c>
      <c r="AF439">
        <v>0</v>
      </c>
      <c r="AG439">
        <v>0</v>
      </c>
      <c r="AH439">
        <v>0</v>
      </c>
      <c r="AI439">
        <v>0</v>
      </c>
      <c r="AL439">
        <v>0</v>
      </c>
      <c r="AM439" t="s">
        <v>381</v>
      </c>
    </row>
    <row r="440" spans="1:48" customFormat="1">
      <c r="A440" s="1">
        <v>424</v>
      </c>
      <c r="B440" t="s">
        <v>378</v>
      </c>
      <c r="C440" t="s">
        <v>1</v>
      </c>
      <c r="D440" t="str">
        <f>IF(G440="n","-",MIN(X440,AI440,AN440))</f>
        <v>-</v>
      </c>
      <c r="E440" t="s">
        <v>9</v>
      </c>
      <c r="F440" t="str">
        <f t="shared" si="38"/>
        <v/>
      </c>
      <c r="G440" t="str">
        <f t="shared" si="39"/>
        <v>n</v>
      </c>
      <c r="H440" t="str">
        <f t="shared" si="36"/>
        <v>None</v>
      </c>
      <c r="I440" t="s">
        <v>186</v>
      </c>
      <c r="J440" t="s">
        <v>380</v>
      </c>
      <c r="M440">
        <v>29509.5</v>
      </c>
      <c r="N440">
        <v>7.3999999999999996E-2</v>
      </c>
      <c r="O440">
        <v>162.80000000000001</v>
      </c>
      <c r="P440" t="s">
        <v>379</v>
      </c>
      <c r="Q440">
        <v>0.27500000000000002</v>
      </c>
      <c r="R440">
        <v>82955</v>
      </c>
      <c r="S440">
        <v>8</v>
      </c>
      <c r="T440">
        <v>0</v>
      </c>
      <c r="U440" t="s">
        <v>103</v>
      </c>
      <c r="V440" t="s">
        <v>1</v>
      </c>
      <c r="W440" t="s">
        <v>9</v>
      </c>
      <c r="X440" t="s">
        <v>9</v>
      </c>
      <c r="Y440" t="s">
        <v>9</v>
      </c>
      <c r="Z440" t="s">
        <v>9</v>
      </c>
      <c r="AA440" t="s">
        <v>9</v>
      </c>
      <c r="AB440">
        <v>0</v>
      </c>
      <c r="AC440">
        <v>0</v>
      </c>
      <c r="AD440">
        <v>0</v>
      </c>
      <c r="AE440">
        <v>0</v>
      </c>
      <c r="AF440">
        <v>0</v>
      </c>
      <c r="AG440">
        <v>0</v>
      </c>
      <c r="AH440">
        <v>0</v>
      </c>
      <c r="AI440">
        <v>0</v>
      </c>
      <c r="AL440">
        <v>0</v>
      </c>
      <c r="AM440" t="s">
        <v>378</v>
      </c>
    </row>
    <row r="441" spans="1:48" customFormat="1">
      <c r="A441" s="1">
        <v>425</v>
      </c>
      <c r="B441" t="s">
        <v>373</v>
      </c>
      <c r="C441" t="s">
        <v>1</v>
      </c>
      <c r="D441" t="str">
        <f>IF(G441="n","-",MIN(X441,AI441,AN441))</f>
        <v>-</v>
      </c>
      <c r="E441" t="s">
        <v>9</v>
      </c>
      <c r="F441" t="str">
        <f t="shared" si="38"/>
        <v/>
      </c>
      <c r="G441" t="str">
        <f t="shared" si="39"/>
        <v>n</v>
      </c>
      <c r="H441" t="str">
        <f t="shared" si="36"/>
        <v>None</v>
      </c>
      <c r="I441" t="s">
        <v>76</v>
      </c>
      <c r="J441" t="s">
        <v>80</v>
      </c>
      <c r="M441">
        <v>29332.3</v>
      </c>
      <c r="N441">
        <v>3.0000000000000001E-3</v>
      </c>
      <c r="O441">
        <v>4593.7</v>
      </c>
      <c r="P441" t="s">
        <v>377</v>
      </c>
      <c r="Q441">
        <v>-0.255</v>
      </c>
      <c r="R441">
        <v>86786</v>
      </c>
      <c r="S441">
        <v>-23</v>
      </c>
      <c r="T441" t="s">
        <v>88</v>
      </c>
      <c r="U441" t="s">
        <v>376</v>
      </c>
      <c r="V441" t="s">
        <v>1</v>
      </c>
      <c r="W441" t="s">
        <v>375</v>
      </c>
      <c r="X441" t="s">
        <v>9</v>
      </c>
      <c r="Y441" t="s">
        <v>9</v>
      </c>
      <c r="Z441">
        <v>2008</v>
      </c>
      <c r="AA441">
        <v>2020</v>
      </c>
      <c r="AB441">
        <v>0</v>
      </c>
      <c r="AC441">
        <v>0</v>
      </c>
      <c r="AD441">
        <v>0</v>
      </c>
      <c r="AE441" t="s">
        <v>374</v>
      </c>
      <c r="AF441">
        <v>0</v>
      </c>
      <c r="AG441">
        <v>0</v>
      </c>
      <c r="AH441">
        <v>0</v>
      </c>
      <c r="AI441">
        <v>0</v>
      </c>
      <c r="AL441">
        <v>0</v>
      </c>
      <c r="AM441" t="s">
        <v>373</v>
      </c>
    </row>
    <row r="442" spans="1:48" customFormat="1">
      <c r="A442" s="1">
        <v>426</v>
      </c>
      <c r="B442" t="s">
        <v>370</v>
      </c>
      <c r="C442" t="s">
        <v>1</v>
      </c>
      <c r="D442" t="str">
        <f>IF(G442="n","-",MIN(X442,AI442,AN442))</f>
        <v>-</v>
      </c>
      <c r="E442" t="s">
        <v>9</v>
      </c>
      <c r="F442" t="str">
        <f t="shared" si="38"/>
        <v/>
      </c>
      <c r="G442" t="str">
        <f t="shared" si="39"/>
        <v>n</v>
      </c>
      <c r="H442" t="str">
        <f t="shared" si="36"/>
        <v>None</v>
      </c>
      <c r="I442" t="s">
        <v>76</v>
      </c>
      <c r="J442" t="s">
        <v>199</v>
      </c>
      <c r="M442">
        <v>29305.8</v>
      </c>
      <c r="N442">
        <v>3.6999999999999998E-2</v>
      </c>
      <c r="O442">
        <v>1512.9</v>
      </c>
      <c r="P442" t="s">
        <v>372</v>
      </c>
      <c r="Q442">
        <v>0.46700000000000003</v>
      </c>
      <c r="R442">
        <v>5420</v>
      </c>
      <c r="S442">
        <v>-5</v>
      </c>
      <c r="T442">
        <v>0</v>
      </c>
      <c r="U442" t="s">
        <v>114</v>
      </c>
      <c r="V442" t="s">
        <v>1</v>
      </c>
      <c r="W442" t="s">
        <v>9</v>
      </c>
      <c r="X442" t="s">
        <v>9</v>
      </c>
      <c r="Y442" t="s">
        <v>9</v>
      </c>
      <c r="Z442" t="s">
        <v>9</v>
      </c>
      <c r="AA442" t="s">
        <v>9</v>
      </c>
      <c r="AB442">
        <v>0</v>
      </c>
      <c r="AC442">
        <v>0</v>
      </c>
      <c r="AD442" t="s">
        <v>371</v>
      </c>
      <c r="AE442">
        <v>0</v>
      </c>
      <c r="AF442">
        <v>0</v>
      </c>
      <c r="AG442">
        <v>0</v>
      </c>
      <c r="AH442">
        <v>0</v>
      </c>
      <c r="AI442">
        <v>0</v>
      </c>
      <c r="AL442">
        <v>0</v>
      </c>
      <c r="AM442" t="s">
        <v>370</v>
      </c>
    </row>
    <row r="443" spans="1:48" customFormat="1">
      <c r="A443" s="1">
        <v>427</v>
      </c>
      <c r="B443" t="s">
        <v>362</v>
      </c>
      <c r="C443" t="s">
        <v>1</v>
      </c>
      <c r="D443">
        <f>IF(G443="n","",MIN(X443,AI443,AN443))</f>
        <v>2015</v>
      </c>
      <c r="E443" t="s">
        <v>369</v>
      </c>
      <c r="F443">
        <f t="shared" si="38"/>
        <v>2015</v>
      </c>
      <c r="G443" t="str">
        <f t="shared" si="39"/>
        <v>y</v>
      </c>
      <c r="H443" t="str">
        <f t="shared" si="36"/>
        <v>CN, SBT &amp; RE100</v>
      </c>
      <c r="I443" t="s">
        <v>186</v>
      </c>
      <c r="J443" t="s">
        <v>368</v>
      </c>
      <c r="M443">
        <v>29159.599999999999</v>
      </c>
      <c r="N443">
        <v>0.10299999999999999</v>
      </c>
      <c r="O443">
        <v>4818.6000000000004</v>
      </c>
      <c r="P443" t="s">
        <v>367</v>
      </c>
      <c r="Q443">
        <v>6.4000000000000001E-2</v>
      </c>
      <c r="R443">
        <v>96498</v>
      </c>
      <c r="S443">
        <v>19</v>
      </c>
      <c r="T443">
        <v>0</v>
      </c>
      <c r="U443" t="s">
        <v>146</v>
      </c>
      <c r="V443" t="s">
        <v>32</v>
      </c>
      <c r="W443" t="s">
        <v>9</v>
      </c>
      <c r="X443">
        <v>2017</v>
      </c>
      <c r="Y443" t="s">
        <v>9</v>
      </c>
      <c r="Z443" t="s">
        <v>9</v>
      </c>
      <c r="AA443">
        <v>2025</v>
      </c>
      <c r="AB443" t="s">
        <v>52</v>
      </c>
      <c r="AC443">
        <v>0</v>
      </c>
      <c r="AD443" t="s">
        <v>366</v>
      </c>
      <c r="AE443" t="s">
        <v>365</v>
      </c>
      <c r="AF443" t="s">
        <v>364</v>
      </c>
      <c r="AG443" t="s">
        <v>22</v>
      </c>
      <c r="AH443" t="s">
        <v>224</v>
      </c>
      <c r="AI443">
        <v>2017</v>
      </c>
      <c r="AJ443">
        <v>2025</v>
      </c>
      <c r="AK443" t="s">
        <v>20</v>
      </c>
      <c r="AL443" t="s">
        <v>363</v>
      </c>
      <c r="AM443" t="s">
        <v>362</v>
      </c>
      <c r="AN443">
        <v>2015</v>
      </c>
      <c r="AO443">
        <v>2014</v>
      </c>
      <c r="AP443" t="s">
        <v>13</v>
      </c>
      <c r="AQ443">
        <v>1</v>
      </c>
      <c r="AR443">
        <v>1</v>
      </c>
      <c r="AS443">
        <v>1</v>
      </c>
      <c r="AT443">
        <v>1</v>
      </c>
      <c r="AU443" t="s">
        <v>352</v>
      </c>
      <c r="AV443" t="s">
        <v>361</v>
      </c>
    </row>
    <row r="444" spans="1:48" customFormat="1">
      <c r="A444" s="1">
        <v>428</v>
      </c>
      <c r="B444" t="s">
        <v>353</v>
      </c>
      <c r="C444" t="s">
        <v>1</v>
      </c>
      <c r="D444">
        <f>IF(G444="n","",MIN(X444,AI444,AN444))</f>
        <v>2012</v>
      </c>
      <c r="F444">
        <f t="shared" si="38"/>
        <v>2012</v>
      </c>
      <c r="G444" t="str">
        <f t="shared" si="39"/>
        <v>y</v>
      </c>
      <c r="H444" t="str">
        <f t="shared" si="36"/>
        <v>CN, SBT &amp; RE100</v>
      </c>
      <c r="I444" t="s">
        <v>178</v>
      </c>
      <c r="J444" t="s">
        <v>360</v>
      </c>
      <c r="M444">
        <v>29149</v>
      </c>
      <c r="N444">
        <v>7.2999999999999995E-2</v>
      </c>
      <c r="O444">
        <v>941.8</v>
      </c>
      <c r="P444" t="s">
        <v>359</v>
      </c>
      <c r="Q444">
        <v>-1.7999999999999999E-2</v>
      </c>
      <c r="R444">
        <v>233076</v>
      </c>
      <c r="S444">
        <v>6</v>
      </c>
      <c r="T444">
        <v>0</v>
      </c>
      <c r="U444" t="s">
        <v>63</v>
      </c>
      <c r="V444" t="s">
        <v>32</v>
      </c>
      <c r="W444" t="s">
        <v>9</v>
      </c>
      <c r="X444">
        <v>2012</v>
      </c>
      <c r="Y444" t="s">
        <v>9</v>
      </c>
      <c r="Z444" t="s">
        <v>9</v>
      </c>
      <c r="AA444" t="s">
        <v>9</v>
      </c>
      <c r="AB444" t="s">
        <v>358</v>
      </c>
      <c r="AC444">
        <v>0</v>
      </c>
      <c r="AD444" t="s">
        <v>357</v>
      </c>
      <c r="AE444" t="s">
        <v>356</v>
      </c>
      <c r="AF444" t="s">
        <v>355</v>
      </c>
      <c r="AG444" t="s">
        <v>165</v>
      </c>
      <c r="AH444" t="s">
        <v>354</v>
      </c>
      <c r="AI444">
        <v>2017</v>
      </c>
      <c r="AL444">
        <v>0</v>
      </c>
      <c r="AM444" t="s">
        <v>353</v>
      </c>
      <c r="AN444">
        <v>2015</v>
      </c>
      <c r="AO444">
        <v>2020</v>
      </c>
      <c r="AP444" t="s">
        <v>13</v>
      </c>
      <c r="AQ444">
        <v>0.81</v>
      </c>
      <c r="AR444">
        <v>0.76</v>
      </c>
      <c r="AS444">
        <v>0</v>
      </c>
      <c r="AT444" t="s">
        <v>13</v>
      </c>
      <c r="AU444" t="s">
        <v>352</v>
      </c>
    </row>
    <row r="445" spans="1:48" customFormat="1">
      <c r="A445" s="1">
        <v>429</v>
      </c>
      <c r="B445" t="s">
        <v>349</v>
      </c>
      <c r="C445" t="s">
        <v>1</v>
      </c>
      <c r="D445" t="str">
        <f>IF(G445="n","-",MIN(X445,AI445,AN445))</f>
        <v>-</v>
      </c>
      <c r="E445" t="s">
        <v>9</v>
      </c>
      <c r="F445" t="str">
        <f t="shared" si="38"/>
        <v/>
      </c>
      <c r="G445" t="str">
        <f t="shared" si="39"/>
        <v>n</v>
      </c>
      <c r="H445" t="str">
        <f t="shared" si="36"/>
        <v>None</v>
      </c>
      <c r="I445" t="s">
        <v>76</v>
      </c>
      <c r="J445" t="s">
        <v>98</v>
      </c>
      <c r="M445">
        <v>29124</v>
      </c>
      <c r="N445">
        <v>-7.0000000000000001E-3</v>
      </c>
      <c r="O445">
        <v>783</v>
      </c>
      <c r="P445" t="s">
        <v>351</v>
      </c>
      <c r="Q445">
        <v>-0.23</v>
      </c>
      <c r="R445">
        <v>5870</v>
      </c>
      <c r="S445">
        <v>-28</v>
      </c>
      <c r="T445" t="s">
        <v>350</v>
      </c>
      <c r="U445" t="s">
        <v>127</v>
      </c>
      <c r="V445" t="s">
        <v>1</v>
      </c>
      <c r="W445" t="s">
        <v>9</v>
      </c>
      <c r="X445" t="s">
        <v>9</v>
      </c>
      <c r="Y445" t="s">
        <v>9</v>
      </c>
      <c r="Z445" t="s">
        <v>9</v>
      </c>
      <c r="AA445" t="s">
        <v>9</v>
      </c>
      <c r="AB445">
        <v>0</v>
      </c>
      <c r="AC445">
        <v>0</v>
      </c>
      <c r="AD445">
        <v>0</v>
      </c>
      <c r="AE445">
        <v>0</v>
      </c>
      <c r="AF445">
        <v>0</v>
      </c>
      <c r="AG445">
        <v>0</v>
      </c>
      <c r="AH445">
        <v>0</v>
      </c>
      <c r="AI445">
        <v>0</v>
      </c>
      <c r="AL445">
        <v>0</v>
      </c>
      <c r="AM445" t="s">
        <v>349</v>
      </c>
    </row>
    <row r="446" spans="1:48" customFormat="1">
      <c r="A446" s="1">
        <v>430</v>
      </c>
      <c r="B446" t="s">
        <v>348</v>
      </c>
      <c r="C446" t="s">
        <v>1</v>
      </c>
      <c r="D446" t="str">
        <f>IF(G446="n","-",MIN(X446,AI446,AN446))</f>
        <v>-</v>
      </c>
      <c r="E446" t="s">
        <v>9</v>
      </c>
      <c r="F446" t="str">
        <f t="shared" si="38"/>
        <v/>
      </c>
      <c r="G446" t="str">
        <f t="shared" si="39"/>
        <v>n</v>
      </c>
      <c r="H446" t="str">
        <f t="shared" si="36"/>
        <v>None</v>
      </c>
      <c r="I446" t="s">
        <v>71</v>
      </c>
      <c r="J446" t="s">
        <v>347</v>
      </c>
      <c r="M446">
        <v>29123</v>
      </c>
      <c r="N446">
        <v>5.2999999999999999E-2</v>
      </c>
      <c r="O446">
        <v>-3330.4</v>
      </c>
      <c r="P446" t="s">
        <v>346</v>
      </c>
      <c r="Q446">
        <v>-3.1720000000000002</v>
      </c>
      <c r="R446">
        <v>13945</v>
      </c>
      <c r="S446">
        <v>-1</v>
      </c>
      <c r="T446">
        <v>0</v>
      </c>
      <c r="U446" t="s">
        <v>267</v>
      </c>
      <c r="V446" t="s">
        <v>1</v>
      </c>
      <c r="W446" t="s">
        <v>345</v>
      </c>
      <c r="X446" t="s">
        <v>9</v>
      </c>
      <c r="Y446" t="s">
        <v>9</v>
      </c>
      <c r="Z446">
        <v>2012</v>
      </c>
      <c r="AA446">
        <v>2030</v>
      </c>
      <c r="AB446">
        <v>0</v>
      </c>
      <c r="AC446">
        <v>0</v>
      </c>
      <c r="AD446">
        <v>0</v>
      </c>
      <c r="AE446" t="s">
        <v>344</v>
      </c>
      <c r="AF446">
        <v>0</v>
      </c>
      <c r="AG446">
        <v>0</v>
      </c>
      <c r="AH446">
        <v>0</v>
      </c>
      <c r="AI446">
        <v>0</v>
      </c>
      <c r="AL446">
        <v>0</v>
      </c>
      <c r="AM446" t="s">
        <v>343</v>
      </c>
    </row>
    <row r="447" spans="1:48" customFormat="1">
      <c r="A447" s="1">
        <v>431</v>
      </c>
      <c r="B447" t="s">
        <v>340</v>
      </c>
      <c r="C447" t="s">
        <v>1</v>
      </c>
      <c r="D447" t="str">
        <f>IF(G447="n","-",MIN(X447,AI447,AN447))</f>
        <v>-</v>
      </c>
      <c r="E447" t="s">
        <v>9</v>
      </c>
      <c r="F447" t="str">
        <f t="shared" si="38"/>
        <v/>
      </c>
      <c r="G447" t="str">
        <f t="shared" si="39"/>
        <v>n</v>
      </c>
      <c r="H447" t="str">
        <f t="shared" si="36"/>
        <v>None</v>
      </c>
      <c r="I447" t="s">
        <v>342</v>
      </c>
      <c r="J447" t="s">
        <v>342</v>
      </c>
      <c r="M447">
        <v>29098.2</v>
      </c>
      <c r="N447">
        <v>0.02</v>
      </c>
      <c r="O447">
        <v>511.3</v>
      </c>
      <c r="P447" t="s">
        <v>341</v>
      </c>
      <c r="Q447">
        <v>-2.5000000000000001E-2</v>
      </c>
      <c r="R447">
        <v>79913</v>
      </c>
      <c r="S447">
        <v>-16</v>
      </c>
      <c r="T447">
        <v>0</v>
      </c>
      <c r="U447" t="s">
        <v>287</v>
      </c>
      <c r="V447" t="s">
        <v>1</v>
      </c>
      <c r="W447" t="s">
        <v>9</v>
      </c>
      <c r="X447" t="s">
        <v>9</v>
      </c>
      <c r="Y447" t="s">
        <v>9</v>
      </c>
      <c r="Z447" t="s">
        <v>9</v>
      </c>
      <c r="AA447" t="s">
        <v>9</v>
      </c>
      <c r="AB447">
        <v>0</v>
      </c>
      <c r="AC447">
        <v>0</v>
      </c>
      <c r="AD447">
        <v>0</v>
      </c>
      <c r="AE447">
        <v>0</v>
      </c>
      <c r="AF447">
        <v>0</v>
      </c>
      <c r="AG447">
        <v>0</v>
      </c>
      <c r="AH447">
        <v>0</v>
      </c>
      <c r="AI447">
        <v>0</v>
      </c>
      <c r="AL447">
        <v>0</v>
      </c>
      <c r="AM447" t="s">
        <v>340</v>
      </c>
    </row>
    <row r="448" spans="1:48" customFormat="1">
      <c r="A448" s="1">
        <v>432</v>
      </c>
      <c r="B448" t="s">
        <v>330</v>
      </c>
      <c r="C448" t="s">
        <v>1</v>
      </c>
      <c r="D448">
        <f>IF(G448="n","",MIN(X448,AI448,AN448))</f>
        <v>2017</v>
      </c>
      <c r="F448">
        <f t="shared" si="38"/>
        <v>2017</v>
      </c>
      <c r="G448" t="str">
        <f t="shared" si="39"/>
        <v>y</v>
      </c>
      <c r="H448" t="str">
        <f t="shared" si="36"/>
        <v>CN, SBT &amp; RE100</v>
      </c>
      <c r="I448" t="s">
        <v>124</v>
      </c>
      <c r="J448" t="s">
        <v>155</v>
      </c>
      <c r="K448" s="7" t="s">
        <v>339</v>
      </c>
      <c r="M448">
        <v>29092.3</v>
      </c>
      <c r="N448">
        <v>4.5999999999999999E-2</v>
      </c>
      <c r="O448">
        <v>2772.2</v>
      </c>
      <c r="P448" t="s">
        <v>338</v>
      </c>
      <c r="Q448">
        <v>3.0000000000000001E-3</v>
      </c>
      <c r="R448">
        <v>105783</v>
      </c>
      <c r="S448">
        <v>-6</v>
      </c>
      <c r="T448">
        <v>0</v>
      </c>
      <c r="U448" t="s">
        <v>63</v>
      </c>
      <c r="V448" t="s">
        <v>337</v>
      </c>
      <c r="W448" t="s">
        <v>9</v>
      </c>
      <c r="X448">
        <v>2018</v>
      </c>
      <c r="Y448" t="s">
        <v>9</v>
      </c>
      <c r="Z448" t="s">
        <v>9</v>
      </c>
      <c r="AA448">
        <v>2050</v>
      </c>
      <c r="AB448" t="s">
        <v>336</v>
      </c>
      <c r="AC448">
        <v>0</v>
      </c>
      <c r="AD448" t="s">
        <v>335</v>
      </c>
      <c r="AE448" t="s">
        <v>334</v>
      </c>
      <c r="AF448" t="s">
        <v>23</v>
      </c>
      <c r="AG448" t="s">
        <v>22</v>
      </c>
      <c r="AH448" t="s">
        <v>333</v>
      </c>
      <c r="AI448">
        <v>2017</v>
      </c>
      <c r="AJ448">
        <v>2030</v>
      </c>
      <c r="AK448" t="s">
        <v>332</v>
      </c>
      <c r="AL448" t="s">
        <v>331</v>
      </c>
      <c r="AM448" t="s">
        <v>330</v>
      </c>
      <c r="AN448">
        <v>2018</v>
      </c>
      <c r="AO448">
        <v>2030</v>
      </c>
      <c r="AP448" t="s">
        <v>329</v>
      </c>
      <c r="AQ448">
        <v>0.18</v>
      </c>
      <c r="AR448">
        <v>7.0000000000000007E-2</v>
      </c>
      <c r="AS448" t="s">
        <v>13</v>
      </c>
      <c r="AT448" t="s">
        <v>13</v>
      </c>
      <c r="AU448" t="s">
        <v>328</v>
      </c>
    </row>
    <row r="449" spans="1:39" customFormat="1">
      <c r="A449" s="1">
        <v>433</v>
      </c>
      <c r="B449" t="s">
        <v>324</v>
      </c>
      <c r="C449" t="s">
        <v>1</v>
      </c>
      <c r="D449" t="str">
        <f t="shared" ref="D449:D456" si="43">IF(G449="n","-",MIN(X449,AI449,AN449))</f>
        <v>-</v>
      </c>
      <c r="E449" t="s">
        <v>9</v>
      </c>
      <c r="F449" t="str">
        <f t="shared" si="38"/>
        <v/>
      </c>
      <c r="G449" t="str">
        <f t="shared" si="39"/>
        <v>n</v>
      </c>
      <c r="H449" t="str">
        <f t="shared" si="36"/>
        <v>None</v>
      </c>
      <c r="I449" t="s">
        <v>76</v>
      </c>
      <c r="J449" t="s">
        <v>327</v>
      </c>
      <c r="M449">
        <v>29027.9</v>
      </c>
      <c r="N449">
        <v>1.6E-2</v>
      </c>
      <c r="O449">
        <v>6151.5</v>
      </c>
      <c r="P449" t="s">
        <v>326</v>
      </c>
      <c r="Q449">
        <v>1.0999999999999999E-2</v>
      </c>
      <c r="R449">
        <v>35029</v>
      </c>
      <c r="S449">
        <v>-19</v>
      </c>
      <c r="T449">
        <v>0</v>
      </c>
      <c r="U449" t="s">
        <v>161</v>
      </c>
      <c r="V449" t="s">
        <v>1</v>
      </c>
      <c r="W449" t="s">
        <v>9</v>
      </c>
      <c r="X449" t="s">
        <v>9</v>
      </c>
      <c r="Y449" t="s">
        <v>9</v>
      </c>
      <c r="Z449" t="s">
        <v>9</v>
      </c>
      <c r="AA449" t="s">
        <v>9</v>
      </c>
      <c r="AB449">
        <v>0</v>
      </c>
      <c r="AC449">
        <v>0</v>
      </c>
      <c r="AD449" t="s">
        <v>325</v>
      </c>
      <c r="AE449">
        <v>0</v>
      </c>
      <c r="AF449">
        <v>0</v>
      </c>
      <c r="AG449">
        <v>0</v>
      </c>
      <c r="AH449">
        <v>0</v>
      </c>
      <c r="AI449">
        <v>0</v>
      </c>
      <c r="AL449">
        <v>0</v>
      </c>
      <c r="AM449" t="s">
        <v>324</v>
      </c>
    </row>
    <row r="450" spans="1:39" customFormat="1">
      <c r="A450" s="1">
        <v>434</v>
      </c>
      <c r="B450" t="s">
        <v>322</v>
      </c>
      <c r="C450" t="s">
        <v>1</v>
      </c>
      <c r="D450" t="str">
        <f t="shared" si="43"/>
        <v>-</v>
      </c>
      <c r="E450" t="s">
        <v>9</v>
      </c>
      <c r="F450" t="str">
        <f t="shared" si="38"/>
        <v/>
      </c>
      <c r="G450" t="str">
        <f t="shared" si="39"/>
        <v>n</v>
      </c>
      <c r="H450" t="str">
        <f t="shared" ref="H450:H516" si="44">IF((OR(V450="Carbon Neutral",V450="No - but have a post-2030 commitment")),           IF((OR(AG450="Committed",AG450="Targets Set")),                    IF(AN450&gt;1, "CN, SBT &amp; RE100", "CN &amp; SBT"),                   IF(AN450&gt;1, "CN &amp; RE100", "CN")      ),                                                                                             IF((OR(AG450="Committed",AG450="Targets Set")),                IF(AN450&gt;1, "SBT &amp; RE100", " SBT"),                                 IF(AN450&gt;1, "RE100", "None")           )                         )</f>
        <v>None</v>
      </c>
      <c r="I450" t="s">
        <v>76</v>
      </c>
      <c r="J450" t="s">
        <v>80</v>
      </c>
      <c r="M450">
        <v>29000.9</v>
      </c>
      <c r="N450">
        <v>0.158</v>
      </c>
      <c r="O450">
        <v>2782.5</v>
      </c>
      <c r="P450" t="s">
        <v>323</v>
      </c>
      <c r="Q450">
        <v>-0.05</v>
      </c>
      <c r="R450">
        <v>27040</v>
      </c>
      <c r="S450">
        <v>37</v>
      </c>
      <c r="T450">
        <v>0</v>
      </c>
      <c r="U450" t="s">
        <v>114</v>
      </c>
      <c r="V450" t="s">
        <v>1</v>
      </c>
      <c r="W450" t="s">
        <v>9</v>
      </c>
      <c r="X450" t="s">
        <v>9</v>
      </c>
      <c r="Y450" t="s">
        <v>9</v>
      </c>
      <c r="Z450" t="s">
        <v>9</v>
      </c>
      <c r="AA450" t="s">
        <v>9</v>
      </c>
      <c r="AB450">
        <v>0</v>
      </c>
      <c r="AC450">
        <v>0</v>
      </c>
      <c r="AD450">
        <v>0</v>
      </c>
      <c r="AE450">
        <v>0</v>
      </c>
      <c r="AF450">
        <v>0</v>
      </c>
      <c r="AG450">
        <v>0</v>
      </c>
      <c r="AH450">
        <v>0</v>
      </c>
      <c r="AI450">
        <v>0</v>
      </c>
      <c r="AL450">
        <v>0</v>
      </c>
      <c r="AM450" t="s">
        <v>322</v>
      </c>
    </row>
    <row r="451" spans="1:39" customFormat="1">
      <c r="A451" s="1">
        <v>435</v>
      </c>
      <c r="B451" t="s">
        <v>320</v>
      </c>
      <c r="C451" t="s">
        <v>1</v>
      </c>
      <c r="D451" t="str">
        <f t="shared" si="43"/>
        <v>-</v>
      </c>
      <c r="E451" t="s">
        <v>9</v>
      </c>
      <c r="F451" t="str">
        <f t="shared" si="38"/>
        <v/>
      </c>
      <c r="G451" t="str">
        <f t="shared" si="39"/>
        <v>n</v>
      </c>
      <c r="H451" t="str">
        <f t="shared" si="44"/>
        <v>None</v>
      </c>
      <c r="I451" t="s">
        <v>178</v>
      </c>
      <c r="J451" t="s">
        <v>177</v>
      </c>
      <c r="M451">
        <v>28803.200000000001</v>
      </c>
      <c r="N451">
        <v>0.112</v>
      </c>
      <c r="O451">
        <v>3404.8</v>
      </c>
      <c r="P451" t="s">
        <v>321</v>
      </c>
      <c r="Q451">
        <v>0.51</v>
      </c>
      <c r="R451">
        <v>64734</v>
      </c>
      <c r="S451">
        <v>25</v>
      </c>
      <c r="T451">
        <v>0</v>
      </c>
      <c r="U451" t="s">
        <v>275</v>
      </c>
      <c r="V451" t="s">
        <v>1</v>
      </c>
      <c r="W451" t="s">
        <v>9</v>
      </c>
      <c r="X451" t="s">
        <v>9</v>
      </c>
      <c r="Y451" t="s">
        <v>9</v>
      </c>
      <c r="Z451" t="s">
        <v>9</v>
      </c>
      <c r="AA451" t="s">
        <v>9</v>
      </c>
      <c r="AB451">
        <v>0</v>
      </c>
      <c r="AC451">
        <v>0</v>
      </c>
      <c r="AD451">
        <v>0</v>
      </c>
      <c r="AE451">
        <v>0</v>
      </c>
      <c r="AF451">
        <v>0</v>
      </c>
      <c r="AG451">
        <v>0</v>
      </c>
      <c r="AH451">
        <v>0</v>
      </c>
      <c r="AI451">
        <v>0</v>
      </c>
      <c r="AL451">
        <v>0</v>
      </c>
      <c r="AM451" t="s">
        <v>320</v>
      </c>
    </row>
    <row r="452" spans="1:39" customFormat="1">
      <c r="A452" s="1">
        <v>436</v>
      </c>
      <c r="B452" t="s">
        <v>316</v>
      </c>
      <c r="C452" t="s">
        <v>1</v>
      </c>
      <c r="D452" t="str">
        <f t="shared" si="43"/>
        <v>-</v>
      </c>
      <c r="E452" t="s">
        <v>9</v>
      </c>
      <c r="F452" t="str">
        <f t="shared" si="38"/>
        <v/>
      </c>
      <c r="G452" t="str">
        <f t="shared" si="39"/>
        <v>n</v>
      </c>
      <c r="H452" t="str">
        <f t="shared" si="44"/>
        <v>None</v>
      </c>
      <c r="I452" t="s">
        <v>319</v>
      </c>
      <c r="J452" t="s">
        <v>318</v>
      </c>
      <c r="M452">
        <v>28698.5</v>
      </c>
      <c r="N452">
        <v>1.0999999999999999E-2</v>
      </c>
      <c r="O452">
        <v>309.89999999999998</v>
      </c>
      <c r="P452" t="s">
        <v>317</v>
      </c>
      <c r="Q452">
        <v>-1.2999999999999999E-2</v>
      </c>
      <c r="R452">
        <v>15623</v>
      </c>
      <c r="S452">
        <v>-18</v>
      </c>
      <c r="T452">
        <v>0</v>
      </c>
      <c r="U452" t="s">
        <v>207</v>
      </c>
      <c r="V452" t="s">
        <v>1</v>
      </c>
      <c r="W452" t="s">
        <v>9</v>
      </c>
      <c r="X452" t="s">
        <v>9</v>
      </c>
      <c r="Y452" t="s">
        <v>9</v>
      </c>
      <c r="Z452" t="s">
        <v>9</v>
      </c>
      <c r="AA452" t="s">
        <v>9</v>
      </c>
      <c r="AB452">
        <v>0</v>
      </c>
      <c r="AC452">
        <v>0</v>
      </c>
      <c r="AD452">
        <v>0</v>
      </c>
      <c r="AE452">
        <v>0</v>
      </c>
      <c r="AF452">
        <v>0</v>
      </c>
      <c r="AG452">
        <v>0</v>
      </c>
      <c r="AH452">
        <v>0</v>
      </c>
      <c r="AI452">
        <v>0</v>
      </c>
      <c r="AL452">
        <v>0</v>
      </c>
      <c r="AM452" t="s">
        <v>316</v>
      </c>
    </row>
    <row r="453" spans="1:39" customFormat="1">
      <c r="A453" s="1">
        <v>437</v>
      </c>
      <c r="B453" t="s">
        <v>314</v>
      </c>
      <c r="C453" t="s">
        <v>1</v>
      </c>
      <c r="D453" t="str">
        <f t="shared" si="43"/>
        <v>-</v>
      </c>
      <c r="E453" t="s">
        <v>9</v>
      </c>
      <c r="F453" t="str">
        <f t="shared" si="38"/>
        <v/>
      </c>
      <c r="G453" t="str">
        <f t="shared" si="39"/>
        <v>n</v>
      </c>
      <c r="H453" t="str">
        <f t="shared" si="44"/>
        <v>None</v>
      </c>
      <c r="I453" t="s">
        <v>171</v>
      </c>
      <c r="J453" t="s">
        <v>171</v>
      </c>
      <c r="M453">
        <v>28662.9</v>
      </c>
      <c r="N453">
        <v>0.03</v>
      </c>
      <c r="O453">
        <v>1064.8</v>
      </c>
      <c r="P453" t="s">
        <v>315</v>
      </c>
      <c r="Q453">
        <v>-0.02</v>
      </c>
      <c r="R453">
        <v>272796</v>
      </c>
      <c r="S453">
        <v>-12</v>
      </c>
      <c r="T453">
        <v>0</v>
      </c>
      <c r="U453" t="s">
        <v>207</v>
      </c>
      <c r="V453" t="s">
        <v>1</v>
      </c>
      <c r="W453" t="s">
        <v>9</v>
      </c>
      <c r="X453" t="s">
        <v>9</v>
      </c>
      <c r="Y453" t="s">
        <v>9</v>
      </c>
      <c r="Z453" t="s">
        <v>9</v>
      </c>
      <c r="AA453" t="s">
        <v>9</v>
      </c>
      <c r="AB453">
        <v>0</v>
      </c>
      <c r="AC453">
        <v>0</v>
      </c>
      <c r="AD453">
        <v>0</v>
      </c>
      <c r="AE453">
        <v>0</v>
      </c>
      <c r="AF453">
        <v>0</v>
      </c>
      <c r="AG453">
        <v>0</v>
      </c>
      <c r="AH453">
        <v>0</v>
      </c>
      <c r="AI453">
        <v>0</v>
      </c>
      <c r="AL453">
        <v>0</v>
      </c>
      <c r="AM453" t="s">
        <v>314</v>
      </c>
    </row>
    <row r="454" spans="1:39" customFormat="1">
      <c r="A454" s="1">
        <v>438</v>
      </c>
      <c r="B454" t="s">
        <v>312</v>
      </c>
      <c r="C454" t="s">
        <v>1</v>
      </c>
      <c r="D454" t="str">
        <f t="shared" si="43"/>
        <v>-</v>
      </c>
      <c r="E454" t="s">
        <v>9</v>
      </c>
      <c r="F454" t="str">
        <f t="shared" si="38"/>
        <v/>
      </c>
      <c r="G454" t="str">
        <f t="shared" si="39"/>
        <v>n</v>
      </c>
      <c r="H454" t="str">
        <f t="shared" si="44"/>
        <v>None</v>
      </c>
      <c r="I454" t="s">
        <v>71</v>
      </c>
      <c r="J454" t="s">
        <v>71</v>
      </c>
      <c r="M454">
        <v>28654.9</v>
      </c>
      <c r="N454">
        <v>0.13300000000000001</v>
      </c>
      <c r="O454">
        <v>323.39999999999998</v>
      </c>
      <c r="P454" t="s">
        <v>313</v>
      </c>
      <c r="Q454">
        <v>-5.3999999999999999E-2</v>
      </c>
      <c r="R454">
        <v>93800</v>
      </c>
      <c r="S454">
        <v>30</v>
      </c>
      <c r="T454">
        <v>0</v>
      </c>
      <c r="U454" t="s">
        <v>73</v>
      </c>
      <c r="V454" t="s">
        <v>1</v>
      </c>
      <c r="W454" t="s">
        <v>9</v>
      </c>
      <c r="X454" t="s">
        <v>9</v>
      </c>
      <c r="Y454" t="s">
        <v>9</v>
      </c>
      <c r="Z454" t="s">
        <v>9</v>
      </c>
      <c r="AA454" t="s">
        <v>9</v>
      </c>
      <c r="AB454">
        <v>0</v>
      </c>
      <c r="AC454">
        <v>0</v>
      </c>
      <c r="AD454">
        <v>0</v>
      </c>
      <c r="AE454">
        <v>0</v>
      </c>
      <c r="AF454">
        <v>0</v>
      </c>
      <c r="AG454">
        <v>0</v>
      </c>
      <c r="AH454">
        <v>0</v>
      </c>
      <c r="AI454">
        <v>0</v>
      </c>
      <c r="AL454">
        <v>0</v>
      </c>
      <c r="AM454" t="s">
        <v>312</v>
      </c>
    </row>
    <row r="455" spans="1:39" customFormat="1">
      <c r="A455" s="1">
        <v>439</v>
      </c>
      <c r="B455" t="s">
        <v>310</v>
      </c>
      <c r="C455" t="s">
        <v>1</v>
      </c>
      <c r="D455" t="str">
        <f t="shared" si="43"/>
        <v>-</v>
      </c>
      <c r="E455" t="s">
        <v>9</v>
      </c>
      <c r="F455" t="str">
        <f t="shared" si="38"/>
        <v/>
      </c>
      <c r="G455" t="str">
        <f t="shared" si="39"/>
        <v>n</v>
      </c>
      <c r="H455" t="str">
        <f t="shared" si="44"/>
        <v>None</v>
      </c>
      <c r="I455" t="s">
        <v>91</v>
      </c>
      <c r="J455" t="s">
        <v>90</v>
      </c>
      <c r="M455">
        <v>28564</v>
      </c>
      <c r="N455">
        <v>9.4E-2</v>
      </c>
      <c r="O455">
        <v>137</v>
      </c>
      <c r="P455" t="s">
        <v>311</v>
      </c>
      <c r="Q455">
        <v>3.218</v>
      </c>
      <c r="R455">
        <v>82175</v>
      </c>
      <c r="S455">
        <v>17</v>
      </c>
      <c r="T455">
        <v>0</v>
      </c>
      <c r="U455" t="s">
        <v>73</v>
      </c>
      <c r="V455" t="s">
        <v>1</v>
      </c>
      <c r="W455" t="s">
        <v>9</v>
      </c>
      <c r="X455" t="s">
        <v>9</v>
      </c>
      <c r="Y455" t="s">
        <v>9</v>
      </c>
      <c r="Z455" t="s">
        <v>9</v>
      </c>
      <c r="AA455" t="s">
        <v>9</v>
      </c>
      <c r="AB455">
        <v>0</v>
      </c>
      <c r="AC455">
        <v>0</v>
      </c>
      <c r="AD455">
        <v>0</v>
      </c>
      <c r="AE455">
        <v>0</v>
      </c>
      <c r="AF455">
        <v>0</v>
      </c>
      <c r="AG455">
        <v>0</v>
      </c>
      <c r="AH455">
        <v>0</v>
      </c>
      <c r="AI455">
        <v>0</v>
      </c>
      <c r="AL455">
        <v>0</v>
      </c>
      <c r="AM455" t="s">
        <v>310</v>
      </c>
    </row>
    <row r="456" spans="1:39" customFormat="1">
      <c r="A456" s="1">
        <v>440</v>
      </c>
      <c r="B456" t="s">
        <v>308</v>
      </c>
      <c r="C456" t="s">
        <v>1</v>
      </c>
      <c r="D456" t="str">
        <f t="shared" si="43"/>
        <v>-</v>
      </c>
      <c r="E456" t="s">
        <v>9</v>
      </c>
      <c r="F456" t="str">
        <f t="shared" si="38"/>
        <v/>
      </c>
      <c r="G456" t="str">
        <f t="shared" si="39"/>
        <v>n</v>
      </c>
      <c r="H456" t="str">
        <f t="shared" si="44"/>
        <v>None</v>
      </c>
      <c r="I456" t="s">
        <v>171</v>
      </c>
      <c r="J456" t="s">
        <v>171</v>
      </c>
      <c r="M456">
        <v>28505.4</v>
      </c>
      <c r="N456">
        <v>-7.2999999999999995E-2</v>
      </c>
      <c r="O456">
        <v>1333.1</v>
      </c>
      <c r="P456" t="s">
        <v>309</v>
      </c>
      <c r="Q456">
        <v>-0.33</v>
      </c>
      <c r="R456">
        <v>34200</v>
      </c>
      <c r="S456">
        <v>-56</v>
      </c>
      <c r="T456" t="s">
        <v>88</v>
      </c>
      <c r="U456" t="s">
        <v>207</v>
      </c>
      <c r="V456" t="s">
        <v>1</v>
      </c>
      <c r="W456" t="s">
        <v>9</v>
      </c>
      <c r="X456" t="s">
        <v>9</v>
      </c>
      <c r="Y456" t="s">
        <v>9</v>
      </c>
      <c r="Z456" t="s">
        <v>9</v>
      </c>
      <c r="AA456" t="s">
        <v>9</v>
      </c>
      <c r="AB456">
        <v>0</v>
      </c>
      <c r="AC456">
        <v>0</v>
      </c>
      <c r="AD456">
        <v>0</v>
      </c>
      <c r="AE456">
        <v>0</v>
      </c>
      <c r="AF456">
        <v>0</v>
      </c>
      <c r="AG456">
        <v>0</v>
      </c>
      <c r="AH456">
        <v>0</v>
      </c>
      <c r="AI456">
        <v>0</v>
      </c>
      <c r="AL456">
        <v>0</v>
      </c>
      <c r="AM456" t="s">
        <v>308</v>
      </c>
    </row>
    <row r="457" spans="1:39" customFormat="1">
      <c r="A457" s="6">
        <v>441</v>
      </c>
      <c r="B457" t="s">
        <v>306</v>
      </c>
      <c r="C457" t="s">
        <v>1</v>
      </c>
      <c r="D457" t="str">
        <f>IF(G457="n","",MIN(X457,-I457,-N457))</f>
        <v/>
      </c>
      <c r="F457" t="str">
        <f t="shared" si="38"/>
        <v/>
      </c>
      <c r="G457" t="str">
        <f t="shared" si="39"/>
        <v>n</v>
      </c>
      <c r="H457" t="str">
        <f t="shared" si="44"/>
        <v>None</v>
      </c>
      <c r="I457" t="s">
        <v>85</v>
      </c>
      <c r="J457" t="s">
        <v>289</v>
      </c>
      <c r="M457">
        <v>28499</v>
      </c>
      <c r="N457">
        <v>1.4410000000000001</v>
      </c>
      <c r="O457">
        <v>1628.9</v>
      </c>
      <c r="P457" t="s">
        <v>307</v>
      </c>
      <c r="Q457">
        <v>0.92100000000000004</v>
      </c>
      <c r="R457">
        <v>55380</v>
      </c>
      <c r="S457" t="s">
        <v>64</v>
      </c>
      <c r="T457" t="e">
        <v>#N/A</v>
      </c>
      <c r="U457" t="s">
        <v>73</v>
      </c>
      <c r="V457" t="s">
        <v>1</v>
      </c>
      <c r="W457" t="s">
        <v>9</v>
      </c>
      <c r="X457" t="s">
        <v>9</v>
      </c>
      <c r="Y457" t="s">
        <v>9</v>
      </c>
      <c r="Z457" t="s">
        <v>9</v>
      </c>
      <c r="AM457" t="s">
        <v>306</v>
      </c>
    </row>
    <row r="458" spans="1:39" customFormat="1">
      <c r="A458" s="6">
        <v>442</v>
      </c>
      <c r="B458" t="s">
        <v>304</v>
      </c>
      <c r="C458" t="s">
        <v>1</v>
      </c>
      <c r="D458" t="str">
        <f>IF(G458="n","",MIN(X458,-I458,-N458))</f>
        <v/>
      </c>
      <c r="F458" t="str">
        <f t="shared" si="38"/>
        <v/>
      </c>
      <c r="G458" t="str">
        <f t="shared" si="39"/>
        <v>n</v>
      </c>
      <c r="H458" t="str">
        <f t="shared" si="44"/>
        <v>None</v>
      </c>
      <c r="I458" t="s">
        <v>76</v>
      </c>
      <c r="J458" t="s">
        <v>75</v>
      </c>
      <c r="M458">
        <v>28492.799999999999</v>
      </c>
      <c r="N458">
        <v>0.874</v>
      </c>
      <c r="O458">
        <v>398.8</v>
      </c>
      <c r="P458" t="s">
        <v>305</v>
      </c>
      <c r="Q458">
        <v>-0.33900000000000002</v>
      </c>
      <c r="R458">
        <v>500000</v>
      </c>
      <c r="S458" t="s">
        <v>64</v>
      </c>
      <c r="T458" t="e">
        <v>#N/A</v>
      </c>
      <c r="U458" t="s">
        <v>73</v>
      </c>
      <c r="V458" t="s">
        <v>1</v>
      </c>
      <c r="W458" t="s">
        <v>9</v>
      </c>
      <c r="X458" t="s">
        <v>9</v>
      </c>
      <c r="Y458" t="s">
        <v>9</v>
      </c>
      <c r="Z458" t="s">
        <v>9</v>
      </c>
      <c r="AM458" t="s">
        <v>304</v>
      </c>
    </row>
    <row r="459" spans="1:39" customFormat="1">
      <c r="A459" s="1">
        <v>443</v>
      </c>
      <c r="B459" t="s">
        <v>302</v>
      </c>
      <c r="C459" t="s">
        <v>1</v>
      </c>
      <c r="D459" t="str">
        <f t="shared" ref="D459:D469" si="45">IF(G459="n","-",MIN(X459,AI459,AN459))</f>
        <v>-</v>
      </c>
      <c r="E459" t="s">
        <v>9</v>
      </c>
      <c r="F459" t="str">
        <f t="shared" si="38"/>
        <v/>
      </c>
      <c r="G459" t="str">
        <f t="shared" si="39"/>
        <v>n</v>
      </c>
      <c r="H459" t="str">
        <f t="shared" si="44"/>
        <v>None</v>
      </c>
      <c r="I459" t="s">
        <v>71</v>
      </c>
      <c r="J459" t="s">
        <v>265</v>
      </c>
      <c r="M459">
        <v>28457.1</v>
      </c>
      <c r="N459">
        <v>0.09</v>
      </c>
      <c r="O459">
        <v>2322.3000000000002</v>
      </c>
      <c r="P459" t="s">
        <v>303</v>
      </c>
      <c r="Q459">
        <v>-0.59299999999999997</v>
      </c>
      <c r="R459">
        <v>91369</v>
      </c>
      <c r="S459">
        <v>11</v>
      </c>
      <c r="T459">
        <v>0</v>
      </c>
      <c r="U459" t="s">
        <v>121</v>
      </c>
      <c r="V459" t="s">
        <v>1</v>
      </c>
      <c r="W459" t="s">
        <v>9</v>
      </c>
      <c r="X459" t="s">
        <v>9</v>
      </c>
      <c r="Y459" t="s">
        <v>9</v>
      </c>
      <c r="Z459" t="s">
        <v>9</v>
      </c>
      <c r="AA459" t="s">
        <v>9</v>
      </c>
      <c r="AB459">
        <v>0</v>
      </c>
      <c r="AC459">
        <v>0</v>
      </c>
      <c r="AD459">
        <v>0</v>
      </c>
      <c r="AE459">
        <v>0</v>
      </c>
      <c r="AF459">
        <v>0</v>
      </c>
      <c r="AG459">
        <v>0</v>
      </c>
      <c r="AH459">
        <v>0</v>
      </c>
      <c r="AI459">
        <v>0</v>
      </c>
      <c r="AL459">
        <v>0</v>
      </c>
      <c r="AM459" t="s">
        <v>302</v>
      </c>
    </row>
    <row r="460" spans="1:39" customFormat="1">
      <c r="A460" s="1">
        <v>444</v>
      </c>
      <c r="B460" t="s">
        <v>300</v>
      </c>
      <c r="C460" t="s">
        <v>1</v>
      </c>
      <c r="D460" t="str">
        <f t="shared" si="45"/>
        <v>-</v>
      </c>
      <c r="E460" t="s">
        <v>9</v>
      </c>
      <c r="F460" t="str">
        <f t="shared" si="38"/>
        <v/>
      </c>
      <c r="G460" t="str">
        <f t="shared" si="39"/>
        <v>n</v>
      </c>
      <c r="H460" t="str">
        <f t="shared" si="44"/>
        <v>None</v>
      </c>
      <c r="I460" t="s">
        <v>91</v>
      </c>
      <c r="J460" t="s">
        <v>90</v>
      </c>
      <c r="M460">
        <v>28319.4</v>
      </c>
      <c r="N460">
        <v>9.2999999999999999E-2</v>
      </c>
      <c r="O460">
        <v>1556.9</v>
      </c>
      <c r="P460" t="s">
        <v>301</v>
      </c>
      <c r="Q460">
        <v>1.7509999999999999</v>
      </c>
      <c r="R460">
        <v>17274</v>
      </c>
      <c r="S460">
        <v>14</v>
      </c>
      <c r="T460">
        <v>0</v>
      </c>
      <c r="U460" t="s">
        <v>114</v>
      </c>
      <c r="V460" t="s">
        <v>1</v>
      </c>
      <c r="W460" t="s">
        <v>9</v>
      </c>
      <c r="X460" t="s">
        <v>9</v>
      </c>
      <c r="Y460" t="s">
        <v>9</v>
      </c>
      <c r="Z460" t="s">
        <v>9</v>
      </c>
      <c r="AA460" t="s">
        <v>9</v>
      </c>
      <c r="AB460">
        <v>0</v>
      </c>
      <c r="AC460">
        <v>0</v>
      </c>
      <c r="AD460">
        <v>0</v>
      </c>
      <c r="AE460">
        <v>0</v>
      </c>
      <c r="AF460">
        <v>0</v>
      </c>
      <c r="AG460">
        <v>0</v>
      </c>
      <c r="AH460">
        <v>0</v>
      </c>
      <c r="AI460">
        <v>0</v>
      </c>
      <c r="AL460">
        <v>0</v>
      </c>
      <c r="AM460" t="s">
        <v>300</v>
      </c>
    </row>
    <row r="461" spans="1:39" customFormat="1">
      <c r="A461" s="1">
        <v>445</v>
      </c>
      <c r="B461" t="s">
        <v>295</v>
      </c>
      <c r="C461" t="s">
        <v>1</v>
      </c>
      <c r="D461" t="str">
        <f t="shared" si="45"/>
        <v>-</v>
      </c>
      <c r="E461" t="s">
        <v>9</v>
      </c>
      <c r="F461" t="str">
        <f t="shared" si="38"/>
        <v/>
      </c>
      <c r="G461" t="str">
        <f t="shared" si="39"/>
        <v>n</v>
      </c>
      <c r="H461" t="str">
        <f t="shared" si="44"/>
        <v>None</v>
      </c>
      <c r="I461" t="s">
        <v>293</v>
      </c>
      <c r="J461" t="s">
        <v>292</v>
      </c>
      <c r="M461">
        <v>28167.1</v>
      </c>
      <c r="N461">
        <v>5.6000000000000001E-2</v>
      </c>
      <c r="O461">
        <v>540.5</v>
      </c>
      <c r="P461" t="s">
        <v>299</v>
      </c>
      <c r="Q461">
        <v>-0.39100000000000001</v>
      </c>
      <c r="R461">
        <v>34000</v>
      </c>
      <c r="S461">
        <v>-4</v>
      </c>
      <c r="T461">
        <v>0</v>
      </c>
      <c r="U461" t="s">
        <v>287</v>
      </c>
      <c r="V461" t="s">
        <v>1</v>
      </c>
      <c r="W461" t="s">
        <v>298</v>
      </c>
      <c r="X461" t="s">
        <v>9</v>
      </c>
      <c r="Y461" t="s">
        <v>9</v>
      </c>
      <c r="Z461" t="s">
        <v>9</v>
      </c>
      <c r="AA461">
        <v>2022</v>
      </c>
      <c r="AB461" t="s">
        <v>297</v>
      </c>
      <c r="AC461">
        <v>0</v>
      </c>
      <c r="AD461">
        <v>0</v>
      </c>
      <c r="AE461" t="s">
        <v>296</v>
      </c>
      <c r="AF461">
        <v>0</v>
      </c>
      <c r="AG461">
        <v>0</v>
      </c>
      <c r="AH461">
        <v>0</v>
      </c>
      <c r="AI461">
        <v>0</v>
      </c>
      <c r="AL461">
        <v>0</v>
      </c>
      <c r="AM461" t="s">
        <v>295</v>
      </c>
    </row>
    <row r="462" spans="1:39" customFormat="1">
      <c r="A462" s="1">
        <v>446</v>
      </c>
      <c r="B462" t="s">
        <v>294</v>
      </c>
      <c r="C462" t="s">
        <v>1</v>
      </c>
      <c r="D462" t="str">
        <f t="shared" si="45"/>
        <v>-</v>
      </c>
      <c r="E462" t="s">
        <v>9</v>
      </c>
      <c r="F462" t="str">
        <f t="shared" si="38"/>
        <v/>
      </c>
      <c r="G462" t="str">
        <f t="shared" si="39"/>
        <v>n</v>
      </c>
      <c r="H462" t="str">
        <f t="shared" si="44"/>
        <v>None</v>
      </c>
      <c r="I462" t="s">
        <v>293</v>
      </c>
      <c r="J462" t="s">
        <v>292</v>
      </c>
      <c r="M462">
        <v>28102.2</v>
      </c>
      <c r="N462">
        <v>7.0999999999999994E-2</v>
      </c>
      <c r="O462">
        <v>830.8</v>
      </c>
      <c r="P462" t="s">
        <v>291</v>
      </c>
      <c r="Q462">
        <v>0.16700000000000001</v>
      </c>
      <c r="R462">
        <v>38820</v>
      </c>
      <c r="S462">
        <v>4</v>
      </c>
      <c r="T462">
        <v>0</v>
      </c>
      <c r="U462" t="s">
        <v>96</v>
      </c>
      <c r="V462" t="s">
        <v>1</v>
      </c>
      <c r="W462" t="s">
        <v>9</v>
      </c>
      <c r="X462" t="s">
        <v>9</v>
      </c>
      <c r="Y462" t="s">
        <v>9</v>
      </c>
      <c r="Z462" t="s">
        <v>9</v>
      </c>
      <c r="AA462" t="s">
        <v>9</v>
      </c>
      <c r="AB462">
        <v>0</v>
      </c>
      <c r="AC462">
        <v>0</v>
      </c>
      <c r="AD462">
        <v>0</v>
      </c>
      <c r="AE462">
        <v>0</v>
      </c>
      <c r="AF462">
        <v>0</v>
      </c>
      <c r="AG462">
        <v>0</v>
      </c>
      <c r="AH462">
        <v>0</v>
      </c>
      <c r="AI462">
        <v>0</v>
      </c>
      <c r="AL462">
        <v>0</v>
      </c>
      <c r="AM462" t="s">
        <v>290</v>
      </c>
    </row>
    <row r="463" spans="1:39" customFormat="1">
      <c r="A463" s="1">
        <v>447</v>
      </c>
      <c r="B463" t="s">
        <v>285</v>
      </c>
      <c r="C463" t="s">
        <v>1</v>
      </c>
      <c r="D463" t="str">
        <f t="shared" si="45"/>
        <v>-</v>
      </c>
      <c r="E463" t="s">
        <v>9</v>
      </c>
      <c r="F463" t="str">
        <f t="shared" si="38"/>
        <v/>
      </c>
      <c r="G463" t="str">
        <f t="shared" si="39"/>
        <v>n</v>
      </c>
      <c r="H463" t="str">
        <f t="shared" si="44"/>
        <v>None</v>
      </c>
      <c r="I463" t="s">
        <v>85</v>
      </c>
      <c r="J463" t="s">
        <v>289</v>
      </c>
      <c r="M463">
        <v>28088.799999999999</v>
      </c>
      <c r="N463">
        <v>5.8000000000000003E-2</v>
      </c>
      <c r="O463">
        <v>1536.1</v>
      </c>
      <c r="P463" t="s">
        <v>288</v>
      </c>
      <c r="Q463" t="s">
        <v>9</v>
      </c>
      <c r="R463">
        <v>77055</v>
      </c>
      <c r="S463">
        <v>-3</v>
      </c>
      <c r="T463">
        <v>0</v>
      </c>
      <c r="U463" t="s">
        <v>287</v>
      </c>
      <c r="V463" t="s">
        <v>1</v>
      </c>
      <c r="W463" t="s">
        <v>9</v>
      </c>
      <c r="X463" t="s">
        <v>9</v>
      </c>
      <c r="Y463" t="s">
        <v>9</v>
      </c>
      <c r="Z463" t="s">
        <v>9</v>
      </c>
      <c r="AA463" t="s">
        <v>9</v>
      </c>
      <c r="AB463">
        <v>0</v>
      </c>
      <c r="AC463">
        <v>0</v>
      </c>
      <c r="AD463" t="s">
        <v>286</v>
      </c>
      <c r="AE463">
        <v>0</v>
      </c>
      <c r="AF463">
        <v>0</v>
      </c>
      <c r="AG463">
        <v>0</v>
      </c>
      <c r="AH463">
        <v>0</v>
      </c>
      <c r="AI463">
        <v>0</v>
      </c>
      <c r="AL463">
        <v>0</v>
      </c>
      <c r="AM463" t="s">
        <v>285</v>
      </c>
    </row>
    <row r="464" spans="1:39" customFormat="1">
      <c r="A464" s="1">
        <v>448</v>
      </c>
      <c r="B464" t="s">
        <v>284</v>
      </c>
      <c r="C464" t="s">
        <v>1</v>
      </c>
      <c r="D464" t="str">
        <f t="shared" si="45"/>
        <v>-</v>
      </c>
      <c r="E464" t="s">
        <v>9</v>
      </c>
      <c r="F464" t="str">
        <f t="shared" ref="F464:F527" si="46">IF(G464="n","",MIN(IF(V464="Carbon Neutral",X464,"3000"),AI464,IF(AO464&gt;2030,"3000",AN464)))</f>
        <v/>
      </c>
      <c r="G464" t="str">
        <f t="shared" ref="G464:G516" si="47">IF( V464="Carbon Neutral", "y",   IF(AI464&gt;1, "y", IF(AND(AO464&lt;=2030, AO464&gt;0),"y","n" )    )       )</f>
        <v>n</v>
      </c>
      <c r="H464" t="str">
        <f t="shared" si="44"/>
        <v>None</v>
      </c>
      <c r="I464" t="s">
        <v>283</v>
      </c>
      <c r="J464" t="s">
        <v>282</v>
      </c>
      <c r="M464">
        <v>27713.599999999999</v>
      </c>
      <c r="N464">
        <v>0.17599999999999999</v>
      </c>
      <c r="O464">
        <v>1124.8</v>
      </c>
      <c r="P464" t="s">
        <v>281</v>
      </c>
      <c r="Q464">
        <v>9.8000000000000004E-2</v>
      </c>
      <c r="R464">
        <v>87447</v>
      </c>
      <c r="S464">
        <v>51</v>
      </c>
      <c r="T464">
        <v>0</v>
      </c>
      <c r="U464" t="s">
        <v>73</v>
      </c>
      <c r="V464" t="s">
        <v>1</v>
      </c>
      <c r="W464" t="s">
        <v>9</v>
      </c>
      <c r="X464" t="s">
        <v>9</v>
      </c>
      <c r="Y464" t="s">
        <v>9</v>
      </c>
      <c r="Z464" t="s">
        <v>9</v>
      </c>
      <c r="AA464" t="s">
        <v>9</v>
      </c>
      <c r="AB464">
        <v>0</v>
      </c>
      <c r="AC464">
        <v>0</v>
      </c>
      <c r="AD464">
        <v>0</v>
      </c>
      <c r="AE464">
        <v>0</v>
      </c>
      <c r="AF464">
        <v>0</v>
      </c>
      <c r="AG464">
        <v>0</v>
      </c>
      <c r="AH464">
        <v>0</v>
      </c>
      <c r="AI464">
        <v>0</v>
      </c>
      <c r="AL464">
        <v>0</v>
      </c>
      <c r="AM464" t="s">
        <v>280</v>
      </c>
    </row>
    <row r="465" spans="1:39" customFormat="1">
      <c r="A465" s="1">
        <v>449</v>
      </c>
      <c r="B465" t="s">
        <v>278</v>
      </c>
      <c r="C465" t="s">
        <v>1</v>
      </c>
      <c r="D465" t="str">
        <f t="shared" si="45"/>
        <v>-</v>
      </c>
      <c r="E465" t="s">
        <v>9</v>
      </c>
      <c r="F465" t="str">
        <f t="shared" si="46"/>
        <v/>
      </c>
      <c r="G465" t="str">
        <f t="shared" si="47"/>
        <v>n</v>
      </c>
      <c r="H465" t="str">
        <f t="shared" si="44"/>
        <v>None</v>
      </c>
      <c r="I465" t="s">
        <v>76</v>
      </c>
      <c r="J465" t="s">
        <v>112</v>
      </c>
      <c r="M465">
        <v>27622.7</v>
      </c>
      <c r="N465">
        <v>-6.0999999999999999E-2</v>
      </c>
      <c r="O465">
        <v>55.5</v>
      </c>
      <c r="P465" t="s">
        <v>279</v>
      </c>
      <c r="Q465">
        <v>7.6719999999999997</v>
      </c>
      <c r="R465">
        <v>1701</v>
      </c>
      <c r="S465">
        <v>-49</v>
      </c>
      <c r="T465" t="s">
        <v>88</v>
      </c>
      <c r="U465" t="s">
        <v>127</v>
      </c>
      <c r="V465" t="s">
        <v>1</v>
      </c>
      <c r="W465" t="s">
        <v>9</v>
      </c>
      <c r="X465" t="s">
        <v>9</v>
      </c>
      <c r="Y465" t="s">
        <v>9</v>
      </c>
      <c r="Z465" t="s">
        <v>9</v>
      </c>
      <c r="AA465" t="s">
        <v>9</v>
      </c>
      <c r="AB465">
        <v>0</v>
      </c>
      <c r="AC465">
        <v>0</v>
      </c>
      <c r="AD465">
        <v>0</v>
      </c>
      <c r="AE465">
        <v>0</v>
      </c>
      <c r="AF465">
        <v>0</v>
      </c>
      <c r="AG465">
        <v>0</v>
      </c>
      <c r="AH465">
        <v>0</v>
      </c>
      <c r="AI465">
        <v>0</v>
      </c>
      <c r="AL465">
        <v>0</v>
      </c>
      <c r="AM465" t="s">
        <v>278</v>
      </c>
    </row>
    <row r="466" spans="1:39" customFormat="1">
      <c r="A466" s="1">
        <v>450</v>
      </c>
      <c r="B466" t="s">
        <v>272</v>
      </c>
      <c r="C466" t="s">
        <v>1</v>
      </c>
      <c r="D466" t="str">
        <f t="shared" si="45"/>
        <v>-</v>
      </c>
      <c r="E466" t="s">
        <v>9</v>
      </c>
      <c r="F466" t="str">
        <f t="shared" si="46"/>
        <v/>
      </c>
      <c r="G466" t="str">
        <f t="shared" si="47"/>
        <v>n</v>
      </c>
      <c r="H466" t="str">
        <f t="shared" si="44"/>
        <v>None</v>
      </c>
      <c r="I466" t="s">
        <v>71</v>
      </c>
      <c r="J466" t="s">
        <v>138</v>
      </c>
      <c r="K466" s="7" t="s">
        <v>277</v>
      </c>
      <c r="M466">
        <v>27610</v>
      </c>
      <c r="N466">
        <v>5.1999999999999998E-2</v>
      </c>
      <c r="O466">
        <v>3549</v>
      </c>
      <c r="P466" t="s">
        <v>276</v>
      </c>
      <c r="Q466">
        <v>0.121</v>
      </c>
      <c r="R466">
        <v>64000</v>
      </c>
      <c r="S466">
        <v>-1</v>
      </c>
      <c r="T466">
        <v>0</v>
      </c>
      <c r="U466" t="s">
        <v>275</v>
      </c>
      <c r="V466" t="s">
        <v>1</v>
      </c>
      <c r="W466" t="s">
        <v>274</v>
      </c>
      <c r="X466" t="s">
        <v>9</v>
      </c>
      <c r="Y466" t="s">
        <v>9</v>
      </c>
      <c r="Z466" t="s">
        <v>9</v>
      </c>
      <c r="AA466">
        <v>2020</v>
      </c>
      <c r="AB466">
        <v>0</v>
      </c>
      <c r="AC466">
        <v>0</v>
      </c>
      <c r="AD466">
        <v>0</v>
      </c>
      <c r="AE466" t="s">
        <v>273</v>
      </c>
      <c r="AF466">
        <v>0</v>
      </c>
      <c r="AG466">
        <v>0</v>
      </c>
      <c r="AH466">
        <v>0</v>
      </c>
      <c r="AI466">
        <v>0</v>
      </c>
      <c r="AL466">
        <v>0</v>
      </c>
      <c r="AM466" t="s">
        <v>272</v>
      </c>
    </row>
    <row r="467" spans="1:39" customFormat="1">
      <c r="A467" s="1">
        <v>451</v>
      </c>
      <c r="B467" t="s">
        <v>270</v>
      </c>
      <c r="C467" t="s">
        <v>1</v>
      </c>
      <c r="D467" t="str">
        <f t="shared" si="45"/>
        <v>-</v>
      </c>
      <c r="E467" t="s">
        <v>9</v>
      </c>
      <c r="F467" t="str">
        <f t="shared" si="46"/>
        <v/>
      </c>
      <c r="G467" t="str">
        <f t="shared" si="47"/>
        <v>n</v>
      </c>
      <c r="H467" t="str">
        <f t="shared" si="44"/>
        <v>None</v>
      </c>
      <c r="I467" t="s">
        <v>76</v>
      </c>
      <c r="J467" t="s">
        <v>75</v>
      </c>
      <c r="M467">
        <v>27485.8</v>
      </c>
      <c r="N467">
        <v>7.3999999999999996E-2</v>
      </c>
      <c r="O467">
        <v>434</v>
      </c>
      <c r="P467" t="s">
        <v>271</v>
      </c>
      <c r="Q467">
        <v>-3.4000000000000002E-2</v>
      </c>
      <c r="R467">
        <v>75341</v>
      </c>
      <c r="S467">
        <v>14</v>
      </c>
      <c r="T467">
        <v>0</v>
      </c>
      <c r="U467" t="s">
        <v>73</v>
      </c>
      <c r="V467" t="s">
        <v>1</v>
      </c>
      <c r="W467" t="s">
        <v>9</v>
      </c>
      <c r="X467" t="s">
        <v>9</v>
      </c>
      <c r="Y467" t="s">
        <v>9</v>
      </c>
      <c r="Z467" t="s">
        <v>9</v>
      </c>
      <c r="AA467" t="s">
        <v>9</v>
      </c>
      <c r="AB467">
        <v>0</v>
      </c>
      <c r="AC467">
        <v>0</v>
      </c>
      <c r="AD467">
        <v>0</v>
      </c>
      <c r="AE467">
        <v>0</v>
      </c>
      <c r="AF467">
        <v>0</v>
      </c>
      <c r="AG467">
        <v>0</v>
      </c>
      <c r="AH467">
        <v>0</v>
      </c>
      <c r="AI467">
        <v>0</v>
      </c>
      <c r="AL467">
        <v>0</v>
      </c>
      <c r="AM467" t="s">
        <v>270</v>
      </c>
    </row>
    <row r="468" spans="1:39" customFormat="1">
      <c r="A468" s="1">
        <v>452</v>
      </c>
      <c r="B468" t="s">
        <v>266</v>
      </c>
      <c r="C468" t="s">
        <v>1</v>
      </c>
      <c r="D468" t="str">
        <f t="shared" si="45"/>
        <v>-</v>
      </c>
      <c r="E468" t="s">
        <v>9</v>
      </c>
      <c r="F468" t="str">
        <f t="shared" si="46"/>
        <v/>
      </c>
      <c r="G468" t="str">
        <f t="shared" si="47"/>
        <v>n</v>
      </c>
      <c r="H468" t="str">
        <f t="shared" si="44"/>
        <v>None</v>
      </c>
      <c r="I468" t="s">
        <v>76</v>
      </c>
      <c r="J468" t="s">
        <v>269</v>
      </c>
      <c r="M468">
        <v>27423.5</v>
      </c>
      <c r="N468">
        <v>2.3E-2</v>
      </c>
      <c r="O468">
        <v>624.1</v>
      </c>
      <c r="P468" t="s">
        <v>268</v>
      </c>
      <c r="Q468">
        <v>-0.21</v>
      </c>
      <c r="R468">
        <v>35390</v>
      </c>
      <c r="S468">
        <v>-13</v>
      </c>
      <c r="T468">
        <v>0</v>
      </c>
      <c r="U468" t="s">
        <v>267</v>
      </c>
      <c r="V468" t="s">
        <v>1</v>
      </c>
      <c r="W468" t="s">
        <v>9</v>
      </c>
      <c r="X468" t="s">
        <v>9</v>
      </c>
      <c r="Y468" t="s">
        <v>9</v>
      </c>
      <c r="Z468" t="s">
        <v>9</v>
      </c>
      <c r="AA468" t="s">
        <v>9</v>
      </c>
      <c r="AB468">
        <v>0</v>
      </c>
      <c r="AC468">
        <v>0</v>
      </c>
      <c r="AD468">
        <v>0</v>
      </c>
      <c r="AE468">
        <v>0</v>
      </c>
      <c r="AF468">
        <v>0</v>
      </c>
      <c r="AG468">
        <v>0</v>
      </c>
      <c r="AH468">
        <v>0</v>
      </c>
      <c r="AI468">
        <v>0</v>
      </c>
      <c r="AL468">
        <v>0</v>
      </c>
      <c r="AM468" t="s">
        <v>266</v>
      </c>
    </row>
    <row r="469" spans="1:39" customFormat="1">
      <c r="A469" s="1">
        <v>453</v>
      </c>
      <c r="B469" t="s">
        <v>263</v>
      </c>
      <c r="C469" t="s">
        <v>1</v>
      </c>
      <c r="D469" t="str">
        <f t="shared" si="45"/>
        <v>-</v>
      </c>
      <c r="E469" t="s">
        <v>9</v>
      </c>
      <c r="F469" t="str">
        <f t="shared" si="46"/>
        <v/>
      </c>
      <c r="G469" t="str">
        <f t="shared" si="47"/>
        <v>n</v>
      </c>
      <c r="H469" t="str">
        <f t="shared" si="44"/>
        <v>None</v>
      </c>
      <c r="I469" t="s">
        <v>71</v>
      </c>
      <c r="J469" t="s">
        <v>265</v>
      </c>
      <c r="M469">
        <v>27374.1</v>
      </c>
      <c r="N469">
        <v>6.3E-2</v>
      </c>
      <c r="O469">
        <v>716.3</v>
      </c>
      <c r="P469" t="s">
        <v>264</v>
      </c>
      <c r="Q469">
        <v>6.7000000000000004E-2</v>
      </c>
      <c r="R469">
        <v>30321</v>
      </c>
      <c r="S469">
        <v>9</v>
      </c>
      <c r="T469">
        <v>0</v>
      </c>
      <c r="U469" t="s">
        <v>207</v>
      </c>
      <c r="V469" t="s">
        <v>1</v>
      </c>
      <c r="W469" t="s">
        <v>9</v>
      </c>
      <c r="X469" t="s">
        <v>9</v>
      </c>
      <c r="Y469" t="s">
        <v>9</v>
      </c>
      <c r="Z469" t="s">
        <v>9</v>
      </c>
      <c r="AA469" t="s">
        <v>9</v>
      </c>
      <c r="AB469">
        <v>0</v>
      </c>
      <c r="AC469">
        <v>0</v>
      </c>
      <c r="AD469">
        <v>0</v>
      </c>
      <c r="AE469">
        <v>0</v>
      </c>
      <c r="AF469">
        <v>0</v>
      </c>
      <c r="AG469">
        <v>0</v>
      </c>
      <c r="AH469">
        <v>0</v>
      </c>
      <c r="AI469">
        <v>0</v>
      </c>
      <c r="AL469">
        <v>0</v>
      </c>
      <c r="AM469" t="s">
        <v>263</v>
      </c>
    </row>
    <row r="470" spans="1:39" customFormat="1">
      <c r="A470" s="6">
        <v>454</v>
      </c>
      <c r="B470" t="s">
        <v>261</v>
      </c>
      <c r="C470" t="s">
        <v>1</v>
      </c>
      <c r="D470" t="str">
        <f>IF(G470="n","",MIN(X470,-I470,-N470))</f>
        <v/>
      </c>
      <c r="F470" t="str">
        <f t="shared" si="46"/>
        <v/>
      </c>
      <c r="G470" t="str">
        <f t="shared" si="47"/>
        <v>n</v>
      </c>
      <c r="H470" t="str">
        <f t="shared" si="44"/>
        <v>None</v>
      </c>
      <c r="I470" t="s">
        <v>71</v>
      </c>
      <c r="J470" t="s">
        <v>105</v>
      </c>
      <c r="M470">
        <v>27186.1</v>
      </c>
      <c r="N470">
        <v>0.248</v>
      </c>
      <c r="O470">
        <v>128.30000000000001</v>
      </c>
      <c r="P470" t="s">
        <v>262</v>
      </c>
      <c r="Q470">
        <v>-0.69099999999999995</v>
      </c>
      <c r="R470">
        <v>3266</v>
      </c>
      <c r="S470" t="s">
        <v>64</v>
      </c>
      <c r="T470" t="e">
        <v>#N/A</v>
      </c>
      <c r="U470" t="s">
        <v>82</v>
      </c>
      <c r="V470" t="s">
        <v>1</v>
      </c>
      <c r="W470" t="s">
        <v>9</v>
      </c>
      <c r="X470" t="s">
        <v>9</v>
      </c>
      <c r="Y470" t="s">
        <v>9</v>
      </c>
      <c r="Z470" t="s">
        <v>9</v>
      </c>
      <c r="AM470" t="s">
        <v>261</v>
      </c>
    </row>
    <row r="471" spans="1:39" customFormat="1">
      <c r="A471" s="1">
        <v>455</v>
      </c>
      <c r="B471" t="s">
        <v>259</v>
      </c>
      <c r="C471" t="s">
        <v>1</v>
      </c>
      <c r="D471" t="str">
        <f>IF(G471="n","-",MIN(X471,AI471,AN471))</f>
        <v>-</v>
      </c>
      <c r="E471" t="s">
        <v>9</v>
      </c>
      <c r="F471" t="str">
        <f t="shared" si="46"/>
        <v/>
      </c>
      <c r="G471" t="str">
        <f t="shared" si="47"/>
        <v>n</v>
      </c>
      <c r="H471" t="str">
        <f t="shared" si="44"/>
        <v>None</v>
      </c>
      <c r="I471" t="s">
        <v>76</v>
      </c>
      <c r="J471" t="s">
        <v>199</v>
      </c>
      <c r="M471">
        <v>27183.4</v>
      </c>
      <c r="N471">
        <v>-5.6000000000000001E-2</v>
      </c>
      <c r="O471">
        <v>1001.5</v>
      </c>
      <c r="P471" t="s">
        <v>260</v>
      </c>
      <c r="Q471">
        <v>-0.16</v>
      </c>
      <c r="R471">
        <v>38694</v>
      </c>
      <c r="S471">
        <v>-45</v>
      </c>
      <c r="T471" t="s">
        <v>88</v>
      </c>
      <c r="U471" t="s">
        <v>103</v>
      </c>
      <c r="V471" t="s">
        <v>1</v>
      </c>
      <c r="W471" t="s">
        <v>9</v>
      </c>
      <c r="X471" t="s">
        <v>9</v>
      </c>
      <c r="Y471" t="s">
        <v>9</v>
      </c>
      <c r="Z471" t="s">
        <v>9</v>
      </c>
      <c r="AA471" t="s">
        <v>9</v>
      </c>
      <c r="AB471">
        <v>0</v>
      </c>
      <c r="AC471">
        <v>0</v>
      </c>
      <c r="AD471">
        <v>0</v>
      </c>
      <c r="AE471">
        <v>0</v>
      </c>
      <c r="AF471">
        <v>0</v>
      </c>
      <c r="AG471">
        <v>0</v>
      </c>
      <c r="AH471">
        <v>0</v>
      </c>
      <c r="AI471">
        <v>0</v>
      </c>
      <c r="AL471">
        <v>0</v>
      </c>
      <c r="AM471" t="s">
        <v>259</v>
      </c>
    </row>
    <row r="472" spans="1:39" customFormat="1">
      <c r="A472" s="6">
        <v>456</v>
      </c>
      <c r="B472" t="s">
        <v>255</v>
      </c>
      <c r="C472" t="s">
        <v>1</v>
      </c>
      <c r="D472" t="str">
        <f>IF(G472="n","",MIN(X472,-I472,-N472))</f>
        <v/>
      </c>
      <c r="F472" t="str">
        <f t="shared" si="46"/>
        <v/>
      </c>
      <c r="G472" t="str">
        <f t="shared" si="47"/>
        <v>n</v>
      </c>
      <c r="H472" t="str">
        <f t="shared" si="44"/>
        <v>None</v>
      </c>
      <c r="I472" t="s">
        <v>258</v>
      </c>
      <c r="J472" t="s">
        <v>257</v>
      </c>
      <c r="M472">
        <v>27172.7</v>
      </c>
      <c r="N472">
        <v>0.315</v>
      </c>
      <c r="O472">
        <v>144.1</v>
      </c>
      <c r="P472" t="s">
        <v>256</v>
      </c>
      <c r="Q472">
        <v>-0.65400000000000003</v>
      </c>
      <c r="R472">
        <v>81003</v>
      </c>
      <c r="S472" t="s">
        <v>64</v>
      </c>
      <c r="T472" t="e">
        <v>#N/A</v>
      </c>
      <c r="U472" t="s">
        <v>63</v>
      </c>
      <c r="V472" t="s">
        <v>1</v>
      </c>
      <c r="W472" t="s">
        <v>9</v>
      </c>
      <c r="X472" t="s">
        <v>9</v>
      </c>
      <c r="Y472" t="s">
        <v>9</v>
      </c>
      <c r="Z472" t="s">
        <v>9</v>
      </c>
      <c r="AM472" t="s">
        <v>255</v>
      </c>
    </row>
    <row r="473" spans="1:39" customFormat="1">
      <c r="A473" s="1">
        <v>457</v>
      </c>
      <c r="B473" t="s">
        <v>251</v>
      </c>
      <c r="C473" t="s">
        <v>1</v>
      </c>
      <c r="D473">
        <f>IF(G473="n","",MIN(X473,AI473,AN473))</f>
        <v>2010</v>
      </c>
      <c r="F473">
        <f t="shared" si="46"/>
        <v>2010</v>
      </c>
      <c r="G473" t="str">
        <f t="shared" si="47"/>
        <v>y</v>
      </c>
      <c r="H473" t="str">
        <f t="shared" si="44"/>
        <v>CN</v>
      </c>
      <c r="I473" t="s">
        <v>76</v>
      </c>
      <c r="J473" t="s">
        <v>80</v>
      </c>
      <c r="M473">
        <v>27147.9</v>
      </c>
      <c r="N473">
        <v>3.3000000000000002E-2</v>
      </c>
      <c r="O473">
        <v>4863.3999999999996</v>
      </c>
      <c r="P473" t="s">
        <v>254</v>
      </c>
      <c r="Q473">
        <v>-3.0000000000000001E-3</v>
      </c>
      <c r="R473">
        <v>39924</v>
      </c>
      <c r="S473">
        <v>-9</v>
      </c>
      <c r="T473">
        <v>0</v>
      </c>
      <c r="U473" t="s">
        <v>161</v>
      </c>
      <c r="V473" t="s">
        <v>32</v>
      </c>
      <c r="W473" t="s">
        <v>9</v>
      </c>
      <c r="X473">
        <v>2010</v>
      </c>
      <c r="Y473" t="s">
        <v>9</v>
      </c>
      <c r="Z473" t="s">
        <v>9</v>
      </c>
      <c r="AA473" t="s">
        <v>9</v>
      </c>
      <c r="AB473" t="s">
        <v>52</v>
      </c>
      <c r="AC473">
        <v>0</v>
      </c>
      <c r="AD473" t="s">
        <v>253</v>
      </c>
      <c r="AE473" t="s">
        <v>252</v>
      </c>
      <c r="AF473">
        <v>0</v>
      </c>
      <c r="AG473">
        <v>0</v>
      </c>
      <c r="AH473">
        <v>0</v>
      </c>
      <c r="AL473">
        <v>0</v>
      </c>
      <c r="AM473" t="s">
        <v>251</v>
      </c>
    </row>
    <row r="474" spans="1:39" customFormat="1">
      <c r="A474" s="1">
        <v>458</v>
      </c>
      <c r="B474" t="s">
        <v>248</v>
      </c>
      <c r="C474" t="s">
        <v>1</v>
      </c>
      <c r="D474" t="str">
        <f>IF(G474="n","-",MIN(X474,AI474,AN474))</f>
        <v>-</v>
      </c>
      <c r="E474" t="s">
        <v>9</v>
      </c>
      <c r="F474" t="str">
        <f t="shared" si="46"/>
        <v/>
      </c>
      <c r="G474" t="str">
        <f t="shared" si="47"/>
        <v>n</v>
      </c>
      <c r="H474" t="str">
        <f t="shared" si="44"/>
        <v>None</v>
      </c>
      <c r="I474" t="s">
        <v>178</v>
      </c>
      <c r="J474" t="s">
        <v>250</v>
      </c>
      <c r="M474">
        <v>27076.1</v>
      </c>
      <c r="N474">
        <v>1.7000000000000001E-2</v>
      </c>
      <c r="O474">
        <v>2662.6</v>
      </c>
      <c r="P474" t="s">
        <v>249</v>
      </c>
      <c r="Q474">
        <v>2.1000000000000001E-2</v>
      </c>
      <c r="R474">
        <v>85718</v>
      </c>
      <c r="S474">
        <v>-15</v>
      </c>
      <c r="T474">
        <v>0</v>
      </c>
      <c r="U474" t="s">
        <v>207</v>
      </c>
      <c r="V474" t="s">
        <v>1</v>
      </c>
      <c r="W474" t="s">
        <v>9</v>
      </c>
      <c r="X474" t="s">
        <v>9</v>
      </c>
      <c r="Y474" t="s">
        <v>9</v>
      </c>
      <c r="Z474" t="s">
        <v>9</v>
      </c>
      <c r="AA474" t="s">
        <v>9</v>
      </c>
      <c r="AB474">
        <v>0</v>
      </c>
      <c r="AC474">
        <v>0</v>
      </c>
      <c r="AD474">
        <v>0</v>
      </c>
      <c r="AE474">
        <v>0</v>
      </c>
      <c r="AF474">
        <v>0</v>
      </c>
      <c r="AG474">
        <v>0</v>
      </c>
      <c r="AH474">
        <v>0</v>
      </c>
      <c r="AI474">
        <v>0</v>
      </c>
      <c r="AL474">
        <v>0</v>
      </c>
      <c r="AM474" t="s">
        <v>248</v>
      </c>
    </row>
    <row r="475" spans="1:39" customFormat="1">
      <c r="A475" s="6">
        <v>459</v>
      </c>
      <c r="B475" t="s">
        <v>245</v>
      </c>
      <c r="C475" t="s">
        <v>1</v>
      </c>
      <c r="D475" t="str">
        <f>IF(G475="n","",MIN(X475,-I475,-N475))</f>
        <v/>
      </c>
      <c r="F475" t="str">
        <f t="shared" si="46"/>
        <v/>
      </c>
      <c r="G475" t="str">
        <f t="shared" si="47"/>
        <v>n</v>
      </c>
      <c r="H475" t="str">
        <f t="shared" si="44"/>
        <v>None</v>
      </c>
      <c r="I475" t="s">
        <v>71</v>
      </c>
      <c r="J475" t="s">
        <v>105</v>
      </c>
      <c r="M475">
        <v>27061.3</v>
      </c>
      <c r="N475">
        <v>0.187</v>
      </c>
      <c r="O475">
        <v>1789.1</v>
      </c>
      <c r="P475" t="s">
        <v>247</v>
      </c>
      <c r="Q475">
        <v>1.95</v>
      </c>
      <c r="R475">
        <v>20231</v>
      </c>
      <c r="S475" t="s">
        <v>64</v>
      </c>
      <c r="T475" t="e">
        <v>#N/A</v>
      </c>
      <c r="U475" t="s">
        <v>246</v>
      </c>
      <c r="V475" t="s">
        <v>1</v>
      </c>
      <c r="W475" t="s">
        <v>9</v>
      </c>
      <c r="X475" t="s">
        <v>9</v>
      </c>
      <c r="Y475" t="s">
        <v>9</v>
      </c>
      <c r="Z475" t="s">
        <v>9</v>
      </c>
      <c r="AM475" t="s">
        <v>245</v>
      </c>
    </row>
    <row r="476" spans="1:39" customFormat="1">
      <c r="A476" s="1">
        <v>460</v>
      </c>
      <c r="B476" t="s">
        <v>241</v>
      </c>
      <c r="C476" t="s">
        <v>1</v>
      </c>
      <c r="D476" t="str">
        <f>IF(G476="n","-",MIN(X476,AI476,AN476))</f>
        <v>-</v>
      </c>
      <c r="E476" t="s">
        <v>9</v>
      </c>
      <c r="F476" t="str">
        <f t="shared" si="46"/>
        <v/>
      </c>
      <c r="G476" t="str">
        <f t="shared" si="47"/>
        <v>n</v>
      </c>
      <c r="H476" t="str">
        <f t="shared" si="44"/>
        <v>None</v>
      </c>
      <c r="I476" t="s">
        <v>101</v>
      </c>
      <c r="J476" t="s">
        <v>101</v>
      </c>
      <c r="M476">
        <v>27058</v>
      </c>
      <c r="N476">
        <v>6.7000000000000004E-2</v>
      </c>
      <c r="O476">
        <v>2909</v>
      </c>
      <c r="P476" t="s">
        <v>244</v>
      </c>
      <c r="Q476">
        <v>0.437</v>
      </c>
      <c r="R476">
        <v>67000</v>
      </c>
      <c r="S476">
        <v>7</v>
      </c>
      <c r="T476">
        <v>0</v>
      </c>
      <c r="U476" t="s">
        <v>127</v>
      </c>
      <c r="V476" t="s">
        <v>1</v>
      </c>
      <c r="W476" t="s">
        <v>243</v>
      </c>
      <c r="X476" t="s">
        <v>9</v>
      </c>
      <c r="Y476" t="s">
        <v>9</v>
      </c>
      <c r="Z476">
        <v>2015</v>
      </c>
      <c r="AA476">
        <v>2020</v>
      </c>
      <c r="AB476" t="s">
        <v>31</v>
      </c>
      <c r="AC476">
        <v>0</v>
      </c>
      <c r="AD476">
        <v>0</v>
      </c>
      <c r="AE476" t="s">
        <v>242</v>
      </c>
      <c r="AF476">
        <v>0</v>
      </c>
      <c r="AG476">
        <v>0</v>
      </c>
      <c r="AH476">
        <v>0</v>
      </c>
      <c r="AI476">
        <v>0</v>
      </c>
      <c r="AL476">
        <v>0</v>
      </c>
      <c r="AM476" t="s">
        <v>241</v>
      </c>
    </row>
    <row r="477" spans="1:39" customFormat="1">
      <c r="A477" s="6">
        <v>461</v>
      </c>
      <c r="B477" t="s">
        <v>239</v>
      </c>
      <c r="C477" t="s">
        <v>1</v>
      </c>
      <c r="D477" t="str">
        <f>IF(G477="n","",MIN(X477,-I477,-N477))</f>
        <v/>
      </c>
      <c r="F477" t="str">
        <f t="shared" si="46"/>
        <v/>
      </c>
      <c r="G477" t="str">
        <f t="shared" si="47"/>
        <v>n</v>
      </c>
      <c r="H477" t="str">
        <f t="shared" si="44"/>
        <v>None</v>
      </c>
      <c r="I477" t="s">
        <v>85</v>
      </c>
      <c r="J477" t="s">
        <v>84</v>
      </c>
      <c r="M477">
        <v>26846.7</v>
      </c>
      <c r="N477">
        <v>0.153</v>
      </c>
      <c r="O477">
        <v>-70.2</v>
      </c>
      <c r="P477" t="s">
        <v>240</v>
      </c>
      <c r="Q477" t="s">
        <v>9</v>
      </c>
      <c r="R477">
        <v>24848</v>
      </c>
      <c r="S477" t="s">
        <v>64</v>
      </c>
      <c r="T477" t="e">
        <v>#N/A</v>
      </c>
      <c r="U477" t="s">
        <v>73</v>
      </c>
      <c r="V477" t="s">
        <v>1</v>
      </c>
      <c r="W477" t="s">
        <v>9</v>
      </c>
      <c r="X477" t="s">
        <v>9</v>
      </c>
      <c r="Y477" t="s">
        <v>9</v>
      </c>
      <c r="Z477" t="s">
        <v>9</v>
      </c>
      <c r="AM477" t="s">
        <v>239</v>
      </c>
    </row>
    <row r="478" spans="1:39" customFormat="1">
      <c r="A478" s="1">
        <v>462</v>
      </c>
      <c r="B478" t="s">
        <v>237</v>
      </c>
      <c r="C478" t="s">
        <v>1</v>
      </c>
      <c r="D478" t="str">
        <f>IF(G478="n","-",MIN(X478,AI478,AN478))</f>
        <v>-</v>
      </c>
      <c r="E478" t="s">
        <v>9</v>
      </c>
      <c r="F478" t="str">
        <f t="shared" si="46"/>
        <v/>
      </c>
      <c r="G478" t="str">
        <f t="shared" si="47"/>
        <v>n</v>
      </c>
      <c r="H478" t="str">
        <f t="shared" si="44"/>
        <v>None</v>
      </c>
      <c r="I478" t="s">
        <v>71</v>
      </c>
      <c r="J478" t="s">
        <v>138</v>
      </c>
      <c r="M478">
        <v>26840.5</v>
      </c>
      <c r="N478">
        <v>0.128</v>
      </c>
      <c r="O478">
        <v>1.2</v>
      </c>
      <c r="P478" t="s">
        <v>238</v>
      </c>
      <c r="Q478">
        <v>1.39</v>
      </c>
      <c r="R478">
        <v>100637</v>
      </c>
      <c r="S478">
        <v>33</v>
      </c>
      <c r="T478">
        <v>0</v>
      </c>
      <c r="U478" t="s">
        <v>73</v>
      </c>
      <c r="V478" t="s">
        <v>1</v>
      </c>
      <c r="W478" t="s">
        <v>9</v>
      </c>
      <c r="X478" t="s">
        <v>9</v>
      </c>
      <c r="Y478" t="s">
        <v>9</v>
      </c>
      <c r="Z478" t="s">
        <v>9</v>
      </c>
      <c r="AA478" t="s">
        <v>9</v>
      </c>
      <c r="AB478">
        <v>0</v>
      </c>
      <c r="AC478">
        <v>0</v>
      </c>
      <c r="AD478">
        <v>0</v>
      </c>
      <c r="AE478">
        <v>0</v>
      </c>
      <c r="AF478">
        <v>0</v>
      </c>
      <c r="AG478">
        <v>0</v>
      </c>
      <c r="AH478">
        <v>0</v>
      </c>
      <c r="AI478">
        <v>0</v>
      </c>
      <c r="AL478">
        <v>0</v>
      </c>
      <c r="AM478" t="s">
        <v>237</v>
      </c>
    </row>
    <row r="479" spans="1:39" customFormat="1">
      <c r="A479" s="1">
        <v>463</v>
      </c>
      <c r="B479" t="s">
        <v>235</v>
      </c>
      <c r="C479" t="s">
        <v>1</v>
      </c>
      <c r="D479" t="str">
        <f>IF(G479="n","-",MIN(X479,AI479,AN479))</f>
        <v>-</v>
      </c>
      <c r="E479" t="s">
        <v>9</v>
      </c>
      <c r="F479" t="str">
        <f t="shared" si="46"/>
        <v/>
      </c>
      <c r="G479" t="str">
        <f t="shared" si="47"/>
        <v>n</v>
      </c>
      <c r="H479" t="str">
        <f t="shared" si="44"/>
        <v>None</v>
      </c>
      <c r="I479" t="s">
        <v>119</v>
      </c>
      <c r="J479" t="s">
        <v>118</v>
      </c>
      <c r="M479">
        <v>26835.7</v>
      </c>
      <c r="N479">
        <v>0.128</v>
      </c>
      <c r="O479">
        <v>250.9</v>
      </c>
      <c r="P479" t="s">
        <v>236</v>
      </c>
      <c r="Q479">
        <v>-0.38800000000000001</v>
      </c>
      <c r="R479">
        <v>64832</v>
      </c>
      <c r="S479">
        <v>30</v>
      </c>
      <c r="T479">
        <v>0</v>
      </c>
      <c r="U479" t="s">
        <v>114</v>
      </c>
      <c r="V479" t="s">
        <v>1</v>
      </c>
      <c r="W479" t="s">
        <v>9</v>
      </c>
      <c r="X479" t="s">
        <v>9</v>
      </c>
      <c r="Y479" t="s">
        <v>9</v>
      </c>
      <c r="Z479" t="s">
        <v>9</v>
      </c>
      <c r="AA479" t="s">
        <v>9</v>
      </c>
      <c r="AB479">
        <v>0</v>
      </c>
      <c r="AC479">
        <v>0</v>
      </c>
      <c r="AD479">
        <v>0</v>
      </c>
      <c r="AE479">
        <v>0</v>
      </c>
      <c r="AF479">
        <v>0</v>
      </c>
      <c r="AG479">
        <v>0</v>
      </c>
      <c r="AH479">
        <v>0</v>
      </c>
      <c r="AI479">
        <v>0</v>
      </c>
      <c r="AL479">
        <v>0</v>
      </c>
      <c r="AM479" t="s">
        <v>235</v>
      </c>
    </row>
    <row r="480" spans="1:39" customFormat="1">
      <c r="A480" s="1">
        <v>464</v>
      </c>
      <c r="B480" t="s">
        <v>233</v>
      </c>
      <c r="C480" t="s">
        <v>1</v>
      </c>
      <c r="D480" t="str">
        <f>IF(G480="n","-",MIN(X480,AI480,AN480))</f>
        <v>-</v>
      </c>
      <c r="E480" t="s">
        <v>9</v>
      </c>
      <c r="F480" t="str">
        <f t="shared" si="46"/>
        <v/>
      </c>
      <c r="G480" t="str">
        <f t="shared" si="47"/>
        <v>n</v>
      </c>
      <c r="H480" t="str">
        <f t="shared" si="44"/>
        <v>None</v>
      </c>
      <c r="I480" t="s">
        <v>71</v>
      </c>
      <c r="J480" t="s">
        <v>138</v>
      </c>
      <c r="M480">
        <v>26697.599999999999</v>
      </c>
      <c r="N480">
        <v>0.127</v>
      </c>
      <c r="O480">
        <v>-181.8</v>
      </c>
      <c r="P480" t="s">
        <v>234</v>
      </c>
      <c r="Q480">
        <v>-3.72</v>
      </c>
      <c r="R480">
        <v>156268</v>
      </c>
      <c r="S480">
        <v>33</v>
      </c>
      <c r="T480">
        <v>0</v>
      </c>
      <c r="U480" t="s">
        <v>73</v>
      </c>
      <c r="V480" t="s">
        <v>1</v>
      </c>
      <c r="W480" t="s">
        <v>9</v>
      </c>
      <c r="X480" t="s">
        <v>9</v>
      </c>
      <c r="Y480" t="s">
        <v>9</v>
      </c>
      <c r="Z480" t="s">
        <v>9</v>
      </c>
      <c r="AA480" t="s">
        <v>9</v>
      </c>
      <c r="AB480">
        <v>0</v>
      </c>
      <c r="AC480">
        <v>0</v>
      </c>
      <c r="AD480">
        <v>0</v>
      </c>
      <c r="AE480">
        <v>0</v>
      </c>
      <c r="AF480">
        <v>0</v>
      </c>
      <c r="AG480">
        <v>0</v>
      </c>
      <c r="AH480">
        <v>0</v>
      </c>
      <c r="AI480">
        <v>0</v>
      </c>
      <c r="AL480">
        <v>0</v>
      </c>
      <c r="AM480" t="s">
        <v>233</v>
      </c>
    </row>
    <row r="481" spans="1:39" customFormat="1">
      <c r="A481" s="6">
        <v>465</v>
      </c>
      <c r="B481" t="s">
        <v>231</v>
      </c>
      <c r="C481" t="s">
        <v>1</v>
      </c>
      <c r="D481" t="str">
        <f>IF(G481="n","",MIN(X481,-I481,-N481))</f>
        <v/>
      </c>
      <c r="F481" t="str">
        <f t="shared" si="46"/>
        <v/>
      </c>
      <c r="G481" t="str">
        <f t="shared" si="47"/>
        <v>n</v>
      </c>
      <c r="H481" t="str">
        <f t="shared" si="44"/>
        <v>None</v>
      </c>
      <c r="I481" t="s">
        <v>71</v>
      </c>
      <c r="J481" t="s">
        <v>138</v>
      </c>
      <c r="M481">
        <v>26692.799999999999</v>
      </c>
      <c r="N481">
        <v>0.182</v>
      </c>
      <c r="O481">
        <v>141.6</v>
      </c>
      <c r="P481" t="s">
        <v>232</v>
      </c>
      <c r="Q481">
        <v>0.193</v>
      </c>
      <c r="R481">
        <v>199872</v>
      </c>
      <c r="S481" t="s">
        <v>64</v>
      </c>
      <c r="T481" t="e">
        <v>#N/A</v>
      </c>
      <c r="U481" t="s">
        <v>73</v>
      </c>
      <c r="V481" t="s">
        <v>1</v>
      </c>
      <c r="W481" t="s">
        <v>9</v>
      </c>
      <c r="X481" t="s">
        <v>9</v>
      </c>
      <c r="Y481" t="s">
        <v>9</v>
      </c>
      <c r="Z481" t="s">
        <v>9</v>
      </c>
      <c r="AM481" t="s">
        <v>231</v>
      </c>
    </row>
    <row r="482" spans="1:39" customFormat="1">
      <c r="A482" s="1">
        <v>466</v>
      </c>
      <c r="B482" t="s">
        <v>222</v>
      </c>
      <c r="C482" t="s">
        <v>1</v>
      </c>
      <c r="D482">
        <f>IF(G482="n","",MIN(X482,AI482,AN482))</f>
        <v>2017</v>
      </c>
      <c r="F482">
        <f t="shared" si="46"/>
        <v>2017</v>
      </c>
      <c r="G482" t="str">
        <f t="shared" si="47"/>
        <v>y</v>
      </c>
      <c r="H482" t="str">
        <f t="shared" si="44"/>
        <v xml:space="preserve"> SBT</v>
      </c>
      <c r="I482" t="s">
        <v>186</v>
      </c>
      <c r="J482" t="s">
        <v>230</v>
      </c>
      <c r="M482">
        <v>26628.1</v>
      </c>
      <c r="N482">
        <v>2.1000000000000001E-2</v>
      </c>
      <c r="O482">
        <v>-401.3</v>
      </c>
      <c r="P482" t="s">
        <v>229</v>
      </c>
      <c r="Q482" t="s">
        <v>9</v>
      </c>
      <c r="R482">
        <v>103083</v>
      </c>
      <c r="S482">
        <v>-9</v>
      </c>
      <c r="T482">
        <v>0</v>
      </c>
      <c r="U482" t="s">
        <v>228</v>
      </c>
      <c r="V482" t="s">
        <v>1</v>
      </c>
      <c r="W482" t="s">
        <v>227</v>
      </c>
      <c r="X482" t="s">
        <v>9</v>
      </c>
      <c r="Y482" t="s">
        <v>9</v>
      </c>
      <c r="Z482">
        <v>2014</v>
      </c>
      <c r="AA482">
        <v>2030</v>
      </c>
      <c r="AB482" t="s">
        <v>226</v>
      </c>
      <c r="AC482">
        <v>0</v>
      </c>
      <c r="AD482">
        <v>0</v>
      </c>
      <c r="AE482" t="s">
        <v>225</v>
      </c>
      <c r="AF482" t="s">
        <v>204</v>
      </c>
      <c r="AG482" t="s">
        <v>22</v>
      </c>
      <c r="AH482" t="s">
        <v>224</v>
      </c>
      <c r="AI482">
        <v>2017</v>
      </c>
      <c r="AJ482">
        <v>2030</v>
      </c>
      <c r="AK482" t="s">
        <v>20</v>
      </c>
      <c r="AL482" t="s">
        <v>223</v>
      </c>
      <c r="AM482" t="s">
        <v>222</v>
      </c>
    </row>
    <row r="483" spans="1:39" customFormat="1">
      <c r="A483" s="1">
        <v>467</v>
      </c>
      <c r="B483" t="s">
        <v>216</v>
      </c>
      <c r="C483" t="s">
        <v>1</v>
      </c>
      <c r="D483" t="str">
        <f>IF(G483="n","-",MIN(X483,AI483,AN483))</f>
        <v>-</v>
      </c>
      <c r="E483" t="s">
        <v>9</v>
      </c>
      <c r="F483" t="str">
        <f t="shared" si="46"/>
        <v/>
      </c>
      <c r="G483" t="str">
        <f t="shared" si="47"/>
        <v>n</v>
      </c>
      <c r="H483" t="str">
        <f t="shared" si="44"/>
        <v>None</v>
      </c>
      <c r="I483" t="s">
        <v>124</v>
      </c>
      <c r="J483" t="s">
        <v>123</v>
      </c>
      <c r="M483">
        <v>26608.1</v>
      </c>
      <c r="N483">
        <v>7.1999999999999995E-2</v>
      </c>
      <c r="O483">
        <v>1134.0999999999999</v>
      </c>
      <c r="P483" t="s">
        <v>221</v>
      </c>
      <c r="Q483">
        <v>0.03</v>
      </c>
      <c r="R483">
        <v>85610</v>
      </c>
      <c r="S483">
        <v>8</v>
      </c>
      <c r="T483">
        <v>0</v>
      </c>
      <c r="U483" t="s">
        <v>96</v>
      </c>
      <c r="V483" t="s">
        <v>1</v>
      </c>
      <c r="W483" t="s">
        <v>220</v>
      </c>
      <c r="X483" t="s">
        <v>9</v>
      </c>
      <c r="Y483">
        <v>2018</v>
      </c>
      <c r="Z483" t="s">
        <v>9</v>
      </c>
      <c r="AA483">
        <v>2030</v>
      </c>
      <c r="AB483" t="s">
        <v>219</v>
      </c>
      <c r="AC483">
        <v>0</v>
      </c>
      <c r="AD483" t="s">
        <v>218</v>
      </c>
      <c r="AE483" t="s">
        <v>217</v>
      </c>
      <c r="AF483">
        <v>0</v>
      </c>
      <c r="AG483">
        <v>0</v>
      </c>
      <c r="AH483">
        <v>0</v>
      </c>
      <c r="AI483">
        <v>0</v>
      </c>
      <c r="AL483">
        <v>0</v>
      </c>
      <c r="AM483" t="s">
        <v>216</v>
      </c>
    </row>
    <row r="484" spans="1:39" customFormat="1">
      <c r="A484" s="6">
        <v>468</v>
      </c>
      <c r="B484" t="s">
        <v>213</v>
      </c>
      <c r="C484" t="s">
        <v>1</v>
      </c>
      <c r="D484" t="str">
        <f>IF(G484="n","",MIN(X484,-I484,-N484))</f>
        <v/>
      </c>
      <c r="F484" t="str">
        <f t="shared" si="46"/>
        <v/>
      </c>
      <c r="G484" t="str">
        <f t="shared" si="47"/>
        <v>n</v>
      </c>
      <c r="H484" t="str">
        <f t="shared" si="44"/>
        <v>None</v>
      </c>
      <c r="I484" t="s">
        <v>186</v>
      </c>
      <c r="J484" t="s">
        <v>215</v>
      </c>
      <c r="M484">
        <v>26443.5</v>
      </c>
      <c r="N484">
        <v>0.55900000000000005</v>
      </c>
      <c r="O484">
        <v>2049.1</v>
      </c>
      <c r="P484" t="s">
        <v>214</v>
      </c>
      <c r="Q484" t="s">
        <v>9</v>
      </c>
      <c r="R484">
        <v>16683</v>
      </c>
      <c r="S484" t="s">
        <v>64</v>
      </c>
      <c r="T484" t="e">
        <v>#N/A</v>
      </c>
      <c r="U484" t="s">
        <v>73</v>
      </c>
      <c r="V484" t="s">
        <v>1</v>
      </c>
      <c r="W484" t="s">
        <v>9</v>
      </c>
      <c r="X484" t="s">
        <v>9</v>
      </c>
      <c r="Y484" t="s">
        <v>9</v>
      </c>
      <c r="Z484" t="s">
        <v>9</v>
      </c>
      <c r="AM484" t="s">
        <v>213</v>
      </c>
    </row>
    <row r="485" spans="1:39" customFormat="1">
      <c r="A485" s="1">
        <v>469</v>
      </c>
      <c r="B485" t="s">
        <v>210</v>
      </c>
      <c r="C485" t="s">
        <v>1</v>
      </c>
      <c r="D485" t="str">
        <f>IF(G485="n","-",MIN(X485,AI485,AN485))</f>
        <v>-</v>
      </c>
      <c r="E485" t="s">
        <v>9</v>
      </c>
      <c r="F485" t="str">
        <f t="shared" si="46"/>
        <v/>
      </c>
      <c r="G485" t="str">
        <f t="shared" si="47"/>
        <v>n</v>
      </c>
      <c r="H485" t="str">
        <f t="shared" si="44"/>
        <v>None</v>
      </c>
      <c r="I485" t="s">
        <v>71</v>
      </c>
      <c r="J485" t="s">
        <v>212</v>
      </c>
      <c r="M485">
        <v>26290.1</v>
      </c>
      <c r="N485">
        <v>0.105</v>
      </c>
      <c r="O485">
        <v>-131.1</v>
      </c>
      <c r="P485" t="s">
        <v>211</v>
      </c>
      <c r="Q485" t="s">
        <v>9</v>
      </c>
      <c r="R485">
        <v>129150</v>
      </c>
      <c r="S485">
        <v>25</v>
      </c>
      <c r="T485">
        <v>0</v>
      </c>
      <c r="U485" t="s">
        <v>73</v>
      </c>
      <c r="V485" t="s">
        <v>1</v>
      </c>
      <c r="W485" t="s">
        <v>9</v>
      </c>
      <c r="X485" t="s">
        <v>9</v>
      </c>
      <c r="Y485" t="s">
        <v>9</v>
      </c>
      <c r="Z485" t="s">
        <v>9</v>
      </c>
      <c r="AA485" t="s">
        <v>9</v>
      </c>
      <c r="AB485">
        <v>0</v>
      </c>
      <c r="AC485">
        <v>0</v>
      </c>
      <c r="AD485">
        <v>0</v>
      </c>
      <c r="AE485">
        <v>0</v>
      </c>
      <c r="AF485">
        <v>0</v>
      </c>
      <c r="AG485">
        <v>0</v>
      </c>
      <c r="AH485">
        <v>0</v>
      </c>
      <c r="AI485">
        <v>0</v>
      </c>
      <c r="AL485">
        <v>0</v>
      </c>
      <c r="AM485" t="s">
        <v>210</v>
      </c>
    </row>
    <row r="486" spans="1:39" customFormat="1">
      <c r="A486" s="1">
        <v>470</v>
      </c>
      <c r="B486" t="s">
        <v>200</v>
      </c>
      <c r="C486" t="s">
        <v>1</v>
      </c>
      <c r="D486">
        <f>IF(G486="n","",MIN(X486,AI486,AN486))</f>
        <v>2018</v>
      </c>
      <c r="F486">
        <f t="shared" si="46"/>
        <v>2018</v>
      </c>
      <c r="G486" t="str">
        <f t="shared" si="47"/>
        <v>y</v>
      </c>
      <c r="H486" t="str">
        <f t="shared" si="44"/>
        <v xml:space="preserve"> SBT</v>
      </c>
      <c r="I486" t="s">
        <v>186</v>
      </c>
      <c r="J486" t="s">
        <v>209</v>
      </c>
      <c r="M486">
        <v>26277</v>
      </c>
      <c r="N486">
        <v>2.4E-2</v>
      </c>
      <c r="O486">
        <v>362.5</v>
      </c>
      <c r="P486" t="s">
        <v>208</v>
      </c>
      <c r="Q486">
        <v>-0.124</v>
      </c>
      <c r="R486">
        <v>110595</v>
      </c>
      <c r="S486">
        <v>-7</v>
      </c>
      <c r="T486">
        <v>0</v>
      </c>
      <c r="U486" t="s">
        <v>207</v>
      </c>
      <c r="V486" t="s">
        <v>1</v>
      </c>
      <c r="W486" t="s">
        <v>9</v>
      </c>
      <c r="X486" t="s">
        <v>9</v>
      </c>
      <c r="Y486" t="s">
        <v>9</v>
      </c>
      <c r="Z486" t="s">
        <v>9</v>
      </c>
      <c r="AA486" t="s">
        <v>9</v>
      </c>
      <c r="AB486">
        <v>0</v>
      </c>
      <c r="AC486">
        <v>0</v>
      </c>
      <c r="AD486" t="s">
        <v>206</v>
      </c>
      <c r="AE486" t="s">
        <v>205</v>
      </c>
      <c r="AF486" t="s">
        <v>204</v>
      </c>
      <c r="AG486" t="s">
        <v>22</v>
      </c>
      <c r="AH486" t="s">
        <v>203</v>
      </c>
      <c r="AI486">
        <v>2018</v>
      </c>
      <c r="AJ486">
        <v>2030</v>
      </c>
      <c r="AK486" t="s">
        <v>202</v>
      </c>
      <c r="AL486" t="s">
        <v>201</v>
      </c>
      <c r="AM486" t="s">
        <v>200</v>
      </c>
    </row>
    <row r="487" spans="1:39" customFormat="1">
      <c r="A487" s="1">
        <v>471</v>
      </c>
      <c r="B487" t="s">
        <v>196</v>
      </c>
      <c r="C487" t="s">
        <v>1</v>
      </c>
      <c r="D487">
        <f>IF(G487="n","",MIN(X487,AI487,AN487))</f>
        <v>2016</v>
      </c>
      <c r="F487">
        <f t="shared" si="46"/>
        <v>2016</v>
      </c>
      <c r="G487" t="str">
        <f t="shared" si="47"/>
        <v>y</v>
      </c>
      <c r="H487" t="str">
        <f t="shared" si="44"/>
        <v xml:space="preserve"> SBT</v>
      </c>
      <c r="I487" t="s">
        <v>76</v>
      </c>
      <c r="J487" t="s">
        <v>199</v>
      </c>
      <c r="M487">
        <v>26276.5</v>
      </c>
      <c r="N487">
        <v>6.4000000000000001E-2</v>
      </c>
      <c r="O487">
        <v>1583.4</v>
      </c>
      <c r="P487" t="s">
        <v>198</v>
      </c>
      <c r="Q487">
        <v>-0.11</v>
      </c>
      <c r="R487">
        <v>45174</v>
      </c>
      <c r="S487">
        <v>8</v>
      </c>
      <c r="T487">
        <v>0</v>
      </c>
      <c r="U487" t="s">
        <v>103</v>
      </c>
      <c r="V487" t="s">
        <v>1</v>
      </c>
      <c r="W487" t="s">
        <v>9</v>
      </c>
      <c r="X487" t="s">
        <v>9</v>
      </c>
      <c r="Y487" t="s">
        <v>9</v>
      </c>
      <c r="Z487" t="s">
        <v>9</v>
      </c>
      <c r="AA487" t="s">
        <v>9</v>
      </c>
      <c r="AB487">
        <v>0</v>
      </c>
      <c r="AC487">
        <v>0</v>
      </c>
      <c r="AD487">
        <v>0</v>
      </c>
      <c r="AE487">
        <v>0</v>
      </c>
      <c r="AF487" t="s">
        <v>93</v>
      </c>
      <c r="AG487" t="s">
        <v>165</v>
      </c>
      <c r="AH487" t="s">
        <v>197</v>
      </c>
      <c r="AI487">
        <v>2016</v>
      </c>
      <c r="AL487">
        <v>0</v>
      </c>
      <c r="AM487" t="s">
        <v>196</v>
      </c>
    </row>
    <row r="488" spans="1:39" customFormat="1">
      <c r="A488" s="1">
        <v>472</v>
      </c>
      <c r="B488" t="s">
        <v>189</v>
      </c>
      <c r="C488" t="s">
        <v>1</v>
      </c>
      <c r="D488">
        <f>IF(G488="n","",MIN(X488,AI488,AN488))</f>
        <v>2018</v>
      </c>
      <c r="F488">
        <f t="shared" si="46"/>
        <v>2018</v>
      </c>
      <c r="G488" t="str">
        <f t="shared" si="47"/>
        <v>y</v>
      </c>
      <c r="H488" t="str">
        <f t="shared" si="44"/>
        <v xml:space="preserve"> SBT</v>
      </c>
      <c r="I488" t="s">
        <v>124</v>
      </c>
      <c r="J488" t="s">
        <v>155</v>
      </c>
      <c r="M488">
        <v>26268</v>
      </c>
      <c r="N488">
        <v>7.0000000000000001E-3</v>
      </c>
      <c r="O488">
        <v>-10192</v>
      </c>
      <c r="P488" t="s">
        <v>195</v>
      </c>
      <c r="Q488">
        <v>-1.9319999999999999</v>
      </c>
      <c r="R488">
        <v>38000</v>
      </c>
      <c r="S488">
        <v>-21</v>
      </c>
      <c r="T488">
        <v>0</v>
      </c>
      <c r="U488" t="s">
        <v>127</v>
      </c>
      <c r="V488" t="s">
        <v>1</v>
      </c>
      <c r="W488" t="s">
        <v>194</v>
      </c>
      <c r="X488" t="s">
        <v>9</v>
      </c>
      <c r="Y488" t="s">
        <v>9</v>
      </c>
      <c r="Z488">
        <v>2015</v>
      </c>
      <c r="AA488">
        <v>2020</v>
      </c>
      <c r="AB488" t="s">
        <v>193</v>
      </c>
      <c r="AC488">
        <v>0</v>
      </c>
      <c r="AD488" t="s">
        <v>192</v>
      </c>
      <c r="AE488" t="s">
        <v>191</v>
      </c>
      <c r="AF488" t="s">
        <v>23</v>
      </c>
      <c r="AG488" t="s">
        <v>165</v>
      </c>
      <c r="AH488" t="s">
        <v>190</v>
      </c>
      <c r="AI488">
        <v>2018</v>
      </c>
      <c r="AL488">
        <v>0</v>
      </c>
      <c r="AM488" t="s">
        <v>189</v>
      </c>
    </row>
    <row r="489" spans="1:39" customFormat="1">
      <c r="A489" s="6">
        <v>473</v>
      </c>
      <c r="B489" t="s">
        <v>187</v>
      </c>
      <c r="C489" t="s">
        <v>1</v>
      </c>
      <c r="D489" t="str">
        <f>IF(G489="n","",MIN(X489,-I489,-N489))</f>
        <v/>
      </c>
      <c r="F489" t="str">
        <f t="shared" si="46"/>
        <v/>
      </c>
      <c r="G489" t="str">
        <f t="shared" si="47"/>
        <v>n</v>
      </c>
      <c r="H489" t="str">
        <f t="shared" si="44"/>
        <v>None</v>
      </c>
      <c r="I489" t="s">
        <v>91</v>
      </c>
      <c r="J489" t="s">
        <v>90</v>
      </c>
      <c r="M489">
        <v>26251</v>
      </c>
      <c r="N489">
        <v>9.0999999999999998E-2</v>
      </c>
      <c r="O489">
        <v>237.6</v>
      </c>
      <c r="P489" t="s">
        <v>188</v>
      </c>
      <c r="Q489">
        <v>-0.115</v>
      </c>
      <c r="R489">
        <v>19510</v>
      </c>
      <c r="S489" t="s">
        <v>64</v>
      </c>
      <c r="T489" t="e">
        <v>#N/A</v>
      </c>
      <c r="U489" t="s">
        <v>73</v>
      </c>
      <c r="V489" t="s">
        <v>1</v>
      </c>
      <c r="W489" t="s">
        <v>9</v>
      </c>
      <c r="X489" t="s">
        <v>9</v>
      </c>
      <c r="Y489" t="s">
        <v>9</v>
      </c>
      <c r="Z489" t="s">
        <v>9</v>
      </c>
      <c r="AM489" t="s">
        <v>187</v>
      </c>
    </row>
    <row r="490" spans="1:39" customFormat="1">
      <c r="A490" s="1">
        <v>474</v>
      </c>
      <c r="B490" t="s">
        <v>182</v>
      </c>
      <c r="C490" t="s">
        <v>1</v>
      </c>
      <c r="D490" t="str">
        <f>IF(G490="n","-",MIN(X490,AI490,AN490))</f>
        <v>-</v>
      </c>
      <c r="E490" t="s">
        <v>9</v>
      </c>
      <c r="F490" t="str">
        <f t="shared" si="46"/>
        <v/>
      </c>
      <c r="G490" t="str">
        <f t="shared" si="47"/>
        <v>n</v>
      </c>
      <c r="H490" t="str">
        <f t="shared" si="44"/>
        <v>None</v>
      </c>
      <c r="I490" t="s">
        <v>186</v>
      </c>
      <c r="J490" t="s">
        <v>185</v>
      </c>
      <c r="M490">
        <v>26210.5</v>
      </c>
      <c r="N490">
        <v>0.03</v>
      </c>
      <c r="O490">
        <v>93.4</v>
      </c>
      <c r="P490" t="s">
        <v>184</v>
      </c>
      <c r="Q490">
        <v>-0.78200000000000003</v>
      </c>
      <c r="R490">
        <v>200000</v>
      </c>
      <c r="S490">
        <v>-8</v>
      </c>
      <c r="T490">
        <v>0</v>
      </c>
      <c r="U490" t="s">
        <v>183</v>
      </c>
      <c r="V490" t="s">
        <v>1</v>
      </c>
      <c r="W490" t="s">
        <v>9</v>
      </c>
      <c r="X490" t="s">
        <v>9</v>
      </c>
      <c r="Y490" t="s">
        <v>9</v>
      </c>
      <c r="Z490" t="s">
        <v>9</v>
      </c>
      <c r="AA490" t="s">
        <v>9</v>
      </c>
      <c r="AB490">
        <v>0</v>
      </c>
      <c r="AC490">
        <v>0</v>
      </c>
      <c r="AD490">
        <v>0</v>
      </c>
      <c r="AE490">
        <v>0</v>
      </c>
      <c r="AF490">
        <v>0</v>
      </c>
      <c r="AG490">
        <v>0</v>
      </c>
      <c r="AH490">
        <v>0</v>
      </c>
      <c r="AI490">
        <v>0</v>
      </c>
      <c r="AL490">
        <v>0</v>
      </c>
      <c r="AM490" t="s">
        <v>182</v>
      </c>
    </row>
    <row r="491" spans="1:39" customFormat="1">
      <c r="A491" s="1">
        <v>475</v>
      </c>
      <c r="B491" t="s">
        <v>179</v>
      </c>
      <c r="C491" t="s">
        <v>1</v>
      </c>
      <c r="D491" t="str">
        <f>IF(G491="n","-",MIN(X491,AI491,AN491))</f>
        <v>-</v>
      </c>
      <c r="E491" t="s">
        <v>9</v>
      </c>
      <c r="F491" t="str">
        <f t="shared" si="46"/>
        <v/>
      </c>
      <c r="G491" t="str">
        <f t="shared" si="47"/>
        <v>n</v>
      </c>
      <c r="H491" t="str">
        <f t="shared" si="44"/>
        <v>None</v>
      </c>
      <c r="I491" t="s">
        <v>85</v>
      </c>
      <c r="J491" t="s">
        <v>84</v>
      </c>
      <c r="M491">
        <v>26207.9</v>
      </c>
      <c r="N491">
        <v>-0.157</v>
      </c>
      <c r="O491">
        <v>103.6</v>
      </c>
      <c r="P491" t="s">
        <v>181</v>
      </c>
      <c r="Q491">
        <v>-0.76400000000000001</v>
      </c>
      <c r="R491">
        <v>52024</v>
      </c>
      <c r="S491">
        <v>-94</v>
      </c>
      <c r="T491" t="s">
        <v>180</v>
      </c>
      <c r="U491" t="s">
        <v>73</v>
      </c>
      <c r="V491" t="s">
        <v>1</v>
      </c>
      <c r="W491" t="s">
        <v>9</v>
      </c>
      <c r="X491" t="s">
        <v>9</v>
      </c>
      <c r="Y491" t="s">
        <v>9</v>
      </c>
      <c r="Z491" t="s">
        <v>9</v>
      </c>
      <c r="AA491" t="s">
        <v>9</v>
      </c>
      <c r="AB491">
        <v>0</v>
      </c>
      <c r="AC491">
        <v>0</v>
      </c>
      <c r="AD491">
        <v>0</v>
      </c>
      <c r="AE491">
        <v>0</v>
      </c>
      <c r="AF491">
        <v>0</v>
      </c>
      <c r="AG491">
        <v>0</v>
      </c>
      <c r="AH491">
        <v>0</v>
      </c>
      <c r="AI491">
        <v>0</v>
      </c>
      <c r="AL491">
        <v>0</v>
      </c>
      <c r="AM491" t="s">
        <v>179</v>
      </c>
    </row>
    <row r="492" spans="1:39" customFormat="1">
      <c r="A492" s="1">
        <v>476</v>
      </c>
      <c r="B492" t="s">
        <v>174</v>
      </c>
      <c r="C492" t="s">
        <v>1</v>
      </c>
      <c r="D492" t="str">
        <f>IF(G492="n","-",MIN(X492,AI492,AN492))</f>
        <v>-</v>
      </c>
      <c r="E492" t="s">
        <v>9</v>
      </c>
      <c r="F492" t="str">
        <f t="shared" si="46"/>
        <v/>
      </c>
      <c r="G492" t="str">
        <f t="shared" si="47"/>
        <v>n</v>
      </c>
      <c r="H492" t="str">
        <f t="shared" si="44"/>
        <v>None</v>
      </c>
      <c r="I492" t="s">
        <v>178</v>
      </c>
      <c r="J492" t="s">
        <v>177</v>
      </c>
      <c r="M492">
        <v>26147.7</v>
      </c>
      <c r="N492">
        <v>5.2999999999999999E-2</v>
      </c>
      <c r="O492">
        <v>237.1</v>
      </c>
      <c r="P492" t="s">
        <v>176</v>
      </c>
      <c r="Q492">
        <v>-0.68799999999999994</v>
      </c>
      <c r="R492">
        <v>60282</v>
      </c>
      <c r="S492">
        <v>-2</v>
      </c>
      <c r="T492">
        <v>0</v>
      </c>
      <c r="U492" t="s">
        <v>175</v>
      </c>
      <c r="V492" t="s">
        <v>1</v>
      </c>
      <c r="W492" t="s">
        <v>9</v>
      </c>
      <c r="X492" t="s">
        <v>9</v>
      </c>
      <c r="Y492" t="s">
        <v>9</v>
      </c>
      <c r="Z492" t="s">
        <v>9</v>
      </c>
      <c r="AA492" t="s">
        <v>9</v>
      </c>
      <c r="AB492">
        <v>0</v>
      </c>
      <c r="AC492">
        <v>0</v>
      </c>
      <c r="AD492">
        <v>0</v>
      </c>
      <c r="AE492">
        <v>0</v>
      </c>
      <c r="AF492">
        <v>0</v>
      </c>
      <c r="AG492">
        <v>0</v>
      </c>
      <c r="AH492">
        <v>0</v>
      </c>
      <c r="AI492">
        <v>0</v>
      </c>
      <c r="AL492">
        <v>0</v>
      </c>
      <c r="AM492" t="s">
        <v>174</v>
      </c>
    </row>
    <row r="493" spans="1:39" customFormat="1">
      <c r="A493" s="1">
        <v>477</v>
      </c>
      <c r="B493" t="s">
        <v>172</v>
      </c>
      <c r="C493" t="s">
        <v>1</v>
      </c>
      <c r="D493" t="str">
        <f>IF(G493="n","-",MIN(X493,AI493,AN493))</f>
        <v>-</v>
      </c>
      <c r="E493" t="s">
        <v>9</v>
      </c>
      <c r="F493" t="str">
        <f t="shared" si="46"/>
        <v/>
      </c>
      <c r="G493" t="str">
        <f t="shared" si="47"/>
        <v>n</v>
      </c>
      <c r="H493" t="str">
        <f t="shared" si="44"/>
        <v>None</v>
      </c>
      <c r="I493" t="s">
        <v>119</v>
      </c>
      <c r="J493" t="s">
        <v>118</v>
      </c>
      <c r="M493">
        <v>26129.4</v>
      </c>
      <c r="N493">
        <v>6.9000000000000006E-2</v>
      </c>
      <c r="O493">
        <v>-252.2</v>
      </c>
      <c r="P493" t="s">
        <v>173</v>
      </c>
      <c r="Q493">
        <v>-1.208</v>
      </c>
      <c r="R493">
        <v>53954</v>
      </c>
      <c r="S493">
        <v>9</v>
      </c>
      <c r="T493">
        <v>0</v>
      </c>
      <c r="U493" t="s">
        <v>146</v>
      </c>
      <c r="V493" t="s">
        <v>1</v>
      </c>
      <c r="W493" t="s">
        <v>9</v>
      </c>
      <c r="X493" t="s">
        <v>9</v>
      </c>
      <c r="Y493" t="s">
        <v>9</v>
      </c>
      <c r="Z493" t="s">
        <v>9</v>
      </c>
      <c r="AA493" t="s">
        <v>9</v>
      </c>
      <c r="AB493">
        <v>0</v>
      </c>
      <c r="AC493">
        <v>0</v>
      </c>
      <c r="AD493">
        <v>0</v>
      </c>
      <c r="AE493">
        <v>0</v>
      </c>
      <c r="AF493">
        <v>0</v>
      </c>
      <c r="AG493">
        <v>0</v>
      </c>
      <c r="AH493">
        <v>0</v>
      </c>
      <c r="AI493">
        <v>0</v>
      </c>
      <c r="AL493">
        <v>0</v>
      </c>
      <c r="AM493" t="s">
        <v>172</v>
      </c>
    </row>
    <row r="494" spans="1:39" customFormat="1">
      <c r="A494" s="1">
        <v>478</v>
      </c>
      <c r="B494" t="s">
        <v>163</v>
      </c>
      <c r="C494" t="s">
        <v>1</v>
      </c>
      <c r="D494">
        <f>IF(G494="n","",MIN(X494,AI494,AN494))</f>
        <v>2018</v>
      </c>
      <c r="F494">
        <f t="shared" si="46"/>
        <v>2018</v>
      </c>
      <c r="G494" t="str">
        <f t="shared" si="47"/>
        <v>y</v>
      </c>
      <c r="H494" t="str">
        <f t="shared" si="44"/>
        <v xml:space="preserve"> SBT</v>
      </c>
      <c r="I494" t="s">
        <v>171</v>
      </c>
      <c r="J494" t="s">
        <v>171</v>
      </c>
      <c r="M494">
        <v>25996.7</v>
      </c>
      <c r="N494">
        <v>0.05</v>
      </c>
      <c r="O494">
        <v>1979.1</v>
      </c>
      <c r="P494" t="s">
        <v>170</v>
      </c>
      <c r="Q494">
        <v>3.3000000000000002E-2</v>
      </c>
      <c r="R494">
        <v>111117</v>
      </c>
      <c r="S494" t="s">
        <v>9</v>
      </c>
      <c r="T494">
        <v>0</v>
      </c>
      <c r="U494" t="s">
        <v>63</v>
      </c>
      <c r="V494" t="s">
        <v>1</v>
      </c>
      <c r="W494" t="s">
        <v>169</v>
      </c>
      <c r="X494" t="s">
        <v>9</v>
      </c>
      <c r="Y494" t="s">
        <v>9</v>
      </c>
      <c r="Z494" t="s">
        <v>9</v>
      </c>
      <c r="AA494" t="s">
        <v>9</v>
      </c>
      <c r="AB494" t="s">
        <v>168</v>
      </c>
      <c r="AC494">
        <v>0</v>
      </c>
      <c r="AD494">
        <v>0</v>
      </c>
      <c r="AE494" t="s">
        <v>167</v>
      </c>
      <c r="AF494" t="s">
        <v>166</v>
      </c>
      <c r="AG494" t="s">
        <v>165</v>
      </c>
      <c r="AH494" t="s">
        <v>164</v>
      </c>
      <c r="AI494">
        <v>2018</v>
      </c>
      <c r="AL494">
        <v>0</v>
      </c>
      <c r="AM494" t="s">
        <v>163</v>
      </c>
    </row>
    <row r="495" spans="1:39" customFormat="1">
      <c r="A495" s="1">
        <v>479</v>
      </c>
      <c r="B495" t="s">
        <v>156</v>
      </c>
      <c r="C495" t="s">
        <v>1</v>
      </c>
      <c r="D495">
        <f>IF(G495="n","",MIN(X495,AI495,AN495))</f>
        <v>2010</v>
      </c>
      <c r="F495">
        <f t="shared" si="46"/>
        <v>2010</v>
      </c>
      <c r="G495" t="str">
        <f t="shared" si="47"/>
        <v>y</v>
      </c>
      <c r="H495" t="str">
        <f t="shared" si="44"/>
        <v>CN</v>
      </c>
      <c r="I495" t="s">
        <v>76</v>
      </c>
      <c r="J495" t="s">
        <v>80</v>
      </c>
      <c r="M495">
        <v>25942.7</v>
      </c>
      <c r="N495">
        <v>5.7000000000000002E-2</v>
      </c>
      <c r="O495">
        <v>4220.6000000000004</v>
      </c>
      <c r="P495" t="s">
        <v>162</v>
      </c>
      <c r="Q495">
        <v>4.9000000000000002E-2</v>
      </c>
      <c r="R495">
        <v>33283</v>
      </c>
      <c r="S495">
        <v>6</v>
      </c>
      <c r="T495">
        <v>0</v>
      </c>
      <c r="U495" t="s">
        <v>161</v>
      </c>
      <c r="V495" t="s">
        <v>32</v>
      </c>
      <c r="W495" t="s">
        <v>9</v>
      </c>
      <c r="X495">
        <v>2010</v>
      </c>
      <c r="Y495" t="s">
        <v>9</v>
      </c>
      <c r="Z495" t="s">
        <v>9</v>
      </c>
      <c r="AA495" t="s">
        <v>9</v>
      </c>
      <c r="AB495" t="s">
        <v>160</v>
      </c>
      <c r="AC495" t="s">
        <v>159</v>
      </c>
      <c r="AD495" t="s">
        <v>158</v>
      </c>
      <c r="AE495" t="s">
        <v>157</v>
      </c>
      <c r="AF495">
        <v>0</v>
      </c>
      <c r="AG495">
        <v>0</v>
      </c>
      <c r="AH495">
        <v>0</v>
      </c>
      <c r="AL495">
        <v>0</v>
      </c>
      <c r="AM495" t="s">
        <v>156</v>
      </c>
    </row>
    <row r="496" spans="1:39" customFormat="1">
      <c r="A496" s="1">
        <v>480</v>
      </c>
      <c r="B496" t="s">
        <v>150</v>
      </c>
      <c r="C496" t="s">
        <v>1</v>
      </c>
      <c r="D496" t="str">
        <f>IF(G496="n","-",MIN(X496,AI496,AN496))</f>
        <v>-</v>
      </c>
      <c r="E496" t="s">
        <v>9</v>
      </c>
      <c r="F496" t="str">
        <f t="shared" si="46"/>
        <v/>
      </c>
      <c r="G496" t="str">
        <f t="shared" si="47"/>
        <v>n</v>
      </c>
      <c r="H496" t="str">
        <f t="shared" si="44"/>
        <v>None</v>
      </c>
      <c r="I496" t="s">
        <v>124</v>
      </c>
      <c r="J496" t="s">
        <v>155</v>
      </c>
      <c r="M496">
        <v>25938</v>
      </c>
      <c r="N496">
        <v>2E-3</v>
      </c>
      <c r="O496">
        <v>3381</v>
      </c>
      <c r="P496" t="s">
        <v>154</v>
      </c>
      <c r="Q496">
        <v>0.157</v>
      </c>
      <c r="R496">
        <v>80000</v>
      </c>
      <c r="S496">
        <v>-21</v>
      </c>
      <c r="T496">
        <v>0</v>
      </c>
      <c r="U496" t="s">
        <v>127</v>
      </c>
      <c r="V496" t="s">
        <v>1</v>
      </c>
      <c r="W496" t="s">
        <v>153</v>
      </c>
      <c r="X496" t="s">
        <v>9</v>
      </c>
      <c r="Y496" t="s">
        <v>9</v>
      </c>
      <c r="Z496" t="s">
        <v>9</v>
      </c>
      <c r="AA496" t="s">
        <v>9</v>
      </c>
      <c r="AB496">
        <v>0</v>
      </c>
      <c r="AC496">
        <v>0</v>
      </c>
      <c r="AD496" t="s">
        <v>152</v>
      </c>
      <c r="AE496" t="s">
        <v>151</v>
      </c>
      <c r="AF496">
        <v>0</v>
      </c>
      <c r="AG496">
        <v>0</v>
      </c>
      <c r="AH496">
        <v>0</v>
      </c>
      <c r="AI496">
        <v>0</v>
      </c>
      <c r="AL496">
        <v>0</v>
      </c>
      <c r="AM496" t="s">
        <v>150</v>
      </c>
    </row>
    <row r="497" spans="1:39" customFormat="1">
      <c r="A497" s="1">
        <v>481</v>
      </c>
      <c r="B497" t="s">
        <v>143</v>
      </c>
      <c r="C497" t="s">
        <v>1</v>
      </c>
      <c r="D497" t="str">
        <f>IF(G497="n","-",MIN(X497,AI497,AN497))</f>
        <v>-</v>
      </c>
      <c r="E497" t="s">
        <v>9</v>
      </c>
      <c r="F497" t="str">
        <f t="shared" si="46"/>
        <v/>
      </c>
      <c r="G497" t="str">
        <f t="shared" si="47"/>
        <v>n</v>
      </c>
      <c r="H497" t="str">
        <f t="shared" si="44"/>
        <v>None</v>
      </c>
      <c r="I497" t="s">
        <v>149</v>
      </c>
      <c r="J497" t="s">
        <v>148</v>
      </c>
      <c r="M497">
        <v>25920</v>
      </c>
      <c r="N497">
        <v>5.0999999999999997E-2</v>
      </c>
      <c r="O497">
        <v>2008.6</v>
      </c>
      <c r="P497" t="s">
        <v>147</v>
      </c>
      <c r="Q497">
        <v>0.624</v>
      </c>
      <c r="R497">
        <v>57016</v>
      </c>
      <c r="S497">
        <v>-1</v>
      </c>
      <c r="T497">
        <v>0</v>
      </c>
      <c r="U497" t="s">
        <v>146</v>
      </c>
      <c r="V497" t="s">
        <v>1</v>
      </c>
      <c r="W497" t="s">
        <v>9</v>
      </c>
      <c r="X497" t="s">
        <v>9</v>
      </c>
      <c r="Y497" t="s">
        <v>9</v>
      </c>
      <c r="Z497" t="s">
        <v>9</v>
      </c>
      <c r="AA497" t="s">
        <v>9</v>
      </c>
      <c r="AB497">
        <v>0</v>
      </c>
      <c r="AC497">
        <v>0</v>
      </c>
      <c r="AD497" t="s">
        <v>145</v>
      </c>
      <c r="AE497" t="s">
        <v>144</v>
      </c>
      <c r="AF497">
        <v>0</v>
      </c>
      <c r="AG497">
        <v>0</v>
      </c>
      <c r="AH497">
        <v>0</v>
      </c>
      <c r="AI497">
        <v>0</v>
      </c>
      <c r="AL497">
        <v>0</v>
      </c>
      <c r="AM497" t="s">
        <v>143</v>
      </c>
    </row>
    <row r="498" spans="1:39" customFormat="1">
      <c r="A498" s="1">
        <v>482</v>
      </c>
      <c r="B498" t="s">
        <v>141</v>
      </c>
      <c r="C498" t="s">
        <v>1</v>
      </c>
      <c r="D498" t="str">
        <f>IF(G498="n","-",MIN(X498,AI498,AN498))</f>
        <v>-</v>
      </c>
      <c r="E498" t="s">
        <v>9</v>
      </c>
      <c r="F498" t="str">
        <f t="shared" si="46"/>
        <v/>
      </c>
      <c r="G498" t="str">
        <f t="shared" si="47"/>
        <v>n</v>
      </c>
      <c r="H498" t="str">
        <f t="shared" si="44"/>
        <v>None</v>
      </c>
      <c r="I498" t="s">
        <v>71</v>
      </c>
      <c r="J498" t="s">
        <v>138</v>
      </c>
      <c r="M498">
        <v>25844.7</v>
      </c>
      <c r="N498">
        <v>4.8000000000000001E-2</v>
      </c>
      <c r="O498">
        <v>52.6</v>
      </c>
      <c r="P498" t="s">
        <v>142</v>
      </c>
      <c r="Q498">
        <v>-8.2000000000000003E-2</v>
      </c>
      <c r="R498">
        <v>128795</v>
      </c>
      <c r="S498">
        <v>-1</v>
      </c>
      <c r="T498">
        <v>0</v>
      </c>
      <c r="U498" t="s">
        <v>73</v>
      </c>
      <c r="V498" t="s">
        <v>1</v>
      </c>
      <c r="W498" t="s">
        <v>9</v>
      </c>
      <c r="X498" t="s">
        <v>9</v>
      </c>
      <c r="Y498" t="s">
        <v>9</v>
      </c>
      <c r="Z498" t="s">
        <v>9</v>
      </c>
      <c r="AA498" t="s">
        <v>9</v>
      </c>
      <c r="AB498">
        <v>0</v>
      </c>
      <c r="AC498">
        <v>0</v>
      </c>
      <c r="AD498">
        <v>0</v>
      </c>
      <c r="AE498">
        <v>0</v>
      </c>
      <c r="AF498">
        <v>0</v>
      </c>
      <c r="AG498">
        <v>0</v>
      </c>
      <c r="AH498">
        <v>0</v>
      </c>
      <c r="AI498">
        <v>0</v>
      </c>
      <c r="AL498">
        <v>0</v>
      </c>
      <c r="AM498" t="s">
        <v>141</v>
      </c>
    </row>
    <row r="499" spans="1:39" customFormat="1">
      <c r="A499" s="1">
        <v>483</v>
      </c>
      <c r="B499" t="s">
        <v>139</v>
      </c>
      <c r="C499" t="s">
        <v>1</v>
      </c>
      <c r="D499" t="str">
        <f>IF(G499="n","-",MIN(X499,AI499,AN499))</f>
        <v>-</v>
      </c>
      <c r="E499" t="s">
        <v>9</v>
      </c>
      <c r="F499" t="str">
        <f t="shared" si="46"/>
        <v/>
      </c>
      <c r="G499" t="str">
        <f t="shared" si="47"/>
        <v>n</v>
      </c>
      <c r="H499" t="str">
        <f t="shared" si="44"/>
        <v>None</v>
      </c>
      <c r="I499" t="s">
        <v>76</v>
      </c>
      <c r="J499" t="s">
        <v>80</v>
      </c>
      <c r="M499">
        <v>25823.3</v>
      </c>
      <c r="N499">
        <v>8.4000000000000005E-2</v>
      </c>
      <c r="O499">
        <v>2235.1999999999998</v>
      </c>
      <c r="P499" t="s">
        <v>140</v>
      </c>
      <c r="Q499">
        <v>0.314</v>
      </c>
      <c r="R499">
        <v>41861</v>
      </c>
      <c r="S499">
        <v>9</v>
      </c>
      <c r="T499">
        <v>0</v>
      </c>
      <c r="U499" t="s">
        <v>96</v>
      </c>
      <c r="V499" t="s">
        <v>1</v>
      </c>
      <c r="W499" t="s">
        <v>9</v>
      </c>
      <c r="X499" t="s">
        <v>9</v>
      </c>
      <c r="Y499" t="s">
        <v>9</v>
      </c>
      <c r="Z499" t="s">
        <v>9</v>
      </c>
      <c r="AA499" t="s">
        <v>9</v>
      </c>
      <c r="AB499">
        <v>0</v>
      </c>
      <c r="AC499">
        <v>0</v>
      </c>
      <c r="AD499">
        <v>0</v>
      </c>
      <c r="AE499">
        <v>0</v>
      </c>
      <c r="AF499">
        <v>0</v>
      </c>
      <c r="AG499">
        <v>0</v>
      </c>
      <c r="AH499">
        <v>0</v>
      </c>
      <c r="AI499">
        <v>0</v>
      </c>
      <c r="AL499">
        <v>0</v>
      </c>
      <c r="AM499" t="s">
        <v>139</v>
      </c>
    </row>
    <row r="500" spans="1:39" customFormat="1">
      <c r="A500" s="1">
        <v>484</v>
      </c>
      <c r="B500" t="s">
        <v>136</v>
      </c>
      <c r="C500" t="s">
        <v>1</v>
      </c>
      <c r="D500" t="str">
        <f>IF(G500="n","-",MIN(X500,AI500,AN500))</f>
        <v>-</v>
      </c>
      <c r="E500" t="s">
        <v>9</v>
      </c>
      <c r="F500" t="str">
        <f t="shared" si="46"/>
        <v/>
      </c>
      <c r="G500" t="str">
        <f t="shared" si="47"/>
        <v>n</v>
      </c>
      <c r="H500" t="str">
        <f t="shared" si="44"/>
        <v>None</v>
      </c>
      <c r="I500" t="s">
        <v>71</v>
      </c>
      <c r="J500" t="s">
        <v>138</v>
      </c>
      <c r="M500">
        <v>25781.9</v>
      </c>
      <c r="N500">
        <v>8.7999999999999995E-2</v>
      </c>
      <c r="O500">
        <v>-133.30000000000001</v>
      </c>
      <c r="P500" t="s">
        <v>137</v>
      </c>
      <c r="Q500" t="s">
        <v>9</v>
      </c>
      <c r="R500">
        <v>171334</v>
      </c>
      <c r="S500">
        <v>12</v>
      </c>
      <c r="T500">
        <v>0</v>
      </c>
      <c r="U500" t="s">
        <v>73</v>
      </c>
      <c r="V500" t="s">
        <v>1</v>
      </c>
      <c r="W500" t="s">
        <v>9</v>
      </c>
      <c r="X500" t="s">
        <v>9</v>
      </c>
      <c r="Y500" t="s">
        <v>9</v>
      </c>
      <c r="Z500" t="s">
        <v>9</v>
      </c>
      <c r="AA500" t="s">
        <v>9</v>
      </c>
      <c r="AB500">
        <v>0</v>
      </c>
      <c r="AC500">
        <v>0</v>
      </c>
      <c r="AD500">
        <v>0</v>
      </c>
      <c r="AE500">
        <v>0</v>
      </c>
      <c r="AF500">
        <v>0</v>
      </c>
      <c r="AG500">
        <v>0</v>
      </c>
      <c r="AH500">
        <v>0</v>
      </c>
      <c r="AI500">
        <v>0</v>
      </c>
      <c r="AL500">
        <v>0</v>
      </c>
      <c r="AM500" t="s">
        <v>136</v>
      </c>
    </row>
    <row r="501" spans="1:39" customFormat="1">
      <c r="A501" s="6">
        <v>485</v>
      </c>
      <c r="B501" t="s">
        <v>133</v>
      </c>
      <c r="C501" t="s">
        <v>1</v>
      </c>
      <c r="D501" t="str">
        <f>IF(G501="n","",MIN(X501,-I501,-N501))</f>
        <v/>
      </c>
      <c r="F501" t="str">
        <f t="shared" si="46"/>
        <v/>
      </c>
      <c r="G501" t="str">
        <f t="shared" si="47"/>
        <v>n</v>
      </c>
      <c r="H501" t="str">
        <f t="shared" si="44"/>
        <v>None</v>
      </c>
      <c r="I501" t="s">
        <v>135</v>
      </c>
      <c r="J501" t="s">
        <v>135</v>
      </c>
      <c r="M501">
        <v>25779.1</v>
      </c>
      <c r="N501">
        <v>0.11</v>
      </c>
      <c r="O501">
        <v>442.7</v>
      </c>
      <c r="P501" t="s">
        <v>134</v>
      </c>
      <c r="Q501">
        <v>7.8E-2</v>
      </c>
      <c r="R501">
        <v>34752</v>
      </c>
      <c r="S501" t="s">
        <v>64</v>
      </c>
      <c r="T501" t="e">
        <v>#N/A</v>
      </c>
      <c r="U501" t="s">
        <v>73</v>
      </c>
      <c r="V501" t="s">
        <v>1</v>
      </c>
      <c r="W501" t="s">
        <v>9</v>
      </c>
      <c r="X501" t="s">
        <v>9</v>
      </c>
      <c r="Y501" t="s">
        <v>9</v>
      </c>
      <c r="Z501" t="s">
        <v>9</v>
      </c>
      <c r="AM501" t="s">
        <v>133</v>
      </c>
    </row>
    <row r="502" spans="1:39" customFormat="1">
      <c r="A502" s="1">
        <v>486</v>
      </c>
      <c r="B502" t="s">
        <v>131</v>
      </c>
      <c r="C502" t="s">
        <v>1</v>
      </c>
      <c r="D502" t="str">
        <f>IF(G502="n","-",MIN(X502,AI502,AN502))</f>
        <v>-</v>
      </c>
      <c r="E502" t="s">
        <v>9</v>
      </c>
      <c r="F502" t="str">
        <f t="shared" si="46"/>
        <v/>
      </c>
      <c r="G502" t="str">
        <f t="shared" si="47"/>
        <v>n</v>
      </c>
      <c r="H502" t="str">
        <f t="shared" si="44"/>
        <v>None</v>
      </c>
      <c r="I502" t="s">
        <v>76</v>
      </c>
      <c r="J502" t="s">
        <v>80</v>
      </c>
      <c r="M502">
        <v>25775</v>
      </c>
      <c r="N502">
        <v>7.3999999999999996E-2</v>
      </c>
      <c r="O502">
        <v>7096</v>
      </c>
      <c r="P502" t="s">
        <v>132</v>
      </c>
      <c r="Q502">
        <v>0.14099999999999999</v>
      </c>
      <c r="R502">
        <v>75772</v>
      </c>
      <c r="S502">
        <v>4</v>
      </c>
      <c r="T502">
        <v>0</v>
      </c>
      <c r="U502" t="s">
        <v>127</v>
      </c>
      <c r="V502" t="s">
        <v>1</v>
      </c>
      <c r="W502" t="s">
        <v>9</v>
      </c>
      <c r="X502" t="s">
        <v>9</v>
      </c>
      <c r="Y502" t="s">
        <v>9</v>
      </c>
      <c r="Z502" t="s">
        <v>9</v>
      </c>
      <c r="AA502" t="s">
        <v>9</v>
      </c>
      <c r="AB502">
        <v>0</v>
      </c>
      <c r="AC502">
        <v>0</v>
      </c>
      <c r="AD502">
        <v>0</v>
      </c>
      <c r="AE502">
        <v>0</v>
      </c>
      <c r="AF502">
        <v>0</v>
      </c>
      <c r="AG502">
        <v>0</v>
      </c>
      <c r="AH502">
        <v>0</v>
      </c>
      <c r="AI502">
        <v>0</v>
      </c>
      <c r="AL502">
        <v>0</v>
      </c>
      <c r="AM502" t="s">
        <v>131</v>
      </c>
    </row>
    <row r="503" spans="1:39" customFormat="1">
      <c r="A503" s="1">
        <v>487</v>
      </c>
      <c r="B503" t="s">
        <v>130</v>
      </c>
      <c r="C503" t="s">
        <v>1</v>
      </c>
      <c r="D503" t="str">
        <f>IF(G503="n","-",MIN(X503,AI503,AN503))</f>
        <v>-</v>
      </c>
      <c r="E503" t="s">
        <v>9</v>
      </c>
      <c r="F503" t="str">
        <f t="shared" si="46"/>
        <v/>
      </c>
      <c r="G503" t="str">
        <f t="shared" si="47"/>
        <v>n</v>
      </c>
      <c r="H503" t="str">
        <f t="shared" si="44"/>
        <v>None</v>
      </c>
      <c r="I503" t="s">
        <v>119</v>
      </c>
      <c r="J503" t="s">
        <v>129</v>
      </c>
      <c r="M503">
        <v>25739</v>
      </c>
      <c r="N503">
        <v>3.5999999999999997E-2</v>
      </c>
      <c r="O503">
        <v>1108</v>
      </c>
      <c r="P503" t="s">
        <v>128</v>
      </c>
      <c r="Q503">
        <v>-0.28399999999999997</v>
      </c>
      <c r="R503">
        <v>130000</v>
      </c>
      <c r="S503">
        <v>-14</v>
      </c>
      <c r="T503">
        <v>0</v>
      </c>
      <c r="U503" t="s">
        <v>127</v>
      </c>
      <c r="V503" t="s">
        <v>1</v>
      </c>
      <c r="W503" t="s">
        <v>9</v>
      </c>
      <c r="X503" t="s">
        <v>9</v>
      </c>
      <c r="Y503" t="s">
        <v>9</v>
      </c>
      <c r="Z503" t="s">
        <v>9</v>
      </c>
      <c r="AA503" t="s">
        <v>9</v>
      </c>
      <c r="AB503">
        <v>0</v>
      </c>
      <c r="AC503">
        <v>0</v>
      </c>
      <c r="AD503">
        <v>0</v>
      </c>
      <c r="AE503">
        <v>0</v>
      </c>
      <c r="AF503">
        <v>0</v>
      </c>
      <c r="AG503">
        <v>0</v>
      </c>
      <c r="AH503">
        <v>0</v>
      </c>
      <c r="AI503">
        <v>0</v>
      </c>
      <c r="AL503">
        <v>0</v>
      </c>
      <c r="AM503" t="s">
        <v>126</v>
      </c>
    </row>
    <row r="504" spans="1:39" customFormat="1">
      <c r="A504" s="1">
        <v>488</v>
      </c>
      <c r="B504" t="s">
        <v>125</v>
      </c>
      <c r="C504" t="s">
        <v>1</v>
      </c>
      <c r="D504" t="str">
        <f>IF(G504="n","-",MIN(X504,AI504,AN504))</f>
        <v>-</v>
      </c>
      <c r="E504" t="s">
        <v>9</v>
      </c>
      <c r="F504" t="str">
        <f t="shared" si="46"/>
        <v/>
      </c>
      <c r="G504" t="str">
        <f t="shared" si="47"/>
        <v>n</v>
      </c>
      <c r="H504" t="str">
        <f t="shared" si="44"/>
        <v>None</v>
      </c>
      <c r="I504" t="s">
        <v>124</v>
      </c>
      <c r="J504" t="s">
        <v>123</v>
      </c>
      <c r="M504">
        <v>25679</v>
      </c>
      <c r="N504">
        <v>5.5E-2</v>
      </c>
      <c r="O504">
        <v>1247.3</v>
      </c>
      <c r="P504" t="s">
        <v>122</v>
      </c>
      <c r="Q504">
        <v>-0.44400000000000001</v>
      </c>
      <c r="R504">
        <v>297073</v>
      </c>
      <c r="S504">
        <v>-1</v>
      </c>
      <c r="T504">
        <v>0</v>
      </c>
      <c r="U504" t="s">
        <v>121</v>
      </c>
      <c r="V504" t="s">
        <v>1</v>
      </c>
      <c r="W504" t="s">
        <v>9</v>
      </c>
      <c r="X504" t="s">
        <v>9</v>
      </c>
      <c r="Y504" t="s">
        <v>9</v>
      </c>
      <c r="Z504" t="s">
        <v>9</v>
      </c>
      <c r="AA504" t="s">
        <v>9</v>
      </c>
      <c r="AB504">
        <v>0</v>
      </c>
      <c r="AC504">
        <v>0</v>
      </c>
      <c r="AD504">
        <v>0</v>
      </c>
      <c r="AE504">
        <v>0</v>
      </c>
      <c r="AF504">
        <v>0</v>
      </c>
      <c r="AG504">
        <v>0</v>
      </c>
      <c r="AH504">
        <v>0</v>
      </c>
      <c r="AI504">
        <v>0</v>
      </c>
      <c r="AL504">
        <v>0</v>
      </c>
      <c r="AM504" t="s">
        <v>120</v>
      </c>
    </row>
    <row r="505" spans="1:39" customFormat="1">
      <c r="A505" s="6">
        <v>489</v>
      </c>
      <c r="B505" t="s">
        <v>116</v>
      </c>
      <c r="C505" t="s">
        <v>1</v>
      </c>
      <c r="D505" t="str">
        <f>IF(G505="n","",MIN(X505,-I505,-N505))</f>
        <v/>
      </c>
      <c r="F505" t="str">
        <f t="shared" si="46"/>
        <v/>
      </c>
      <c r="G505" t="str">
        <f t="shared" si="47"/>
        <v>n</v>
      </c>
      <c r="H505" t="str">
        <f t="shared" si="44"/>
        <v>None</v>
      </c>
      <c r="I505" t="s">
        <v>119</v>
      </c>
      <c r="J505" t="s">
        <v>118</v>
      </c>
      <c r="M505">
        <v>25625</v>
      </c>
      <c r="N505">
        <v>9.1999999999999998E-2</v>
      </c>
      <c r="O505">
        <v>1589.5</v>
      </c>
      <c r="P505" t="s">
        <v>117</v>
      </c>
      <c r="Q505">
        <v>3.3000000000000002E-2</v>
      </c>
      <c r="R505">
        <v>135000</v>
      </c>
      <c r="S505" t="s">
        <v>64</v>
      </c>
      <c r="T505" t="e">
        <v>#N/A</v>
      </c>
      <c r="U505" t="s">
        <v>82</v>
      </c>
      <c r="V505" t="s">
        <v>1</v>
      </c>
      <c r="W505" t="s">
        <v>9</v>
      </c>
      <c r="X505" t="s">
        <v>9</v>
      </c>
      <c r="Y505" t="s">
        <v>9</v>
      </c>
      <c r="Z505" t="s">
        <v>9</v>
      </c>
      <c r="AM505" t="s">
        <v>116</v>
      </c>
    </row>
    <row r="506" spans="1:39" customFormat="1">
      <c r="A506" s="6">
        <v>490</v>
      </c>
      <c r="B506" t="s">
        <v>113</v>
      </c>
      <c r="C506" t="s">
        <v>1</v>
      </c>
      <c r="D506" t="str">
        <f>IF(G506="n","",MIN(X506,-I506,-N506))</f>
        <v/>
      </c>
      <c r="F506" t="str">
        <f t="shared" si="46"/>
        <v/>
      </c>
      <c r="G506" t="str">
        <f t="shared" si="47"/>
        <v>n</v>
      </c>
      <c r="H506" t="str">
        <f t="shared" si="44"/>
        <v>None</v>
      </c>
      <c r="I506" t="s">
        <v>66</v>
      </c>
      <c r="J506" t="s">
        <v>66</v>
      </c>
      <c r="M506">
        <v>25617.3</v>
      </c>
      <c r="N506">
        <v>0.127</v>
      </c>
      <c r="O506">
        <v>1338.5</v>
      </c>
      <c r="P506" t="s">
        <v>115</v>
      </c>
      <c r="Q506">
        <v>-0.222</v>
      </c>
      <c r="R506">
        <v>33694</v>
      </c>
      <c r="S506" t="s">
        <v>64</v>
      </c>
      <c r="T506" t="e">
        <v>#N/A</v>
      </c>
      <c r="U506" t="s">
        <v>114</v>
      </c>
      <c r="V506" t="s">
        <v>1</v>
      </c>
      <c r="W506" t="s">
        <v>9</v>
      </c>
      <c r="X506" t="s">
        <v>9</v>
      </c>
      <c r="Y506" t="s">
        <v>9</v>
      </c>
      <c r="Z506" t="s">
        <v>9</v>
      </c>
      <c r="AM506" t="s">
        <v>113</v>
      </c>
    </row>
    <row r="507" spans="1:39" customFormat="1">
      <c r="A507" s="1">
        <v>491</v>
      </c>
      <c r="B507" t="s">
        <v>106</v>
      </c>
      <c r="C507" t="s">
        <v>1</v>
      </c>
      <c r="D507" t="str">
        <f>IF(G507="n","-",MIN(X507,AI507,AN507))</f>
        <v>-</v>
      </c>
      <c r="E507" t="s">
        <v>9</v>
      </c>
      <c r="F507" t="str">
        <f t="shared" si="46"/>
        <v/>
      </c>
      <c r="G507" t="str">
        <f t="shared" si="47"/>
        <v>n</v>
      </c>
      <c r="H507" t="str">
        <f t="shared" si="44"/>
        <v>None</v>
      </c>
      <c r="I507" t="s">
        <v>76</v>
      </c>
      <c r="J507" t="s">
        <v>112</v>
      </c>
      <c r="M507">
        <v>25606</v>
      </c>
      <c r="N507">
        <v>-2.5999999999999999E-2</v>
      </c>
      <c r="O507">
        <v>-663</v>
      </c>
      <c r="P507" t="s">
        <v>111</v>
      </c>
      <c r="Q507">
        <v>-1.2769999999999999</v>
      </c>
      <c r="R507">
        <v>217000</v>
      </c>
      <c r="S507">
        <v>-44</v>
      </c>
      <c r="T507">
        <v>0</v>
      </c>
      <c r="U507" t="s">
        <v>78</v>
      </c>
      <c r="V507" t="s">
        <v>1</v>
      </c>
      <c r="W507" t="s">
        <v>110</v>
      </c>
      <c r="X507" t="s">
        <v>9</v>
      </c>
      <c r="Y507" t="s">
        <v>9</v>
      </c>
      <c r="Z507">
        <v>2016</v>
      </c>
      <c r="AA507">
        <v>2030</v>
      </c>
      <c r="AB507" t="s">
        <v>109</v>
      </c>
      <c r="AC507">
        <v>0</v>
      </c>
      <c r="AD507" t="s">
        <v>108</v>
      </c>
      <c r="AE507" t="s">
        <v>107</v>
      </c>
      <c r="AF507">
        <v>0</v>
      </c>
      <c r="AG507">
        <v>0</v>
      </c>
      <c r="AH507">
        <v>0</v>
      </c>
      <c r="AI507">
        <v>0</v>
      </c>
      <c r="AL507">
        <v>0</v>
      </c>
      <c r="AM507" t="s">
        <v>106</v>
      </c>
    </row>
    <row r="508" spans="1:39" customFormat="1">
      <c r="A508" s="6">
        <v>492</v>
      </c>
      <c r="B508" t="s">
        <v>102</v>
      </c>
      <c r="C508" t="s">
        <v>1</v>
      </c>
      <c r="D508" t="str">
        <f>IF(G508="n","",MIN(X508,-I508,-N508))</f>
        <v/>
      </c>
      <c r="F508" t="str">
        <f t="shared" si="46"/>
        <v/>
      </c>
      <c r="G508" t="str">
        <f t="shared" si="47"/>
        <v>n</v>
      </c>
      <c r="H508" t="str">
        <f t="shared" si="44"/>
        <v>None</v>
      </c>
      <c r="I508" t="s">
        <v>71</v>
      </c>
      <c r="J508" t="s">
        <v>105</v>
      </c>
      <c r="M508">
        <v>25462.799999999999</v>
      </c>
      <c r="N508">
        <v>0.24099999999999999</v>
      </c>
      <c r="O508">
        <v>1993.4</v>
      </c>
      <c r="P508" t="s">
        <v>104</v>
      </c>
      <c r="Q508">
        <v>-0.24299999999999999</v>
      </c>
      <c r="R508">
        <v>5285</v>
      </c>
      <c r="S508" t="s">
        <v>64</v>
      </c>
      <c r="T508" t="e">
        <v>#N/A</v>
      </c>
      <c r="U508" t="s">
        <v>103</v>
      </c>
      <c r="V508" t="s">
        <v>1</v>
      </c>
      <c r="W508" t="s">
        <v>9</v>
      </c>
      <c r="X508" t="s">
        <v>9</v>
      </c>
      <c r="Y508" t="s">
        <v>9</v>
      </c>
      <c r="Z508" t="s">
        <v>9</v>
      </c>
      <c r="AM508" t="s">
        <v>102</v>
      </c>
    </row>
    <row r="509" spans="1:39" customFormat="1">
      <c r="A509" s="6">
        <v>493</v>
      </c>
      <c r="B509" t="s">
        <v>99</v>
      </c>
      <c r="C509" t="s">
        <v>1</v>
      </c>
      <c r="D509" t="str">
        <f>IF(G509="n","",MIN(X509,-I509,-N509))</f>
        <v/>
      </c>
      <c r="F509" t="str">
        <f t="shared" si="46"/>
        <v/>
      </c>
      <c r="G509" t="str">
        <f t="shared" si="47"/>
        <v>n</v>
      </c>
      <c r="H509" t="str">
        <f t="shared" si="44"/>
        <v>None</v>
      </c>
      <c r="I509" t="s">
        <v>101</v>
      </c>
      <c r="J509" t="s">
        <v>101</v>
      </c>
      <c r="M509">
        <v>25191.9</v>
      </c>
      <c r="N509">
        <v>0.24399999999999999</v>
      </c>
      <c r="O509">
        <v>1514.2</v>
      </c>
      <c r="P509" t="s">
        <v>100</v>
      </c>
      <c r="Q509">
        <v>-0.72</v>
      </c>
      <c r="R509">
        <v>92639</v>
      </c>
      <c r="S509" t="s">
        <v>64</v>
      </c>
      <c r="T509" t="e">
        <v>#N/A</v>
      </c>
      <c r="U509" t="s">
        <v>63</v>
      </c>
      <c r="V509" t="s">
        <v>1</v>
      </c>
      <c r="W509" t="s">
        <v>9</v>
      </c>
      <c r="X509" t="s">
        <v>9</v>
      </c>
      <c r="Y509" t="s">
        <v>9</v>
      </c>
      <c r="Z509" t="s">
        <v>9</v>
      </c>
      <c r="AM509" t="s">
        <v>99</v>
      </c>
    </row>
    <row r="510" spans="1:39" customFormat="1">
      <c r="A510" s="1">
        <v>494</v>
      </c>
      <c r="B510" t="s">
        <v>92</v>
      </c>
      <c r="C510" t="s">
        <v>1</v>
      </c>
      <c r="D510">
        <f>IF(G510="n","",MIN(X510,AI510,AN510))</f>
        <v>2011</v>
      </c>
      <c r="F510">
        <f t="shared" si="46"/>
        <v>2011</v>
      </c>
      <c r="G510" t="str">
        <f t="shared" si="47"/>
        <v>y</v>
      </c>
      <c r="H510" t="str">
        <f t="shared" si="44"/>
        <v>CN</v>
      </c>
      <c r="I510" t="s">
        <v>76</v>
      </c>
      <c r="J510" t="s">
        <v>98</v>
      </c>
      <c r="M510">
        <v>25180.1</v>
      </c>
      <c r="N510">
        <v>1.2E-2</v>
      </c>
      <c r="O510">
        <v>370.6</v>
      </c>
      <c r="P510" t="s">
        <v>97</v>
      </c>
      <c r="Q510">
        <v>0.52900000000000003</v>
      </c>
      <c r="R510">
        <v>13714</v>
      </c>
      <c r="S510">
        <v>-22</v>
      </c>
      <c r="T510">
        <v>0</v>
      </c>
      <c r="U510" t="s">
        <v>96</v>
      </c>
      <c r="V510" t="s">
        <v>32</v>
      </c>
      <c r="W510" t="s">
        <v>9</v>
      </c>
      <c r="X510">
        <v>2011</v>
      </c>
      <c r="Y510" t="s">
        <v>9</v>
      </c>
      <c r="Z510" t="s">
        <v>9</v>
      </c>
      <c r="AA510" t="s">
        <v>9</v>
      </c>
      <c r="AB510" t="s">
        <v>31</v>
      </c>
      <c r="AC510">
        <v>0</v>
      </c>
      <c r="AD510" t="s">
        <v>95</v>
      </c>
      <c r="AE510" t="s">
        <v>94</v>
      </c>
      <c r="AF510" t="s">
        <v>93</v>
      </c>
      <c r="AG510">
        <v>0</v>
      </c>
      <c r="AH510">
        <v>0</v>
      </c>
      <c r="AL510">
        <v>0</v>
      </c>
      <c r="AM510" t="s">
        <v>92</v>
      </c>
    </row>
    <row r="511" spans="1:39" customFormat="1">
      <c r="A511" s="1">
        <v>495</v>
      </c>
      <c r="B511" t="s">
        <v>86</v>
      </c>
      <c r="C511" t="s">
        <v>1</v>
      </c>
      <c r="D511" t="str">
        <f>IF(G511="n","-",MIN(X511,AI511,AN511))</f>
        <v>-</v>
      </c>
      <c r="E511" t="s">
        <v>9</v>
      </c>
      <c r="F511" t="str">
        <f t="shared" si="46"/>
        <v/>
      </c>
      <c r="G511" t="str">
        <f t="shared" si="47"/>
        <v>n</v>
      </c>
      <c r="H511" t="str">
        <f t="shared" si="44"/>
        <v>None</v>
      </c>
      <c r="I511" t="s">
        <v>91</v>
      </c>
      <c r="J511" t="s">
        <v>90</v>
      </c>
      <c r="M511">
        <v>25142.6</v>
      </c>
      <c r="N511">
        <v>-0.13700000000000001</v>
      </c>
      <c r="O511">
        <v>184.8</v>
      </c>
      <c r="P511" t="s">
        <v>89</v>
      </c>
      <c r="Q511">
        <v>-5.8999999999999997E-2</v>
      </c>
      <c r="R511">
        <v>383</v>
      </c>
      <c r="S511">
        <v>-90</v>
      </c>
      <c r="T511" t="s">
        <v>88</v>
      </c>
      <c r="U511" t="s">
        <v>87</v>
      </c>
      <c r="V511" t="s">
        <v>1</v>
      </c>
      <c r="W511" t="s">
        <v>9</v>
      </c>
      <c r="X511" t="s">
        <v>9</v>
      </c>
      <c r="Y511" t="s">
        <v>9</v>
      </c>
      <c r="Z511" t="s">
        <v>9</v>
      </c>
      <c r="AA511" t="s">
        <v>9</v>
      </c>
      <c r="AB511">
        <v>0</v>
      </c>
      <c r="AC511">
        <v>0</v>
      </c>
      <c r="AD511">
        <v>0</v>
      </c>
      <c r="AE511">
        <v>0</v>
      </c>
      <c r="AF511">
        <v>0</v>
      </c>
      <c r="AG511">
        <v>0</v>
      </c>
      <c r="AH511">
        <v>0</v>
      </c>
      <c r="AI511">
        <v>0</v>
      </c>
      <c r="AL511">
        <v>0</v>
      </c>
      <c r="AM511" t="s">
        <v>86</v>
      </c>
    </row>
    <row r="512" spans="1:39" customFormat="1">
      <c r="A512" s="6">
        <v>496</v>
      </c>
      <c r="B512" t="s">
        <v>81</v>
      </c>
      <c r="C512" t="s">
        <v>1</v>
      </c>
      <c r="D512" t="str">
        <f>IF(G512="n","",MIN(X512,-I512,-N512))</f>
        <v/>
      </c>
      <c r="F512" t="str">
        <f t="shared" si="46"/>
        <v/>
      </c>
      <c r="G512" t="str">
        <f t="shared" si="47"/>
        <v>n</v>
      </c>
      <c r="H512" t="str">
        <f t="shared" si="44"/>
        <v>None</v>
      </c>
      <c r="I512" t="s">
        <v>85</v>
      </c>
      <c r="J512" t="s">
        <v>84</v>
      </c>
      <c r="M512">
        <v>25067.3</v>
      </c>
      <c r="N512">
        <v>0.23799999999999999</v>
      </c>
      <c r="O512">
        <v>2360.8000000000002</v>
      </c>
      <c r="P512" t="s">
        <v>83</v>
      </c>
      <c r="Q512">
        <v>0.79</v>
      </c>
      <c r="R512">
        <v>26300</v>
      </c>
      <c r="S512" t="s">
        <v>64</v>
      </c>
      <c r="T512" t="e">
        <v>#N/A</v>
      </c>
      <c r="U512" t="s">
        <v>82</v>
      </c>
      <c r="V512" t="s">
        <v>1</v>
      </c>
      <c r="W512" t="s">
        <v>9</v>
      </c>
      <c r="X512" t="s">
        <v>9</v>
      </c>
      <c r="Y512" t="s">
        <v>9</v>
      </c>
      <c r="Z512" t="s">
        <v>9</v>
      </c>
      <c r="AM512" t="s">
        <v>81</v>
      </c>
    </row>
    <row r="513" spans="1:39" customFormat="1">
      <c r="A513" s="6">
        <v>497</v>
      </c>
      <c r="B513" t="s">
        <v>77</v>
      </c>
      <c r="C513" t="s">
        <v>1</v>
      </c>
      <c r="D513" t="str">
        <f>IF(G513="n","",MIN(X513,-I513,-N513))</f>
        <v/>
      </c>
      <c r="F513" t="str">
        <f t="shared" si="46"/>
        <v/>
      </c>
      <c r="G513" t="str">
        <f t="shared" si="47"/>
        <v>n</v>
      </c>
      <c r="H513" t="str">
        <f t="shared" si="44"/>
        <v>None</v>
      </c>
      <c r="I513" t="s">
        <v>76</v>
      </c>
      <c r="J513" t="s">
        <v>80</v>
      </c>
      <c r="K513" s="7">
        <v>16.079999999999998</v>
      </c>
      <c r="M513">
        <v>25002.7</v>
      </c>
      <c r="N513">
        <v>0.16500000000000001</v>
      </c>
      <c r="O513">
        <v>4235.1000000000004</v>
      </c>
      <c r="P513" t="s">
        <v>79</v>
      </c>
      <c r="Q513">
        <v>3.5999999999999997E-2</v>
      </c>
      <c r="R513">
        <v>45454</v>
      </c>
      <c r="S513" t="s">
        <v>64</v>
      </c>
      <c r="T513" t="e">
        <v>#N/A</v>
      </c>
      <c r="U513" t="s">
        <v>78</v>
      </c>
      <c r="V513" t="s">
        <v>1</v>
      </c>
      <c r="W513" t="s">
        <v>9</v>
      </c>
      <c r="X513" t="s">
        <v>9</v>
      </c>
      <c r="Y513" t="s">
        <v>9</v>
      </c>
      <c r="Z513" t="s">
        <v>9</v>
      </c>
      <c r="AM513" t="s">
        <v>77</v>
      </c>
    </row>
    <row r="514" spans="1:39" customFormat="1">
      <c r="A514" s="1">
        <v>498</v>
      </c>
      <c r="B514" t="s">
        <v>72</v>
      </c>
      <c r="C514" t="s">
        <v>1</v>
      </c>
      <c r="D514" t="str">
        <f>IF(G514="n","-",MIN(X514,AI514,AN514))</f>
        <v>-</v>
      </c>
      <c r="E514" t="s">
        <v>9</v>
      </c>
      <c r="F514" t="str">
        <f t="shared" si="46"/>
        <v/>
      </c>
      <c r="G514" t="str">
        <f t="shared" si="47"/>
        <v>n</v>
      </c>
      <c r="H514" t="str">
        <f t="shared" si="44"/>
        <v>None</v>
      </c>
      <c r="I514" t="s">
        <v>76</v>
      </c>
      <c r="J514" t="s">
        <v>75</v>
      </c>
      <c r="M514">
        <v>24931.7</v>
      </c>
      <c r="N514">
        <v>3.5999999999999997E-2</v>
      </c>
      <c r="O514">
        <v>1794.6</v>
      </c>
      <c r="P514" t="s">
        <v>74</v>
      </c>
      <c r="Q514">
        <v>6.6000000000000003E-2</v>
      </c>
      <c r="R514">
        <v>57406</v>
      </c>
      <c r="S514">
        <v>-9</v>
      </c>
      <c r="T514">
        <v>0</v>
      </c>
      <c r="U514" t="s">
        <v>73</v>
      </c>
      <c r="V514" t="s">
        <v>1</v>
      </c>
      <c r="W514" t="s">
        <v>9</v>
      </c>
      <c r="X514" t="s">
        <v>9</v>
      </c>
      <c r="Y514" t="s">
        <v>9</v>
      </c>
      <c r="Z514" t="s">
        <v>9</v>
      </c>
      <c r="AA514" t="s">
        <v>9</v>
      </c>
      <c r="AB514">
        <v>0</v>
      </c>
      <c r="AC514">
        <v>0</v>
      </c>
      <c r="AD514">
        <v>0</v>
      </c>
      <c r="AE514">
        <v>0</v>
      </c>
      <c r="AF514">
        <v>0</v>
      </c>
      <c r="AG514">
        <v>0</v>
      </c>
      <c r="AH514">
        <v>0</v>
      </c>
      <c r="AI514">
        <v>0</v>
      </c>
      <c r="AL514">
        <v>0</v>
      </c>
      <c r="AM514" t="s">
        <v>72</v>
      </c>
    </row>
    <row r="515" spans="1:39" customFormat="1">
      <c r="A515" s="1">
        <v>499</v>
      </c>
      <c r="B515" t="s">
        <v>67</v>
      </c>
      <c r="C515" t="s">
        <v>1</v>
      </c>
      <c r="D515" t="str">
        <f>IF(G515="n","-",MIN(X515,AI515,AN515))</f>
        <v>-</v>
      </c>
      <c r="E515" t="s">
        <v>9</v>
      </c>
      <c r="F515" t="str">
        <f t="shared" si="46"/>
        <v/>
      </c>
      <c r="G515" t="str">
        <f t="shared" si="47"/>
        <v>n</v>
      </c>
      <c r="H515" t="str">
        <f t="shared" si="44"/>
        <v>None</v>
      </c>
      <c r="I515" t="s">
        <v>71</v>
      </c>
      <c r="J515" t="s">
        <v>70</v>
      </c>
      <c r="M515">
        <v>24816</v>
      </c>
      <c r="N515">
        <v>-0.01</v>
      </c>
      <c r="O515">
        <v>314.8</v>
      </c>
      <c r="P515" t="s">
        <v>69</v>
      </c>
      <c r="Q515">
        <v>-0.36199999999999999</v>
      </c>
      <c r="R515">
        <v>17034</v>
      </c>
      <c r="S515">
        <v>-29</v>
      </c>
      <c r="T515">
        <v>0</v>
      </c>
      <c r="U515" t="s">
        <v>68</v>
      </c>
      <c r="V515" t="s">
        <v>1</v>
      </c>
      <c r="W515" t="s">
        <v>9</v>
      </c>
      <c r="X515" t="s">
        <v>9</v>
      </c>
      <c r="Y515" t="s">
        <v>9</v>
      </c>
      <c r="Z515" t="s">
        <v>9</v>
      </c>
      <c r="AA515" t="s">
        <v>9</v>
      </c>
      <c r="AB515">
        <v>0</v>
      </c>
      <c r="AC515">
        <v>0</v>
      </c>
      <c r="AD515">
        <v>0</v>
      </c>
      <c r="AE515">
        <v>0</v>
      </c>
      <c r="AF515">
        <v>0</v>
      </c>
      <c r="AG515">
        <v>0</v>
      </c>
      <c r="AH515">
        <v>0</v>
      </c>
      <c r="AI515">
        <v>0</v>
      </c>
      <c r="AL515">
        <v>0</v>
      </c>
      <c r="AM515" t="s">
        <v>67</v>
      </c>
    </row>
    <row r="516" spans="1:39" customFormat="1">
      <c r="A516" s="6">
        <v>500</v>
      </c>
      <c r="B516" t="s">
        <v>62</v>
      </c>
      <c r="C516" t="s">
        <v>1</v>
      </c>
      <c r="D516" t="str">
        <f>IF(G516="n","",MIN(X516,-I516,-N516))</f>
        <v/>
      </c>
      <c r="F516" t="str">
        <f t="shared" si="46"/>
        <v/>
      </c>
      <c r="G516" t="str">
        <f t="shared" si="47"/>
        <v>n</v>
      </c>
      <c r="H516" t="str">
        <f t="shared" si="44"/>
        <v>None</v>
      </c>
      <c r="I516" t="s">
        <v>66</v>
      </c>
      <c r="J516" t="s">
        <v>66</v>
      </c>
      <c r="M516">
        <v>24796.6</v>
      </c>
      <c r="N516">
        <v>7.0999999999999994E-2</v>
      </c>
      <c r="O516">
        <v>2494.1999999999998</v>
      </c>
      <c r="P516" t="s">
        <v>65</v>
      </c>
      <c r="Q516">
        <v>6.0000000000000001E-3</v>
      </c>
      <c r="R516">
        <v>66000</v>
      </c>
      <c r="S516" t="s">
        <v>64</v>
      </c>
      <c r="T516" t="e">
        <v>#N/A</v>
      </c>
      <c r="U516" t="s">
        <v>63</v>
      </c>
      <c r="V516" t="s">
        <v>1</v>
      </c>
      <c r="W516" t="s">
        <v>9</v>
      </c>
      <c r="X516" t="s">
        <v>9</v>
      </c>
      <c r="Y516" t="s">
        <v>9</v>
      </c>
      <c r="Z516" t="s">
        <v>9</v>
      </c>
      <c r="AM516" t="s">
        <v>62</v>
      </c>
    </row>
    <row r="518" spans="1:39">
      <c r="A518" s="193" t="s">
        <v>61</v>
      </c>
      <c r="B518" s="193"/>
    </row>
    <row r="519" spans="1:39">
      <c r="A519" s="1" t="s">
        <v>3</v>
      </c>
      <c r="B519" s="1" t="s">
        <v>60</v>
      </c>
      <c r="C519" s="1" t="s">
        <v>1</v>
      </c>
      <c r="F519" s="1">
        <f t="shared" ref="F519:F540" si="48">IF(G519="n","",MIN(IF(V519="Carbon Neutral",X519,"3000"),AI519,IF(AO519&gt;2030,"3000",AN519)))</f>
        <v>0</v>
      </c>
      <c r="M519" s="4">
        <v>99800</v>
      </c>
      <c r="V519" s="1" t="s">
        <v>32</v>
      </c>
      <c r="X519" s="1">
        <v>2019</v>
      </c>
      <c r="Z519" s="1" t="s">
        <v>9</v>
      </c>
      <c r="AA519" s="1" t="s">
        <v>9</v>
      </c>
      <c r="AB519" s="1" t="s">
        <v>59</v>
      </c>
      <c r="AE519" s="1" t="s">
        <v>58</v>
      </c>
      <c r="AI519" s="1">
        <v>0</v>
      </c>
    </row>
    <row r="520" spans="1:39">
      <c r="A520" s="1" t="s">
        <v>3</v>
      </c>
      <c r="B520" s="1" t="s">
        <v>57</v>
      </c>
      <c r="C520" s="1" t="s">
        <v>1</v>
      </c>
      <c r="F520" s="1">
        <f t="shared" si="48"/>
        <v>0</v>
      </c>
      <c r="M520" s="4">
        <v>25900</v>
      </c>
      <c r="V520" s="1" t="s">
        <v>1</v>
      </c>
      <c r="AI520" s="1">
        <v>0</v>
      </c>
    </row>
    <row r="521" spans="1:39">
      <c r="A521" s="1" t="s">
        <v>3</v>
      </c>
      <c r="B521" s="1" t="s">
        <v>56</v>
      </c>
      <c r="C521" s="1" t="s">
        <v>1</v>
      </c>
      <c r="F521" s="1">
        <f t="shared" si="48"/>
        <v>0</v>
      </c>
      <c r="M521" s="4" t="s">
        <v>55</v>
      </c>
      <c r="V521" s="1" t="s">
        <v>1</v>
      </c>
      <c r="AI521" s="1">
        <v>0</v>
      </c>
    </row>
    <row r="522" spans="1:39">
      <c r="A522" s="1" t="s">
        <v>3</v>
      </c>
      <c r="B522" s="1" t="s">
        <v>54</v>
      </c>
      <c r="C522" s="1" t="s">
        <v>1</v>
      </c>
      <c r="F522" s="1">
        <f t="shared" si="48"/>
        <v>0</v>
      </c>
      <c r="M522" s="4">
        <v>114000</v>
      </c>
      <c r="W522" s="1" t="s">
        <v>53</v>
      </c>
      <c r="X522" s="1" t="s">
        <v>9</v>
      </c>
      <c r="Z522" s="1">
        <v>2017</v>
      </c>
      <c r="AA522" s="1">
        <v>2025</v>
      </c>
      <c r="AB522" s="1" t="s">
        <v>52</v>
      </c>
      <c r="AE522" s="1" t="s">
        <v>51</v>
      </c>
      <c r="AI522" s="1">
        <v>0</v>
      </c>
    </row>
    <row r="523" spans="1:39">
      <c r="A523" s="1" t="s">
        <v>3</v>
      </c>
      <c r="B523" s="1" t="s">
        <v>50</v>
      </c>
      <c r="C523" s="1" t="s">
        <v>1</v>
      </c>
      <c r="F523" s="1">
        <f t="shared" si="48"/>
        <v>0</v>
      </c>
      <c r="M523" s="4">
        <v>24718</v>
      </c>
      <c r="V523" s="1" t="s">
        <v>1</v>
      </c>
      <c r="AI523" s="1">
        <v>0</v>
      </c>
    </row>
    <row r="524" spans="1:39">
      <c r="A524" s="1" t="s">
        <v>3</v>
      </c>
      <c r="B524" s="1" t="s">
        <v>49</v>
      </c>
      <c r="C524" s="1" t="s">
        <v>1</v>
      </c>
      <c r="F524" s="1">
        <f t="shared" si="48"/>
        <v>0</v>
      </c>
      <c r="M524" s="4">
        <v>43200</v>
      </c>
      <c r="V524" s="1" t="s">
        <v>1</v>
      </c>
      <c r="AI524" s="1">
        <v>0</v>
      </c>
    </row>
    <row r="525" spans="1:39">
      <c r="A525" s="1" t="s">
        <v>3</v>
      </c>
      <c r="B525" s="1" t="s">
        <v>48</v>
      </c>
      <c r="C525" s="1" t="s">
        <v>1</v>
      </c>
      <c r="F525" s="1">
        <f t="shared" si="48"/>
        <v>0</v>
      </c>
      <c r="M525" s="4">
        <v>24100</v>
      </c>
      <c r="V525" s="1" t="s">
        <v>1</v>
      </c>
      <c r="AI525" s="1">
        <v>0</v>
      </c>
    </row>
    <row r="526" spans="1:39">
      <c r="A526" s="1" t="s">
        <v>3</v>
      </c>
      <c r="B526" s="1" t="s">
        <v>47</v>
      </c>
      <c r="C526" s="1" t="s">
        <v>1</v>
      </c>
      <c r="F526" s="1">
        <f t="shared" si="48"/>
        <v>0</v>
      </c>
      <c r="M526" s="4">
        <v>34800</v>
      </c>
      <c r="V526" s="1" t="s">
        <v>1</v>
      </c>
      <c r="AI526" s="1">
        <v>0</v>
      </c>
    </row>
    <row r="527" spans="1:39">
      <c r="A527" s="1" t="s">
        <v>3</v>
      </c>
      <c r="B527" s="1" t="s">
        <v>46</v>
      </c>
      <c r="C527" s="1" t="s">
        <v>1</v>
      </c>
      <c r="F527" s="1">
        <f t="shared" si="48"/>
        <v>0</v>
      </c>
      <c r="M527" s="4">
        <v>44976</v>
      </c>
      <c r="V527" s="1" t="s">
        <v>1</v>
      </c>
      <c r="AI527" s="1">
        <v>0</v>
      </c>
    </row>
    <row r="528" spans="1:39">
      <c r="A528" s="1" t="s">
        <v>3</v>
      </c>
      <c r="B528" s="1" t="s">
        <v>45</v>
      </c>
      <c r="C528" s="1" t="s">
        <v>1</v>
      </c>
      <c r="F528" s="1">
        <f t="shared" si="48"/>
        <v>0</v>
      </c>
      <c r="M528" s="4">
        <v>25000</v>
      </c>
      <c r="V528" s="1" t="s">
        <v>1</v>
      </c>
      <c r="AI528" s="1">
        <v>0</v>
      </c>
    </row>
    <row r="529" spans="1:49">
      <c r="A529" s="1" t="s">
        <v>3</v>
      </c>
      <c r="B529" s="1" t="s">
        <v>44</v>
      </c>
      <c r="C529" s="1" t="s">
        <v>1</v>
      </c>
      <c r="F529" s="1">
        <f t="shared" si="48"/>
        <v>2014</v>
      </c>
      <c r="M529" s="4">
        <v>42106</v>
      </c>
      <c r="V529" s="1" t="s">
        <v>32</v>
      </c>
      <c r="W529" s="1" t="s">
        <v>43</v>
      </c>
      <c r="Z529" s="1">
        <v>2016</v>
      </c>
      <c r="AA529" s="1">
        <v>2030</v>
      </c>
      <c r="AB529" s="1" t="s">
        <v>42</v>
      </c>
      <c r="AD529" s="1" t="s">
        <v>41</v>
      </c>
      <c r="AE529" s="1" t="s">
        <v>40</v>
      </c>
      <c r="AF529" s="1" t="s">
        <v>39</v>
      </c>
      <c r="AG529" s="1" t="s">
        <v>22</v>
      </c>
      <c r="AH529" s="1" t="s">
        <v>38</v>
      </c>
      <c r="AI529" s="1">
        <v>2018</v>
      </c>
      <c r="AJ529" s="1">
        <v>2030</v>
      </c>
      <c r="AK529" s="1" t="s">
        <v>20</v>
      </c>
      <c r="AL529" s="1" t="s">
        <v>37</v>
      </c>
      <c r="AN529" s="1">
        <v>2014</v>
      </c>
      <c r="AO529" s="1">
        <v>2020</v>
      </c>
      <c r="AP529" s="1" t="s">
        <v>13</v>
      </c>
      <c r="AQ529" s="2" t="s">
        <v>36</v>
      </c>
      <c r="AR529" s="2">
        <v>0.71</v>
      </c>
      <c r="AS529" s="2">
        <v>0.53</v>
      </c>
      <c r="AT529" s="2">
        <v>0.42</v>
      </c>
      <c r="AU529" s="1" t="s">
        <v>35</v>
      </c>
    </row>
    <row r="530" spans="1:49">
      <c r="A530" s="1" t="s">
        <v>3</v>
      </c>
      <c r="B530" s="1" t="s">
        <v>34</v>
      </c>
      <c r="C530" s="1" t="s">
        <v>1</v>
      </c>
      <c r="F530" s="1">
        <f t="shared" si="48"/>
        <v>0</v>
      </c>
      <c r="M530" s="4">
        <v>85000</v>
      </c>
      <c r="AI530" s="1">
        <v>0</v>
      </c>
    </row>
    <row r="531" spans="1:49">
      <c r="A531" s="1" t="s">
        <v>3</v>
      </c>
      <c r="B531" s="1" t="s">
        <v>33</v>
      </c>
      <c r="C531" s="1" t="s">
        <v>1</v>
      </c>
      <c r="F531" s="1">
        <f t="shared" si="48"/>
        <v>0</v>
      </c>
      <c r="M531" s="4">
        <v>79700</v>
      </c>
      <c r="V531" s="1" t="s">
        <v>32</v>
      </c>
      <c r="X531" s="1">
        <v>2018</v>
      </c>
      <c r="Z531" s="1" t="s">
        <v>9</v>
      </c>
      <c r="AA531" s="1">
        <v>2020</v>
      </c>
      <c r="AB531" s="1" t="s">
        <v>31</v>
      </c>
      <c r="AE531" s="1" t="s">
        <v>30</v>
      </c>
      <c r="AI531" s="1">
        <v>0</v>
      </c>
    </row>
    <row r="532" spans="1:49">
      <c r="A532" s="1" t="s">
        <v>3</v>
      </c>
      <c r="B532" s="1" t="s">
        <v>29</v>
      </c>
      <c r="C532" s="1" t="s">
        <v>1</v>
      </c>
      <c r="F532" s="1">
        <f t="shared" si="48"/>
        <v>0</v>
      </c>
      <c r="M532" s="4" t="s">
        <v>28</v>
      </c>
      <c r="V532" s="1" t="s">
        <v>1</v>
      </c>
      <c r="AI532" s="1">
        <v>0</v>
      </c>
    </row>
    <row r="533" spans="1:49">
      <c r="A533" s="1" t="s">
        <v>3</v>
      </c>
      <c r="B533" s="1" t="s">
        <v>27</v>
      </c>
      <c r="C533" s="1" t="s">
        <v>1</v>
      </c>
      <c r="F533" s="1">
        <f t="shared" si="48"/>
        <v>2017</v>
      </c>
      <c r="M533" s="4">
        <v>35000</v>
      </c>
      <c r="W533" s="1" t="s">
        <v>26</v>
      </c>
      <c r="X533" s="1" t="s">
        <v>9</v>
      </c>
      <c r="Z533" s="1">
        <v>2015</v>
      </c>
      <c r="AA533" s="1">
        <v>2025</v>
      </c>
      <c r="AB533" s="1" t="s">
        <v>25</v>
      </c>
      <c r="AE533" s="1" t="s">
        <v>24</v>
      </c>
      <c r="AF533" s="1" t="s">
        <v>23</v>
      </c>
      <c r="AG533" s="1" t="s">
        <v>22</v>
      </c>
      <c r="AH533" s="1" t="s">
        <v>21</v>
      </c>
      <c r="AI533" s="1">
        <v>2017</v>
      </c>
      <c r="AJ533" s="1">
        <v>2025</v>
      </c>
      <c r="AK533" s="1" t="s">
        <v>20</v>
      </c>
      <c r="AL533" s="1" t="s">
        <v>19</v>
      </c>
      <c r="AN533" s="1">
        <v>2014</v>
      </c>
      <c r="AO533" s="1">
        <v>2040</v>
      </c>
      <c r="AP533" s="1" t="s">
        <v>13</v>
      </c>
      <c r="AQ533" s="2">
        <v>0.36</v>
      </c>
      <c r="AR533" s="2">
        <v>0.36</v>
      </c>
      <c r="AS533" s="2">
        <v>0.37</v>
      </c>
      <c r="AT533" s="2">
        <v>0.06</v>
      </c>
      <c r="AU533" s="1" t="s">
        <v>18</v>
      </c>
    </row>
    <row r="534" spans="1:49">
      <c r="A534" s="1" t="s">
        <v>3</v>
      </c>
      <c r="B534" s="1" t="s">
        <v>17</v>
      </c>
      <c r="C534" s="1" t="s">
        <v>1</v>
      </c>
      <c r="F534" s="1">
        <f t="shared" si="48"/>
        <v>0</v>
      </c>
      <c r="M534" s="4">
        <v>41300</v>
      </c>
      <c r="W534" s="1" t="s">
        <v>16</v>
      </c>
      <c r="X534" s="1">
        <v>2017</v>
      </c>
      <c r="Z534" s="1">
        <v>2007</v>
      </c>
      <c r="AA534" s="1">
        <v>2022</v>
      </c>
      <c r="AE534" s="1" t="s">
        <v>15</v>
      </c>
      <c r="AI534" s="1">
        <v>0</v>
      </c>
      <c r="AN534" s="1">
        <v>2018</v>
      </c>
      <c r="AO534" s="1">
        <v>2050</v>
      </c>
      <c r="AP534" s="1" t="s">
        <v>14</v>
      </c>
      <c r="AQ534" s="2">
        <v>0.37</v>
      </c>
      <c r="AR534" s="2" t="s">
        <v>13</v>
      </c>
      <c r="AS534" s="2" t="s">
        <v>13</v>
      </c>
      <c r="AT534" s="2" t="s">
        <v>13</v>
      </c>
      <c r="AU534" s="1" t="s">
        <v>12</v>
      </c>
    </row>
    <row r="535" spans="1:49">
      <c r="A535" s="1" t="s">
        <v>3</v>
      </c>
      <c r="B535" s="1" t="s">
        <v>11</v>
      </c>
      <c r="C535" s="1" t="s">
        <v>1</v>
      </c>
      <c r="F535" s="1">
        <f t="shared" si="48"/>
        <v>0</v>
      </c>
      <c r="M535" s="4">
        <v>65865</v>
      </c>
      <c r="W535" s="1" t="s">
        <v>10</v>
      </c>
      <c r="X535" s="1" t="s">
        <v>9</v>
      </c>
      <c r="Z535" s="1">
        <v>2006</v>
      </c>
      <c r="AA535" s="1">
        <v>2022</v>
      </c>
      <c r="AE535" s="1" t="s">
        <v>8</v>
      </c>
      <c r="AI535" s="1">
        <v>0</v>
      </c>
    </row>
    <row r="536" spans="1:49">
      <c r="A536" s="1" t="s">
        <v>3</v>
      </c>
      <c r="B536" s="1" t="s">
        <v>7</v>
      </c>
      <c r="C536" s="1" t="s">
        <v>1</v>
      </c>
      <c r="F536" s="1">
        <f t="shared" si="48"/>
        <v>0</v>
      </c>
      <c r="M536" s="4">
        <v>27800</v>
      </c>
      <c r="V536" s="1" t="s">
        <v>1</v>
      </c>
      <c r="AI536" s="1">
        <v>0</v>
      </c>
    </row>
    <row r="537" spans="1:49">
      <c r="A537" s="1" t="s">
        <v>3</v>
      </c>
      <c r="B537" s="1" t="s">
        <v>6</v>
      </c>
      <c r="C537" s="1" t="s">
        <v>1</v>
      </c>
      <c r="F537" s="1">
        <f t="shared" si="48"/>
        <v>0</v>
      </c>
      <c r="M537" s="4">
        <v>112000</v>
      </c>
      <c r="V537" s="1" t="s">
        <v>1</v>
      </c>
      <c r="AI537" s="1">
        <v>0</v>
      </c>
    </row>
    <row r="538" spans="1:49">
      <c r="A538" s="1" t="s">
        <v>3</v>
      </c>
      <c r="B538" s="1" t="s">
        <v>5</v>
      </c>
      <c r="C538" s="1" t="s">
        <v>1</v>
      </c>
      <c r="F538" s="1">
        <f t="shared" si="48"/>
        <v>0</v>
      </c>
      <c r="M538" s="4">
        <v>56000</v>
      </c>
      <c r="V538" s="1" t="s">
        <v>1</v>
      </c>
      <c r="AI538" s="1">
        <v>0</v>
      </c>
      <c r="AM538"/>
      <c r="AN538"/>
      <c r="AO538"/>
      <c r="AP538"/>
      <c r="AQ538" s="5"/>
      <c r="AR538" s="5"/>
      <c r="AS538" s="5"/>
      <c r="AT538" s="5"/>
      <c r="AU538"/>
      <c r="AV538"/>
      <c r="AW538"/>
    </row>
    <row r="539" spans="1:49">
      <c r="A539" s="1" t="s">
        <v>3</v>
      </c>
      <c r="B539" s="1" t="s">
        <v>4</v>
      </c>
      <c r="C539" s="1" t="s">
        <v>1</v>
      </c>
      <c r="F539" s="1">
        <f t="shared" si="48"/>
        <v>0</v>
      </c>
      <c r="M539" s="4">
        <v>231000</v>
      </c>
      <c r="V539" s="1" t="s">
        <v>1</v>
      </c>
      <c r="AI539" s="1">
        <v>0</v>
      </c>
    </row>
    <row r="540" spans="1:49">
      <c r="A540" s="1" t="s">
        <v>3</v>
      </c>
      <c r="B540" s="1" t="s">
        <v>2</v>
      </c>
      <c r="C540" s="1" t="s">
        <v>1</v>
      </c>
      <c r="F540" s="1">
        <f t="shared" si="48"/>
        <v>0</v>
      </c>
      <c r="M540" s="4">
        <v>39470</v>
      </c>
      <c r="V540" s="1" t="s">
        <v>1</v>
      </c>
      <c r="AI540" s="1">
        <v>0</v>
      </c>
    </row>
    <row r="553" spans="5:7">
      <c r="E553" s="192" t="s">
        <v>0</v>
      </c>
      <c r="F553" s="192"/>
      <c r="G553" s="1">
        <f>SUBTOTAL(3,B2:B516)</f>
        <v>515</v>
      </c>
    </row>
  </sheetData>
  <autoFilter ref="A1:AV546" xr:uid="{C0D73A6D-781A-4440-89D8-E6091507D9A9}"/>
  <mergeCells count="2">
    <mergeCell ref="E553:F553"/>
    <mergeCell ref="A518:B518"/>
  </mergeCells>
  <hyperlinks>
    <hyperlink ref="AE124" r:id="rId1" xr:uid="{DF49E8D6-2068-46DA-9B90-F9D47BFA5ABE}"/>
    <hyperlink ref="AE183" r:id="rId2" display="https://press.ext.hp.com/us/en/press-releases/2019/hp-pledges-to-making-every-page-printed-forest-positive.html" xr:uid="{FAB301D7-354A-423E-9013-361A4AFAE259}"/>
    <hyperlink ref="AE322" r:id="rId3" display="https://www.centrica.com/responsibility/our-focus-areas/climate-change" xr:uid="{8B5C5DBD-E19D-42E5-BD82-51CCA5F04FF1}"/>
    <hyperlink ref="AE122" r:id="rId4" xr:uid="{4272F2E5-7682-4E68-B098-25648CEA67FB}"/>
    <hyperlink ref="AE214" r:id="rId5" xr:uid="{CE837608-CCB1-48E1-BE46-DC8D068482A3}"/>
    <hyperlink ref="AE176" r:id="rId6" xr:uid="{3950094A-8E6D-4393-8AD9-68F63572F806}"/>
    <hyperlink ref="AE154" r:id="rId7" xr:uid="{CE63C128-AF79-4FB2-9E52-F9DEA8C5A80F}"/>
    <hyperlink ref="AE94" r:id="rId8" display="https://www.enel.com/aboutus/vision" xr:uid="{98AD0E3A-F3E3-406B-BABD-C823F1D164A4}"/>
    <hyperlink ref="AE75" r:id="rId9" xr:uid="{A4F27AFE-3E7F-45F4-9433-C38F1C3696B2}"/>
    <hyperlink ref="AE14" r:id="rId10" xr:uid="{5A4F3E0B-7D01-42A0-B269-75BC112F25CA}"/>
    <hyperlink ref="AE510" r:id="rId11" xr:uid="{E3F2A5E2-A159-421D-A0F0-C436891C8E88}"/>
    <hyperlink ref="AE49" r:id="rId12" xr:uid="{3A818391-2523-4E4B-9459-18465E8528B9}"/>
    <hyperlink ref="AE62" r:id="rId13" xr:uid="{42DBCD65-A24F-4C59-A2A8-DBD4FDAC0A1A}"/>
    <hyperlink ref="AE82" r:id="rId14" xr:uid="{C6054BE4-986F-4ADD-812D-E0C9DE079753}"/>
    <hyperlink ref="AE419" r:id="rId15" xr:uid="{532EA129-0547-4FCA-B0DD-02B8852CB7B5}"/>
    <hyperlink ref="AE400" r:id="rId16" xr:uid="{0756DAC9-BF5B-4FEE-9CA9-F1552CC21B79}"/>
    <hyperlink ref="AE431" r:id="rId17" xr:uid="{563C5FF4-B018-43A6-880A-3D49380D6219}"/>
    <hyperlink ref="AE372" r:id="rId18" xr:uid="{762C13EF-6ABE-416C-AFBE-143190FB93E6}"/>
    <hyperlink ref="AE22" r:id="rId19" xr:uid="{02EE0377-7CCC-407F-BE4D-725D85445A26}"/>
    <hyperlink ref="AE448" r:id="rId20" xr:uid="{54175408-B526-4575-A1C4-F792932811C6}"/>
    <hyperlink ref="AE249" r:id="rId21" xr:uid="{3B90B68E-33E7-4BD6-8C63-A0A088EC1937}"/>
    <hyperlink ref="AE133" r:id="rId22" xr:uid="{6FEAA1D5-528A-4666-B6D3-C30B0DDF1E85}"/>
    <hyperlink ref="AE360" r:id="rId23" xr:uid="{2A1C3061-043D-40A1-8069-49F73B2E4E5B}"/>
    <hyperlink ref="AE117" r:id="rId24" xr:uid="{C95892B8-B01C-4027-9713-874D2D20B48E}"/>
    <hyperlink ref="AE88" r:id="rId25" display="https://www.eni.com/en_IT/sustainability/decarbonization/strategy-investments.page" xr:uid="{C797A5CE-F993-4F89-99E8-3649ED503AAA}"/>
    <hyperlink ref="AE361" r:id="rId26" xr:uid="{3F268A57-A13F-46E5-9462-E72EB247A67D}"/>
    <hyperlink ref="AE306" r:id="rId27" xr:uid="{684CEED7-10DA-4838-BF30-2910CFA56303}"/>
    <hyperlink ref="AE302" r:id="rId28" xr:uid="{74AC419D-A147-4C15-BC1E-BF6FCC20147A}"/>
    <hyperlink ref="AE321" r:id="rId29" xr:uid="{37137EEA-62D4-4991-9D31-3D89434E4C80}"/>
    <hyperlink ref="AE444" r:id="rId30" display="https://postandparcel.info/45592/news/la-poste-to-be-first-major-postal-operator-to-go-carbon-neutral/" xr:uid="{6D40FFC3-C9AC-4473-A8C6-457445C1FBE0}"/>
    <hyperlink ref="AE195" r:id="rId31" xr:uid="{9B44B569-1970-4C56-9949-A68413B9A1E1}"/>
    <hyperlink ref="AE410" r:id="rId32" xr:uid="{4E59CBF9-A61F-4360-9281-B46BD72E6C9A}"/>
    <hyperlink ref="AE304" r:id="rId33" xr:uid="{F8B277D9-18EA-4B18-A2AF-5356A58671B6}"/>
    <hyperlink ref="AE151" r:id="rId34" xr:uid="{DB74187F-8910-4CF7-A7E9-53AD85537455}"/>
    <hyperlink ref="AE64" r:id="rId35" xr:uid="{06C54D10-E733-4088-943F-9BF2710710B3}"/>
    <hyperlink ref="AE228" r:id="rId36" xr:uid="{20FA85C9-1720-40FF-A929-96F6E77DD26D}"/>
    <hyperlink ref="AE495" r:id="rId37" xr:uid="{580B214B-553B-4F45-B1AF-F340B8324BD2}"/>
    <hyperlink ref="AE211" r:id="rId38" xr:uid="{4821C94B-57F4-47B8-B459-6CCDD434DB29}"/>
    <hyperlink ref="AE443" r:id="rId39" xr:uid="{64EFD8C5-6A76-4B60-951E-0F6F8019A3CA}"/>
    <hyperlink ref="AE426" r:id="rId40" xr:uid="{B6642B28-DA62-435F-93D2-443A84AE4FAD}"/>
    <hyperlink ref="AE344" r:id="rId41" xr:uid="{BA0341B5-210B-48FD-A867-6E345CEFF4BE}"/>
    <hyperlink ref="AE305" r:id="rId42" display="https://www.td.com/corporate-responsibility/environment/operational-footprint/energy-and-emissions.jsp" xr:uid="{18E4AAD7-9B96-4E7D-BAB6-B2E216D8BD66}"/>
    <hyperlink ref="AE383" r:id="rId43" display="https://www.toshiba-business.com.au/News/2017/May/Carbon-Zero" xr:uid="{CAA8BB48-B31F-40D7-8BCD-B145A376DCAD}"/>
    <hyperlink ref="AE47" r:id="rId44" xr:uid="{28F437C6-BE4C-4611-B0FD-7DA56F74BCA0}"/>
    <hyperlink ref="AE11" r:id="rId45" xr:uid="{DC8ECF27-EBF4-4E5A-9BC0-0229D4EC9721}"/>
    <hyperlink ref="AE248" r:id="rId46" xr:uid="{2749724A-4166-41A6-A74A-DB31D6CF404C}"/>
    <hyperlink ref="AE323" r:id="rId47" display="https://www.centrica.com/responsibility/our-focus-areas/climate-change" xr:uid="{769282FE-C4B2-472B-9D8C-494070D19B05}"/>
    <hyperlink ref="AE182" r:id="rId48" display="https://press.ext.hp.com/us/en/press-releases/2019/hp-pledges-to-making-every-page-printed-forest-positive.html" xr:uid="{5672A33D-FF6C-46E2-89EE-6A8CFC8CEC34}"/>
  </hyperlinks>
  <pageMargins left="0.7" right="0.7" top="0.75" bottom="0.75" header="0.3" footer="0.3"/>
  <pageSetup paperSize="9" orientation="portrait" r:id="rId4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FD561-D7CA-42A4-88D2-B74EA6CFDD39}">
  <dimension ref="A1:H86"/>
  <sheetViews>
    <sheetView workbookViewId="0">
      <selection activeCell="G1" sqref="G1:H20"/>
    </sheetView>
  </sheetViews>
  <sheetFormatPr defaultRowHeight="14.5"/>
  <sheetData>
    <row r="1" spans="1:8" ht="43.5">
      <c r="A1" s="220" t="s">
        <v>8327</v>
      </c>
      <c r="B1" s="220" t="s">
        <v>8328</v>
      </c>
      <c r="G1" s="220" t="s">
        <v>8363</v>
      </c>
      <c r="H1" s="220" t="s">
        <v>8364</v>
      </c>
    </row>
    <row r="2" spans="1:8" ht="58">
      <c r="A2" s="221" t="s">
        <v>4457</v>
      </c>
      <c r="B2" s="221" t="s">
        <v>2029</v>
      </c>
      <c r="G2" s="221" t="s">
        <v>66</v>
      </c>
      <c r="H2" s="221" t="s">
        <v>66</v>
      </c>
    </row>
    <row r="3" spans="1:8" ht="29">
      <c r="A3" s="221" t="s">
        <v>78</v>
      </c>
      <c r="B3" s="221" t="s">
        <v>2029</v>
      </c>
      <c r="G3" s="221" t="s">
        <v>4459</v>
      </c>
      <c r="H3" s="221" t="s">
        <v>4459</v>
      </c>
    </row>
    <row r="4" spans="1:8" ht="58">
      <c r="A4" s="221" t="s">
        <v>121</v>
      </c>
      <c r="B4" s="221" t="s">
        <v>2029</v>
      </c>
      <c r="G4" s="221" t="s">
        <v>4201</v>
      </c>
      <c r="H4" s="221" t="s">
        <v>4201</v>
      </c>
    </row>
    <row r="5" spans="1:8" ht="87">
      <c r="A5" s="221" t="s">
        <v>4315</v>
      </c>
      <c r="B5" s="221" t="s">
        <v>2029</v>
      </c>
      <c r="G5" s="221" t="s">
        <v>8316</v>
      </c>
      <c r="H5" s="221" t="s">
        <v>4465</v>
      </c>
    </row>
    <row r="6" spans="1:8" ht="29">
      <c r="A6" s="221" t="s">
        <v>4195</v>
      </c>
      <c r="B6" s="221" t="s">
        <v>1951</v>
      </c>
      <c r="G6" s="221" t="s">
        <v>4465</v>
      </c>
      <c r="H6" s="221" t="s">
        <v>4465</v>
      </c>
    </row>
    <row r="7" spans="1:8" ht="58">
      <c r="A7" s="221" t="s">
        <v>146</v>
      </c>
      <c r="B7" s="221" t="s">
        <v>1951</v>
      </c>
      <c r="G7" s="221" t="s">
        <v>4197</v>
      </c>
      <c r="H7" s="221" t="s">
        <v>4197</v>
      </c>
    </row>
    <row r="8" spans="1:8" ht="72.5">
      <c r="A8" s="221" t="s">
        <v>63</v>
      </c>
      <c r="B8" s="221" t="s">
        <v>1951</v>
      </c>
      <c r="G8" s="221" t="s">
        <v>4455</v>
      </c>
      <c r="H8" s="221" t="s">
        <v>4455</v>
      </c>
    </row>
    <row r="9" spans="1:8" ht="43.5">
      <c r="A9" s="221" t="s">
        <v>376</v>
      </c>
      <c r="B9" s="221" t="s">
        <v>1951</v>
      </c>
      <c r="G9" s="221" t="s">
        <v>4260</v>
      </c>
      <c r="H9" s="221" t="s">
        <v>4260</v>
      </c>
    </row>
    <row r="10" spans="1:8" ht="29">
      <c r="A10" s="221" t="s">
        <v>287</v>
      </c>
      <c r="B10" s="221" t="s">
        <v>1951</v>
      </c>
      <c r="G10" s="221" t="s">
        <v>4476</v>
      </c>
      <c r="H10" s="221" t="s">
        <v>4476</v>
      </c>
    </row>
    <row r="11" spans="1:8" ht="29">
      <c r="A11" s="221" t="s">
        <v>267</v>
      </c>
      <c r="B11" s="221" t="s">
        <v>1951</v>
      </c>
      <c r="G11" s="221" t="s">
        <v>186</v>
      </c>
      <c r="H11" s="221" t="s">
        <v>186</v>
      </c>
    </row>
    <row r="12" spans="1:8" ht="29">
      <c r="A12" s="221" t="s">
        <v>96</v>
      </c>
      <c r="B12" s="221" t="s">
        <v>1951</v>
      </c>
      <c r="G12" s="221" t="s">
        <v>4467</v>
      </c>
      <c r="H12" s="221" t="s">
        <v>4467</v>
      </c>
    </row>
    <row r="13" spans="1:8" ht="87">
      <c r="A13" s="221" t="s">
        <v>980</v>
      </c>
      <c r="B13" s="221" t="s">
        <v>1951</v>
      </c>
      <c r="G13" s="221" t="s">
        <v>8317</v>
      </c>
      <c r="H13" s="221" t="s">
        <v>4494</v>
      </c>
    </row>
    <row r="14" spans="1:8" ht="29">
      <c r="A14" s="221" t="s">
        <v>1481</v>
      </c>
      <c r="B14" s="221" t="s">
        <v>1951</v>
      </c>
      <c r="G14" s="221" t="s">
        <v>3498</v>
      </c>
      <c r="H14" s="221" t="s">
        <v>3498</v>
      </c>
    </row>
    <row r="15" spans="1:8" ht="43.5">
      <c r="A15" s="221" t="s">
        <v>228</v>
      </c>
      <c r="B15" s="221" t="s">
        <v>1951</v>
      </c>
      <c r="G15" s="221" t="s">
        <v>4199</v>
      </c>
      <c r="H15" s="221" t="s">
        <v>4199</v>
      </c>
    </row>
    <row r="16" spans="1:8" ht="58">
      <c r="A16" s="221" t="s">
        <v>858</v>
      </c>
      <c r="B16" s="221" t="s">
        <v>1951</v>
      </c>
      <c r="G16" s="221" t="s">
        <v>4190</v>
      </c>
      <c r="H16" s="221" t="s">
        <v>4190</v>
      </c>
    </row>
    <row r="17" spans="1:8" ht="29">
      <c r="A17" s="221" t="s">
        <v>972</v>
      </c>
      <c r="B17" s="221" t="s">
        <v>1951</v>
      </c>
      <c r="G17" s="221" t="s">
        <v>976</v>
      </c>
      <c r="H17" s="221" t="s">
        <v>976</v>
      </c>
    </row>
    <row r="18" spans="1:8" ht="58">
      <c r="A18" s="221" t="s">
        <v>73</v>
      </c>
      <c r="B18" s="221" t="s">
        <v>1994</v>
      </c>
      <c r="G18" s="221" t="s">
        <v>8318</v>
      </c>
      <c r="H18" s="221" t="s">
        <v>4467</v>
      </c>
    </row>
    <row r="19" spans="1:8" ht="58">
      <c r="A19" s="221" t="s">
        <v>207</v>
      </c>
      <c r="B19" s="221" t="s">
        <v>1994</v>
      </c>
      <c r="G19" s="221" t="s">
        <v>4643</v>
      </c>
      <c r="H19" s="221" t="s">
        <v>4643</v>
      </c>
    </row>
    <row r="20" spans="1:8" ht="43.5">
      <c r="A20" s="221" t="s">
        <v>3277</v>
      </c>
      <c r="B20" s="221" t="s">
        <v>1994</v>
      </c>
      <c r="G20" s="221" t="s">
        <v>4179</v>
      </c>
      <c r="H20" s="221" t="s">
        <v>4179</v>
      </c>
    </row>
    <row r="21" spans="1:8" ht="29">
      <c r="A21" s="221" t="s">
        <v>4338</v>
      </c>
      <c r="B21" s="221" t="s">
        <v>1994</v>
      </c>
      <c r="G21" s="221" t="s">
        <v>976</v>
      </c>
      <c r="H21" s="221" t="s">
        <v>976</v>
      </c>
    </row>
    <row r="22" spans="1:8" ht="72.5">
      <c r="A22" s="221" t="s">
        <v>114</v>
      </c>
      <c r="B22" s="221" t="s">
        <v>1994</v>
      </c>
      <c r="G22" s="221" t="s">
        <v>8362</v>
      </c>
      <c r="H22" s="221" t="s">
        <v>4467</v>
      </c>
    </row>
    <row r="23" spans="1:8" ht="58">
      <c r="A23" s="221" t="s">
        <v>87</v>
      </c>
      <c r="B23" s="221" t="s">
        <v>1994</v>
      </c>
      <c r="G23" s="221" t="s">
        <v>573</v>
      </c>
      <c r="H23" s="221" t="s">
        <v>4201</v>
      </c>
    </row>
    <row r="24" spans="1:8" ht="29">
      <c r="A24" s="221" t="s">
        <v>183</v>
      </c>
      <c r="B24" s="221" t="s">
        <v>1994</v>
      </c>
    </row>
    <row r="25" spans="1:8">
      <c r="A25" s="221" t="s">
        <v>1408</v>
      </c>
      <c r="B25" s="221" t="s">
        <v>1994</v>
      </c>
    </row>
    <row r="26" spans="1:8">
      <c r="A26" s="221" t="s">
        <v>1242</v>
      </c>
      <c r="B26" s="221" t="s">
        <v>1994</v>
      </c>
    </row>
    <row r="27" spans="1:8">
      <c r="A27" s="221" t="s">
        <v>1301</v>
      </c>
      <c r="B27" s="221" t="s">
        <v>1994</v>
      </c>
    </row>
    <row r="28" spans="1:8" ht="29">
      <c r="A28" s="221" t="s">
        <v>985</v>
      </c>
      <c r="B28" s="221" t="s">
        <v>8320</v>
      </c>
    </row>
    <row r="29" spans="1:8">
      <c r="A29" s="221" t="s">
        <v>68</v>
      </c>
      <c r="B29" s="221" t="s">
        <v>8320</v>
      </c>
    </row>
    <row r="30" spans="1:8" ht="29">
      <c r="A30" s="221" t="s">
        <v>3965</v>
      </c>
      <c r="B30" s="221" t="s">
        <v>8320</v>
      </c>
    </row>
    <row r="31" spans="1:8">
      <c r="A31" s="221" t="s">
        <v>161</v>
      </c>
      <c r="B31" s="221" t="s">
        <v>8320</v>
      </c>
    </row>
    <row r="32" spans="1:8">
      <c r="A32" s="221" t="s">
        <v>382</v>
      </c>
      <c r="B32" s="221" t="s">
        <v>8320</v>
      </c>
    </row>
    <row r="33" spans="1:2">
      <c r="A33" s="221" t="s">
        <v>246</v>
      </c>
      <c r="B33" s="221" t="s">
        <v>8320</v>
      </c>
    </row>
    <row r="34" spans="1:2">
      <c r="A34" s="221" t="s">
        <v>439</v>
      </c>
      <c r="B34" s="221" t="s">
        <v>8320</v>
      </c>
    </row>
    <row r="35" spans="1:2" ht="29">
      <c r="A35" s="221" t="s">
        <v>1443</v>
      </c>
      <c r="B35" s="221" t="s">
        <v>8320</v>
      </c>
    </row>
    <row r="36" spans="1:2">
      <c r="A36" s="221" t="s">
        <v>400</v>
      </c>
      <c r="B36" s="221" t="s">
        <v>1951</v>
      </c>
    </row>
    <row r="58" spans="4:5" ht="29">
      <c r="D58" s="220" t="s">
        <v>8360</v>
      </c>
      <c r="E58" s="220" t="s">
        <v>8361</v>
      </c>
    </row>
    <row r="59" spans="4:5">
      <c r="D59" s="221" t="s">
        <v>454</v>
      </c>
      <c r="E59" s="221" t="s">
        <v>4467</v>
      </c>
    </row>
    <row r="60" spans="4:5">
      <c r="D60" s="221" t="s">
        <v>4467</v>
      </c>
      <c r="E60" s="221" t="s">
        <v>4467</v>
      </c>
    </row>
    <row r="61" spans="4:5" ht="72.5">
      <c r="D61" s="221" t="s">
        <v>342</v>
      </c>
      <c r="E61" s="221" t="s">
        <v>4455</v>
      </c>
    </row>
    <row r="62" spans="4:5" ht="72.5">
      <c r="D62" s="221" t="s">
        <v>5091</v>
      </c>
      <c r="E62" s="221" t="s">
        <v>4455</v>
      </c>
    </row>
    <row r="63" spans="4:5">
      <c r="D63" s="221" t="s">
        <v>149</v>
      </c>
      <c r="E63" s="221" t="s">
        <v>4467</v>
      </c>
    </row>
    <row r="64" spans="4:5" ht="58">
      <c r="D64" s="221" t="s">
        <v>258</v>
      </c>
      <c r="E64" s="221" t="s">
        <v>4190</v>
      </c>
    </row>
    <row r="65" spans="4:5" ht="58">
      <c r="D65" s="221" t="s">
        <v>461</v>
      </c>
      <c r="E65" s="221" t="s">
        <v>4190</v>
      </c>
    </row>
    <row r="66" spans="4:5" ht="58">
      <c r="D66" s="221" t="s">
        <v>138</v>
      </c>
      <c r="E66" s="221" t="s">
        <v>3498</v>
      </c>
    </row>
    <row r="67" spans="4:5" ht="43.5">
      <c r="D67" s="221" t="s">
        <v>105</v>
      </c>
      <c r="E67" s="221" t="s">
        <v>3498</v>
      </c>
    </row>
    <row r="68" spans="4:5" ht="43.5">
      <c r="D68" s="221" t="s">
        <v>71</v>
      </c>
      <c r="E68" s="221" t="s">
        <v>4199</v>
      </c>
    </row>
    <row r="69" spans="4:5" ht="29">
      <c r="D69" s="221" t="s">
        <v>283</v>
      </c>
      <c r="E69" s="221" t="s">
        <v>4459</v>
      </c>
    </row>
    <row r="70" spans="4:5" ht="58">
      <c r="D70" s="221" t="s">
        <v>135</v>
      </c>
      <c r="E70" s="221" t="s">
        <v>4197</v>
      </c>
    </row>
    <row r="71" spans="4:5" ht="29">
      <c r="D71" s="221" t="s">
        <v>85</v>
      </c>
      <c r="E71" s="221" t="s">
        <v>4459</v>
      </c>
    </row>
    <row r="72" spans="4:5" ht="43.5">
      <c r="D72" s="221" t="s">
        <v>289</v>
      </c>
      <c r="E72" s="221" t="s">
        <v>4459</v>
      </c>
    </row>
    <row r="73" spans="4:5" ht="29">
      <c r="D73" s="221" t="s">
        <v>66</v>
      </c>
      <c r="E73" s="221" t="s">
        <v>66</v>
      </c>
    </row>
    <row r="74" spans="4:5" ht="58">
      <c r="D74" s="221" t="s">
        <v>573</v>
      </c>
      <c r="E74" s="221" t="s">
        <v>4201</v>
      </c>
    </row>
    <row r="75" spans="4:5" ht="58">
      <c r="D75" s="221" t="s">
        <v>319</v>
      </c>
      <c r="E75" s="221" t="s">
        <v>4201</v>
      </c>
    </row>
    <row r="76" spans="4:5" ht="58">
      <c r="D76" s="221" t="s">
        <v>511</v>
      </c>
      <c r="E76" s="221" t="s">
        <v>4643</v>
      </c>
    </row>
    <row r="77" spans="4:5" ht="43.5">
      <c r="D77" s="221" t="s">
        <v>171</v>
      </c>
      <c r="E77" s="221" t="s">
        <v>4476</v>
      </c>
    </row>
    <row r="78" spans="4:5" ht="43.5">
      <c r="D78" s="221" t="s">
        <v>5398</v>
      </c>
      <c r="E78" s="221" t="s">
        <v>4260</v>
      </c>
    </row>
    <row r="79" spans="4:5" ht="43.5">
      <c r="D79" s="221" t="s">
        <v>178</v>
      </c>
      <c r="E79" s="221" t="s">
        <v>4179</v>
      </c>
    </row>
    <row r="80" spans="4:5" ht="29">
      <c r="D80" s="221" t="s">
        <v>91</v>
      </c>
      <c r="E80" s="221" t="s">
        <v>4467</v>
      </c>
    </row>
    <row r="81" spans="4:5" ht="29">
      <c r="D81" s="221" t="s">
        <v>76</v>
      </c>
      <c r="E81" s="221" t="s">
        <v>4465</v>
      </c>
    </row>
    <row r="82" spans="4:5" ht="58">
      <c r="D82" s="221" t="s">
        <v>6358</v>
      </c>
      <c r="E82" s="221" t="s">
        <v>4465</v>
      </c>
    </row>
    <row r="83" spans="4:5" ht="29">
      <c r="D83" s="221" t="s">
        <v>976</v>
      </c>
      <c r="E83" s="221" t="s">
        <v>976</v>
      </c>
    </row>
    <row r="84" spans="4:5" ht="29">
      <c r="D84" s="221" t="s">
        <v>186</v>
      </c>
      <c r="E84" s="221" t="s">
        <v>186</v>
      </c>
    </row>
    <row r="85" spans="4:5" ht="29">
      <c r="D85" s="221" t="s">
        <v>90</v>
      </c>
      <c r="E85" s="221" t="s">
        <v>4465</v>
      </c>
    </row>
    <row r="86" spans="4:5" ht="58">
      <c r="D86" s="221" t="s">
        <v>5156</v>
      </c>
      <c r="E86" s="221" t="s">
        <v>4467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2024</vt:lpstr>
      <vt:lpstr>2023</vt:lpstr>
      <vt:lpstr>2022</vt:lpstr>
      <vt:lpstr>2021</vt:lpstr>
      <vt:lpstr>2020</vt:lpstr>
      <vt:lpstr>2019</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Aniya Bagheri</dc:creator>
  <cp:lastModifiedBy>Aniya Bagheri</cp:lastModifiedBy>
  <dcterms:created xsi:type="dcterms:W3CDTF">2025-12-01T09:10:37Z</dcterms:created>
  <dcterms:modified xsi:type="dcterms:W3CDTF">2025-12-02T15:21:21Z</dcterms:modified>
</cp:coreProperties>
</file>