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" i="1" l="1"/>
  <c r="N22" i="1"/>
  <c r="O22" i="1" s="1"/>
  <c r="Q22" i="1" s="1"/>
  <c r="L22" i="1"/>
  <c r="K22" i="1"/>
  <c r="J22" i="1"/>
  <c r="N21" i="1"/>
  <c r="O21" i="1" s="1"/>
  <c r="Q21" i="1" s="1"/>
  <c r="K21" i="1"/>
  <c r="L21" i="1" s="1"/>
  <c r="J21" i="1"/>
  <c r="O20" i="1"/>
  <c r="Q20" i="1" s="1"/>
  <c r="N20" i="1"/>
  <c r="K20" i="1"/>
  <c r="J20" i="1"/>
  <c r="P20" i="1" s="1"/>
  <c r="N19" i="1"/>
  <c r="O19" i="1" s="1"/>
  <c r="Q19" i="1" s="1"/>
  <c r="K19" i="1"/>
  <c r="J19" i="1"/>
  <c r="L19" i="1" s="1"/>
  <c r="O18" i="1"/>
  <c r="K18" i="1"/>
  <c r="L18" i="1" s="1"/>
  <c r="J18" i="1"/>
  <c r="P18" i="1" s="1"/>
  <c r="O17" i="1"/>
  <c r="Q17" i="1" s="1"/>
  <c r="N17" i="1"/>
  <c r="K17" i="1"/>
  <c r="J17" i="1"/>
  <c r="P17" i="1" s="1"/>
  <c r="N16" i="1"/>
  <c r="O16" i="1" s="1"/>
  <c r="Q16" i="1" s="1"/>
  <c r="K16" i="1"/>
  <c r="J16" i="1"/>
  <c r="L16" i="1" s="1"/>
  <c r="N15" i="1"/>
  <c r="O15" i="1" s="1"/>
  <c r="Q15" i="1" s="1"/>
  <c r="L15" i="1"/>
  <c r="K15" i="1"/>
  <c r="P15" i="1" s="1"/>
  <c r="J15" i="1"/>
  <c r="N14" i="1"/>
  <c r="O14" i="1" s="1"/>
  <c r="Q14" i="1" s="1"/>
  <c r="K14" i="1"/>
  <c r="P14" i="1" s="1"/>
  <c r="J14" i="1"/>
  <c r="O13" i="1"/>
  <c r="Q13" i="1" s="1"/>
  <c r="N13" i="1"/>
  <c r="K13" i="1"/>
  <c r="J13" i="1"/>
  <c r="L13" i="1" s="1"/>
  <c r="N12" i="1"/>
  <c r="O12" i="1" s="1"/>
  <c r="Q12" i="1" s="1"/>
  <c r="K12" i="1"/>
  <c r="J12" i="1"/>
  <c r="L12" i="1" s="1"/>
  <c r="N11" i="1"/>
  <c r="O11" i="1" s="1"/>
  <c r="Q11" i="1" s="1"/>
  <c r="L11" i="1"/>
  <c r="K11" i="1"/>
  <c r="J11" i="1"/>
  <c r="N10" i="1"/>
  <c r="O10" i="1" s="1"/>
  <c r="Q10" i="1" s="1"/>
  <c r="K10" i="1"/>
  <c r="L10" i="1" s="1"/>
  <c r="J10" i="1"/>
  <c r="O9" i="1"/>
  <c r="Q9" i="1" s="1"/>
  <c r="N9" i="1"/>
  <c r="K9" i="1"/>
  <c r="J9" i="1"/>
  <c r="P9" i="1" s="1"/>
  <c r="O8" i="1"/>
  <c r="Q8" i="1" s="1"/>
  <c r="L8" i="1"/>
  <c r="K8" i="1"/>
  <c r="J8" i="1"/>
  <c r="P8" i="1" s="1"/>
  <c r="N7" i="1"/>
  <c r="O7" i="1" s="1"/>
  <c r="Q7" i="1" s="1"/>
  <c r="K7" i="1"/>
  <c r="L7" i="1" s="1"/>
  <c r="J7" i="1"/>
  <c r="O6" i="1"/>
  <c r="Q6" i="1" s="1"/>
  <c r="N6" i="1"/>
  <c r="K6" i="1"/>
  <c r="J6" i="1"/>
  <c r="L6" i="1" s="1"/>
  <c r="N5" i="1"/>
  <c r="O5" i="1" s="1"/>
  <c r="Q5" i="1" s="1"/>
  <c r="K5" i="1"/>
  <c r="J5" i="1"/>
  <c r="L5" i="1" s="1"/>
  <c r="N4" i="1"/>
  <c r="O4" i="1" s="1"/>
  <c r="Q4" i="1" s="1"/>
  <c r="L4" i="1"/>
  <c r="K4" i="1"/>
  <c r="P4" i="1" s="1"/>
  <c r="J4" i="1"/>
  <c r="N3" i="1"/>
  <c r="O3" i="1" s="1"/>
  <c r="Q3" i="1" s="1"/>
  <c r="K3" i="1"/>
  <c r="L3" i="1" s="1"/>
  <c r="J3" i="1"/>
  <c r="O2" i="1"/>
  <c r="Q2" i="1" s="1"/>
  <c r="N2" i="1"/>
  <c r="K2" i="1"/>
  <c r="K23" i="1" s="1"/>
  <c r="J2" i="1"/>
  <c r="L2" i="1" s="1"/>
  <c r="S2" i="1" l="1"/>
  <c r="S11" i="1"/>
  <c r="S8" i="1"/>
  <c r="S17" i="1"/>
  <c r="S5" i="1"/>
  <c r="S6" i="1"/>
  <c r="P11" i="1"/>
  <c r="S14" i="1"/>
  <c r="S15" i="1"/>
  <c r="S21" i="1"/>
  <c r="S22" i="1"/>
  <c r="S10" i="1"/>
  <c r="S7" i="1"/>
  <c r="S9" i="1"/>
  <c r="S16" i="1"/>
  <c r="S3" i="1"/>
  <c r="S4" i="1"/>
  <c r="S12" i="1"/>
  <c r="S13" i="1"/>
  <c r="S19" i="1"/>
  <c r="S20" i="1"/>
  <c r="P22" i="1"/>
  <c r="P3" i="1"/>
  <c r="P7" i="1"/>
  <c r="Q18" i="1"/>
  <c r="P21" i="1"/>
  <c r="P2" i="1"/>
  <c r="P6" i="1"/>
  <c r="P13" i="1"/>
  <c r="L14" i="1"/>
  <c r="P5" i="1"/>
  <c r="L9" i="1"/>
  <c r="P12" i="1"/>
  <c r="P16" i="1"/>
  <c r="L17" i="1"/>
  <c r="P19" i="1"/>
  <c r="L20" i="1"/>
  <c r="P10" i="1"/>
  <c r="U20" i="1" l="1"/>
  <c r="T20" i="1"/>
  <c r="V20" i="1" s="1"/>
  <c r="U4" i="1"/>
  <c r="T4" i="1"/>
  <c r="V4" i="1" s="1"/>
  <c r="U11" i="1"/>
  <c r="T11" i="1"/>
  <c r="V11" i="1" s="1"/>
  <c r="P23" i="1"/>
  <c r="U12" i="1"/>
  <c r="T12" i="1"/>
  <c r="T21" i="1"/>
  <c r="U21" i="1"/>
  <c r="U6" i="1"/>
  <c r="T6" i="1"/>
  <c r="T3" i="1"/>
  <c r="U3" i="1"/>
  <c r="U9" i="1"/>
  <c r="T9" i="1"/>
  <c r="T14" i="1"/>
  <c r="U14" i="1"/>
  <c r="U5" i="1"/>
  <c r="T5" i="1"/>
  <c r="T8" i="1"/>
  <c r="U8" i="1"/>
  <c r="T13" i="1"/>
  <c r="V13" i="1" s="1"/>
  <c r="U13" i="1"/>
  <c r="U22" i="1"/>
  <c r="T22" i="1"/>
  <c r="V22" i="1" s="1"/>
  <c r="T19" i="1"/>
  <c r="V19" i="1" s="1"/>
  <c r="U19" i="1"/>
  <c r="T10" i="1"/>
  <c r="U10" i="1"/>
  <c r="U17" i="1"/>
  <c r="T17" i="1"/>
  <c r="S18" i="1"/>
  <c r="T16" i="1"/>
  <c r="V16" i="1" s="1"/>
  <c r="U16" i="1"/>
  <c r="T7" i="1"/>
  <c r="U7" i="1"/>
  <c r="U15" i="1"/>
  <c r="T15" i="1"/>
  <c r="T2" i="1"/>
  <c r="U2" i="1"/>
  <c r="S23" i="1"/>
  <c r="V2" i="1" l="1"/>
  <c r="U18" i="1"/>
  <c r="T18" i="1"/>
  <c r="V18" i="1" s="1"/>
  <c r="V14" i="1"/>
  <c r="V3" i="1"/>
  <c r="V21" i="1"/>
  <c r="U23" i="1"/>
  <c r="V7" i="1"/>
  <c r="V10" i="1"/>
  <c r="V8" i="1"/>
  <c r="V15" i="1"/>
  <c r="V17" i="1"/>
  <c r="V5" i="1"/>
  <c r="V9" i="1"/>
  <c r="V6" i="1"/>
  <c r="V12" i="1"/>
  <c r="V23" i="1" l="1"/>
  <c r="T23" i="1"/>
</calcChain>
</file>

<file path=xl/sharedStrings.xml><?xml version="1.0" encoding="utf-8"?>
<sst xmlns="http://schemas.openxmlformats.org/spreadsheetml/2006/main" count="128" uniqueCount="87">
  <si>
    <t>S.N.</t>
  </si>
  <si>
    <t>Work No.</t>
  </si>
  <si>
    <t>Name</t>
  </si>
  <si>
    <t>Marital Status</t>
  </si>
  <si>
    <t>Dep</t>
  </si>
  <si>
    <t>Position</t>
  </si>
  <si>
    <t>Basic</t>
  </si>
  <si>
    <t>DA</t>
  </si>
  <si>
    <t>Adjustment</t>
  </si>
  <si>
    <t>Gratuity</t>
  </si>
  <si>
    <t xml:space="preserve">PF Employer </t>
  </si>
  <si>
    <t>GROSS CTC</t>
  </si>
  <si>
    <t>Total Working Days</t>
  </si>
  <si>
    <t>Attendance</t>
  </si>
  <si>
    <t>Net Payable</t>
  </si>
  <si>
    <t>Billing Amount</t>
  </si>
  <si>
    <t>Payable before SST</t>
  </si>
  <si>
    <t>CIT</t>
  </si>
  <si>
    <t>Yearly Average</t>
  </si>
  <si>
    <t xml:space="preserve">Income Tax </t>
  </si>
  <si>
    <t>SST@1%</t>
  </si>
  <si>
    <t>K0002</t>
  </si>
  <si>
    <t>Prakash Subedi</t>
  </si>
  <si>
    <t>UM</t>
  </si>
  <si>
    <t>Brand</t>
  </si>
  <si>
    <t>Brand Supervisor</t>
  </si>
  <si>
    <t>K0008</t>
  </si>
  <si>
    <t>Kalpana Aryal</t>
  </si>
  <si>
    <t>M</t>
  </si>
  <si>
    <t>Admin &amp; HR</t>
  </si>
  <si>
    <t xml:space="preserve">Cleaner </t>
  </si>
  <si>
    <t>K0011</t>
  </si>
  <si>
    <t>Saugat Dhungana</t>
  </si>
  <si>
    <t>Brand Specialist</t>
  </si>
  <si>
    <t>K0015</t>
  </si>
  <si>
    <t>Mandeepa Dhakal</t>
  </si>
  <si>
    <t>Terminal</t>
  </si>
  <si>
    <t>Trainer</t>
  </si>
  <si>
    <t>K0183</t>
  </si>
  <si>
    <t>Junu Udash</t>
  </si>
  <si>
    <t>Cleaner</t>
  </si>
  <si>
    <t>K0027</t>
  </si>
  <si>
    <t>Asha Thapa</t>
  </si>
  <si>
    <t>Terminal Supervisor</t>
  </si>
  <si>
    <t>K0029</t>
  </si>
  <si>
    <t>Saru Gurung</t>
  </si>
  <si>
    <t xml:space="preserve">VBA Officer </t>
  </si>
  <si>
    <t>K0156</t>
  </si>
  <si>
    <t>Santosh Katuwal</t>
  </si>
  <si>
    <t>Data Supervisor</t>
  </si>
  <si>
    <t>K0001</t>
  </si>
  <si>
    <t>Kebin Maharjan</t>
  </si>
  <si>
    <t>Sales ( C)</t>
  </si>
  <si>
    <t>Translator</t>
  </si>
  <si>
    <t>V0001</t>
  </si>
  <si>
    <t>Preeti Dangol</t>
  </si>
  <si>
    <t>TSM</t>
  </si>
  <si>
    <t>K0149</t>
  </si>
  <si>
    <t>Badri Khadka</t>
  </si>
  <si>
    <t>RSM</t>
  </si>
  <si>
    <t>V0002</t>
  </si>
  <si>
    <t>Nirmala Khadka</t>
  </si>
  <si>
    <t>K0006</t>
  </si>
  <si>
    <t>Nabin Bajracharya</t>
  </si>
  <si>
    <t>Sales ( E)</t>
  </si>
  <si>
    <t>V0003</t>
  </si>
  <si>
    <t>Rachana Bajracharya</t>
  </si>
  <si>
    <t>K0180</t>
  </si>
  <si>
    <t>Piyush Giri</t>
  </si>
  <si>
    <t>Digital Operator</t>
  </si>
  <si>
    <t>K0170</t>
  </si>
  <si>
    <t>Nelson Burlakoti</t>
  </si>
  <si>
    <t xml:space="preserve">Junior Trainer </t>
  </si>
  <si>
    <t>K0200</t>
  </si>
  <si>
    <t>Lizna Manandhar</t>
  </si>
  <si>
    <t>Data Processor</t>
  </si>
  <si>
    <t>K0225</t>
  </si>
  <si>
    <t>Sanju Khadka</t>
  </si>
  <si>
    <t>K0226</t>
  </si>
  <si>
    <t>Suresh Shrestha</t>
  </si>
  <si>
    <t>Material Administrator</t>
  </si>
  <si>
    <t>K0222</t>
  </si>
  <si>
    <t>Rojina Chitrakar</t>
  </si>
  <si>
    <t>K0253</t>
  </si>
  <si>
    <t>Swagat Shrestha</t>
  </si>
  <si>
    <t>Designer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</si>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</sst>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left"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left" vertical="center" wrapText="1"/>
    </xf>
    <xf numFmtId="43" fontId="2" fillId="2" borderId="1" xfId="1" applyFont="1" applyFill="1" applyBorder="1" applyAlignment="1">
      <alignment horizontal="center" vertical="center"/>
    </xf>
    <xf numFmtId="43" fontId="5" fillId="2" borderId="1" xfId="2" applyNumberFormat="1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43" fontId="6" fillId="4" borderId="1" xfId="1" applyFont="1" applyFill="1" applyBorder="1" applyAlignment="1">
      <alignment horizontal="left" vertical="center"/>
    </xf>
    <xf numFmtId="43" fontId="6" fillId="0" borderId="1" xfId="1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left" vertical="center"/>
    </xf>
    <xf numFmtId="43" fontId="7" fillId="0" borderId="1" xfId="1" applyFont="1" applyBorder="1" applyAlignment="1">
      <alignment horizontal="left" vertical="center"/>
    </xf>
    <xf numFmtId="43" fontId="7" fillId="0" borderId="1" xfId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43" fontId="6" fillId="0" borderId="1" xfId="1" applyFont="1" applyFill="1" applyBorder="1" applyAlignment="1">
      <alignment horizontal="left" vertical="center"/>
    </xf>
    <xf numFmtId="43" fontId="7" fillId="0" borderId="1" xfId="1" applyFont="1" applyFill="1" applyBorder="1" applyAlignment="1">
      <alignment horizontal="center" vertical="center"/>
    </xf>
    <xf numFmtId="43" fontId="6" fillId="4" borderId="1" xfId="1" applyFont="1" applyFill="1" applyBorder="1" applyAlignment="1">
      <alignment horizontal="center" vertical="center"/>
    </xf>
    <xf numFmtId="2" fontId="7" fillId="4" borderId="1" xfId="1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2" fillId="0" borderId="0" xfId="1" applyFont="1" applyAlignment="1">
      <alignment horizontal="left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APTOP\payroll\VIVO\Payroll\June%202019\Attendence%20J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(May)"/>
      <sheetName val="VBA Attendance (May)"/>
      <sheetName val="Trainee VBA Attendance (May)"/>
    </sheetNames>
    <sheetDataSet>
      <sheetData sheetId="0">
        <row r="2">
          <cell r="C2" t="str">
            <v>K0225</v>
          </cell>
          <cell r="D2" t="str">
            <v>Product</v>
          </cell>
          <cell r="E2">
            <v>29</v>
          </cell>
        </row>
        <row r="3">
          <cell r="C3" t="str">
            <v>K0200</v>
          </cell>
          <cell r="D3" t="str">
            <v>Product</v>
          </cell>
          <cell r="E3">
            <v>29</v>
          </cell>
        </row>
        <row r="4">
          <cell r="C4" t="str">
            <v>K0222</v>
          </cell>
          <cell r="D4" t="str">
            <v>Product</v>
          </cell>
          <cell r="E4">
            <v>31</v>
          </cell>
        </row>
        <row r="5">
          <cell r="C5" t="str">
            <v>K0156</v>
          </cell>
          <cell r="D5" t="str">
            <v>Product</v>
          </cell>
          <cell r="E5">
            <v>31</v>
          </cell>
        </row>
        <row r="6">
          <cell r="C6" t="str">
            <v>K0015</v>
          </cell>
          <cell r="D6" t="str">
            <v>Terminal</v>
          </cell>
          <cell r="E6">
            <v>31</v>
          </cell>
        </row>
        <row r="7">
          <cell r="C7" t="str">
            <v>K0029</v>
          </cell>
          <cell r="D7" t="str">
            <v>Terminal</v>
          </cell>
          <cell r="E7">
            <v>31</v>
          </cell>
        </row>
        <row r="8">
          <cell r="C8" t="str">
            <v>K0027</v>
          </cell>
          <cell r="D8" t="str">
            <v>Product</v>
          </cell>
          <cell r="E8">
            <v>31</v>
          </cell>
        </row>
        <row r="9">
          <cell r="C9" t="str">
            <v>K0170</v>
          </cell>
          <cell r="D9" t="str">
            <v>Product</v>
          </cell>
          <cell r="E9">
            <v>31</v>
          </cell>
        </row>
        <row r="10">
          <cell r="C10" t="str">
            <v>K0180</v>
          </cell>
          <cell r="D10" t="str">
            <v xml:space="preserve">Brand </v>
          </cell>
          <cell r="E10">
            <v>24</v>
          </cell>
        </row>
        <row r="11">
          <cell r="C11" t="str">
            <v>K0002</v>
          </cell>
          <cell r="D11" t="str">
            <v xml:space="preserve">Brand </v>
          </cell>
          <cell r="E11">
            <v>28</v>
          </cell>
        </row>
        <row r="12">
          <cell r="C12" t="str">
            <v>K0011</v>
          </cell>
          <cell r="D12" t="str">
            <v xml:space="preserve">Brand </v>
          </cell>
          <cell r="E12">
            <v>28</v>
          </cell>
        </row>
        <row r="13">
          <cell r="C13" t="str">
            <v>K0226</v>
          </cell>
          <cell r="D13" t="str">
            <v xml:space="preserve">Brand </v>
          </cell>
          <cell r="E13">
            <v>29</v>
          </cell>
        </row>
        <row r="14">
          <cell r="C14" t="str">
            <v>K0253</v>
          </cell>
          <cell r="D14" t="str">
            <v xml:space="preserve">Brand </v>
          </cell>
          <cell r="E14">
            <v>29.5</v>
          </cell>
        </row>
        <row r="15">
          <cell r="C15" t="str">
            <v>K0006</v>
          </cell>
          <cell r="D15" t="str">
            <v>Sales ( E)</v>
          </cell>
          <cell r="E15">
            <v>31</v>
          </cell>
        </row>
        <row r="16">
          <cell r="C16" t="str">
            <v>V0003</v>
          </cell>
          <cell r="D16" t="str">
            <v>Sales ( E)</v>
          </cell>
          <cell r="E16">
            <v>31</v>
          </cell>
        </row>
        <row r="17">
          <cell r="C17" t="str">
            <v>K0001</v>
          </cell>
          <cell r="D17" t="str">
            <v>Sales ( C)</v>
          </cell>
          <cell r="E17">
            <v>31</v>
          </cell>
        </row>
        <row r="18">
          <cell r="C18" t="str">
            <v>V0001</v>
          </cell>
          <cell r="D18" t="str">
            <v>Sales ( C)</v>
          </cell>
          <cell r="E18">
            <v>31</v>
          </cell>
        </row>
        <row r="19">
          <cell r="C19" t="str">
            <v>K0149</v>
          </cell>
          <cell r="D19" t="str">
            <v>Sales ( C)</v>
          </cell>
          <cell r="E19">
            <v>31</v>
          </cell>
        </row>
        <row r="20">
          <cell r="C20" t="str">
            <v>V0002</v>
          </cell>
          <cell r="D20" t="str">
            <v>Sales ( C)</v>
          </cell>
          <cell r="E20">
            <v>31</v>
          </cell>
        </row>
        <row r="21">
          <cell r="C21" t="str">
            <v>K0008</v>
          </cell>
          <cell r="D21" t="str">
            <v>HR</v>
          </cell>
          <cell r="E21">
            <v>31</v>
          </cell>
        </row>
        <row r="22">
          <cell r="C22" t="str">
            <v>K0183</v>
          </cell>
          <cell r="D22" t="str">
            <v>HR</v>
          </cell>
          <cell r="E22">
            <v>31</v>
          </cell>
        </row>
      </sheetData>
      <sheetData sheetId="1">
        <row r="2">
          <cell r="C2" t="str">
            <v>E0018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@1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sqref="A1:V23"/>
    </sheetView>
  </sheetViews>
  <sheetFormatPr defaultRowHeight="15" x14ac:dyDescent="0.25"/>
  <cols>
    <col min="1" max="1" width="4.85546875" customWidth="1"/>
    <col min="2" max="2" width="8.28515625" customWidth="1"/>
    <col min="3" max="3" width="22.42578125" bestFit="1" customWidth="1"/>
    <col min="4" max="4" width="8.7109375" customWidth="1"/>
    <col min="5" max="5" width="13.85546875" bestFit="1" customWidth="1"/>
    <col min="6" max="6" width="23.85546875" bestFit="1" customWidth="1"/>
    <col min="7" max="8" width="11.5703125" bestFit="1" customWidth="1"/>
    <col min="9" max="9" width="11.140625" bestFit="1" customWidth="1"/>
    <col min="10" max="10" width="10.42578125" bestFit="1" customWidth="1"/>
    <col min="11" max="12" width="11.5703125" bestFit="1" customWidth="1"/>
    <col min="13" max="13" width="8.28515625" customWidth="1"/>
    <col min="14" max="14" width="9" customWidth="1"/>
    <col min="15" max="15" width="14.42578125" bestFit="1" customWidth="1"/>
    <col min="16" max="16" width="12.7109375" bestFit="1" customWidth="1"/>
    <col min="17" max="18" width="11.5703125" bestFit="1" customWidth="1"/>
    <col min="19" max="19" width="14.5703125" bestFit="1" customWidth="1"/>
    <col min="20" max="20" width="14.140625" bestFit="1" customWidth="1"/>
    <col min="21" max="21" width="10.7109375" bestFit="1" customWidth="1"/>
    <col min="22" max="22" width="14.42578125" bestFit="1" customWidth="1"/>
  </cols>
  <sheetData>
    <row r="1" spans="1:22" ht="63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2" t="s">
        <v>15</v>
      </c>
      <c r="Q1" s="2" t="s">
        <v>16</v>
      </c>
      <c r="R1" s="6" t="s">
        <v>17</v>
      </c>
      <c r="S1" s="2" t="s">
        <v>18</v>
      </c>
      <c r="T1" s="6" t="s">
        <v>19</v>
      </c>
      <c r="U1" s="7" t="s">
        <v>20</v>
      </c>
      <c r="V1" s="6" t="s">
        <v>14</v>
      </c>
    </row>
    <row r="2" spans="1:22" ht="15.75" x14ac:dyDescent="0.25">
      <c r="A2" s="8">
        <v>1</v>
      </c>
      <c r="B2" s="9" t="s">
        <v>21</v>
      </c>
      <c r="C2" s="10" t="s">
        <v>22</v>
      </c>
      <c r="D2" s="11" t="s">
        <v>23</v>
      </c>
      <c r="E2" s="12" t="s">
        <v>24</v>
      </c>
      <c r="F2" s="12" t="s">
        <v>25</v>
      </c>
      <c r="G2" s="12">
        <v>36000</v>
      </c>
      <c r="H2" s="9">
        <v>10000</v>
      </c>
      <c r="I2" s="13"/>
      <c r="J2" s="14">
        <f>G2*8.33%</f>
        <v>2998.8</v>
      </c>
      <c r="K2" s="14">
        <f>G2*10%</f>
        <v>3600</v>
      </c>
      <c r="L2" s="14">
        <f>SUM(G2:K2)</f>
        <v>52598.8</v>
      </c>
      <c r="M2" s="14">
        <v>31</v>
      </c>
      <c r="N2" s="14">
        <f>VLOOKUP(B2,'[1]Internal (May)'!$C$2:$E$22,3,0)</f>
        <v>28</v>
      </c>
      <c r="O2" s="14">
        <f>(G2+H2)/M2*N2+I2</f>
        <v>41548.38709677419</v>
      </c>
      <c r="P2" s="14">
        <f>(J2+K2+O2)</f>
        <v>48147.187096774192</v>
      </c>
      <c r="Q2" s="14">
        <f>(O2+J2-K2)</f>
        <v>40947.187096774192</v>
      </c>
      <c r="R2" s="15">
        <v>10000</v>
      </c>
      <c r="S2" s="14">
        <f>(Q2-R2)*12</f>
        <v>371366.24516129028</v>
      </c>
      <c r="T2" s="14">
        <f>IF(D2="UM",IF(S2&lt;=350000,0,IF(S2&lt;=450000,(S2-350000)*10%,IF(S2&lt;=650000,(S2-450000)*20%+10000,IF(S2&lt;=2000000,(S2-650000)*30%+50000,(S2-2000000)*36%+455000)))),IF(S2&lt;=400000,0,IF(S2&lt;=500000,(S2-400000)*10%,IF(S2&lt;=700000,(S2-500000)*20%+10000,IF(S2&lt;=2000000,(S2-700000)*30%+50000,(S2-2000000)*36%+440000)))))/12</f>
        <v>178.05204301075233</v>
      </c>
      <c r="U2" s="14">
        <f t="shared" ref="U2:U10" si="0">IF(D2="M",IF(S2&gt;400000,4000,S2*1%),IF(S2&gt;350000,3500,S2*1%))/12</f>
        <v>291.66666666666669</v>
      </c>
      <c r="V2" s="14">
        <f>(Q2-R2-T2-U2)</f>
        <v>30477.468387096771</v>
      </c>
    </row>
    <row r="3" spans="1:22" ht="15.75" x14ac:dyDescent="0.25">
      <c r="A3" s="16">
        <v>2</v>
      </c>
      <c r="B3" s="11" t="s">
        <v>26</v>
      </c>
      <c r="C3" s="17" t="s">
        <v>27</v>
      </c>
      <c r="D3" s="11" t="s">
        <v>28</v>
      </c>
      <c r="E3" s="17" t="s">
        <v>29</v>
      </c>
      <c r="F3" s="17" t="s">
        <v>30</v>
      </c>
      <c r="G3" s="17">
        <v>10000</v>
      </c>
      <c r="H3" s="11">
        <v>5000</v>
      </c>
      <c r="I3" s="17"/>
      <c r="J3" s="14">
        <f t="shared" ref="J3:J22" si="1">G3*8.33%</f>
        <v>833</v>
      </c>
      <c r="K3" s="14">
        <f t="shared" ref="K3:K22" si="2">G3*10%</f>
        <v>1000</v>
      </c>
      <c r="L3" s="18">
        <f t="shared" ref="L3:L22" si="3">SUM(G3:K3)</f>
        <v>16833</v>
      </c>
      <c r="M3" s="14">
        <v>31</v>
      </c>
      <c r="N3" s="14">
        <f>VLOOKUP(B3,'[1]Internal (May)'!$C$2:$E$22,3,0)</f>
        <v>31</v>
      </c>
      <c r="O3" s="14">
        <f t="shared" ref="O3:O22" si="4">(G3+H3)/M3*N3+I3</f>
        <v>15000</v>
      </c>
      <c r="P3" s="14">
        <f t="shared" ref="P3:P22" si="5">(J3+K3+O3)</f>
        <v>16833</v>
      </c>
      <c r="Q3" s="14">
        <f t="shared" ref="Q3:Q21" si="6">(O3+J3-K3)</f>
        <v>14833</v>
      </c>
      <c r="R3" s="18"/>
      <c r="S3" s="14">
        <f t="shared" ref="S3:S22" si="7">(Q3-R3)*12</f>
        <v>177996</v>
      </c>
      <c r="T3" s="14">
        <f t="shared" ref="T3:T22" si="8">IF(D3="UM",IF(S3&lt;=350000,0,IF(S3&lt;=450000,(S3-350000)*10%,IF(S3&lt;=650000,(S3-450000)*20%+10000,IF(S3&lt;=2000000,(S3-650000)*30%+50000,(S3-2000000)*36%+455000)))),IF(S3&lt;=400000,0,IF(S3&lt;=500000,(S3-400000)*10%,IF(S3&lt;=700000,(S3-500000)*20%+10000,IF(S3&lt;=2000000,(S3-700000)*30%+50000,(S3-2000000)*36%+440000)))))/12</f>
        <v>0</v>
      </c>
      <c r="U3" s="18">
        <f t="shared" si="0"/>
        <v>148.33000000000001</v>
      </c>
      <c r="V3" s="14">
        <f t="shared" ref="V3:V22" si="9">(Q3-R3-T3-U3)</f>
        <v>14684.67</v>
      </c>
    </row>
    <row r="4" spans="1:22" ht="15.75" x14ac:dyDescent="0.25">
      <c r="A4" s="8">
        <v>3</v>
      </c>
      <c r="B4" s="9" t="s">
        <v>31</v>
      </c>
      <c r="C4" s="12" t="s">
        <v>32</v>
      </c>
      <c r="D4" s="9" t="s">
        <v>23</v>
      </c>
      <c r="E4" s="12" t="s">
        <v>24</v>
      </c>
      <c r="F4" s="12" t="s">
        <v>33</v>
      </c>
      <c r="G4" s="12">
        <v>13000</v>
      </c>
      <c r="H4" s="9">
        <v>7100</v>
      </c>
      <c r="I4" s="12"/>
      <c r="J4" s="14">
        <f t="shared" si="1"/>
        <v>1082.9000000000001</v>
      </c>
      <c r="K4" s="14">
        <f t="shared" si="2"/>
        <v>1300</v>
      </c>
      <c r="L4" s="14">
        <f t="shared" si="3"/>
        <v>22482.9</v>
      </c>
      <c r="M4" s="14">
        <v>31</v>
      </c>
      <c r="N4" s="14">
        <f>VLOOKUP(B4,'[1]Internal (May)'!$C$2:$E$22,3,0)</f>
        <v>28</v>
      </c>
      <c r="O4" s="14">
        <f t="shared" si="4"/>
        <v>18154.83870967742</v>
      </c>
      <c r="P4" s="14">
        <f t="shared" si="5"/>
        <v>20537.738709677422</v>
      </c>
      <c r="Q4" s="14">
        <f t="shared" si="6"/>
        <v>17937.738709677422</v>
      </c>
      <c r="R4" s="14"/>
      <c r="S4" s="14">
        <f t="shared" si="7"/>
        <v>215252.86451612908</v>
      </c>
      <c r="T4" s="14">
        <f t="shared" si="8"/>
        <v>0</v>
      </c>
      <c r="U4" s="14">
        <f t="shared" si="0"/>
        <v>179.37738709677424</v>
      </c>
      <c r="V4" s="14">
        <f t="shared" si="9"/>
        <v>17758.361322580648</v>
      </c>
    </row>
    <row r="5" spans="1:22" ht="15.75" x14ac:dyDescent="0.25">
      <c r="A5" s="16">
        <v>4</v>
      </c>
      <c r="B5" s="9" t="s">
        <v>34</v>
      </c>
      <c r="C5" s="12" t="s">
        <v>35</v>
      </c>
      <c r="D5" s="9" t="s">
        <v>23</v>
      </c>
      <c r="E5" s="12" t="s">
        <v>36</v>
      </c>
      <c r="F5" s="12" t="s">
        <v>37</v>
      </c>
      <c r="G5" s="12">
        <v>28000</v>
      </c>
      <c r="H5" s="9">
        <v>6000</v>
      </c>
      <c r="I5" s="12"/>
      <c r="J5" s="14">
        <f t="shared" si="1"/>
        <v>2332.4</v>
      </c>
      <c r="K5" s="14">
        <f t="shared" si="2"/>
        <v>2800</v>
      </c>
      <c r="L5" s="14">
        <f t="shared" si="3"/>
        <v>39132.400000000001</v>
      </c>
      <c r="M5" s="14">
        <v>31</v>
      </c>
      <c r="N5" s="14">
        <f>VLOOKUP(B5,'[1]Internal (May)'!$C$2:$E$22,3,0)</f>
        <v>31</v>
      </c>
      <c r="O5" s="14">
        <f t="shared" si="4"/>
        <v>34000</v>
      </c>
      <c r="P5" s="14">
        <f t="shared" si="5"/>
        <v>39132.400000000001</v>
      </c>
      <c r="Q5" s="14">
        <f t="shared" si="6"/>
        <v>33532.400000000001</v>
      </c>
      <c r="R5" s="14"/>
      <c r="S5" s="14">
        <f t="shared" si="7"/>
        <v>402388.80000000005</v>
      </c>
      <c r="T5" s="14">
        <f t="shared" si="8"/>
        <v>436.57333333333372</v>
      </c>
      <c r="U5" s="14">
        <f t="shared" si="0"/>
        <v>291.66666666666669</v>
      </c>
      <c r="V5" s="14">
        <f t="shared" si="9"/>
        <v>32804.160000000003</v>
      </c>
    </row>
    <row r="6" spans="1:22" ht="15.75" x14ac:dyDescent="0.25">
      <c r="A6" s="8">
        <v>5</v>
      </c>
      <c r="B6" s="11" t="s">
        <v>38</v>
      </c>
      <c r="C6" s="17" t="s">
        <v>39</v>
      </c>
      <c r="D6" s="11" t="s">
        <v>28</v>
      </c>
      <c r="E6" s="17" t="s">
        <v>29</v>
      </c>
      <c r="F6" s="17" t="s">
        <v>40</v>
      </c>
      <c r="G6" s="17">
        <v>9000</v>
      </c>
      <c r="H6" s="11">
        <v>6000</v>
      </c>
      <c r="I6" s="17">
        <v>-1000</v>
      </c>
      <c r="J6" s="14">
        <f t="shared" si="1"/>
        <v>749.7</v>
      </c>
      <c r="K6" s="14">
        <f t="shared" si="2"/>
        <v>900</v>
      </c>
      <c r="L6" s="18">
        <f t="shared" si="3"/>
        <v>15649.7</v>
      </c>
      <c r="M6" s="14">
        <v>31</v>
      </c>
      <c r="N6" s="14">
        <f>VLOOKUP(B6,'[1]Internal (May)'!$C$2:$E$22,3,0)</f>
        <v>31</v>
      </c>
      <c r="O6" s="14">
        <f t="shared" si="4"/>
        <v>14000</v>
      </c>
      <c r="P6" s="14">
        <f t="shared" si="5"/>
        <v>15649.7</v>
      </c>
      <c r="Q6" s="14">
        <f t="shared" si="6"/>
        <v>13849.7</v>
      </c>
      <c r="R6" s="18"/>
      <c r="S6" s="14">
        <f t="shared" si="7"/>
        <v>166196.40000000002</v>
      </c>
      <c r="T6" s="14">
        <f t="shared" si="8"/>
        <v>0</v>
      </c>
      <c r="U6" s="18">
        <f t="shared" si="0"/>
        <v>138.49700000000001</v>
      </c>
      <c r="V6" s="14">
        <f t="shared" si="9"/>
        <v>13711.203000000001</v>
      </c>
    </row>
    <row r="7" spans="1:22" ht="15.75" x14ac:dyDescent="0.25">
      <c r="A7" s="16">
        <v>6</v>
      </c>
      <c r="B7" s="9" t="s">
        <v>41</v>
      </c>
      <c r="C7" s="12" t="s">
        <v>42</v>
      </c>
      <c r="D7" s="9" t="s">
        <v>23</v>
      </c>
      <c r="E7" s="12" t="s">
        <v>36</v>
      </c>
      <c r="F7" s="12" t="s">
        <v>43</v>
      </c>
      <c r="G7" s="12">
        <v>50000</v>
      </c>
      <c r="H7" s="9">
        <v>6000</v>
      </c>
      <c r="I7" s="12"/>
      <c r="J7" s="14">
        <f t="shared" si="1"/>
        <v>4165</v>
      </c>
      <c r="K7" s="14">
        <f t="shared" si="2"/>
        <v>5000</v>
      </c>
      <c r="L7" s="14">
        <f t="shared" si="3"/>
        <v>65165</v>
      </c>
      <c r="M7" s="14">
        <v>31</v>
      </c>
      <c r="N7" s="14">
        <f>VLOOKUP(B7,'[1]Internal (May)'!$C$2:$E$22,3,0)</f>
        <v>31</v>
      </c>
      <c r="O7" s="14">
        <f t="shared" si="4"/>
        <v>56000</v>
      </c>
      <c r="P7" s="14">
        <f t="shared" si="5"/>
        <v>65165</v>
      </c>
      <c r="Q7" s="14">
        <f t="shared" si="6"/>
        <v>55165</v>
      </c>
      <c r="R7" s="15">
        <v>15000</v>
      </c>
      <c r="S7" s="14">
        <f t="shared" si="7"/>
        <v>481980</v>
      </c>
      <c r="T7" s="14">
        <f t="shared" si="8"/>
        <v>1366.3333333333333</v>
      </c>
      <c r="U7" s="14">
        <f t="shared" si="0"/>
        <v>291.66666666666669</v>
      </c>
      <c r="V7" s="14">
        <f t="shared" si="9"/>
        <v>38507</v>
      </c>
    </row>
    <row r="8" spans="1:22" ht="15.75" x14ac:dyDescent="0.25">
      <c r="A8" s="8">
        <v>7</v>
      </c>
      <c r="B8" s="9" t="s">
        <v>44</v>
      </c>
      <c r="C8" s="12" t="s">
        <v>45</v>
      </c>
      <c r="D8" s="9" t="s">
        <v>23</v>
      </c>
      <c r="E8" s="12" t="s">
        <v>36</v>
      </c>
      <c r="F8" s="12" t="s">
        <v>46</v>
      </c>
      <c r="G8" s="12">
        <v>20000</v>
      </c>
      <c r="H8" s="9">
        <v>6700</v>
      </c>
      <c r="I8" s="12">
        <v>1291.93</v>
      </c>
      <c r="J8" s="14">
        <f t="shared" si="1"/>
        <v>1666</v>
      </c>
      <c r="K8" s="14">
        <f t="shared" si="2"/>
        <v>2000</v>
      </c>
      <c r="L8" s="14">
        <f t="shared" si="3"/>
        <v>31657.93</v>
      </c>
      <c r="M8" s="14">
        <v>31</v>
      </c>
      <c r="N8" s="14">
        <v>30</v>
      </c>
      <c r="O8" s="14">
        <f t="shared" si="4"/>
        <v>27130.639677419353</v>
      </c>
      <c r="P8" s="14">
        <f t="shared" si="5"/>
        <v>30796.639677419353</v>
      </c>
      <c r="Q8" s="14">
        <f t="shared" si="6"/>
        <v>26796.639677419353</v>
      </c>
      <c r="R8" s="14"/>
      <c r="S8" s="14">
        <f t="shared" si="7"/>
        <v>321559.67612903222</v>
      </c>
      <c r="T8" s="14">
        <f t="shared" si="8"/>
        <v>0</v>
      </c>
      <c r="U8" s="14">
        <f t="shared" si="0"/>
        <v>267.96639677419353</v>
      </c>
      <c r="V8" s="14">
        <f t="shared" si="9"/>
        <v>26528.673280645158</v>
      </c>
    </row>
    <row r="9" spans="1:22" ht="15.75" x14ac:dyDescent="0.25">
      <c r="A9" s="16">
        <v>8</v>
      </c>
      <c r="B9" s="9" t="s">
        <v>47</v>
      </c>
      <c r="C9" s="12" t="s">
        <v>48</v>
      </c>
      <c r="D9" s="9" t="s">
        <v>23</v>
      </c>
      <c r="E9" s="12" t="s">
        <v>36</v>
      </c>
      <c r="F9" s="12" t="s">
        <v>49</v>
      </c>
      <c r="G9" s="12">
        <v>17500</v>
      </c>
      <c r="H9" s="9">
        <v>9200</v>
      </c>
      <c r="I9" s="12"/>
      <c r="J9" s="14">
        <f t="shared" si="1"/>
        <v>1457.75</v>
      </c>
      <c r="K9" s="14">
        <f t="shared" si="2"/>
        <v>1750</v>
      </c>
      <c r="L9" s="14">
        <f t="shared" si="3"/>
        <v>29907.75</v>
      </c>
      <c r="M9" s="14">
        <v>31</v>
      </c>
      <c r="N9" s="14">
        <f>VLOOKUP(B9,'[1]Internal (May)'!$C$2:$E$22,3,0)</f>
        <v>31</v>
      </c>
      <c r="O9" s="14">
        <f t="shared" si="4"/>
        <v>26700</v>
      </c>
      <c r="P9" s="14">
        <f t="shared" si="5"/>
        <v>29907.75</v>
      </c>
      <c r="Q9" s="14">
        <f t="shared" si="6"/>
        <v>26407.75</v>
      </c>
      <c r="R9" s="14"/>
      <c r="S9" s="14">
        <f t="shared" si="7"/>
        <v>316893</v>
      </c>
      <c r="T9" s="14">
        <f t="shared" si="8"/>
        <v>0</v>
      </c>
      <c r="U9" s="14">
        <f t="shared" si="0"/>
        <v>264.07750000000004</v>
      </c>
      <c r="V9" s="14">
        <f t="shared" si="9"/>
        <v>26143.672500000001</v>
      </c>
    </row>
    <row r="10" spans="1:22" ht="15.75" x14ac:dyDescent="0.25">
      <c r="A10" s="8">
        <v>9</v>
      </c>
      <c r="B10" s="19" t="s">
        <v>50</v>
      </c>
      <c r="C10" s="10" t="s">
        <v>51</v>
      </c>
      <c r="D10" s="19" t="s">
        <v>28</v>
      </c>
      <c r="E10" s="10" t="s">
        <v>52</v>
      </c>
      <c r="F10" s="10" t="s">
        <v>53</v>
      </c>
      <c r="G10" s="10">
        <v>40000</v>
      </c>
      <c r="H10" s="19">
        <v>6000</v>
      </c>
      <c r="I10" s="10"/>
      <c r="J10" s="14">
        <f t="shared" si="1"/>
        <v>3332</v>
      </c>
      <c r="K10" s="14">
        <f t="shared" si="2"/>
        <v>4000</v>
      </c>
      <c r="L10" s="14">
        <f t="shared" si="3"/>
        <v>53332</v>
      </c>
      <c r="M10" s="14">
        <v>31</v>
      </c>
      <c r="N10" s="14">
        <f>VLOOKUP(B10,'[1]Internal (May)'!$C$2:$E$22,3,0)</f>
        <v>31</v>
      </c>
      <c r="O10" s="14">
        <f t="shared" si="4"/>
        <v>46000</v>
      </c>
      <c r="P10" s="14">
        <f t="shared" si="5"/>
        <v>53332</v>
      </c>
      <c r="Q10" s="14">
        <f t="shared" si="6"/>
        <v>45332</v>
      </c>
      <c r="R10" s="20">
        <v>10000</v>
      </c>
      <c r="S10" s="14">
        <f t="shared" si="7"/>
        <v>423984</v>
      </c>
      <c r="T10" s="14">
        <f t="shared" si="8"/>
        <v>199.86666666666667</v>
      </c>
      <c r="U10" s="21">
        <f t="shared" si="0"/>
        <v>333.33333333333331</v>
      </c>
      <c r="V10" s="14">
        <f t="shared" si="9"/>
        <v>34798.799999999996</v>
      </c>
    </row>
    <row r="11" spans="1:22" ht="15.75" x14ac:dyDescent="0.25">
      <c r="A11" s="16">
        <v>10</v>
      </c>
      <c r="B11" s="19" t="s">
        <v>54</v>
      </c>
      <c r="C11" s="10" t="s">
        <v>55</v>
      </c>
      <c r="D11" s="19" t="s">
        <v>28</v>
      </c>
      <c r="E11" s="10" t="s">
        <v>52</v>
      </c>
      <c r="F11" s="10" t="s">
        <v>56</v>
      </c>
      <c r="G11" s="10">
        <v>28000</v>
      </c>
      <c r="H11" s="19">
        <v>5000</v>
      </c>
      <c r="I11" s="10"/>
      <c r="J11" s="14">
        <f t="shared" si="1"/>
        <v>2332.4</v>
      </c>
      <c r="K11" s="14">
        <f t="shared" si="2"/>
        <v>2800</v>
      </c>
      <c r="L11" s="14">
        <f t="shared" si="3"/>
        <v>38132.400000000001</v>
      </c>
      <c r="M11" s="14">
        <v>31</v>
      </c>
      <c r="N11" s="14">
        <f>VLOOKUP(B11,'[1]Internal (May)'!$C$2:$E$22,3,0)</f>
        <v>31</v>
      </c>
      <c r="O11" s="14">
        <f t="shared" si="4"/>
        <v>33000</v>
      </c>
      <c r="P11" s="14">
        <f t="shared" si="5"/>
        <v>38132.400000000001</v>
      </c>
      <c r="Q11" s="14">
        <f t="shared" si="6"/>
        <v>32532.400000000001</v>
      </c>
      <c r="R11" s="21"/>
      <c r="S11" s="14">
        <f t="shared" si="7"/>
        <v>390388.80000000005</v>
      </c>
      <c r="T11" s="14">
        <f t="shared" si="8"/>
        <v>0</v>
      </c>
      <c r="U11" s="21">
        <f>IF(D11="M",IF(S11&gt;400000,4000,S11*1%),IF(S11&gt;350000,3500,S11*1%))/12</f>
        <v>325.32400000000001</v>
      </c>
      <c r="V11" s="14">
        <f t="shared" si="9"/>
        <v>32207.076000000001</v>
      </c>
    </row>
    <row r="12" spans="1:22" ht="15.75" x14ac:dyDescent="0.25">
      <c r="A12" s="22">
        <v>11</v>
      </c>
      <c r="B12" s="19" t="s">
        <v>57</v>
      </c>
      <c r="C12" s="10" t="s">
        <v>58</v>
      </c>
      <c r="D12" s="19" t="s">
        <v>28</v>
      </c>
      <c r="E12" s="10" t="s">
        <v>52</v>
      </c>
      <c r="F12" s="10" t="s">
        <v>59</v>
      </c>
      <c r="G12" s="10">
        <v>56000</v>
      </c>
      <c r="H12" s="19">
        <v>6000</v>
      </c>
      <c r="I12" s="10"/>
      <c r="J12" s="14">
        <f t="shared" si="1"/>
        <v>4664.8</v>
      </c>
      <c r="K12" s="14">
        <f t="shared" si="2"/>
        <v>5600</v>
      </c>
      <c r="L12" s="21">
        <f t="shared" si="3"/>
        <v>72264.800000000003</v>
      </c>
      <c r="M12" s="14">
        <v>31</v>
      </c>
      <c r="N12" s="14">
        <f>VLOOKUP(B12,'[1]Internal (May)'!$C$2:$E$22,3,0)</f>
        <v>31</v>
      </c>
      <c r="O12" s="21">
        <f t="shared" si="4"/>
        <v>62000</v>
      </c>
      <c r="P12" s="21">
        <f t="shared" si="5"/>
        <v>72264.800000000003</v>
      </c>
      <c r="Q12" s="21">
        <f t="shared" si="6"/>
        <v>61064.800000000003</v>
      </c>
      <c r="R12" s="20">
        <v>10000</v>
      </c>
      <c r="S12" s="21">
        <f>(Q12-R12-I12)*12</f>
        <v>612777.60000000009</v>
      </c>
      <c r="T12" s="21">
        <f>(IF(D12="UM",IF(S12&lt;=350000,0,IF(S12&lt;=450000,(S12-350000)*10%,IF(S12&lt;=650000,(S12-450000)*20%+10000,IF(S12&lt;=2000000,(S12-650000)*30%+50000,(S12-2000000)*36%+455000)))),IF(S12&lt;=400000,0,IF(S12&lt;=500000,(S12-400000)*10%,IF(S12&lt;=700000,(S12-500000)*20%+10000,IF(S12&lt;=2000000,(S12-700000)*30%+50000,(S12-2000000)*36%+440000)))))/12)</f>
        <v>2712.9600000000014</v>
      </c>
      <c r="U12" s="21">
        <f>IF(D12="M",IF(S12&gt;400000,4000,S12*1%),IF(S12&gt;350000,3500,S12*1%))/12</f>
        <v>333.33333333333331</v>
      </c>
      <c r="V12" s="21">
        <f t="shared" si="9"/>
        <v>48018.506666666668</v>
      </c>
    </row>
    <row r="13" spans="1:22" ht="15.75" x14ac:dyDescent="0.25">
      <c r="A13" s="22">
        <v>12</v>
      </c>
      <c r="B13" s="19" t="s">
        <v>60</v>
      </c>
      <c r="C13" s="10" t="s">
        <v>61</v>
      </c>
      <c r="D13" s="19" t="s">
        <v>28</v>
      </c>
      <c r="E13" s="10" t="s">
        <v>52</v>
      </c>
      <c r="F13" s="10" t="s">
        <v>56</v>
      </c>
      <c r="G13" s="10">
        <v>34000</v>
      </c>
      <c r="H13" s="19">
        <v>5000</v>
      </c>
      <c r="I13" s="10"/>
      <c r="J13" s="14">
        <f t="shared" si="1"/>
        <v>2832.2</v>
      </c>
      <c r="K13" s="14">
        <f t="shared" si="2"/>
        <v>3400</v>
      </c>
      <c r="L13" s="21">
        <f t="shared" si="3"/>
        <v>45232.2</v>
      </c>
      <c r="M13" s="14">
        <v>31</v>
      </c>
      <c r="N13" s="14">
        <f>VLOOKUP(B13,'[1]Internal (May)'!$C$2:$E$22,3,0)</f>
        <v>31</v>
      </c>
      <c r="O13" s="21">
        <f t="shared" si="4"/>
        <v>39000</v>
      </c>
      <c r="P13" s="21">
        <f t="shared" si="5"/>
        <v>45232.2</v>
      </c>
      <c r="Q13" s="21">
        <f t="shared" si="6"/>
        <v>38432.199999999997</v>
      </c>
      <c r="R13" s="21"/>
      <c r="S13" s="21">
        <f>(Q13-R13-I13)*12</f>
        <v>461186.39999999997</v>
      </c>
      <c r="T13" s="21">
        <f>(IF(D13="UM",IF(S13&lt;=350000,0,IF(S13&lt;=450000,(S13-350000)*10%,IF(S13&lt;=650000,(S13-450000)*20%+10000,IF(S13&lt;=2000000,(S13-650000)*30%+50000,(S13-2000000)*36%+455000)))),IF(S13&lt;=400000,0,IF(S13&lt;=500000,(S13-400000)*10%,IF(S13&lt;=700000,(S13-500000)*20%+10000,IF(S13&lt;=2000000,(S13-700000)*30%+50000,(S13-2000000)*36%+440000)))))/12)</f>
        <v>509.88666666666637</v>
      </c>
      <c r="U13" s="21">
        <f>IF(D13="M",IF(S13&gt;400000,4000,S13*1%),IF(S13&gt;350000,3500,S13*1%))/12</f>
        <v>333.33333333333331</v>
      </c>
      <c r="V13" s="21">
        <f t="shared" si="9"/>
        <v>37588.979999999996</v>
      </c>
    </row>
    <row r="14" spans="1:22" ht="15.75" x14ac:dyDescent="0.25">
      <c r="A14" s="8">
        <v>13</v>
      </c>
      <c r="B14" s="19" t="s">
        <v>62</v>
      </c>
      <c r="C14" s="10" t="s">
        <v>63</v>
      </c>
      <c r="D14" s="19" t="s">
        <v>23</v>
      </c>
      <c r="E14" s="10" t="s">
        <v>64</v>
      </c>
      <c r="F14" s="10" t="s">
        <v>53</v>
      </c>
      <c r="G14" s="10">
        <v>38000</v>
      </c>
      <c r="H14" s="19">
        <v>6000</v>
      </c>
      <c r="I14" s="10"/>
      <c r="J14" s="14">
        <f t="shared" si="1"/>
        <v>3165.4</v>
      </c>
      <c r="K14" s="14">
        <f t="shared" si="2"/>
        <v>3800</v>
      </c>
      <c r="L14" s="14">
        <f t="shared" si="3"/>
        <v>50965.4</v>
      </c>
      <c r="M14" s="14">
        <v>31</v>
      </c>
      <c r="N14" s="14">
        <f>VLOOKUP(B14,'[1]Internal (May)'!$C$2:$E$22,3,0)</f>
        <v>31</v>
      </c>
      <c r="O14" s="14">
        <f t="shared" si="4"/>
        <v>44000</v>
      </c>
      <c r="P14" s="14">
        <f t="shared" si="5"/>
        <v>50965.4</v>
      </c>
      <c r="Q14" s="14">
        <f t="shared" si="6"/>
        <v>43365.4</v>
      </c>
      <c r="R14" s="20">
        <v>10000</v>
      </c>
      <c r="S14" s="14">
        <f t="shared" si="7"/>
        <v>400384.80000000005</v>
      </c>
      <c r="T14" s="14">
        <f t="shared" si="8"/>
        <v>419.87333333333373</v>
      </c>
      <c r="U14" s="21">
        <f>IF(D14="M",IF(S14&gt;400000,4000,S14*1%),IF(S14&gt;350000,3500,S14*1%))/12</f>
        <v>291.66666666666669</v>
      </c>
      <c r="V14" s="14">
        <f t="shared" si="9"/>
        <v>32653.859999999997</v>
      </c>
    </row>
    <row r="15" spans="1:22" ht="15.75" x14ac:dyDescent="0.25">
      <c r="A15" s="16">
        <v>14</v>
      </c>
      <c r="B15" s="19" t="s">
        <v>65</v>
      </c>
      <c r="C15" s="10" t="s">
        <v>66</v>
      </c>
      <c r="D15" s="19" t="s">
        <v>23</v>
      </c>
      <c r="E15" s="10" t="s">
        <v>64</v>
      </c>
      <c r="F15" s="10" t="s">
        <v>56</v>
      </c>
      <c r="G15" s="10">
        <v>27000</v>
      </c>
      <c r="H15" s="11">
        <v>5000</v>
      </c>
      <c r="I15" s="10"/>
      <c r="J15" s="14">
        <f t="shared" si="1"/>
        <v>2249.1</v>
      </c>
      <c r="K15" s="14">
        <f t="shared" si="2"/>
        <v>2700</v>
      </c>
      <c r="L15" s="14">
        <f t="shared" si="3"/>
        <v>36949.1</v>
      </c>
      <c r="M15" s="14">
        <v>31</v>
      </c>
      <c r="N15" s="14">
        <f>VLOOKUP(B15,'[1]Internal (May)'!$C$2:$E$22,3,0)</f>
        <v>31</v>
      </c>
      <c r="O15" s="14">
        <f t="shared" si="4"/>
        <v>32000</v>
      </c>
      <c r="P15" s="14">
        <f t="shared" si="5"/>
        <v>36949.1</v>
      </c>
      <c r="Q15" s="14">
        <f t="shared" si="6"/>
        <v>31549.1</v>
      </c>
      <c r="R15" s="21"/>
      <c r="S15" s="14">
        <f t="shared" si="7"/>
        <v>378589.19999999995</v>
      </c>
      <c r="T15" s="14">
        <f t="shared" si="8"/>
        <v>238.24333333333297</v>
      </c>
      <c r="U15" s="21">
        <f>IF(D15="M",IF(S15&gt;400000,4000,S15*1%),IF(S15&gt;350000,3500,S15*1%))/12</f>
        <v>291.66666666666669</v>
      </c>
      <c r="V15" s="14">
        <f t="shared" si="9"/>
        <v>31019.19</v>
      </c>
    </row>
    <row r="16" spans="1:22" ht="15.75" x14ac:dyDescent="0.25">
      <c r="A16" s="8">
        <v>15</v>
      </c>
      <c r="B16" s="9" t="s">
        <v>67</v>
      </c>
      <c r="C16" s="12" t="s">
        <v>68</v>
      </c>
      <c r="D16" s="9" t="s">
        <v>23</v>
      </c>
      <c r="E16" s="12" t="s">
        <v>24</v>
      </c>
      <c r="F16" s="12" t="s">
        <v>69</v>
      </c>
      <c r="G16" s="12">
        <v>14500</v>
      </c>
      <c r="H16" s="9">
        <v>7800</v>
      </c>
      <c r="I16" s="12">
        <v>0</v>
      </c>
      <c r="J16" s="14">
        <f t="shared" si="1"/>
        <v>1207.8499999999999</v>
      </c>
      <c r="K16" s="14">
        <f t="shared" si="2"/>
        <v>1450</v>
      </c>
      <c r="L16" s="14">
        <f>SUM(G16:K16)</f>
        <v>24957.85</v>
      </c>
      <c r="M16" s="14">
        <v>31</v>
      </c>
      <c r="N16" s="14">
        <f>VLOOKUP(B16,'[1]Internal (May)'!$C$2:$E$22,3,0)</f>
        <v>24</v>
      </c>
      <c r="O16" s="14">
        <f t="shared" si="4"/>
        <v>17264.516129032258</v>
      </c>
      <c r="P16" s="14">
        <f t="shared" si="5"/>
        <v>19922.366129032256</v>
      </c>
      <c r="Q16" s="14">
        <f t="shared" si="6"/>
        <v>17022.366129032256</v>
      </c>
      <c r="R16" s="14"/>
      <c r="S16" s="14">
        <f t="shared" si="7"/>
        <v>204268.39354838707</v>
      </c>
      <c r="T16" s="14">
        <f t="shared" si="8"/>
        <v>0</v>
      </c>
      <c r="U16" s="14">
        <f t="shared" ref="U16:U22" si="10">IF(D16="M",IF(S16&gt;400000,4000,S16*1%),IF(S16&gt;350000,3500,S16*1%))/12</f>
        <v>170.22366129032255</v>
      </c>
      <c r="V16" s="14">
        <f t="shared" si="9"/>
        <v>16852.142467741935</v>
      </c>
    </row>
    <row r="17" spans="1:22" ht="15.75" x14ac:dyDescent="0.25">
      <c r="A17" s="16">
        <v>16</v>
      </c>
      <c r="B17" s="19" t="s">
        <v>70</v>
      </c>
      <c r="C17" s="10" t="s">
        <v>71</v>
      </c>
      <c r="D17" s="19" t="s">
        <v>23</v>
      </c>
      <c r="E17" s="10" t="s">
        <v>36</v>
      </c>
      <c r="F17" s="10" t="s">
        <v>72</v>
      </c>
      <c r="G17" s="10">
        <v>17500</v>
      </c>
      <c r="H17" s="19">
        <v>9200</v>
      </c>
      <c r="I17" s="10"/>
      <c r="J17" s="14">
        <f t="shared" si="1"/>
        <v>1457.75</v>
      </c>
      <c r="K17" s="14">
        <f t="shared" si="2"/>
        <v>1750</v>
      </c>
      <c r="L17" s="21">
        <f t="shared" si="3"/>
        <v>29907.75</v>
      </c>
      <c r="M17" s="14">
        <v>31</v>
      </c>
      <c r="N17" s="14">
        <f>VLOOKUP(B17,'[1]Internal (May)'!$C$2:$E$22,3,0)</f>
        <v>31</v>
      </c>
      <c r="O17" s="14">
        <f t="shared" si="4"/>
        <v>26700</v>
      </c>
      <c r="P17" s="14">
        <f t="shared" si="5"/>
        <v>29907.75</v>
      </c>
      <c r="Q17" s="14">
        <f t="shared" si="6"/>
        <v>26407.75</v>
      </c>
      <c r="R17" s="21"/>
      <c r="S17" s="14">
        <f t="shared" si="7"/>
        <v>316893</v>
      </c>
      <c r="T17" s="14">
        <f t="shared" si="8"/>
        <v>0</v>
      </c>
      <c r="U17" s="21">
        <f t="shared" si="10"/>
        <v>264.07750000000004</v>
      </c>
      <c r="V17" s="14">
        <f t="shared" si="9"/>
        <v>26143.672500000001</v>
      </c>
    </row>
    <row r="18" spans="1:22" ht="15.75" x14ac:dyDescent="0.25">
      <c r="A18" s="8">
        <v>17</v>
      </c>
      <c r="B18" s="19" t="s">
        <v>73</v>
      </c>
      <c r="C18" s="10" t="s">
        <v>74</v>
      </c>
      <c r="D18" s="19" t="s">
        <v>23</v>
      </c>
      <c r="E18" s="10" t="s">
        <v>36</v>
      </c>
      <c r="F18" s="10" t="s">
        <v>75</v>
      </c>
      <c r="G18" s="10">
        <v>10000</v>
      </c>
      <c r="H18" s="19">
        <v>6400</v>
      </c>
      <c r="I18" s="10">
        <v>1082.4000000000001</v>
      </c>
      <c r="J18" s="14">
        <f t="shared" si="1"/>
        <v>833</v>
      </c>
      <c r="K18" s="14">
        <f t="shared" si="2"/>
        <v>1000</v>
      </c>
      <c r="L18" s="21">
        <f t="shared" si="3"/>
        <v>19315.400000000001</v>
      </c>
      <c r="M18" s="14">
        <v>31</v>
      </c>
      <c r="N18" s="14">
        <v>29</v>
      </c>
      <c r="O18" s="14">
        <f t="shared" si="4"/>
        <v>16424.335483870967</v>
      </c>
      <c r="P18" s="14">
        <f t="shared" si="5"/>
        <v>18257.335483870967</v>
      </c>
      <c r="Q18" s="14">
        <f t="shared" si="6"/>
        <v>16257.335483870967</v>
      </c>
      <c r="R18" s="21"/>
      <c r="S18" s="14">
        <f t="shared" si="7"/>
        <v>195088.02580645162</v>
      </c>
      <c r="T18" s="14">
        <f t="shared" si="8"/>
        <v>0</v>
      </c>
      <c r="U18" s="21">
        <f t="shared" si="10"/>
        <v>162.57335483870969</v>
      </c>
      <c r="V18" s="14">
        <f t="shared" si="9"/>
        <v>16094.762129032259</v>
      </c>
    </row>
    <row r="19" spans="1:22" ht="15.75" x14ac:dyDescent="0.25">
      <c r="A19" s="16">
        <v>18</v>
      </c>
      <c r="B19" s="19" t="s">
        <v>76</v>
      </c>
      <c r="C19" s="10" t="s">
        <v>77</v>
      </c>
      <c r="D19" s="19" t="s">
        <v>23</v>
      </c>
      <c r="E19" s="10" t="s">
        <v>36</v>
      </c>
      <c r="F19" s="10" t="s">
        <v>75</v>
      </c>
      <c r="G19" s="10">
        <v>10000</v>
      </c>
      <c r="H19" s="19">
        <v>6400</v>
      </c>
      <c r="I19" s="10"/>
      <c r="J19" s="14">
        <f t="shared" si="1"/>
        <v>833</v>
      </c>
      <c r="K19" s="14">
        <f t="shared" si="2"/>
        <v>1000</v>
      </c>
      <c r="L19" s="21">
        <f>SUM(G19:K19)</f>
        <v>18233</v>
      </c>
      <c r="M19" s="14">
        <v>31</v>
      </c>
      <c r="N19" s="14">
        <f>VLOOKUP(B19,'[1]Internal (May)'!$C$2:$E$22,3,0)</f>
        <v>29</v>
      </c>
      <c r="O19" s="14">
        <f t="shared" si="4"/>
        <v>15341.935483870966</v>
      </c>
      <c r="P19" s="14">
        <f t="shared" si="5"/>
        <v>17174.935483870966</v>
      </c>
      <c r="Q19" s="14">
        <f t="shared" si="6"/>
        <v>15174.935483870966</v>
      </c>
      <c r="R19" s="21"/>
      <c r="S19" s="14">
        <f t="shared" si="7"/>
        <v>182099.22580645158</v>
      </c>
      <c r="T19" s="14">
        <f t="shared" si="8"/>
        <v>0</v>
      </c>
      <c r="U19" s="21">
        <f t="shared" si="10"/>
        <v>151.74935483870965</v>
      </c>
      <c r="V19" s="14">
        <f t="shared" si="9"/>
        <v>15023.186129032256</v>
      </c>
    </row>
    <row r="20" spans="1:22" ht="15.75" x14ac:dyDescent="0.25">
      <c r="A20" s="8">
        <v>19</v>
      </c>
      <c r="B20" s="19" t="s">
        <v>78</v>
      </c>
      <c r="C20" s="10" t="s">
        <v>79</v>
      </c>
      <c r="D20" s="19" t="s">
        <v>23</v>
      </c>
      <c r="E20" s="10" t="s">
        <v>24</v>
      </c>
      <c r="F20" s="10" t="s">
        <v>80</v>
      </c>
      <c r="G20" s="10">
        <v>11500</v>
      </c>
      <c r="H20" s="19">
        <v>6400</v>
      </c>
      <c r="I20" s="10"/>
      <c r="J20" s="14">
        <f t="shared" si="1"/>
        <v>957.95</v>
      </c>
      <c r="K20" s="14">
        <f t="shared" si="2"/>
        <v>1150</v>
      </c>
      <c r="L20" s="21">
        <f t="shared" si="3"/>
        <v>20007.95</v>
      </c>
      <c r="M20" s="14">
        <v>31</v>
      </c>
      <c r="N20" s="14">
        <f>VLOOKUP(B20,'[1]Internal (May)'!$C$2:$E$22,3,0)</f>
        <v>29</v>
      </c>
      <c r="O20" s="14">
        <f t="shared" si="4"/>
        <v>16745.16129032258</v>
      </c>
      <c r="P20" s="14">
        <f t="shared" si="5"/>
        <v>18853.11129032258</v>
      </c>
      <c r="Q20" s="14">
        <f t="shared" si="6"/>
        <v>16553.11129032258</v>
      </c>
      <c r="R20" s="21"/>
      <c r="S20" s="14">
        <f t="shared" si="7"/>
        <v>198637.33548387096</v>
      </c>
      <c r="T20" s="14">
        <f t="shared" si="8"/>
        <v>0</v>
      </c>
      <c r="U20" s="21">
        <f t="shared" si="10"/>
        <v>165.53111290322582</v>
      </c>
      <c r="V20" s="14">
        <f t="shared" si="9"/>
        <v>16387.580177419353</v>
      </c>
    </row>
    <row r="21" spans="1:22" ht="15.75" x14ac:dyDescent="0.25">
      <c r="A21" s="16">
        <v>20</v>
      </c>
      <c r="B21" s="19" t="s">
        <v>81</v>
      </c>
      <c r="C21" s="10" t="s">
        <v>82</v>
      </c>
      <c r="D21" s="19" t="s">
        <v>23</v>
      </c>
      <c r="E21" s="10" t="s">
        <v>36</v>
      </c>
      <c r="F21" s="10" t="s">
        <v>75</v>
      </c>
      <c r="G21" s="10">
        <v>10000</v>
      </c>
      <c r="H21" s="19">
        <v>6400</v>
      </c>
      <c r="I21" s="10"/>
      <c r="J21" s="14">
        <f t="shared" si="1"/>
        <v>833</v>
      </c>
      <c r="K21" s="14">
        <f t="shared" si="2"/>
        <v>1000</v>
      </c>
      <c r="L21" s="21">
        <f t="shared" si="3"/>
        <v>18233</v>
      </c>
      <c r="M21" s="14">
        <v>31</v>
      </c>
      <c r="N21" s="14">
        <f>VLOOKUP(B21,'[1]Internal (May)'!$C$2:$E$22,3,0)</f>
        <v>31</v>
      </c>
      <c r="O21" s="14">
        <f t="shared" si="4"/>
        <v>16400</v>
      </c>
      <c r="P21" s="14">
        <f t="shared" si="5"/>
        <v>18233</v>
      </c>
      <c r="Q21" s="14">
        <f t="shared" si="6"/>
        <v>16233</v>
      </c>
      <c r="R21" s="21"/>
      <c r="S21" s="14">
        <f t="shared" si="7"/>
        <v>194796</v>
      </c>
      <c r="T21" s="14">
        <f t="shared" si="8"/>
        <v>0</v>
      </c>
      <c r="U21" s="21">
        <f t="shared" si="10"/>
        <v>162.33000000000001</v>
      </c>
      <c r="V21" s="14">
        <f t="shared" si="9"/>
        <v>16070.67</v>
      </c>
    </row>
    <row r="22" spans="1:22" ht="15.75" x14ac:dyDescent="0.25">
      <c r="A22" s="16">
        <v>21</v>
      </c>
      <c r="B22" s="19" t="s">
        <v>83</v>
      </c>
      <c r="C22" s="10" t="s">
        <v>84</v>
      </c>
      <c r="D22" s="19" t="s">
        <v>23</v>
      </c>
      <c r="E22" s="10" t="s">
        <v>24</v>
      </c>
      <c r="F22" s="10" t="s">
        <v>85</v>
      </c>
      <c r="G22" s="10">
        <v>22000</v>
      </c>
      <c r="H22" s="19">
        <v>11300</v>
      </c>
      <c r="I22" s="10"/>
      <c r="J22" s="14">
        <f t="shared" si="1"/>
        <v>1832.6</v>
      </c>
      <c r="K22" s="14">
        <f t="shared" si="2"/>
        <v>2200</v>
      </c>
      <c r="L22" s="21">
        <f t="shared" si="3"/>
        <v>37332.6</v>
      </c>
      <c r="M22" s="14">
        <v>31</v>
      </c>
      <c r="N22" s="14">
        <f>VLOOKUP(B22,'[1]Internal (May)'!$C$2:$E$22,3,0)</f>
        <v>29.5</v>
      </c>
      <c r="O22" s="14">
        <f t="shared" si="4"/>
        <v>31688.709677419356</v>
      </c>
      <c r="P22" s="14">
        <f t="shared" si="5"/>
        <v>35721.309677419355</v>
      </c>
      <c r="Q22" s="14">
        <f>(O22+J22-K22)</f>
        <v>31321.309677419355</v>
      </c>
      <c r="R22" s="21"/>
      <c r="S22" s="14">
        <f t="shared" si="7"/>
        <v>375855.71612903225</v>
      </c>
      <c r="T22" s="14">
        <f t="shared" si="8"/>
        <v>215.46430107526882</v>
      </c>
      <c r="U22" s="21">
        <f t="shared" si="10"/>
        <v>291.66666666666669</v>
      </c>
      <c r="V22" s="14">
        <f t="shared" si="9"/>
        <v>30814.178709677417</v>
      </c>
    </row>
    <row r="23" spans="1:22" ht="16.5" thickBot="1" x14ac:dyDescent="0.3">
      <c r="A23" s="23"/>
      <c r="B23" s="24"/>
      <c r="C23" s="25"/>
      <c r="D23" s="24"/>
      <c r="E23" s="25"/>
      <c r="F23" s="25"/>
      <c r="G23" s="25"/>
      <c r="H23" s="24"/>
      <c r="I23" s="25"/>
      <c r="J23" s="24"/>
      <c r="K23" s="26">
        <f>SUM(K2:K22)</f>
        <v>50200</v>
      </c>
      <c r="L23" s="26"/>
      <c r="M23" s="26"/>
      <c r="N23" s="14"/>
      <c r="O23" s="26" t="s">
        <v>86</v>
      </c>
      <c r="P23" s="27">
        <f>SUM(P2:P22)</f>
        <v>721115.12354838708</v>
      </c>
      <c r="Q23" s="27"/>
      <c r="R23" s="27">
        <f t="shared" ref="R23:V23" si="11">SUM(R2:R22)</f>
        <v>55000</v>
      </c>
      <c r="S23" s="27">
        <f t="shared" si="11"/>
        <v>6788581.482580645</v>
      </c>
      <c r="T23" s="27">
        <f t="shared" si="11"/>
        <v>6277.2530107526891</v>
      </c>
      <c r="U23" s="27">
        <f t="shared" si="11"/>
        <v>5150.0572677419359</v>
      </c>
      <c r="V23" s="27">
        <f t="shared" si="11"/>
        <v>554287.81326989236</v>
      </c>
    </row>
    <row r="24" spans="1:22" ht="15.75" thickTop="1" x14ac:dyDescent="0.25"/>
  </sheetData>
  <hyperlinks>
    <hyperlink ref="U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2019-06-06T07:28:21Z</dcterms:created>
  <dcterms:modified xsi:type="dcterms:W3CDTF">2019-06-06T07:28:46Z</dcterms:modified>
</cp:coreProperties>
</file>