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ocuments\Project\customboxid\"/>
    </mc:Choice>
  </mc:AlternateContent>
  <xr:revisionPtr revIDLastSave="0" documentId="13_ncr:20001_{45A4EBF2-7838-488E-AB76-8BA502955105}" xr6:coauthVersionLast="37" xr6:coauthVersionMax="37" xr10:uidLastSave="{00000000-0000-0000-0000-000000000000}"/>
  <bookViews>
    <workbookView xWindow="0" yWindow="0" windowWidth="20490" windowHeight="7695" xr2:uid="{00000000-000D-0000-FFFF-FFFF00000000}"/>
  </bookViews>
  <sheets>
    <sheet name="Calc" sheetId="1" r:id="rId1"/>
  </sheets>
  <calcPr calcId="179021" calcMode="manual"/>
  <fileRecoveryPr repairLoad="1"/>
</workbook>
</file>

<file path=xl/calcChain.xml><?xml version="1.0" encoding="utf-8"?>
<calcChain xmlns="http://schemas.openxmlformats.org/spreadsheetml/2006/main">
  <c r="O52" i="1" l="1"/>
  <c r="N52" i="1" s="1"/>
  <c r="L17" i="1"/>
  <c r="M13" i="1"/>
  <c r="R11" i="1"/>
  <c r="Q11" i="1"/>
  <c r="Q10" i="1"/>
  <c r="Q8" i="1"/>
  <c r="Q7" i="1"/>
  <c r="M11" i="1"/>
  <c r="J92" i="1"/>
  <c r="B92" i="1"/>
  <c r="E91" i="1"/>
  <c r="F89" i="1" s="1"/>
  <c r="C92" i="1" s="1"/>
  <c r="I89" i="1" s="1"/>
  <c r="J89" i="1"/>
  <c r="J82" i="1"/>
  <c r="C82" i="1"/>
  <c r="I79" i="1" s="1"/>
  <c r="B82" i="1"/>
  <c r="J79" i="1"/>
  <c r="J73" i="1"/>
  <c r="C73" i="1"/>
  <c r="B73" i="1"/>
  <c r="C70" i="1"/>
  <c r="C69" i="1"/>
  <c r="C68" i="1"/>
  <c r="C67" i="1"/>
  <c r="C66" i="1"/>
  <c r="J64" i="1"/>
  <c r="I64" i="1"/>
  <c r="J57" i="1"/>
  <c r="C57" i="1"/>
  <c r="B57" i="1"/>
  <c r="N56" i="1"/>
  <c r="O55" i="1"/>
  <c r="J54" i="1"/>
  <c r="I54" i="1"/>
  <c r="P52" i="1"/>
  <c r="O50" i="1"/>
  <c r="N50" i="1" s="1"/>
  <c r="C47" i="1"/>
  <c r="F43" i="1"/>
  <c r="C43" i="1"/>
  <c r="F47" i="1" s="1"/>
  <c r="J42" i="1"/>
  <c r="F42" i="1"/>
  <c r="C42" i="1"/>
  <c r="C41" i="1"/>
  <c r="F41" i="1" s="1"/>
  <c r="B47" i="1" s="1"/>
  <c r="P39" i="1"/>
  <c r="N54" i="1" s="1"/>
  <c r="O54" i="1" s="1"/>
  <c r="J39" i="1"/>
  <c r="J32" i="1"/>
  <c r="C32" i="1"/>
  <c r="B32" i="1"/>
  <c r="J29" i="1"/>
  <c r="I29" i="1"/>
  <c r="L21" i="1"/>
  <c r="L20" i="1"/>
  <c r="L19" i="1"/>
  <c r="L18" i="1"/>
  <c r="F18" i="1"/>
  <c r="C18" i="1"/>
  <c r="J17" i="1"/>
  <c r="F17" i="1"/>
  <c r="D23" i="1" s="1"/>
  <c r="C17" i="1"/>
  <c r="G23" i="1" s="1"/>
  <c r="C16" i="1"/>
  <c r="H23" i="1" s="1"/>
  <c r="J14" i="1"/>
  <c r="M14" i="1"/>
  <c r="U9" i="1"/>
  <c r="R9" i="1"/>
  <c r="R8" i="1"/>
  <c r="E8" i="1"/>
  <c r="G8" i="1" s="1"/>
  <c r="G9" i="1" s="1"/>
  <c r="W7" i="1"/>
  <c r="J7" i="1"/>
  <c r="C7" i="1"/>
  <c r="B7" i="1"/>
  <c r="J4" i="1"/>
  <c r="I4" i="1"/>
  <c r="U7" i="1" l="1"/>
  <c r="U8" i="1"/>
  <c r="P19" i="1" s="1"/>
  <c r="O19" i="1" s="1"/>
  <c r="R10" i="1"/>
  <c r="S13" i="1" s="1"/>
  <c r="R13" i="1"/>
  <c r="P20" i="1"/>
  <c r="O20" i="1" s="1"/>
  <c r="P18" i="1"/>
  <c r="O18" i="1" s="1"/>
  <c r="F19" i="1"/>
  <c r="C23" i="1" s="1"/>
  <c r="I14" i="1" s="1"/>
  <c r="F16" i="1"/>
  <c r="G47" i="1"/>
  <c r="I39" i="1" s="1"/>
  <c r="O51" i="1"/>
  <c r="N51" i="1" s="1"/>
  <c r="N53" i="1"/>
  <c r="O53" i="1" s="1"/>
  <c r="O59" i="1" s="1"/>
  <c r="N59" i="1" s="1"/>
</calcChain>
</file>

<file path=xl/sharedStrings.xml><?xml version="1.0" encoding="utf-8"?>
<sst xmlns="http://schemas.openxmlformats.org/spreadsheetml/2006/main" count="254" uniqueCount="124">
  <si>
    <t>e-Mailer Box</t>
  </si>
  <si>
    <t>Fixed addition per pcs</t>
  </si>
  <si>
    <t>Fixed addition per project</t>
  </si>
  <si>
    <t>P (cm)</t>
  </si>
  <si>
    <t>L (cm) [Wings]</t>
  </si>
  <si>
    <t>T (cm)</t>
  </si>
  <si>
    <t>Lidah</t>
  </si>
  <si>
    <t>Piso</t>
  </si>
  <si>
    <t>Material</t>
  </si>
  <si>
    <t>Price per m2</t>
  </si>
  <si>
    <t>Duplex 250g</t>
  </si>
  <si>
    <t>79x109</t>
  </si>
  <si>
    <t>Material Area</t>
  </si>
  <si>
    <t>Warna</t>
  </si>
  <si>
    <t>Sheet L/ 5cm</t>
  </si>
  <si>
    <t>Sheet P</t>
  </si>
  <si>
    <t>Model: e-Mailer Box</t>
  </si>
  <si>
    <t>ADDITIONAL</t>
  </si>
  <si>
    <t>Price/ Box</t>
  </si>
  <si>
    <t>Price</t>
  </si>
  <si>
    <t>Printing add/ pcs</t>
  </si>
  <si>
    <t>Qtd</t>
  </si>
  <si>
    <t>Additional</t>
  </si>
  <si>
    <t>Calculated</t>
  </si>
  <si>
    <t>Weight multiplier</t>
  </si>
  <si>
    <t>Weight</t>
  </si>
  <si>
    <t>Size:</t>
  </si>
  <si>
    <t>Addition/ pcs</t>
  </si>
  <si>
    <t>Printing</t>
  </si>
  <si>
    <t>/PCS FOR 500</t>
  </si>
  <si>
    <t>Actual</t>
  </si>
  <si>
    <t>Material:</t>
  </si>
  <si>
    <t>Kraft Brown</t>
  </si>
  <si>
    <t>Addition /project</t>
  </si>
  <si>
    <t>Film</t>
  </si>
  <si>
    <t>Lebih</t>
  </si>
  <si>
    <t>/PCS FOR 1000</t>
  </si>
  <si>
    <t>Kertas</t>
  </si>
  <si>
    <t>/PCS FOR 2000</t>
  </si>
  <si>
    <t>Area</t>
  </si>
  <si>
    <t>Laminating Doff</t>
  </si>
  <si>
    <t>225,000 min</t>
  </si>
  <si>
    <t>Slide Box</t>
  </si>
  <si>
    <t>Karet</t>
  </si>
  <si>
    <t>Laminating Gloss</t>
  </si>
  <si>
    <t>200,000 min</t>
  </si>
  <si>
    <t>P</t>
  </si>
  <si>
    <t>L</t>
  </si>
  <si>
    <t>T</t>
  </si>
  <si>
    <t>Price/Pcs</t>
  </si>
  <si>
    <t>P1</t>
  </si>
  <si>
    <t>P2</t>
  </si>
  <si>
    <t>Model: Slide Box</t>
  </si>
  <si>
    <t>Price/ Pcs:</t>
  </si>
  <si>
    <t>Full Printing</t>
  </si>
  <si>
    <t>Material Type</t>
  </si>
  <si>
    <t>min order</t>
  </si>
  <si>
    <t>L1</t>
  </si>
  <si>
    <t>L2</t>
  </si>
  <si>
    <t>Price:</t>
  </si>
  <si>
    <t xml:space="preserve"> </t>
  </si>
  <si>
    <t>K150/K150</t>
  </si>
  <si>
    <t>T1</t>
  </si>
  <si>
    <t>T2</t>
  </si>
  <si>
    <t>WK140/K150</t>
  </si>
  <si>
    <t>T3</t>
  </si>
  <si>
    <t>WK140/WK140</t>
  </si>
  <si>
    <t>EK150/K150</t>
  </si>
  <si>
    <t>COVER</t>
  </si>
  <si>
    <t>INNER</t>
  </si>
  <si>
    <t>e-m</t>
  </si>
  <si>
    <t>Harga sudah termasuk sablon 1 warna sisi depan dan atas. Belum termasuk ongkir.</t>
  </si>
  <si>
    <t>non</t>
  </si>
  <si>
    <t>Harga sudah termasuk sablon 1 warna 1 sisi. Belum termasuk ongkir</t>
  </si>
  <si>
    <t>Ready</t>
  </si>
  <si>
    <t>Harga sudah termasuk sablon 1 warna sisi depan dan atas untuk pembelian 100 pcs+. Belum termasuk ongkir.</t>
  </si>
  <si>
    <t>Cake Box</t>
  </si>
  <si>
    <t>Tebel Cap</t>
  </si>
  <si>
    <t>Model: Cake Box</t>
  </si>
  <si>
    <t>Top-Bottom Box</t>
  </si>
  <si>
    <t>Kalkulasi Full Printing</t>
  </si>
  <si>
    <t>Top Depth (cm)</t>
  </si>
  <si>
    <t>Panjang</t>
  </si>
  <si>
    <t>Lebar</t>
  </si>
  <si>
    <t>*Min 500 pcs</t>
  </si>
  <si>
    <t>BOLD = INPUT</t>
  </si>
  <si>
    <t>Model: Top-Bottom</t>
  </si>
  <si>
    <t>Harga Kertas</t>
  </si>
  <si>
    <t>Harga Per Warna</t>
  </si>
  <si>
    <t>Master harga kertas 1 aja, uk 70x100. utk uk 70x50 itu dibagi 2, 34x50 bagi 4</t>
  </si>
  <si>
    <t>Single or Double</t>
  </si>
  <si>
    <t>TOP</t>
  </si>
  <si>
    <t>Bottom</t>
  </si>
  <si>
    <t>Additional per pcs untuk full printing</t>
  </si>
  <si>
    <t>Max warna 4</t>
  </si>
  <si>
    <t>Insit Kertas</t>
  </si>
  <si>
    <t>*Harga per warna tergantung area</t>
  </si>
  <si>
    <t>Regular Box</t>
  </si>
  <si>
    <t>*Harga Kertas terantung area</t>
  </si>
  <si>
    <t>*Insit kertas tergantung warna</t>
  </si>
  <si>
    <t>* Minimum charge = 225,000 (Doff), 200,000 (Glossy)</t>
  </si>
  <si>
    <t>*1= pakai laminating, 0=tidak</t>
  </si>
  <si>
    <t>*Additional per pcs untuk full printing = Rp. 2,400 (jadikan master jadi bisa diganti)</t>
  </si>
  <si>
    <t>Model: Regular Box</t>
  </si>
  <si>
    <t>Per Pcs</t>
  </si>
  <si>
    <t>Per Project</t>
  </si>
  <si>
    <t>Harga Additional</t>
  </si>
  <si>
    <t>Harga Akhir</t>
  </si>
  <si>
    <t>harga per pcs box biasa + harga additional</t>
  </si>
  <si>
    <t>Handle Box</t>
  </si>
  <si>
    <t>Tinggi Handle</t>
  </si>
  <si>
    <t>Master</t>
  </si>
  <si>
    <t>harga kertas 1 aja, uk 70x100. utk uk 70x50 itu dibagi 2, 34x50 bagi 4</t>
  </si>
  <si>
    <t>Harga per cm2 film</t>
  </si>
  <si>
    <t>list insit kertas</t>
  </si>
  <si>
    <t>Harga printing per warna</t>
  </si>
  <si>
    <t>lam doff per cm2</t>
  </si>
  <si>
    <t>Pegangan</t>
  </si>
  <si>
    <t>lam glossy per cm2</t>
  </si>
  <si>
    <t>Model: Handle Box</t>
  </si>
  <si>
    <t>Regular Small</t>
  </si>
  <si>
    <t>Model: Regular Tuck Top Box</t>
  </si>
  <si>
    <t>Arsip</t>
  </si>
  <si>
    <t>Model: Archive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</si>
</sst>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 ]#,##0"/>
    <numFmt numFmtId="165" formatCode="[$Rp ]#,##0.00"/>
  </numFmts>
  <fonts count="13">
    <font>
      <sz val="10"/>
      <color rgb="FF000000"/>
      <name val="Arial"/>
    </font>
    <font>
      <b/>
      <sz val="24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202124"/>
      <name val="Arial"/>
    </font>
    <font>
      <b/>
      <sz val="36"/>
      <color theme="1"/>
      <name val="Arial"/>
    </font>
    <font>
      <sz val="10"/>
      <name val="Arial"/>
    </font>
    <font>
      <i/>
      <sz val="10"/>
      <color theme="1"/>
      <name val="Arial"/>
    </font>
    <font>
      <sz val="10"/>
      <color rgb="FF000000"/>
      <name val="Roboto"/>
    </font>
    <font>
      <sz val="10"/>
      <color rgb="FF242729"/>
      <name val="Consolas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/>
    <xf numFmtId="0" fontId="2" fillId="0" borderId="0" xfId="0" applyFont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2" fillId="3" borderId="0" xfId="0" applyFont="1" applyFill="1"/>
    <xf numFmtId="0" fontId="2" fillId="0" borderId="2" xfId="0" applyFont="1" applyBorder="1" applyAlignment="1"/>
    <xf numFmtId="0" fontId="2" fillId="0" borderId="0" xfId="0" applyFont="1" applyAlignment="1">
      <alignment horizontal="left"/>
    </xf>
    <xf numFmtId="0" fontId="2" fillId="3" borderId="3" xfId="0" applyFont="1" applyFill="1" applyBorder="1" applyAlignment="1"/>
    <xf numFmtId="164" fontId="2" fillId="3" borderId="4" xfId="0" applyNumberFormat="1" applyFont="1" applyFill="1" applyBorder="1" applyAlignment="1"/>
    <xf numFmtId="0" fontId="2" fillId="3" borderId="5" xfId="0" applyFont="1" applyFill="1" applyBorder="1"/>
    <xf numFmtId="0" fontId="2" fillId="0" borderId="5" xfId="0" applyFont="1" applyBorder="1"/>
    <xf numFmtId="0" fontId="2" fillId="0" borderId="5" xfId="0" applyFont="1" applyBorder="1" applyAlignment="1"/>
    <xf numFmtId="0" fontId="2" fillId="0" borderId="6" xfId="0" applyFont="1" applyBorder="1"/>
    <xf numFmtId="0" fontId="2" fillId="0" borderId="7" xfId="0" applyFont="1" applyBorder="1" applyAlignment="1"/>
    <xf numFmtId="0" fontId="2" fillId="0" borderId="8" xfId="0" applyFont="1" applyBorder="1" applyAlignment="1"/>
    <xf numFmtId="165" fontId="2" fillId="0" borderId="0" xfId="0" applyNumberFormat="1" applyFont="1"/>
    <xf numFmtId="164" fontId="2" fillId="0" borderId="9" xfId="0" applyNumberFormat="1" applyFont="1" applyBorder="1" applyAlignment="1"/>
    <xf numFmtId="0" fontId="2" fillId="0" borderId="4" xfId="0" applyFont="1" applyBorder="1"/>
    <xf numFmtId="0" fontId="2" fillId="3" borderId="10" xfId="0" applyFont="1" applyFill="1" applyBorder="1"/>
    <xf numFmtId="0" fontId="2" fillId="0" borderId="11" xfId="0" applyFont="1" applyBorder="1"/>
    <xf numFmtId="164" fontId="2" fillId="3" borderId="9" xfId="0" applyNumberFormat="1" applyFont="1" applyFill="1" applyBorder="1" applyAlignment="1"/>
    <xf numFmtId="0" fontId="2" fillId="3" borderId="4" xfId="0" applyFont="1" applyFill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>
      <alignment horizontal="right"/>
    </xf>
    <xf numFmtId="0" fontId="2" fillId="0" borderId="0" xfId="0" applyFont="1" applyAlignment="1"/>
    <xf numFmtId="0" fontId="2" fillId="0" borderId="4" xfId="0" applyFont="1" applyBorder="1" applyAlignment="1"/>
    <xf numFmtId="0" fontId="2" fillId="3" borderId="10" xfId="0" applyFont="1" applyFill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7" xfId="0" applyFont="1" applyBorder="1" applyAlignment="1"/>
    <xf numFmtId="0" fontId="2" fillId="0" borderId="12" xfId="0" applyFont="1" applyBorder="1" applyAlignment="1"/>
    <xf numFmtId="0" fontId="2" fillId="4" borderId="18" xfId="0" applyFont="1" applyFill="1" applyBorder="1" applyAlignment="1"/>
    <xf numFmtId="0" fontId="2" fillId="0" borderId="2" xfId="0" applyFont="1" applyBorder="1"/>
    <xf numFmtId="0" fontId="2" fillId="0" borderId="0" xfId="0" applyFont="1"/>
    <xf numFmtId="164" fontId="2" fillId="0" borderId="19" xfId="0" applyNumberFormat="1" applyFont="1" applyBorder="1" applyAlignment="1"/>
    <xf numFmtId="164" fontId="2" fillId="0" borderId="7" xfId="0" applyNumberFormat="1" applyFont="1" applyBorder="1" applyAlignment="1"/>
    <xf numFmtId="0" fontId="2" fillId="0" borderId="20" xfId="0" applyFont="1" applyBorder="1" applyAlignment="1"/>
    <xf numFmtId="164" fontId="2" fillId="0" borderId="12" xfId="0" applyNumberFormat="1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64" fontId="2" fillId="4" borderId="12" xfId="0" applyNumberFormat="1" applyFont="1" applyFill="1" applyBorder="1" applyAlignment="1">
      <alignment horizontal="right"/>
    </xf>
    <xf numFmtId="0" fontId="2" fillId="0" borderId="9" xfId="0" applyFont="1" applyBorder="1" applyAlignment="1"/>
    <xf numFmtId="0" fontId="2" fillId="5" borderId="7" xfId="0" applyFont="1" applyFill="1" applyBorder="1" applyAlignment="1"/>
    <xf numFmtId="0" fontId="2" fillId="0" borderId="15" xfId="0" applyFont="1" applyBorder="1" applyAlignment="1"/>
    <xf numFmtId="164" fontId="2" fillId="0" borderId="1" xfId="0" applyNumberFormat="1" applyFont="1" applyBorder="1" applyAlignment="1"/>
    <xf numFmtId="164" fontId="2" fillId="0" borderId="15" xfId="0" applyNumberFormat="1" applyFont="1" applyBorder="1" applyAlignment="1"/>
    <xf numFmtId="0" fontId="2" fillId="0" borderId="10" xfId="0" applyFont="1" applyBorder="1"/>
    <xf numFmtId="0" fontId="2" fillId="0" borderId="21" xfId="0" applyFont="1" applyBorder="1" applyAlignment="1"/>
    <xf numFmtId="164" fontId="2" fillId="0" borderId="22" xfId="0" applyNumberFormat="1" applyFont="1" applyBorder="1" applyAlignment="1"/>
    <xf numFmtId="0" fontId="2" fillId="0" borderId="22" xfId="0" applyFont="1" applyBorder="1" applyAlignment="1"/>
    <xf numFmtId="0" fontId="3" fillId="5" borderId="23" xfId="0" applyFont="1" applyFill="1" applyBorder="1" applyAlignment="1"/>
    <xf numFmtId="164" fontId="3" fillId="5" borderId="12" xfId="0" applyNumberFormat="1" applyFont="1" applyFill="1" applyBorder="1" applyAlignment="1">
      <alignment horizontal="right"/>
    </xf>
    <xf numFmtId="164" fontId="2" fillId="0" borderId="12" xfId="0" applyNumberFormat="1" applyFont="1" applyBorder="1" applyAlignment="1"/>
    <xf numFmtId="0" fontId="2" fillId="0" borderId="10" xfId="0" applyFont="1" applyBorder="1" applyAlignment="1"/>
    <xf numFmtId="164" fontId="2" fillId="0" borderId="0" xfId="0" applyNumberFormat="1" applyFont="1"/>
    <xf numFmtId="3" fontId="2" fillId="0" borderId="7" xfId="0" applyNumberFormat="1" applyFont="1" applyBorder="1" applyAlignment="1"/>
    <xf numFmtId="164" fontId="2" fillId="3" borderId="4" xfId="0" applyNumberFormat="1" applyFont="1" applyFill="1" applyBorder="1"/>
    <xf numFmtId="164" fontId="2" fillId="0" borderId="0" xfId="0" applyNumberFormat="1" applyFont="1" applyAlignment="1"/>
    <xf numFmtId="164" fontId="2" fillId="0" borderId="4" xfId="0" applyNumberFormat="1" applyFont="1" applyBorder="1"/>
    <xf numFmtId="0" fontId="2" fillId="0" borderId="4" xfId="0" applyNumberFormat="1" applyFont="1" applyBorder="1" applyAlignment="1">
      <alignment horizontal="right"/>
    </xf>
    <xf numFmtId="164" fontId="2" fillId="0" borderId="10" xfId="0" applyNumberFormat="1" applyFont="1" applyBorder="1"/>
    <xf numFmtId="0" fontId="2" fillId="0" borderId="4" xfId="0" applyNumberFormat="1" applyFont="1" applyBorder="1" applyAlignment="1">
      <alignment horizontal="right"/>
    </xf>
    <xf numFmtId="164" fontId="2" fillId="0" borderId="0" xfId="0" applyNumberFormat="1" applyFont="1" applyAlignment="1"/>
    <xf numFmtId="0" fontId="2" fillId="0" borderId="15" xfId="0" applyNumberFormat="1" applyFont="1" applyBorder="1" applyAlignment="1">
      <alignment horizontal="right"/>
    </xf>
    <xf numFmtId="164" fontId="2" fillId="0" borderId="11" xfId="0" applyNumberFormat="1" applyFont="1" applyBorder="1" applyAlignment="1"/>
    <xf numFmtId="0" fontId="2" fillId="0" borderId="24" xfId="0" applyNumberFormat="1" applyFont="1" applyBorder="1" applyAlignment="1">
      <alignment horizontal="right"/>
    </xf>
    <xf numFmtId="0" fontId="4" fillId="0" borderId="4" xfId="0" applyFont="1" applyBorder="1" applyAlignment="1"/>
    <xf numFmtId="0" fontId="5" fillId="0" borderId="25" xfId="0" applyFont="1" applyBorder="1" applyAlignment="1">
      <alignment horizontal="right"/>
    </xf>
    <xf numFmtId="0" fontId="6" fillId="0" borderId="0" xfId="0" applyFont="1" applyAlignment="1"/>
    <xf numFmtId="0" fontId="5" fillId="0" borderId="26" xfId="0" applyFont="1" applyBorder="1" applyAlignment="1">
      <alignment horizontal="right"/>
    </xf>
    <xf numFmtId="0" fontId="6" fillId="0" borderId="1" xfId="0" applyFont="1" applyBorder="1" applyAlignment="1"/>
    <xf numFmtId="0" fontId="2" fillId="0" borderId="1" xfId="0" applyFont="1" applyBorder="1"/>
    <xf numFmtId="0" fontId="2" fillId="0" borderId="22" xfId="0" applyFont="1" applyBorder="1"/>
    <xf numFmtId="2" fontId="2" fillId="0" borderId="0" xfId="0" applyNumberFormat="1" applyFo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5" borderId="0" xfId="0" applyFont="1" applyFill="1" applyAlignment="1"/>
    <xf numFmtId="164" fontId="3" fillId="5" borderId="0" xfId="0" applyNumberFormat="1" applyFont="1" applyFill="1" applyAlignment="1">
      <alignment horizontal="right"/>
    </xf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7" fillId="0" borderId="0" xfId="0" applyFont="1" applyAlignment="1"/>
    <xf numFmtId="0" fontId="2" fillId="0" borderId="20" xfId="0" applyFont="1" applyBorder="1"/>
    <xf numFmtId="0" fontId="2" fillId="6" borderId="4" xfId="0" applyFont="1" applyFill="1" applyBorder="1"/>
    <xf numFmtId="0" fontId="2" fillId="6" borderId="2" xfId="0" applyFont="1" applyFill="1" applyBorder="1" applyAlignment="1"/>
    <xf numFmtId="0" fontId="2" fillId="6" borderId="4" xfId="0" applyFont="1" applyFill="1" applyBorder="1" applyAlignment="1"/>
    <xf numFmtId="0" fontId="2" fillId="6" borderId="9" xfId="0" applyFont="1" applyFill="1" applyBorder="1" applyAlignment="1"/>
    <xf numFmtId="0" fontId="4" fillId="6" borderId="7" xfId="0" applyFont="1" applyFill="1" applyBorder="1" applyAlignment="1"/>
    <xf numFmtId="0" fontId="2" fillId="6" borderId="31" xfId="0" applyFont="1" applyFill="1" applyBorder="1"/>
    <xf numFmtId="0" fontId="4" fillId="0" borderId="0" xfId="0" applyFont="1" applyAlignment="1"/>
    <xf numFmtId="0" fontId="2" fillId="7" borderId="4" xfId="0" applyFont="1" applyFill="1" applyBorder="1" applyAlignment="1"/>
    <xf numFmtId="0" fontId="2" fillId="8" borderId="4" xfId="0" applyFont="1" applyFill="1" applyBorder="1" applyAlignment="1"/>
    <xf numFmtId="164" fontId="8" fillId="7" borderId="4" xfId="0" applyNumberFormat="1" applyFont="1" applyFill="1" applyBorder="1" applyAlignment="1"/>
    <xf numFmtId="164" fontId="2" fillId="8" borderId="4" xfId="0" applyNumberFormat="1" applyFont="1" applyFill="1" applyBorder="1" applyAlignment="1"/>
    <xf numFmtId="164" fontId="8" fillId="9" borderId="4" xfId="0" applyNumberFormat="1" applyFont="1" applyFill="1" applyBorder="1" applyAlignment="1"/>
    <xf numFmtId="0" fontId="8" fillId="9" borderId="0" xfId="0" applyFont="1" applyFill="1" applyAlignment="1"/>
    <xf numFmtId="0" fontId="2" fillId="0" borderId="15" xfId="0" applyFont="1" applyBorder="1" applyAlignment="1"/>
    <xf numFmtId="0" fontId="2" fillId="9" borderId="0" xfId="0" applyFont="1" applyFill="1"/>
    <xf numFmtId="0" fontId="2" fillId="2" borderId="9" xfId="0" applyFont="1" applyFill="1" applyBorder="1" applyAlignment="1"/>
    <xf numFmtId="0" fontId="4" fillId="2" borderId="7" xfId="0" applyFont="1" applyFill="1" applyBorder="1" applyAlignment="1">
      <alignment horizontal="right"/>
    </xf>
    <xf numFmtId="0" fontId="2" fillId="2" borderId="4" xfId="0" applyFont="1" applyFill="1" applyBorder="1" applyAlignment="1"/>
    <xf numFmtId="0" fontId="2" fillId="4" borderId="4" xfId="0" applyFont="1" applyFill="1" applyBorder="1" applyAlignment="1"/>
    <xf numFmtId="0" fontId="2" fillId="2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8" borderId="15" xfId="0" applyFont="1" applyFill="1" applyBorder="1" applyAlignment="1"/>
    <xf numFmtId="164" fontId="2" fillId="8" borderId="4" xfId="0" applyNumberFormat="1" applyFont="1" applyFill="1" applyBorder="1" applyAlignment="1"/>
    <xf numFmtId="0" fontId="9" fillId="0" borderId="0" xfId="0" applyFont="1" applyAlignment="1"/>
    <xf numFmtId="164" fontId="2" fillId="0" borderId="4" xfId="0" applyNumberFormat="1" applyFont="1" applyBorder="1" applyAlignment="1"/>
    <xf numFmtId="0" fontId="9" fillId="0" borderId="0" xfId="0" applyFont="1" applyAlignment="1"/>
    <xf numFmtId="0" fontId="2" fillId="7" borderId="32" xfId="0" applyFont="1" applyFill="1" applyBorder="1" applyAlignment="1"/>
    <xf numFmtId="164" fontId="2" fillId="7" borderId="4" xfId="0" applyNumberFormat="1" applyFont="1" applyFill="1" applyBorder="1" applyAlignment="1"/>
    <xf numFmtId="164" fontId="2" fillId="7" borderId="4" xfId="0" applyNumberFormat="1" applyFont="1" applyFill="1" applyBorder="1" applyAlignment="1"/>
    <xf numFmtId="0" fontId="2" fillId="4" borderId="2" xfId="0" applyFont="1" applyFill="1" applyBorder="1" applyAlignment="1"/>
    <xf numFmtId="3" fontId="2" fillId="2" borderId="4" xfId="0" applyNumberFormat="1" applyFont="1" applyFill="1" applyBorder="1" applyAlignment="1">
      <alignment horizontal="right"/>
    </xf>
    <xf numFmtId="3" fontId="2" fillId="4" borderId="4" xfId="0" applyNumberFormat="1" applyFont="1" applyFill="1" applyBorder="1" applyAlignment="1">
      <alignment horizontal="right"/>
    </xf>
    <xf numFmtId="0" fontId="4" fillId="0" borderId="7" xfId="0" applyFont="1" applyBorder="1" applyAlignment="1"/>
    <xf numFmtId="0" fontId="2" fillId="0" borderId="0" xfId="0" applyFont="1"/>
    <xf numFmtId="164" fontId="2" fillId="0" borderId="4" xfId="0" applyNumberFormat="1" applyFont="1" applyBorder="1" applyAlignment="1"/>
    <xf numFmtId="0" fontId="2" fillId="5" borderId="0" xfId="0" applyFont="1" applyFill="1" applyAlignment="1"/>
    <xf numFmtId="0" fontId="2" fillId="0" borderId="32" xfId="0" applyFont="1" applyBorder="1"/>
    <xf numFmtId="0" fontId="2" fillId="0" borderId="17" xfId="0" applyFont="1" applyBorder="1"/>
    <xf numFmtId="0" fontId="2" fillId="0" borderId="12" xfId="0" applyFont="1" applyBorder="1"/>
    <xf numFmtId="0" fontId="10" fillId="5" borderId="0" xfId="0" applyFont="1" applyFill="1" applyAlignment="1"/>
    <xf numFmtId="0" fontId="8" fillId="0" borderId="0" xfId="0" applyFont="1" applyAlignment="1"/>
    <xf numFmtId="0" fontId="2" fillId="0" borderId="18" xfId="0" applyFont="1" applyBorder="1" applyAlignment="1"/>
    <xf numFmtId="0" fontId="2" fillId="0" borderId="24" xfId="0" applyFont="1" applyBorder="1" applyAlignment="1"/>
    <xf numFmtId="0" fontId="11" fillId="0" borderId="0" xfId="0" applyFont="1" applyAlignment="1">
      <alignment horizontal="left"/>
    </xf>
    <xf numFmtId="0" fontId="2" fillId="0" borderId="10" xfId="0" applyFont="1" applyBorder="1"/>
    <xf numFmtId="0" fontId="0" fillId="0" borderId="0" xfId="0" applyFont="1" applyAlignment="1"/>
    <xf numFmtId="0" fontId="2" fillId="0" borderId="10" xfId="0" applyFont="1" applyBorder="1" applyAlignment="1"/>
    <xf numFmtId="0" fontId="2" fillId="6" borderId="9" xfId="0" applyFont="1" applyFill="1" applyBorder="1" applyAlignment="1"/>
    <xf numFmtId="0" fontId="8" fillId="0" borderId="18" xfId="0" applyFont="1" applyBorder="1"/>
    <xf numFmtId="0" fontId="2" fillId="0" borderId="9" xfId="0" applyFont="1" applyBorder="1" applyAlignment="1"/>
    <xf numFmtId="0" fontId="8" fillId="0" borderId="31" xfId="0" applyFont="1" applyBorder="1"/>
    <xf numFmtId="0" fontId="12" fillId="6" borderId="4" xfId="0" applyFont="1" applyFill="1" applyBorder="1" applyAlignment="1"/>
    <xf numFmtId="0" fontId="1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D7E6B"/>
    <outlinePr summaryBelow="0" summaryRight="0"/>
  </sheetPr>
  <dimension ref="A1:X93"/>
  <sheetViews>
    <sheetView tabSelected="1" topLeftCell="J37" workbookViewId="0">
      <selection activeCell="P54" sqref="P54"/>
    </sheetView>
  </sheetViews>
  <sheetFormatPr defaultColWidth="14.42578125" defaultRowHeight="15.75" customHeight="1"/>
  <cols>
    <col min="1" max="1" width="16.7109375" customWidth="1"/>
    <col min="9" max="10" width="15.5703125" customWidth="1"/>
    <col min="12" max="12" width="18.7109375" customWidth="1"/>
    <col min="13" max="13" width="15.5703125" customWidth="1"/>
    <col min="15" max="15" width="16" customWidth="1"/>
    <col min="16" max="16" width="16.140625" customWidth="1"/>
    <col min="21" max="21" width="15.42578125" customWidth="1"/>
  </cols>
  <sheetData>
    <row r="1" spans="1:24" ht="3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4" ht="12.75">
      <c r="B2" s="3"/>
      <c r="C2" s="3"/>
      <c r="D2" s="3"/>
      <c r="E2" s="3"/>
      <c r="L2" s="4" t="s">
        <v>1</v>
      </c>
      <c r="M2" s="5">
        <v>1850</v>
      </c>
      <c r="N2" s="4" t="s">
        <v>2</v>
      </c>
      <c r="O2" s="6"/>
      <c r="P2" s="5">
        <v>600000</v>
      </c>
    </row>
    <row r="3" spans="1:24" ht="12.75">
      <c r="B3" s="7" t="s">
        <v>3</v>
      </c>
      <c r="C3" s="7" t="s">
        <v>4</v>
      </c>
      <c r="D3" s="7" t="s">
        <v>5</v>
      </c>
      <c r="E3" s="7" t="s">
        <v>6</v>
      </c>
      <c r="H3" s="8"/>
      <c r="I3" s="3" t="s">
        <v>7</v>
      </c>
      <c r="J3" s="3" t="s">
        <v>8</v>
      </c>
      <c r="L3" s="9" t="s">
        <v>9</v>
      </c>
      <c r="M3" s="10">
        <v>6000</v>
      </c>
      <c r="N3" s="11"/>
      <c r="O3" s="12"/>
      <c r="P3" s="13" t="s">
        <v>10</v>
      </c>
      <c r="Q3" s="13" t="s">
        <v>11</v>
      </c>
      <c r="R3" s="13">
        <v>2400</v>
      </c>
      <c r="S3" s="12"/>
      <c r="T3" s="12"/>
      <c r="U3" s="12"/>
      <c r="V3" s="12"/>
      <c r="W3" s="12"/>
      <c r="X3" s="14"/>
    </row>
    <row r="4" spans="1:24" ht="12.75">
      <c r="B4" s="15">
        <v>35</v>
      </c>
      <c r="C4" s="16">
        <v>30</v>
      </c>
      <c r="D4" s="15">
        <v>10</v>
      </c>
      <c r="E4" s="15">
        <v>0</v>
      </c>
      <c r="H4" s="17"/>
      <c r="I4" s="18">
        <f>((C8*6)+(B8*6))*600</f>
        <v>630000</v>
      </c>
      <c r="J4" s="19">
        <f>B8*C8</f>
        <v>7614</v>
      </c>
      <c r="L4" s="20"/>
      <c r="M4" s="4" t="s">
        <v>7</v>
      </c>
      <c r="N4" s="4" t="s">
        <v>12</v>
      </c>
      <c r="X4" s="21"/>
    </row>
    <row r="5" spans="1:24" ht="12.75">
      <c r="I5" s="3">
        <v>1</v>
      </c>
      <c r="L5" s="20"/>
      <c r="M5" s="22">
        <v>630000</v>
      </c>
      <c r="N5" s="23">
        <v>7614</v>
      </c>
      <c r="P5" s="24"/>
      <c r="Q5" s="25" t="s">
        <v>13</v>
      </c>
      <c r="R5" s="26">
        <v>2</v>
      </c>
      <c r="S5" s="27"/>
      <c r="X5" s="21"/>
    </row>
    <row r="6" spans="1:24" ht="12.75">
      <c r="A6" s="19"/>
      <c r="B6" s="28" t="s">
        <v>14</v>
      </c>
      <c r="C6" s="28" t="s">
        <v>15</v>
      </c>
      <c r="I6" s="3" t="s">
        <v>16</v>
      </c>
      <c r="L6" s="29" t="s">
        <v>8</v>
      </c>
      <c r="M6" s="23">
        <v>1</v>
      </c>
      <c r="N6" s="4">
        <v>1</v>
      </c>
      <c r="P6" s="30" t="s">
        <v>17</v>
      </c>
      <c r="Q6" s="24" t="s">
        <v>18</v>
      </c>
      <c r="R6" s="31" t="s">
        <v>19</v>
      </c>
      <c r="S6" s="27"/>
      <c r="T6" s="32"/>
      <c r="U6" s="33" t="s">
        <v>20</v>
      </c>
      <c r="V6" s="34" t="s">
        <v>21</v>
      </c>
      <c r="W6" s="35" t="s">
        <v>22</v>
      </c>
      <c r="X6" s="21"/>
    </row>
    <row r="7" spans="1:24" ht="12.75">
      <c r="A7" s="28" t="s">
        <v>23</v>
      </c>
      <c r="B7" s="36">
        <f>B4+(D4*4)+(2*0.5)+3.5</f>
        <v>79.5</v>
      </c>
      <c r="C7" s="36">
        <f>(D4*3)+(C4*2)+(E4)+2.5</f>
        <v>92.5</v>
      </c>
      <c r="E7" s="3" t="s">
        <v>24</v>
      </c>
      <c r="F7" s="3" t="s">
        <v>21</v>
      </c>
      <c r="G7" s="3" t="s">
        <v>25</v>
      </c>
      <c r="I7" s="3" t="s">
        <v>26</v>
      </c>
      <c r="J7" s="37" t="str">
        <f>CONCATENATE(B4," X ",C4," X ",D4, " cm")</f>
        <v>35 X 30 X 10 cm</v>
      </c>
      <c r="L7" s="29" t="s">
        <v>27</v>
      </c>
      <c r="M7" s="10">
        <v>2400</v>
      </c>
      <c r="N7" s="4">
        <v>0</v>
      </c>
      <c r="P7" s="30" t="s">
        <v>28</v>
      </c>
      <c r="Q7" s="38">
        <f>R7/N14</f>
        <v>800</v>
      </c>
      <c r="R7" s="39">
        <v>400000</v>
      </c>
      <c r="S7" s="40"/>
      <c r="T7" s="30" t="s">
        <v>29</v>
      </c>
      <c r="U7" s="41">
        <f>(R7/V7)+(R8/V7)+((Q9*(V7+S9))/V7)+(Q10*(V7+S9)*S10/V7)+(Q11*(V7+S9)*S11/V7)+(W7/V7)</f>
        <v>9136.5439999999999</v>
      </c>
      <c r="V7" s="42">
        <v>500</v>
      </c>
      <c r="W7" s="43">
        <f>2400*500</f>
        <v>1200000</v>
      </c>
      <c r="X7" s="21"/>
    </row>
    <row r="8" spans="1:24" ht="12.75">
      <c r="A8" s="44" t="s">
        <v>30</v>
      </c>
      <c r="B8" s="15">
        <v>81</v>
      </c>
      <c r="C8" s="45">
        <v>94</v>
      </c>
      <c r="E8" s="37">
        <f>(B8*C8)/(50*60)</f>
        <v>2.5379999999999998</v>
      </c>
      <c r="F8" s="15">
        <v>1000000</v>
      </c>
      <c r="G8" s="37">
        <f>0.2*F8*E8</f>
        <v>507599.99999999994</v>
      </c>
      <c r="I8" s="3" t="s">
        <v>31</v>
      </c>
      <c r="J8" s="3" t="s">
        <v>32</v>
      </c>
      <c r="L8" s="29" t="s">
        <v>33</v>
      </c>
      <c r="M8" s="10">
        <v>0</v>
      </c>
      <c r="N8" s="4">
        <v>0</v>
      </c>
      <c r="P8" s="46" t="s">
        <v>34</v>
      </c>
      <c r="Q8" s="47">
        <f>R8/N14</f>
        <v>761.4</v>
      </c>
      <c r="R8" s="48">
        <f>N5*25*R5</f>
        <v>380700</v>
      </c>
      <c r="S8" s="31" t="s">
        <v>35</v>
      </c>
      <c r="T8" s="30" t="s">
        <v>36</v>
      </c>
      <c r="U8" s="41">
        <f>(R7/V8)+(R8/V8)+((Q9*(V8+S9))/V8)+(Q10*(V8+S9)*S10/V8)+(Q11*(V8+S9)*S11/V8)+(W8/V8)</f>
        <v>7164.9359999999997</v>
      </c>
      <c r="V8" s="42">
        <v>1000</v>
      </c>
      <c r="W8" s="43">
        <v>2359124</v>
      </c>
      <c r="X8" s="21"/>
    </row>
    <row r="9" spans="1:24" ht="12.75">
      <c r="B9" s="3"/>
      <c r="D9" s="8"/>
      <c r="G9" s="37">
        <f>G8*1500+50000</f>
        <v>761449999.99999988</v>
      </c>
      <c r="L9" s="49"/>
      <c r="P9" s="50" t="s">
        <v>37</v>
      </c>
      <c r="Q9" s="51">
        <v>1200</v>
      </c>
      <c r="R9" s="38">
        <f>Q9*(500+S9)</f>
        <v>1080000</v>
      </c>
      <c r="S9" s="52">
        <v>400</v>
      </c>
      <c r="T9" s="53" t="s">
        <v>38</v>
      </c>
      <c r="U9" s="54">
        <f>(R7/V9)+(R8/V9)+((Q9*(V9+S9))/V9)+(Q10*(V9+S9)*S10/V9)+(Q11*(V9+S9)*S11/V9)+(W9/V9)</f>
        <v>6324.0135</v>
      </c>
      <c r="V9" s="42">
        <v>2000</v>
      </c>
      <c r="W9" s="43">
        <v>4967135</v>
      </c>
      <c r="X9" s="21"/>
    </row>
    <row r="10" spans="1:24" ht="12.75">
      <c r="L10" s="49"/>
      <c r="N10" s="3" t="s">
        <v>39</v>
      </c>
      <c r="P10" s="30" t="s">
        <v>40</v>
      </c>
      <c r="Q10" s="55">
        <f>(N5*0.22)</f>
        <v>1675.08</v>
      </c>
      <c r="R10" s="38">
        <f>Q10*(500+S9)</f>
        <v>1507572</v>
      </c>
      <c r="S10" s="52">
        <v>1</v>
      </c>
      <c r="T10" s="3" t="s">
        <v>41</v>
      </c>
      <c r="X10" s="21"/>
    </row>
    <row r="11" spans="1:24" ht="30">
      <c r="A11" s="1" t="s">
        <v>42</v>
      </c>
      <c r="B11" s="2"/>
      <c r="C11" s="2"/>
      <c r="D11" s="2"/>
      <c r="E11" s="2"/>
      <c r="F11" s="2"/>
      <c r="G11" s="2"/>
      <c r="H11" s="2"/>
      <c r="I11" s="2"/>
      <c r="J11" s="2"/>
      <c r="L11" s="56" t="s">
        <v>43</v>
      </c>
      <c r="M11" s="57">
        <f>185*N11</f>
        <v>1408590</v>
      </c>
      <c r="N11" s="58">
        <v>7614</v>
      </c>
      <c r="P11" s="30" t="s">
        <v>44</v>
      </c>
      <c r="Q11" s="55">
        <f>(N5*0.16)</f>
        <v>1218.24</v>
      </c>
      <c r="R11" s="38">
        <f>Q11*N14</f>
        <v>609120</v>
      </c>
      <c r="S11" s="52">
        <v>0</v>
      </c>
      <c r="T11" s="3" t="s">
        <v>45</v>
      </c>
      <c r="X11" s="21"/>
    </row>
    <row r="12" spans="1:24" ht="12.75">
      <c r="L12" s="49"/>
      <c r="X12" s="21"/>
    </row>
    <row r="13" spans="1:24" ht="12.75">
      <c r="B13" s="3" t="s">
        <v>46</v>
      </c>
      <c r="C13" s="3" t="s">
        <v>47</v>
      </c>
      <c r="D13" s="3" t="s">
        <v>48</v>
      </c>
      <c r="E13" s="3" t="s">
        <v>6</v>
      </c>
      <c r="I13" s="3" t="s">
        <v>7</v>
      </c>
      <c r="J13" s="3" t="s">
        <v>8</v>
      </c>
      <c r="L13" s="56" t="s">
        <v>19</v>
      </c>
      <c r="M13" s="59">
        <f>((M3*M6*N5/10000)+M2+M7)*N14+(P2+M8+M5)</f>
        <v>5639200</v>
      </c>
      <c r="N13" s="3" t="s">
        <v>21</v>
      </c>
      <c r="R13" s="57">
        <f>SUM(R7:R10)/500+2400</f>
        <v>9136.5439999999999</v>
      </c>
      <c r="S13" s="57">
        <f>SUM(R7:R10)+W7</f>
        <v>4568272</v>
      </c>
      <c r="U13" s="60">
        <v>3424000</v>
      </c>
      <c r="X13" s="21"/>
    </row>
    <row r="14" spans="1:24" ht="12.75">
      <c r="B14" s="15">
        <v>26.5</v>
      </c>
      <c r="C14" s="16">
        <v>17.5</v>
      </c>
      <c r="D14" s="15">
        <v>12.5</v>
      </c>
      <c r="E14" s="15">
        <v>4</v>
      </c>
      <c r="I14" s="18">
        <f>((H23*8)+(4*G23))*600+((D23*6)+(4*C23))*600</f>
        <v>695040</v>
      </c>
      <c r="J14" s="19">
        <f>(C24*D24)+(G24*H24)</f>
        <v>5390</v>
      </c>
      <c r="L14" s="56" t="s">
        <v>49</v>
      </c>
      <c r="M14" s="61">
        <f>M13/N14</f>
        <v>11278.4</v>
      </c>
      <c r="N14" s="62">
        <v>500</v>
      </c>
      <c r="X14" s="21"/>
    </row>
    <row r="15" spans="1:24" ht="12.75">
      <c r="L15" s="133"/>
      <c r="M15" s="134"/>
      <c r="X15" s="21"/>
    </row>
    <row r="16" spans="1:24" ht="12.75">
      <c r="B16" s="3" t="s">
        <v>50</v>
      </c>
      <c r="C16" s="37">
        <f>B14+0.5</f>
        <v>27</v>
      </c>
      <c r="E16" s="3" t="s">
        <v>51</v>
      </c>
      <c r="F16" s="37">
        <f>C16+0.6</f>
        <v>27.6</v>
      </c>
      <c r="G16" s="3">
        <v>75</v>
      </c>
      <c r="H16" s="3">
        <v>75</v>
      </c>
      <c r="I16" s="3" t="s">
        <v>52</v>
      </c>
      <c r="L16" s="135" t="s">
        <v>53</v>
      </c>
      <c r="M16" s="134"/>
      <c r="P16" s="3" t="s">
        <v>54</v>
      </c>
      <c r="S16" s="3" t="s">
        <v>55</v>
      </c>
      <c r="U16" s="3" t="s">
        <v>56</v>
      </c>
      <c r="X16" s="21"/>
    </row>
    <row r="17" spans="1:24" ht="12.75">
      <c r="B17" s="3" t="s">
        <v>57</v>
      </c>
      <c r="C17" s="37">
        <f>C14+1</f>
        <v>18.5</v>
      </c>
      <c r="E17" s="3" t="s">
        <v>58</v>
      </c>
      <c r="F17" s="37">
        <f>C17+0.1</f>
        <v>18.600000000000001</v>
      </c>
      <c r="I17" s="3" t="s">
        <v>26</v>
      </c>
      <c r="J17" s="37" t="str">
        <f>CONCATENATE(B14," X ",C14," X ",D14, " cm")</f>
        <v>26,5 X 17,5 X 12,5 cm</v>
      </c>
      <c r="L17" s="63">
        <f>((N5/10000*M6*200*30000/5)+M5+M8+(M7*200)+((600+(200/100*185))*2000/2))/200</f>
        <v>14968.4</v>
      </c>
      <c r="M17" s="64">
        <v>200</v>
      </c>
      <c r="N17" s="3">
        <v>10900</v>
      </c>
      <c r="P17" s="3" t="s">
        <v>59</v>
      </c>
      <c r="R17" s="3" t="s">
        <v>60</v>
      </c>
      <c r="S17" s="3" t="s">
        <v>61</v>
      </c>
      <c r="T17" s="3">
        <v>1</v>
      </c>
      <c r="U17" s="3">
        <v>200</v>
      </c>
      <c r="X17" s="21"/>
    </row>
    <row r="18" spans="1:24" ht="12.75">
      <c r="B18" s="3" t="s">
        <v>62</v>
      </c>
      <c r="C18" s="37">
        <f>D14+0.3</f>
        <v>12.8</v>
      </c>
      <c r="E18" s="3" t="s">
        <v>63</v>
      </c>
      <c r="F18" s="37">
        <f>C18+0.6</f>
        <v>13.4</v>
      </c>
      <c r="I18" s="3" t="s">
        <v>31</v>
      </c>
      <c r="J18" s="3" t="s">
        <v>32</v>
      </c>
      <c r="L18" s="63">
        <f>((N5/10000*M6*300*30000/5)+M5+M8+(M7*300)+((600+(300/100*185))*2000/2))/300</f>
        <v>12918.4</v>
      </c>
      <c r="M18" s="62">
        <v>300</v>
      </c>
      <c r="O18" s="57">
        <f t="shared" ref="O18:O20" si="0">R18-P18</f>
        <v>-4643.75</v>
      </c>
      <c r="P18" s="57">
        <f t="shared" ref="P18:P20" si="1">L19+U7</f>
        <v>20414.944</v>
      </c>
      <c r="Q18" s="64">
        <v>500</v>
      </c>
      <c r="R18" s="65">
        <v>15771.194</v>
      </c>
      <c r="S18" s="3" t="s">
        <v>64</v>
      </c>
      <c r="T18" s="3">
        <v>1.2</v>
      </c>
      <c r="U18" s="3">
        <v>500</v>
      </c>
      <c r="V18" s="3"/>
      <c r="X18" s="21"/>
    </row>
    <row r="19" spans="1:24" ht="12.75">
      <c r="E19" s="3" t="s">
        <v>65</v>
      </c>
      <c r="F19" s="37">
        <f>F18-0.2</f>
        <v>13.200000000000001</v>
      </c>
      <c r="L19" s="63">
        <f>((N5/10000*M6*500*30000/5)+M5+M8+(M7*500)+((600+(500/100*185))*2000/2))/500</f>
        <v>11278.4</v>
      </c>
      <c r="M19" s="66">
        <v>500</v>
      </c>
      <c r="N19" s="3">
        <v>7500</v>
      </c>
      <c r="O19" s="57">
        <f t="shared" si="0"/>
        <v>-5182.9619999999995</v>
      </c>
      <c r="P19" s="57">
        <f t="shared" si="1"/>
        <v>17213.335999999999</v>
      </c>
      <c r="Q19" s="66">
        <v>1000</v>
      </c>
      <c r="R19" s="37">
        <v>12030.374</v>
      </c>
      <c r="S19" s="3" t="s">
        <v>66</v>
      </c>
      <c r="T19" s="3">
        <v>1.3</v>
      </c>
      <c r="U19" s="3">
        <v>500</v>
      </c>
      <c r="V19" s="27"/>
      <c r="W19" s="65"/>
      <c r="X19" s="67"/>
    </row>
    <row r="20" spans="1:24" ht="12.75">
      <c r="L20" s="63">
        <f>((N5/10000*M6*1000*30000/5)+M5+M8+(M7*1000)+((600+(1000/100*185))*2000/2))/1000</f>
        <v>10048.4</v>
      </c>
      <c r="M20" s="66">
        <v>1000</v>
      </c>
      <c r="O20" s="57">
        <f t="shared" si="0"/>
        <v>-5433.2209999999977</v>
      </c>
      <c r="P20" s="57">
        <f t="shared" si="1"/>
        <v>15757.413499999999</v>
      </c>
      <c r="Q20" s="66">
        <v>2000</v>
      </c>
      <c r="R20" s="37">
        <v>10324.192500000001</v>
      </c>
      <c r="S20" s="3" t="s">
        <v>67</v>
      </c>
      <c r="T20" s="3">
        <v>1.1000000000000001</v>
      </c>
      <c r="U20" s="3">
        <v>500</v>
      </c>
      <c r="V20" s="3"/>
      <c r="X20" s="21"/>
    </row>
    <row r="21" spans="1:24" ht="12.75">
      <c r="J21" s="3">
        <v>2188</v>
      </c>
      <c r="L21" s="63">
        <f>((N5/10000*M6*2000*30000/5)+M5+M8+(M7*2000)+((600+(2000/100*185))*2000/2))/2000</f>
        <v>9433.4</v>
      </c>
      <c r="M21" s="68">
        <v>2000</v>
      </c>
      <c r="V21" s="3"/>
      <c r="X21" s="21"/>
    </row>
    <row r="22" spans="1:24" ht="12.75">
      <c r="B22" s="69" t="s">
        <v>68</v>
      </c>
      <c r="C22" s="28" t="s">
        <v>14</v>
      </c>
      <c r="D22" s="28" t="s">
        <v>15</v>
      </c>
      <c r="F22" s="69" t="s">
        <v>69</v>
      </c>
      <c r="G22" s="28" t="s">
        <v>14</v>
      </c>
      <c r="H22" s="28" t="s">
        <v>15</v>
      </c>
      <c r="J22" s="3">
        <v>2722</v>
      </c>
      <c r="L22" s="49"/>
      <c r="P22" s="3"/>
      <c r="Q22" s="3"/>
      <c r="R22" s="3"/>
      <c r="T22" s="3"/>
      <c r="U22" s="3"/>
      <c r="V22" s="3"/>
      <c r="X22" s="21"/>
    </row>
    <row r="23" spans="1:24" ht="12.75">
      <c r="B23" s="28" t="s">
        <v>23</v>
      </c>
      <c r="C23" s="19">
        <f>E14+F18+F19+(F16*2)</f>
        <v>85.800000000000011</v>
      </c>
      <c r="D23" s="19">
        <f>F17</f>
        <v>18.600000000000001</v>
      </c>
      <c r="F23" s="28" t="s">
        <v>23</v>
      </c>
      <c r="G23" s="19">
        <f>1+C17+(4*C18)</f>
        <v>70.7</v>
      </c>
      <c r="H23" s="19">
        <f>C16+C18+C18</f>
        <v>52.599999999999994</v>
      </c>
      <c r="L23" s="70" t="s">
        <v>70</v>
      </c>
      <c r="M23" s="71" t="s">
        <v>71</v>
      </c>
      <c r="N23" s="3"/>
      <c r="O23" s="3"/>
      <c r="P23" s="3"/>
      <c r="Q23" s="3"/>
      <c r="R23" s="3"/>
      <c r="T23" s="3"/>
      <c r="U23" s="3"/>
      <c r="V23" s="3"/>
      <c r="X23" s="21"/>
    </row>
    <row r="24" spans="1:24" ht="12.75">
      <c r="B24" s="28" t="s">
        <v>30</v>
      </c>
      <c r="C24" s="28">
        <v>89.5</v>
      </c>
      <c r="D24" s="28">
        <v>20</v>
      </c>
      <c r="F24" s="28" t="s">
        <v>30</v>
      </c>
      <c r="G24" s="28">
        <v>80</v>
      </c>
      <c r="H24" s="28">
        <v>45</v>
      </c>
      <c r="L24" s="70" t="s">
        <v>72</v>
      </c>
      <c r="M24" s="71" t="s">
        <v>73</v>
      </c>
      <c r="N24" s="3"/>
      <c r="O24" s="3"/>
      <c r="P24" s="3"/>
      <c r="X24" s="21"/>
    </row>
    <row r="25" spans="1:24" ht="12.75">
      <c r="L25" s="72" t="s">
        <v>74</v>
      </c>
      <c r="M25" s="73" t="s">
        <v>75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5"/>
    </row>
    <row r="26" spans="1:24" ht="30">
      <c r="A26" s="1" t="s">
        <v>76</v>
      </c>
      <c r="B26" s="2"/>
      <c r="C26" s="2"/>
      <c r="D26" s="2"/>
      <c r="E26" s="2"/>
      <c r="F26" s="2"/>
      <c r="G26" s="2"/>
      <c r="H26" s="2"/>
      <c r="I26" s="2"/>
      <c r="J26" s="2"/>
    </row>
    <row r="27" spans="1:24" ht="12.75">
      <c r="B27" s="3"/>
      <c r="C27" s="3"/>
      <c r="D27" s="3"/>
      <c r="E27" s="3"/>
      <c r="F27" s="3"/>
      <c r="L27" s="3" t="s">
        <v>54</v>
      </c>
    </row>
    <row r="28" spans="1:24" ht="12.75">
      <c r="B28" s="7" t="s">
        <v>3</v>
      </c>
      <c r="C28" s="7" t="s">
        <v>4</v>
      </c>
      <c r="D28" s="7" t="s">
        <v>5</v>
      </c>
      <c r="E28" s="7" t="s">
        <v>77</v>
      </c>
      <c r="I28" s="3" t="s">
        <v>7</v>
      </c>
      <c r="J28" s="3" t="s">
        <v>8</v>
      </c>
    </row>
    <row r="29" spans="1:24" ht="12.75">
      <c r="B29" s="15">
        <v>22</v>
      </c>
      <c r="C29" s="15">
        <v>22</v>
      </c>
      <c r="D29" s="15">
        <v>27.6</v>
      </c>
      <c r="E29" s="15">
        <v>5</v>
      </c>
      <c r="F29" s="76"/>
      <c r="I29" s="18">
        <f>((C33*6)+(B33*6))*600</f>
        <v>558000</v>
      </c>
      <c r="J29" s="19">
        <f>B33*C33</f>
        <v>5700</v>
      </c>
    </row>
    <row r="30" spans="1:24" ht="12.75">
      <c r="D30" s="3"/>
    </row>
    <row r="31" spans="1:24" ht="12.75">
      <c r="A31" s="19"/>
      <c r="B31" s="28" t="s">
        <v>14</v>
      </c>
      <c r="C31" s="28" t="s">
        <v>15</v>
      </c>
      <c r="F31" s="3"/>
      <c r="I31" s="3" t="s">
        <v>78</v>
      </c>
      <c r="P31" s="27"/>
      <c r="Q31" s="77"/>
      <c r="R31" s="77"/>
      <c r="S31" s="27"/>
    </row>
    <row r="32" spans="1:24" ht="12.75">
      <c r="A32" s="28" t="s">
        <v>23</v>
      </c>
      <c r="B32" s="36">
        <f>D29+D29+B29+B29+(E29*2)+2</f>
        <v>111.2</v>
      </c>
      <c r="C32" s="36">
        <f>C29+D29+D29+1.5</f>
        <v>78.7</v>
      </c>
      <c r="F32" s="8"/>
      <c r="I32" s="3" t="s">
        <v>26</v>
      </c>
      <c r="J32" s="37" t="str">
        <f>CONCATENATE(B29," X ",C29," X ",D29, " cm")</f>
        <v>22 X 22 X 27,6 cm</v>
      </c>
      <c r="P32" s="27"/>
      <c r="Q32" s="78"/>
      <c r="R32" s="79"/>
      <c r="S32" s="80"/>
    </row>
    <row r="33" spans="1:21" ht="12.75">
      <c r="A33" s="44" t="s">
        <v>30</v>
      </c>
      <c r="B33" s="15">
        <v>95</v>
      </c>
      <c r="C33" s="15">
        <v>60</v>
      </c>
      <c r="F33" s="3"/>
      <c r="I33" s="3" t="s">
        <v>31</v>
      </c>
      <c r="J33" s="3" t="s">
        <v>32</v>
      </c>
      <c r="P33" s="27"/>
      <c r="Q33" s="78"/>
      <c r="R33" s="79"/>
      <c r="S33" s="80"/>
    </row>
    <row r="34" spans="1:21" ht="12.75">
      <c r="C34" s="3"/>
      <c r="F34" s="3"/>
      <c r="P34" s="81"/>
      <c r="Q34" s="82"/>
      <c r="R34" s="79"/>
      <c r="S34" s="80"/>
    </row>
    <row r="35" spans="1:21" ht="12.75">
      <c r="L35" s="83"/>
      <c r="M35" s="84"/>
      <c r="N35" s="84"/>
      <c r="O35" s="84"/>
      <c r="P35" s="84"/>
      <c r="Q35" s="84"/>
      <c r="R35" s="84"/>
      <c r="S35" s="84"/>
      <c r="T35" s="84"/>
      <c r="U35" s="85"/>
    </row>
    <row r="36" spans="1:21" ht="45">
      <c r="A36" s="1" t="s">
        <v>79</v>
      </c>
      <c r="B36" s="2"/>
      <c r="C36" s="2"/>
      <c r="D36" s="2"/>
      <c r="E36" s="2"/>
      <c r="F36" s="2"/>
      <c r="G36" s="2"/>
      <c r="H36" s="2"/>
      <c r="I36" s="2"/>
      <c r="J36" s="2"/>
      <c r="L36" s="86"/>
      <c r="M36" s="87" t="s">
        <v>80</v>
      </c>
      <c r="U36" s="88"/>
    </row>
    <row r="37" spans="1:21" ht="12.75">
      <c r="L37" s="86"/>
      <c r="U37" s="88"/>
    </row>
    <row r="38" spans="1:21" ht="13.5" thickBot="1">
      <c r="B38" s="7" t="s">
        <v>3</v>
      </c>
      <c r="C38" s="7" t="s">
        <v>4</v>
      </c>
      <c r="D38" s="7" t="s">
        <v>5</v>
      </c>
      <c r="E38" s="7" t="s">
        <v>81</v>
      </c>
      <c r="F38" s="3"/>
      <c r="G38" s="3"/>
      <c r="I38" s="3" t="s">
        <v>7</v>
      </c>
      <c r="J38" s="3" t="s">
        <v>8</v>
      </c>
      <c r="L38" s="86"/>
      <c r="M38" s="89"/>
      <c r="N38" s="90" t="s">
        <v>82</v>
      </c>
      <c r="O38" s="90" t="s">
        <v>83</v>
      </c>
      <c r="P38" s="91" t="s">
        <v>39</v>
      </c>
      <c r="Q38" s="90" t="s">
        <v>21</v>
      </c>
      <c r="U38" s="88"/>
    </row>
    <row r="39" spans="1:21" ht="13.5" thickBot="1">
      <c r="B39" s="15">
        <v>22</v>
      </c>
      <c r="C39" s="15">
        <v>22</v>
      </c>
      <c r="D39" s="15">
        <v>27.6</v>
      </c>
      <c r="E39" s="15">
        <v>0</v>
      </c>
      <c r="F39" s="3"/>
      <c r="G39" s="3"/>
      <c r="I39" s="18">
        <f>((F47*4)+(6*G47))*600+((C47*6)+(4*B47))*600</f>
        <v>617040.00000000012</v>
      </c>
      <c r="J39" s="19">
        <f>B48*C48+F48*G48</f>
        <v>14400</v>
      </c>
      <c r="L39" s="86"/>
      <c r="M39" s="92" t="s">
        <v>39</v>
      </c>
      <c r="N39" s="93">
        <v>35</v>
      </c>
      <c r="O39" s="93">
        <v>30</v>
      </c>
      <c r="P39" s="94">
        <f>N39*O39</f>
        <v>1050</v>
      </c>
      <c r="Q39" s="93">
        <v>500</v>
      </c>
      <c r="R39" s="95" t="s">
        <v>84</v>
      </c>
      <c r="U39" s="88"/>
    </row>
    <row r="40" spans="1:21" ht="12.75">
      <c r="D40" s="3">
        <v>0</v>
      </c>
      <c r="L40" s="86"/>
      <c r="N40" s="95" t="s">
        <v>85</v>
      </c>
      <c r="U40" s="88"/>
    </row>
    <row r="41" spans="1:21" ht="12.75">
      <c r="B41" s="3" t="s">
        <v>50</v>
      </c>
      <c r="C41" s="37">
        <f>B39+0.5</f>
        <v>22.5</v>
      </c>
      <c r="E41" s="3" t="s">
        <v>51</v>
      </c>
      <c r="F41" s="37">
        <f>C41+1.1</f>
        <v>23.6</v>
      </c>
      <c r="I41" s="3" t="s">
        <v>86</v>
      </c>
      <c r="L41" s="86"/>
      <c r="M41" s="136" t="s">
        <v>39</v>
      </c>
      <c r="N41" s="137"/>
      <c r="O41" s="96" t="s">
        <v>87</v>
      </c>
      <c r="P41" s="97" t="s">
        <v>88</v>
      </c>
      <c r="U41" s="88"/>
    </row>
    <row r="42" spans="1:21" ht="12.75">
      <c r="B42" s="3" t="s">
        <v>57</v>
      </c>
      <c r="C42" s="37">
        <f>C39+0.5+((F45-1)*0.5)</f>
        <v>22.5</v>
      </c>
      <c r="E42" s="3" t="s">
        <v>58</v>
      </c>
      <c r="F42" s="37">
        <f>C42+0.6</f>
        <v>23.1</v>
      </c>
      <c r="I42" s="3" t="s">
        <v>26</v>
      </c>
      <c r="J42" s="37" t="str">
        <f>CONCATENATE(B39," X ",C39," X ",D39, " cm (Tinggi tutup: ",E39," cm)")</f>
        <v>22 X 22 X 27,6 cm (Tinggi tutup: 0 cm)</v>
      </c>
      <c r="L42" s="86"/>
      <c r="M42" s="91">
        <v>34</v>
      </c>
      <c r="N42" s="91">
        <v>50</v>
      </c>
      <c r="O42" s="98">
        <v>600</v>
      </c>
      <c r="P42" s="99">
        <v>100000</v>
      </c>
      <c r="U42" s="88"/>
    </row>
    <row r="43" spans="1:21" ht="12.75">
      <c r="B43" s="3" t="s">
        <v>62</v>
      </c>
      <c r="C43" s="37">
        <f>D39+0.3</f>
        <v>27.900000000000002</v>
      </c>
      <c r="E43" s="3" t="s">
        <v>63</v>
      </c>
      <c r="F43" s="37">
        <f>E39+0.3</f>
        <v>0.3</v>
      </c>
      <c r="I43" s="3" t="s">
        <v>31</v>
      </c>
      <c r="J43" s="3" t="s">
        <v>32</v>
      </c>
      <c r="L43" s="86"/>
      <c r="M43" s="91">
        <v>70</v>
      </c>
      <c r="N43" s="91">
        <v>50</v>
      </c>
      <c r="O43" s="98">
        <v>1200</v>
      </c>
      <c r="P43" s="99">
        <v>200000</v>
      </c>
      <c r="U43" s="88"/>
    </row>
    <row r="44" spans="1:21" ht="12.75">
      <c r="L44" s="86"/>
      <c r="M44" s="91">
        <v>70</v>
      </c>
      <c r="N44" s="91">
        <v>100</v>
      </c>
      <c r="O44" s="100">
        <v>2400</v>
      </c>
      <c r="P44" s="99">
        <v>400000</v>
      </c>
      <c r="R44" s="101" t="s">
        <v>89</v>
      </c>
      <c r="U44" s="88"/>
    </row>
    <row r="45" spans="1:21" ht="12.75">
      <c r="E45" s="3" t="s">
        <v>90</v>
      </c>
      <c r="F45" s="15">
        <v>1</v>
      </c>
      <c r="L45" s="86"/>
      <c r="U45" s="88"/>
    </row>
    <row r="46" spans="1:21" ht="12.75">
      <c r="A46" s="69" t="s">
        <v>91</v>
      </c>
      <c r="B46" s="28" t="s">
        <v>14</v>
      </c>
      <c r="C46" s="28" t="s">
        <v>15</v>
      </c>
      <c r="E46" s="69" t="s">
        <v>92</v>
      </c>
      <c r="F46" s="102" t="s">
        <v>14</v>
      </c>
      <c r="G46" s="28" t="s">
        <v>15</v>
      </c>
      <c r="L46" s="86"/>
      <c r="M46" s="140" t="s">
        <v>93</v>
      </c>
      <c r="N46" s="89"/>
      <c r="O46" s="100">
        <v>1200</v>
      </c>
      <c r="U46" s="88"/>
    </row>
    <row r="47" spans="1:21" ht="12.75">
      <c r="A47" s="28" t="s">
        <v>23</v>
      </c>
      <c r="B47" s="36">
        <f>F41+1+(4*F43)</f>
        <v>25.8</v>
      </c>
      <c r="C47" s="36">
        <f>F42+F43+F43</f>
        <v>23.700000000000003</v>
      </c>
      <c r="E47" s="28" t="s">
        <v>23</v>
      </c>
      <c r="F47" s="36">
        <f>C42+(2*C43)+((F45-1)*(1+(C43*2)))</f>
        <v>78.300000000000011</v>
      </c>
      <c r="G47" s="36">
        <f>C41+C43+C43</f>
        <v>78.300000000000011</v>
      </c>
      <c r="L47" s="86"/>
      <c r="S47" s="103"/>
      <c r="U47" s="88"/>
    </row>
    <row r="48" spans="1:21" ht="12.75">
      <c r="A48" s="44" t="s">
        <v>30</v>
      </c>
      <c r="B48" s="15">
        <v>120</v>
      </c>
      <c r="C48" s="15">
        <v>120</v>
      </c>
      <c r="E48" s="44" t="s">
        <v>30</v>
      </c>
      <c r="F48" s="15">
        <v>0</v>
      </c>
      <c r="G48" s="15">
        <v>0</v>
      </c>
      <c r="L48" s="86"/>
      <c r="M48" s="24"/>
      <c r="N48" s="104" t="s">
        <v>13</v>
      </c>
      <c r="O48" s="105">
        <v>2</v>
      </c>
      <c r="P48" s="77" t="s">
        <v>94</v>
      </c>
      <c r="S48" s="106" t="s">
        <v>13</v>
      </c>
      <c r="T48" s="107" t="s">
        <v>95</v>
      </c>
      <c r="U48" s="88"/>
    </row>
    <row r="49" spans="1:21" ht="12.75">
      <c r="L49" s="86"/>
      <c r="M49" s="30" t="s">
        <v>17</v>
      </c>
      <c r="N49" s="24" t="s">
        <v>18</v>
      </c>
      <c r="O49" s="40" t="s">
        <v>19</v>
      </c>
      <c r="P49" s="27"/>
      <c r="S49" s="108">
        <v>1</v>
      </c>
      <c r="T49" s="109">
        <v>300</v>
      </c>
      <c r="U49" s="88"/>
    </row>
    <row r="50" spans="1:21" ht="12.75">
      <c r="L50" s="86"/>
      <c r="M50" s="110" t="s">
        <v>28</v>
      </c>
      <c r="N50" s="111">
        <f>O50/Q39</f>
        <v>800</v>
      </c>
      <c r="O50" s="111">
        <f>P43*O48</f>
        <v>400000</v>
      </c>
      <c r="P50" s="112" t="s">
        <v>96</v>
      </c>
      <c r="S50" s="108">
        <v>2</v>
      </c>
      <c r="T50" s="109">
        <v>400</v>
      </c>
      <c r="U50" s="88"/>
    </row>
    <row r="51" spans="1:21" ht="30">
      <c r="A51" s="1" t="s">
        <v>97</v>
      </c>
      <c r="B51" s="2"/>
      <c r="C51" s="2"/>
      <c r="D51" s="2"/>
      <c r="E51" s="2"/>
      <c r="F51" s="2"/>
      <c r="G51" s="2"/>
      <c r="H51" s="2"/>
      <c r="I51" s="2"/>
      <c r="J51" s="2"/>
      <c r="L51" s="86"/>
      <c r="M51" s="46" t="s">
        <v>34</v>
      </c>
      <c r="N51" s="113">
        <f>O51/Q39</f>
        <v>105</v>
      </c>
      <c r="O51" s="113">
        <f>P39*25*O48</f>
        <v>52500</v>
      </c>
      <c r="P51" s="107" t="s">
        <v>95</v>
      </c>
      <c r="Q51" s="114" t="s">
        <v>98</v>
      </c>
      <c r="S51" s="108">
        <v>3</v>
      </c>
      <c r="T51" s="109">
        <v>500</v>
      </c>
      <c r="U51" s="88"/>
    </row>
    <row r="52" spans="1:21" ht="12.75">
      <c r="B52" s="3"/>
      <c r="C52" s="3"/>
      <c r="D52" s="3"/>
      <c r="E52" s="3"/>
      <c r="F52" s="3"/>
      <c r="L52" s="86"/>
      <c r="M52" s="115" t="s">
        <v>37</v>
      </c>
      <c r="N52" s="116">
        <f>O52/Q39</f>
        <v>2160</v>
      </c>
      <c r="O52" s="117">
        <f>O43*(P52+Q39)</f>
        <v>1080000</v>
      </c>
      <c r="P52" s="118">
        <f>T50</f>
        <v>400</v>
      </c>
      <c r="Q52" s="114" t="s">
        <v>99</v>
      </c>
      <c r="S52" s="119">
        <v>4</v>
      </c>
      <c r="T52" s="120">
        <v>600</v>
      </c>
      <c r="U52" s="88"/>
    </row>
    <row r="53" spans="1:21" ht="12.75">
      <c r="B53" s="7" t="s">
        <v>3</v>
      </c>
      <c r="C53" s="7" t="s">
        <v>4</v>
      </c>
      <c r="D53" s="7" t="s">
        <v>5</v>
      </c>
      <c r="E53" s="7" t="s">
        <v>6</v>
      </c>
      <c r="I53" s="3" t="s">
        <v>7</v>
      </c>
      <c r="J53" s="3" t="s">
        <v>8</v>
      </c>
      <c r="L53" s="86"/>
      <c r="M53" s="30" t="s">
        <v>40</v>
      </c>
      <c r="N53" s="113">
        <f>(P39*0.22)</f>
        <v>231</v>
      </c>
      <c r="O53" s="18">
        <f>N53*(Q39+P52)</f>
        <v>207900</v>
      </c>
      <c r="P53" s="121">
        <v>1</v>
      </c>
      <c r="Q53" s="114" t="s">
        <v>100</v>
      </c>
      <c r="U53" s="88"/>
    </row>
    <row r="54" spans="1:21" ht="12.75">
      <c r="B54" s="15">
        <v>32</v>
      </c>
      <c r="C54" s="15">
        <v>8</v>
      </c>
      <c r="D54" s="15">
        <v>27</v>
      </c>
      <c r="E54" s="15">
        <v>4</v>
      </c>
      <c r="F54" s="76"/>
      <c r="I54" s="18">
        <f>((C57*6)+(B57*6))*600</f>
        <v>439200</v>
      </c>
      <c r="J54" s="19">
        <f>B58*C58</f>
        <v>3440</v>
      </c>
      <c r="L54" s="86"/>
      <c r="M54" s="30" t="s">
        <v>44</v>
      </c>
      <c r="N54" s="113">
        <f>(P39*0.16)</f>
        <v>168</v>
      </c>
      <c r="O54" s="18">
        <f>N54*(Q39+P52)</f>
        <v>151200</v>
      </c>
      <c r="P54" s="121">
        <v>0</v>
      </c>
      <c r="Q54" s="114" t="s">
        <v>101</v>
      </c>
      <c r="U54" s="88"/>
    </row>
    <row r="55" spans="1:21" ht="12.75">
      <c r="B55" s="122"/>
      <c r="L55" s="86"/>
      <c r="M55" s="141" t="s">
        <v>27</v>
      </c>
      <c r="N55" s="123">
        <v>2400</v>
      </c>
      <c r="O55" s="123">
        <f>N55*Q39</f>
        <v>1200000</v>
      </c>
      <c r="P55" s="114" t="s">
        <v>102</v>
      </c>
      <c r="U55" s="88"/>
    </row>
    <row r="56" spans="1:21" ht="12.75">
      <c r="A56" s="19"/>
      <c r="B56" s="28" t="s">
        <v>14</v>
      </c>
      <c r="C56" s="28" t="s">
        <v>15</v>
      </c>
      <c r="F56" s="124"/>
      <c r="I56" s="3" t="s">
        <v>103</v>
      </c>
      <c r="L56" s="86"/>
      <c r="M56" s="141" t="s">
        <v>33</v>
      </c>
      <c r="N56" s="123">
        <f>O56/Q39</f>
        <v>0</v>
      </c>
      <c r="O56" s="28">
        <v>0</v>
      </c>
      <c r="U56" s="88"/>
    </row>
    <row r="57" spans="1:21" ht="12.75">
      <c r="A57" s="28" t="s">
        <v>23</v>
      </c>
      <c r="B57" s="36">
        <f>D54+C54+1</f>
        <v>36</v>
      </c>
      <c r="C57" s="36">
        <f>2+B54+B54+C54+C54+E54</f>
        <v>86</v>
      </c>
      <c r="F57" s="124"/>
      <c r="I57" s="3" t="s">
        <v>26</v>
      </c>
      <c r="J57" s="37" t="str">
        <f>CONCATENATE(B54," X ",C54," X ",D54, " cm")</f>
        <v>32 X 8 X 27 cm</v>
      </c>
      <c r="L57" s="86"/>
      <c r="U57" s="88"/>
    </row>
    <row r="58" spans="1:21" ht="12.75">
      <c r="A58" s="44" t="s">
        <v>30</v>
      </c>
      <c r="B58" s="15">
        <v>40</v>
      </c>
      <c r="C58" s="45">
        <v>86</v>
      </c>
      <c r="F58" s="124"/>
      <c r="I58" s="3" t="s">
        <v>31</v>
      </c>
      <c r="J58" s="3" t="s">
        <v>32</v>
      </c>
      <c r="L58" s="86"/>
      <c r="M58" s="19"/>
      <c r="N58" s="28" t="s">
        <v>104</v>
      </c>
      <c r="O58" s="28" t="s">
        <v>105</v>
      </c>
      <c r="Q58" s="19"/>
      <c r="R58" s="138" t="s">
        <v>104</v>
      </c>
      <c r="S58" s="139"/>
      <c r="T58" s="137"/>
      <c r="U58" s="88"/>
    </row>
    <row r="59" spans="1:21" ht="12.75">
      <c r="L59" s="86"/>
      <c r="M59" s="141" t="s">
        <v>106</v>
      </c>
      <c r="N59" s="61">
        <f>O59/Q39</f>
        <v>5880.8</v>
      </c>
      <c r="O59" s="61">
        <f>SUM(O55,O50:O52)+(O53*P53)+(O54*P54)</f>
        <v>2940400</v>
      </c>
      <c r="Q59" s="28" t="s">
        <v>107</v>
      </c>
      <c r="R59" s="138" t="s">
        <v>108</v>
      </c>
      <c r="S59" s="139"/>
      <c r="T59" s="137"/>
      <c r="U59" s="88"/>
    </row>
    <row r="60" spans="1:21" ht="12.75">
      <c r="L60" s="125"/>
      <c r="M60" s="126"/>
      <c r="N60" s="126"/>
      <c r="O60" s="126"/>
      <c r="P60" s="126"/>
      <c r="Q60" s="126"/>
      <c r="R60" s="126"/>
      <c r="S60" s="126"/>
      <c r="T60" s="126"/>
      <c r="U60" s="127"/>
    </row>
    <row r="61" spans="1:21" ht="30">
      <c r="A61" s="1" t="s">
        <v>109</v>
      </c>
      <c r="B61" s="2"/>
      <c r="C61" s="2"/>
      <c r="D61" s="2"/>
      <c r="E61" s="2"/>
      <c r="F61" s="2"/>
      <c r="G61" s="2"/>
      <c r="H61" s="2"/>
      <c r="I61" s="2"/>
      <c r="J61" s="2"/>
    </row>
    <row r="62" spans="1:21" ht="12.75">
      <c r="B62" s="3"/>
      <c r="C62" s="3"/>
      <c r="D62" s="3"/>
      <c r="E62" s="3"/>
    </row>
    <row r="63" spans="1:21" ht="12.75">
      <c r="B63" s="7" t="s">
        <v>3</v>
      </c>
      <c r="C63" s="7" t="s">
        <v>4</v>
      </c>
      <c r="D63" s="7" t="s">
        <v>5</v>
      </c>
      <c r="E63" s="7" t="s">
        <v>110</v>
      </c>
      <c r="I63" s="3" t="s">
        <v>7</v>
      </c>
      <c r="J63" s="3" t="s">
        <v>8</v>
      </c>
      <c r="M63" s="3" t="s">
        <v>111</v>
      </c>
    </row>
    <row r="64" spans="1:21" ht="12.75">
      <c r="B64" s="15">
        <v>24</v>
      </c>
      <c r="C64" s="16">
        <v>12</v>
      </c>
      <c r="D64" s="15">
        <v>11.2</v>
      </c>
      <c r="E64" s="15">
        <v>6</v>
      </c>
      <c r="I64" s="18">
        <f>((C73*6)+(B73*6))*600</f>
        <v>402120</v>
      </c>
      <c r="J64" s="28">
        <f>B74*C74</f>
        <v>3200</v>
      </c>
      <c r="M64" s="128" t="s">
        <v>112</v>
      </c>
    </row>
    <row r="65" spans="1:13" ht="12.75">
      <c r="D65" s="3"/>
      <c r="M65" s="91" t="s">
        <v>93</v>
      </c>
    </row>
    <row r="66" spans="1:13" ht="12.75">
      <c r="B66" s="3" t="s">
        <v>46</v>
      </c>
      <c r="C66" s="37">
        <f>B64+0.5</f>
        <v>24.5</v>
      </c>
      <c r="D66" s="3"/>
      <c r="M66" s="3" t="s">
        <v>113</v>
      </c>
    </row>
    <row r="67" spans="1:13" ht="12.75">
      <c r="B67" s="3" t="s">
        <v>57</v>
      </c>
      <c r="C67" s="37">
        <f>C64+0.5</f>
        <v>12.5</v>
      </c>
      <c r="D67" s="3"/>
      <c r="M67" s="3" t="s">
        <v>114</v>
      </c>
    </row>
    <row r="68" spans="1:13" ht="12.75">
      <c r="B68" s="3" t="s">
        <v>58</v>
      </c>
      <c r="C68" s="37">
        <f>C67-0.2</f>
        <v>12.3</v>
      </c>
      <c r="D68" s="3"/>
      <c r="F68" s="3">
        <v>52.5</v>
      </c>
      <c r="G68" s="3">
        <v>6870</v>
      </c>
      <c r="M68" s="3" t="s">
        <v>115</v>
      </c>
    </row>
    <row r="69" spans="1:13" ht="12.75">
      <c r="B69" s="3" t="s">
        <v>48</v>
      </c>
      <c r="C69" s="37">
        <f>D64+0.5</f>
        <v>11.7</v>
      </c>
      <c r="D69" s="3"/>
      <c r="M69" s="3" t="s">
        <v>116</v>
      </c>
    </row>
    <row r="70" spans="1:13" ht="12.75">
      <c r="B70" s="3" t="s">
        <v>117</v>
      </c>
      <c r="C70" s="37">
        <f>E64</f>
        <v>6</v>
      </c>
      <c r="D70" s="3"/>
      <c r="M70" s="129" t="s">
        <v>118</v>
      </c>
    </row>
    <row r="71" spans="1:13" ht="12.75">
      <c r="D71" s="3"/>
    </row>
    <row r="72" spans="1:13" ht="12.75">
      <c r="A72" s="19"/>
      <c r="B72" s="28" t="s">
        <v>14</v>
      </c>
      <c r="C72" s="28" t="s">
        <v>15</v>
      </c>
      <c r="I72" s="3" t="s">
        <v>119</v>
      </c>
    </row>
    <row r="73" spans="1:13" ht="12.75">
      <c r="A73" s="28" t="s">
        <v>23</v>
      </c>
      <c r="B73" s="36">
        <f>D64+(C64/2)+E64+(C64*3/4)+1.5</f>
        <v>33.700000000000003</v>
      </c>
      <c r="C73" s="36">
        <f>C64+C64+B64+B64+4+2</f>
        <v>78</v>
      </c>
      <c r="I73" s="3" t="s">
        <v>26</v>
      </c>
      <c r="J73" s="37" t="str">
        <f>CONCATENATE(B64," X ",C64," X ",D64, " cm")</f>
        <v>24 X 12 X 11,2 cm</v>
      </c>
    </row>
    <row r="74" spans="1:13" ht="12.75">
      <c r="A74" s="44" t="s">
        <v>30</v>
      </c>
      <c r="B74" s="15">
        <v>40</v>
      </c>
      <c r="C74" s="45">
        <v>80</v>
      </c>
      <c r="I74" s="3" t="s">
        <v>31</v>
      </c>
      <c r="J74" s="3" t="s">
        <v>32</v>
      </c>
    </row>
    <row r="76" spans="1:13" ht="30">
      <c r="A76" s="1" t="s">
        <v>120</v>
      </c>
      <c r="B76" s="2"/>
      <c r="C76" s="2"/>
      <c r="D76" s="2"/>
      <c r="E76" s="2"/>
      <c r="F76" s="2"/>
      <c r="G76" s="2"/>
      <c r="H76" s="2"/>
      <c r="I76" s="2"/>
      <c r="J76" s="2"/>
    </row>
    <row r="77" spans="1:13" ht="12.75">
      <c r="B77" s="3"/>
      <c r="C77" s="3"/>
      <c r="D77" s="3"/>
      <c r="E77" s="3"/>
      <c r="F77" s="3"/>
    </row>
    <row r="78" spans="1:13" ht="12.75">
      <c r="B78" s="7" t="s">
        <v>3</v>
      </c>
      <c r="C78" s="7" t="s">
        <v>4</v>
      </c>
      <c r="D78" s="7" t="s">
        <v>5</v>
      </c>
      <c r="E78" s="7" t="s">
        <v>6</v>
      </c>
      <c r="I78" s="3" t="s">
        <v>7</v>
      </c>
      <c r="J78" s="3" t="s">
        <v>8</v>
      </c>
    </row>
    <row r="79" spans="1:13" ht="12.75">
      <c r="B79" s="15">
        <v>7</v>
      </c>
      <c r="C79" s="16">
        <v>7</v>
      </c>
      <c r="D79" s="15">
        <v>25</v>
      </c>
      <c r="E79" s="15">
        <v>3</v>
      </c>
      <c r="F79" s="76"/>
      <c r="I79" s="18">
        <f>((C82*6)+(B82*6))*600</f>
        <v>271800</v>
      </c>
      <c r="J79" s="19">
        <f>B83*C83</f>
        <v>2500</v>
      </c>
    </row>
    <row r="80" spans="1:13" ht="12.75">
      <c r="B80" s="3"/>
      <c r="D80" s="3"/>
    </row>
    <row r="81" spans="1:10" ht="12.75">
      <c r="A81" s="19"/>
      <c r="B81" s="28" t="s">
        <v>14</v>
      </c>
      <c r="C81" s="28" t="s">
        <v>15</v>
      </c>
      <c r="I81" s="3" t="s">
        <v>121</v>
      </c>
    </row>
    <row r="82" spans="1:10" ht="12.75">
      <c r="A82" s="28" t="s">
        <v>23</v>
      </c>
      <c r="B82" s="36">
        <f>D79+C79*2+1.5+2</f>
        <v>42.5</v>
      </c>
      <c r="C82" s="36">
        <f>2+B79+B79+C79+C79+E79</f>
        <v>33</v>
      </c>
      <c r="F82" s="8"/>
      <c r="I82" s="3" t="s">
        <v>26</v>
      </c>
      <c r="J82" s="37" t="str">
        <f>CONCATENATE(B79," X ",C79," X ",D79, " cm")</f>
        <v>7 X 7 X 25 cm</v>
      </c>
    </row>
    <row r="83" spans="1:10" ht="12.75">
      <c r="A83" s="44" t="s">
        <v>30</v>
      </c>
      <c r="B83" s="15">
        <v>50</v>
      </c>
      <c r="C83" s="45">
        <v>50</v>
      </c>
      <c r="I83" s="3" t="s">
        <v>31</v>
      </c>
      <c r="J83" s="3" t="s">
        <v>32</v>
      </c>
    </row>
    <row r="86" spans="1:10" ht="30">
      <c r="A86" s="1" t="s">
        <v>122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 ht="12.75">
      <c r="B87" s="3"/>
      <c r="C87" s="3"/>
      <c r="D87" s="3"/>
      <c r="E87" s="3"/>
      <c r="F87" s="3"/>
    </row>
    <row r="88" spans="1:10" ht="12.75">
      <c r="B88" s="7" t="s">
        <v>3</v>
      </c>
      <c r="C88" s="7" t="s">
        <v>4</v>
      </c>
      <c r="D88" s="7" t="s">
        <v>5</v>
      </c>
      <c r="E88" s="7" t="s">
        <v>6</v>
      </c>
      <c r="F88" s="7" t="s">
        <v>35</v>
      </c>
      <c r="I88" s="3" t="s">
        <v>7</v>
      </c>
      <c r="J88" s="3" t="s">
        <v>8</v>
      </c>
    </row>
    <row r="89" spans="1:10" ht="12.75">
      <c r="B89" s="15">
        <v>38</v>
      </c>
      <c r="C89" s="16">
        <v>10</v>
      </c>
      <c r="D89" s="15">
        <v>27</v>
      </c>
      <c r="E89" s="15">
        <v>8</v>
      </c>
      <c r="F89" s="130">
        <f>MAX(0,SUM(E91)-0)</f>
        <v>0</v>
      </c>
      <c r="I89" s="18">
        <f>((C92*6)+(B92*4))*600</f>
        <v>442800</v>
      </c>
      <c r="J89" s="19">
        <f>B93*C93</f>
        <v>5985</v>
      </c>
    </row>
    <row r="90" spans="1:10" ht="12.75">
      <c r="B90" s="3"/>
      <c r="D90" s="3"/>
      <c r="E90" s="131" t="s">
        <v>35</v>
      </c>
      <c r="F90" s="132"/>
    </row>
    <row r="91" spans="1:10" ht="12.75">
      <c r="A91" s="19"/>
      <c r="B91" s="28" t="s">
        <v>14</v>
      </c>
      <c r="C91" s="28" t="s">
        <v>15</v>
      </c>
      <c r="E91" s="28">
        <f>C89+E89-D89</f>
        <v>-9</v>
      </c>
      <c r="I91" s="3" t="s">
        <v>123</v>
      </c>
    </row>
    <row r="92" spans="1:10" ht="12.75">
      <c r="A92" s="28" t="s">
        <v>23</v>
      </c>
      <c r="B92" s="36">
        <f>(C89)+((D89)*3)+2</f>
        <v>93</v>
      </c>
      <c r="C92" s="36">
        <f>B89+1+C89+C89+2+F89</f>
        <v>61</v>
      </c>
      <c r="F92" s="8"/>
      <c r="I92" s="3" t="s">
        <v>26</v>
      </c>
      <c r="J92" s="37" t="str">
        <f>CONCATENATE(B89," X ",C89," X ",D89, " cm")</f>
        <v>38 X 10 X 27 cm</v>
      </c>
    </row>
    <row r="93" spans="1:10" ht="12.75">
      <c r="A93" s="44" t="s">
        <v>30</v>
      </c>
      <c r="B93" s="15">
        <v>95</v>
      </c>
      <c r="C93" s="45">
        <v>63</v>
      </c>
      <c r="I93" s="3" t="s">
        <v>31</v>
      </c>
      <c r="J93" s="3" t="s">
        <v>32</v>
      </c>
    </row>
  </sheetData>
  <mergeCells count="5">
    <mergeCell ref="L15:M15"/>
    <mergeCell ref="L16:M16"/>
    <mergeCell ref="M41:N41"/>
    <mergeCell ref="R58:T58"/>
    <mergeCell ref="R59:T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2019-10-09T11:29:55Z</dcterms:created>
  <dcterms:modified xsi:type="dcterms:W3CDTF">2019-10-09T16:10:56Z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eccc15d8-4410-4b09-b8de-aa35ab502d89</vt:lpwstr>
  </property>
</Properties>
</file>