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DE109491\Desktop\ECR Dashboard\"/>
    </mc:Choice>
  </mc:AlternateContent>
  <xr:revisionPtr revIDLastSave="0" documentId="13_ncr:1_{681D544D-3360-46E5-8491-173832231C38}" xr6:coauthVersionLast="47" xr6:coauthVersionMax="47" xr10:uidLastSave="{00000000-0000-0000-0000-000000000000}"/>
  <bookViews>
    <workbookView xWindow="28680" yWindow="-120" windowWidth="29040" windowHeight="15840" firstSheet="2" activeTab="2" xr2:uid="{00000000-000D-0000-FFFF-FFFF00000000}"/>
  </bookViews>
  <sheets>
    <sheet name="ELs" sheetId="2" state="hidden" r:id="rId1"/>
    <sheet name="ECRs" sheetId="3" state="hidden" r:id="rId2"/>
    <sheet name="Sheet1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1" i="6" l="1"/>
  <c r="N61" i="6"/>
  <c r="M61" i="6"/>
  <c r="L61" i="6"/>
  <c r="K61" i="6"/>
  <c r="J61" i="6"/>
  <c r="I61" i="6"/>
  <c r="H61" i="6"/>
  <c r="G61" i="6"/>
  <c r="F61" i="6"/>
  <c r="E61" i="6"/>
  <c r="D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P2" i="6"/>
  <c r="B64" i="3"/>
  <c r="A64" i="3"/>
  <c r="B63" i="3"/>
  <c r="A63" i="3"/>
  <c r="B62" i="3"/>
  <c r="A62" i="3"/>
  <c r="B61" i="3"/>
  <c r="A61" i="3"/>
  <c r="B60" i="3"/>
  <c r="A60" i="3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B2" i="3"/>
  <c r="A2" i="3"/>
  <c r="B1" i="3"/>
  <c r="A1" i="3"/>
  <c r="B64" i="2"/>
  <c r="A64" i="2"/>
  <c r="B63" i="2"/>
  <c r="A63" i="2"/>
  <c r="B62" i="2"/>
  <c r="A62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B53" i="2"/>
  <c r="A53" i="2"/>
  <c r="B52" i="2"/>
  <c r="A52" i="2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B2" i="2"/>
  <c r="A2" i="2"/>
  <c r="B1" i="2"/>
  <c r="A1" i="2"/>
  <c r="P61" i="6" l="1"/>
</calcChain>
</file>

<file path=xl/sharedStrings.xml><?xml version="1.0" encoding="utf-8"?>
<sst xmlns="http://schemas.openxmlformats.org/spreadsheetml/2006/main" count="76" uniqueCount="76">
  <si>
    <t>Territory</t>
  </si>
  <si>
    <t># ELs</t>
  </si>
  <si>
    <t># ECRs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</si>
  <si>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</si>
  <si>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</si>
  <si>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</si>
  <si>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</si>
  <si>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</si>
  <si>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</si>
  <si>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</si>
  <si>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</si>
  <si>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</si>
  <si>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</si>
  <si>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</si>
  <si>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</si>
  <si>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Average</t>
  </si>
  <si>
    <t>Averages</t>
  </si>
  <si>
    <t>Country 1</t>
  </si>
  <si>
    <t>Country 2</t>
  </si>
  <si>
    <t>Country 3</t>
  </si>
  <si>
    <t>Country 4</t>
  </si>
  <si>
    <t>Country 5</t>
  </si>
  <si>
    <t>Country 6</t>
  </si>
  <si>
    <t>Country 7</t>
  </si>
  <si>
    <t>Country 8</t>
  </si>
  <si>
    <t>Country 9</t>
  </si>
  <si>
    <t>Country 10</t>
  </si>
  <si>
    <t>Country 11</t>
  </si>
  <si>
    <t>Country 12</t>
  </si>
  <si>
    <t>Country 13</t>
  </si>
  <si>
    <t>Country 14</t>
  </si>
  <si>
    <t>Country 15</t>
  </si>
  <si>
    <t>Country 16</t>
  </si>
  <si>
    <t>Country 17</t>
  </si>
  <si>
    <t>Country 18</t>
  </si>
  <si>
    <t>Country 19</t>
  </si>
  <si>
    <t>Country 20</t>
  </si>
  <si>
    <t>Country 21</t>
  </si>
  <si>
    <t>Country 22</t>
  </si>
  <si>
    <t>Country 23</t>
  </si>
  <si>
    <t>Country 24</t>
  </si>
  <si>
    <t>Country 25</t>
  </si>
  <si>
    <t>Country 26</t>
  </si>
  <si>
    <t>Country 27</t>
  </si>
  <si>
    <t>Country 28</t>
  </si>
  <si>
    <t>Country 29</t>
  </si>
  <si>
    <t>Country 30</t>
  </si>
  <si>
    <t>Country 31</t>
  </si>
  <si>
    <t>Country 32</t>
  </si>
  <si>
    <t>Country 33</t>
  </si>
  <si>
    <t>Country 34</t>
  </si>
  <si>
    <t>Country 35</t>
  </si>
  <si>
    <t>Country 36</t>
  </si>
  <si>
    <t>Country 37</t>
  </si>
  <si>
    <t>Country 38</t>
  </si>
  <si>
    <t>Country 39</t>
  </si>
  <si>
    <t>Country 40</t>
  </si>
  <si>
    <t>Country 41</t>
  </si>
  <si>
    <t>Country 42</t>
  </si>
  <si>
    <t>Country 43</t>
  </si>
  <si>
    <t>Country 44</t>
  </si>
  <si>
    <t>Country 45</t>
  </si>
  <si>
    <t>Country 46</t>
  </si>
  <si>
    <t>Country 47</t>
  </si>
  <si>
    <t>Country 48</t>
  </si>
  <si>
    <t>Country 49</t>
  </si>
  <si>
    <t>Country 50</t>
  </si>
  <si>
    <t>Country 51</t>
  </si>
  <si>
    <t>Country 52</t>
  </si>
  <si>
    <t>Country 53</t>
  </si>
  <si>
    <t>Country 54</t>
  </si>
  <si>
    <t>Country 55</t>
  </si>
  <si>
    <t>Country 56</t>
  </si>
  <si>
    <t>Country 57</t>
  </si>
  <si>
    <t>Country 58</t>
  </si>
  <si>
    <t>Country 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</si>
</sst>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  <scheme val="minor"/>
    </font>
    <font>
      <b/>
      <u/>
      <sz val="10"/>
      <color theme="1"/>
      <name val="Arial"/>
      <scheme val="minor"/>
    </font>
    <font>
      <sz val="10"/>
      <color theme="1"/>
      <name val="Arial"/>
    </font>
    <font>
      <sz val="10"/>
      <color rgb="FFFFFFFF"/>
      <name val="Arial"/>
    </font>
    <font>
      <b/>
      <sz val="8"/>
      <color rgb="FFFFFFFF"/>
      <name val="Arial"/>
    </font>
    <font>
      <sz val="8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8093B3"/>
        <bgColor rgb="FF8093B3"/>
      </patternFill>
    </fill>
    <fill>
      <patternFill patternType="solid">
        <fgColor rgb="FFB7B7B7"/>
        <bgColor rgb="FFB7B7B7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6" fillId="3" borderId="2" xfId="0" applyFont="1" applyFill="1" applyBorder="1" applyAlignment="1">
      <alignment horizontal="center"/>
    </xf>
    <xf numFmtId="4" fontId="6" fillId="3" borderId="2" xfId="0" applyNumberFormat="1" applyFont="1" applyFill="1" applyBorder="1" applyAlignment="1">
      <alignment horizontal="center"/>
    </xf>
    <xf numFmtId="4" fontId="7" fillId="4" borderId="0" xfId="0" applyNumberFormat="1" applyFont="1" applyFill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4" fontId="2" fillId="0" borderId="3" xfId="0" applyNumberFormat="1" applyFont="1" applyBorder="1" applyAlignment="1">
      <alignment horizontal="right"/>
    </xf>
    <xf numFmtId="0" fontId="3" fillId="0" borderId="1" xfId="0" applyFont="1" applyBorder="1" applyAlignment="1">
      <alignment vertical="center"/>
    </xf>
    <xf numFmtId="0" fontId="5" fillId="5" borderId="1" xfId="0" applyFont="1" applyFill="1" applyBorder="1" applyAlignment="1">
      <alignment horizontal="right"/>
    </xf>
    <xf numFmtId="0" fontId="5" fillId="6" borderId="1" xfId="0" applyFont="1" applyFill="1" applyBorder="1" applyAlignment="1">
      <alignment horizontal="right"/>
    </xf>
    <xf numFmtId="4" fontId="5" fillId="5" borderId="1" xfId="0" applyNumberFormat="1" applyFont="1" applyFill="1" applyBorder="1" applyAlignment="1">
      <alignment horizontal="right"/>
    </xf>
    <xf numFmtId="0" fontId="5" fillId="0" borderId="2" xfId="0" applyFont="1" applyBorder="1" applyAlignment="1"/>
    <xf numFmtId="0" fontId="5" fillId="6" borderId="2" xfId="0" applyFont="1" applyFill="1" applyBorder="1" applyAlignment="1">
      <alignment horizontal="right"/>
    </xf>
    <xf numFmtId="0" fontId="5" fillId="5" borderId="2" xfId="0" applyFont="1" applyFill="1" applyBorder="1" applyAlignment="1">
      <alignment horizontal="right"/>
    </xf>
    <xf numFmtId="4" fontId="2" fillId="0" borderId="4" xfId="0" applyNumberFormat="1" applyFont="1" applyBorder="1" applyAlignment="1">
      <alignment horizontal="right"/>
    </xf>
    <xf numFmtId="0" fontId="5" fillId="2" borderId="2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0" fontId="5" fillId="5" borderId="6" xfId="0" applyFont="1" applyFill="1" applyBorder="1" applyAlignment="1">
      <alignment horizontal="right"/>
    </xf>
    <xf numFmtId="0" fontId="5" fillId="5" borderId="5" xfId="0" applyFont="1" applyFill="1" applyBorder="1" applyAlignment="1">
      <alignment horizontal="right"/>
    </xf>
    <xf numFmtId="4" fontId="2" fillId="0" borderId="7" xfId="0" applyNumberFormat="1" applyFont="1" applyBorder="1" applyAlignment="1">
      <alignment horizontal="right"/>
    </xf>
  </cellXfs>
  <cellStyles count="1">
    <cellStyle name="Normal" xfId="0" builtinId="0"/>
  </cellStyles>
  <dxfs count="6">
    <dxf>
      <fill>
        <patternFill patternType="none"/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none"/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64"/>
  <sheetViews>
    <sheetView workbookViewId="0"/>
  </sheetViews>
  <sheetFormatPr defaultColWidth="12.6328125" defaultRowHeight="15.75" customHeight="1" x14ac:dyDescent="0.25"/>
  <sheetData>
    <row r="1" spans="1:2" ht="13" x14ac:dyDescent="0.3">
      <c r="A1" s="1" t="str">
        <f ca="1">IFERROR(__xludf.DUMMYFUNCTION("QUERY('FY22 ECR Full Results'!A:E,""Select A,D WHERE C='Number of engagement leaders'"",1)"),"Territory")</f>
        <v>Territory</v>
      </c>
      <c r="B1" s="1" t="str">
        <f ca="1">IFERROR(__xludf.DUMMYFUNCTION("""COMPUTED_VALUE"""),"Response")</f>
        <v>Response</v>
      </c>
    </row>
    <row r="2" spans="1:2" ht="15.75" customHeight="1" x14ac:dyDescent="0.25">
      <c r="A2" s="2" t="str">
        <f ca="1">IFERROR(__xludf.DUMMYFUNCTION("""COMPUTED_VALUE"""),"Africa East")</f>
        <v>Africa East</v>
      </c>
      <c r="B2" s="2" t="str">
        <f ca="1">IFERROR(__xludf.DUMMYFUNCTION("""COMPUTED_VALUE"""),"30.000000")</f>
        <v>30.000000</v>
      </c>
    </row>
    <row r="3" spans="1:2" ht="15.75" customHeight="1" x14ac:dyDescent="0.25">
      <c r="A3" s="2" t="str">
        <f ca="1">IFERROR(__xludf.DUMMYFUNCTION("""COMPUTED_VALUE"""),"Africa South")</f>
        <v>Africa South</v>
      </c>
      <c r="B3" s="2" t="str">
        <f ca="1">IFERROR(__xludf.DUMMYFUNCTION("""COMPUTED_VALUE"""),"60.000000")</f>
        <v>60.000000</v>
      </c>
    </row>
    <row r="4" spans="1:2" ht="15.75" customHeight="1" x14ac:dyDescent="0.25">
      <c r="A4" s="2" t="str">
        <f ca="1">IFERROR(__xludf.DUMMYFUNCTION("""COMPUTED_VALUE"""),"Africa West")</f>
        <v>Africa West</v>
      </c>
      <c r="B4" s="2" t="str">
        <f ca="1">IFERROR(__xludf.DUMMYFUNCTION("""COMPUTED_VALUE"""),"18.000000")</f>
        <v>18.000000</v>
      </c>
    </row>
    <row r="5" spans="1:2" ht="15.75" customHeight="1" x14ac:dyDescent="0.25">
      <c r="A5" s="2" t="str">
        <f ca="1">IFERROR(__xludf.DUMMYFUNCTION("""COMPUTED_VALUE"""),"Argentina")</f>
        <v>Argentina</v>
      </c>
      <c r="B5" s="2" t="str">
        <f ca="1">IFERROR(__xludf.DUMMYFUNCTION("""COMPUTED_VALUE"""),"26.000000")</f>
        <v>26.000000</v>
      </c>
    </row>
    <row r="6" spans="1:2" ht="15.75" customHeight="1" x14ac:dyDescent="0.25">
      <c r="A6" s="2" t="str">
        <f ca="1">IFERROR(__xludf.DUMMYFUNCTION("""COMPUTED_VALUE"""),"Australia")</f>
        <v>Australia</v>
      </c>
      <c r="B6" s="2" t="str">
        <f ca="1">IFERROR(__xludf.DUMMYFUNCTION("""COMPUTED_VALUE"""),"194.000000")</f>
        <v>194.000000</v>
      </c>
    </row>
    <row r="7" spans="1:2" ht="15.75" customHeight="1" x14ac:dyDescent="0.25">
      <c r="A7" s="2" t="str">
        <f ca="1">IFERROR(__xludf.DUMMYFUNCTION("""COMPUTED_VALUE"""),"Austria")</f>
        <v>Austria</v>
      </c>
      <c r="B7" s="2" t="str">
        <f ca="1">IFERROR(__xludf.DUMMYFUNCTION("""COMPUTED_VALUE"""),"23.000000")</f>
        <v>23.000000</v>
      </c>
    </row>
    <row r="8" spans="1:2" ht="15.75" customHeight="1" x14ac:dyDescent="0.25">
      <c r="A8" s="2" t="str">
        <f ca="1">IFERROR(__xludf.DUMMYFUNCTION("""COMPUTED_VALUE"""),"Belgium")</f>
        <v>Belgium</v>
      </c>
      <c r="B8" s="2" t="str">
        <f ca="1">IFERROR(__xludf.DUMMYFUNCTION("""COMPUTED_VALUE"""),"79.000000")</f>
        <v>79.000000</v>
      </c>
    </row>
    <row r="9" spans="1:2" ht="15.75" customHeight="1" x14ac:dyDescent="0.25">
      <c r="A9" s="2" t="str">
        <f ca="1">IFERROR(__xludf.DUMMYFUNCTION("""COMPUTED_VALUE"""),"Bolivia")</f>
        <v>Bolivia</v>
      </c>
      <c r="B9" s="2" t="str">
        <f ca="1">IFERROR(__xludf.DUMMYFUNCTION("""COMPUTED_VALUE"""),"2.000000")</f>
        <v>2.000000</v>
      </c>
    </row>
    <row r="10" spans="1:2" ht="15.75" customHeight="1" x14ac:dyDescent="0.25">
      <c r="A10" s="2" t="str">
        <f ca="1">IFERROR(__xludf.DUMMYFUNCTION("""COMPUTED_VALUE"""),"Brazil")</f>
        <v>Brazil</v>
      </c>
      <c r="B10" s="2" t="str">
        <f ca="1">IFERROR(__xludf.DUMMYFUNCTION("""COMPUTED_VALUE"""),"28.000000")</f>
        <v>28.000000</v>
      </c>
    </row>
    <row r="11" spans="1:2" ht="15.75" customHeight="1" x14ac:dyDescent="0.25">
      <c r="A11" s="2" t="str">
        <f ca="1">IFERROR(__xludf.DUMMYFUNCTION("""COMPUTED_VALUE"""),"Canada")</f>
        <v>Canada</v>
      </c>
      <c r="B11" s="2" t="str">
        <f ca="1">IFERROR(__xludf.DUMMYFUNCTION("""COMPUTED_VALUE"""),"153.000000")</f>
        <v>153.000000</v>
      </c>
    </row>
    <row r="12" spans="1:2" ht="15.75" customHeight="1" x14ac:dyDescent="0.25">
      <c r="A12" s="2" t="str">
        <f ca="1">IFERROR(__xludf.DUMMYFUNCTION("""COMPUTED_VALUE"""),"Caribbean")</f>
        <v>Caribbean</v>
      </c>
      <c r="B12" s="2" t="str">
        <f ca="1">IFERROR(__xludf.DUMMYFUNCTION("""COMPUTED_VALUE"""),"19.000000")</f>
        <v>19.000000</v>
      </c>
    </row>
    <row r="13" spans="1:2" ht="15.75" customHeight="1" x14ac:dyDescent="0.25">
      <c r="A13" s="2" t="str">
        <f ca="1">IFERROR(__xludf.DUMMYFUNCTION("""COMPUTED_VALUE"""),"CEE")</f>
        <v>CEE</v>
      </c>
      <c r="B13" s="2" t="str">
        <f ca="1">IFERROR(__xludf.DUMMYFUNCTION("""COMPUTED_VALUE"""),"126.000000")</f>
        <v>126.000000</v>
      </c>
    </row>
    <row r="14" spans="1:2" ht="15.75" customHeight="1" x14ac:dyDescent="0.25">
      <c r="A14" s="2" t="str">
        <f ca="1">IFERROR(__xludf.DUMMYFUNCTION("""COMPUTED_VALUE"""),"Channel Islands")</f>
        <v>Channel Islands</v>
      </c>
      <c r="B14" s="2" t="str">
        <f ca="1">IFERROR(__xludf.DUMMYFUNCTION("""COMPUTED_VALUE"""),"3.000000")</f>
        <v>3.000000</v>
      </c>
    </row>
    <row r="15" spans="1:2" ht="15.75" customHeight="1" x14ac:dyDescent="0.25">
      <c r="A15" s="2" t="str">
        <f ca="1">IFERROR(__xludf.DUMMYFUNCTION("""COMPUTED_VALUE"""),"Chile")</f>
        <v>Chile</v>
      </c>
      <c r="B15" s="2" t="str">
        <f ca="1">IFERROR(__xludf.DUMMYFUNCTION("""COMPUTED_VALUE"""),"15.000000")</f>
        <v>15.000000</v>
      </c>
    </row>
    <row r="16" spans="1:2" ht="15.75" customHeight="1" x14ac:dyDescent="0.25">
      <c r="A16" s="2" t="str">
        <f ca="1">IFERROR(__xludf.DUMMYFUNCTION("""COMPUTED_VALUE"""),"China/HK")</f>
        <v>China/HK</v>
      </c>
      <c r="B16" s="2" t="str">
        <f ca="1">IFERROR(__xludf.DUMMYFUNCTION("""COMPUTED_VALUE"""),"214.000000")</f>
        <v>214.000000</v>
      </c>
    </row>
    <row r="17" spans="1:2" ht="15.75" customHeight="1" x14ac:dyDescent="0.25">
      <c r="A17" s="2" t="str">
        <f ca="1">IFERROR(__xludf.DUMMYFUNCTION("""COMPUTED_VALUE"""),"Colombia")</f>
        <v>Colombia</v>
      </c>
      <c r="B17" s="2" t="str">
        <f ca="1">IFERROR(__xludf.DUMMYFUNCTION("""COMPUTED_VALUE"""),"11.000000")</f>
        <v>11.000000</v>
      </c>
    </row>
    <row r="18" spans="1:2" ht="15.75" customHeight="1" x14ac:dyDescent="0.25">
      <c r="A18" s="2" t="str">
        <f ca="1">IFERROR(__xludf.DUMMYFUNCTION("""COMPUTED_VALUE"""),"Cyprus")</f>
        <v>Cyprus</v>
      </c>
      <c r="B18" s="2" t="str">
        <f ca="1">IFERROR(__xludf.DUMMYFUNCTION("""COMPUTED_VALUE"""),"44.000000")</f>
        <v>44.000000</v>
      </c>
    </row>
    <row r="19" spans="1:2" ht="15.75" customHeight="1" x14ac:dyDescent="0.25">
      <c r="A19" s="2" t="str">
        <f ca="1">IFERROR(__xludf.DUMMYFUNCTION("""COMPUTED_VALUE"""),"Denmark")</f>
        <v>Denmark</v>
      </c>
      <c r="B19" s="2" t="str">
        <f ca="1">IFERROR(__xludf.DUMMYFUNCTION("""COMPUTED_VALUE"""),"59.000000")</f>
        <v>59.000000</v>
      </c>
    </row>
    <row r="20" spans="1:2" ht="15.75" customHeight="1" x14ac:dyDescent="0.25">
      <c r="A20" s="2" t="str">
        <f ca="1">IFERROR(__xludf.DUMMYFUNCTION("""COMPUTED_VALUE"""),"Ecuador")</f>
        <v>Ecuador</v>
      </c>
      <c r="B20" s="2" t="str">
        <f ca="1">IFERROR(__xludf.DUMMYFUNCTION("""COMPUTED_VALUE"""),"3.000000")</f>
        <v>3.000000</v>
      </c>
    </row>
    <row r="21" spans="1:2" ht="15.75" customHeight="1" x14ac:dyDescent="0.25">
      <c r="A21" s="2" t="str">
        <f ca="1">IFERROR(__xludf.DUMMYFUNCTION("""COMPUTED_VALUE"""),"Fiji")</f>
        <v>Fiji</v>
      </c>
      <c r="B21" s="2" t="str">
        <f ca="1">IFERROR(__xludf.DUMMYFUNCTION("""COMPUTED_VALUE"""),"6.000000")</f>
        <v>6.000000</v>
      </c>
    </row>
    <row r="22" spans="1:2" ht="15.75" customHeight="1" x14ac:dyDescent="0.25">
      <c r="A22" s="2" t="str">
        <f ca="1">IFERROR(__xludf.DUMMYFUNCTION("""COMPUTED_VALUE"""),"Finland")</f>
        <v>Finland</v>
      </c>
      <c r="B22" s="2" t="str">
        <f ca="1">IFERROR(__xludf.DUMMYFUNCTION("""COMPUTED_VALUE"""),"22.000000")</f>
        <v>22.000000</v>
      </c>
    </row>
    <row r="23" spans="1:2" ht="15.75" customHeight="1" x14ac:dyDescent="0.25">
      <c r="A23" s="2" t="str">
        <f ca="1">IFERROR(__xludf.DUMMYFUNCTION("""COMPUTED_VALUE"""),"France")</f>
        <v>France</v>
      </c>
      <c r="B23" s="2" t="str">
        <f ca="1">IFERROR(__xludf.DUMMYFUNCTION("""COMPUTED_VALUE"""),"62.000000")</f>
        <v>62.000000</v>
      </c>
    </row>
    <row r="24" spans="1:2" ht="15.75" customHeight="1" x14ac:dyDescent="0.25">
      <c r="A24" s="2" t="str">
        <f ca="1">IFERROR(__xludf.DUMMYFUNCTION("""COMPUTED_VALUE"""),"Francophone Africa Sub Saharan")</f>
        <v>Francophone Africa Sub Saharan</v>
      </c>
      <c r="B24" s="2" t="str">
        <f ca="1">IFERROR(__xludf.DUMMYFUNCTION("""COMPUTED_VALUE"""),"19.000000")</f>
        <v>19.000000</v>
      </c>
    </row>
    <row r="25" spans="1:2" ht="15.75" customHeight="1" x14ac:dyDescent="0.25">
      <c r="A25" s="2" t="str">
        <f ca="1">IFERROR(__xludf.DUMMYFUNCTION("""COMPUTED_VALUE"""),"Germany")</f>
        <v>Germany</v>
      </c>
      <c r="B25" s="2" t="str">
        <f ca="1">IFERROR(__xludf.DUMMYFUNCTION("""COMPUTED_VALUE"""),"186.000000")</f>
        <v>186.000000</v>
      </c>
    </row>
    <row r="26" spans="1:2" ht="15.75" customHeight="1" x14ac:dyDescent="0.25">
      <c r="A26" s="2" t="str">
        <f ca="1">IFERROR(__xludf.DUMMYFUNCTION("""COMPUTED_VALUE"""),"Gibraltar")</f>
        <v>Gibraltar</v>
      </c>
      <c r="B26" s="2" t="str">
        <f ca="1">IFERROR(__xludf.DUMMYFUNCTION("""COMPUTED_VALUE"""),"3.000000")</f>
        <v>3.000000</v>
      </c>
    </row>
    <row r="27" spans="1:2" ht="15.75" customHeight="1" x14ac:dyDescent="0.25">
      <c r="A27" s="2" t="str">
        <f ca="1">IFERROR(__xludf.DUMMYFUNCTION("""COMPUTED_VALUE"""),"Greece")</f>
        <v>Greece</v>
      </c>
      <c r="B27" s="2" t="str">
        <f ca="1">IFERROR(__xludf.DUMMYFUNCTION("""COMPUTED_VALUE"""),"11.000000")</f>
        <v>11.000000</v>
      </c>
    </row>
    <row r="28" spans="1:2" ht="15.75" customHeight="1" x14ac:dyDescent="0.25">
      <c r="A28" s="2" t="str">
        <f ca="1">IFERROR(__xludf.DUMMYFUNCTION("""COMPUTED_VALUE"""),"Iceland")</f>
        <v>Iceland</v>
      </c>
      <c r="B28" s="2" t="str">
        <f ca="1">IFERROR(__xludf.DUMMYFUNCTION("""COMPUTED_VALUE"""),"1.000000")</f>
        <v>1.000000</v>
      </c>
    </row>
    <row r="29" spans="1:2" ht="15.75" customHeight="1" x14ac:dyDescent="0.25">
      <c r="A29" s="2" t="str">
        <f ca="1">IFERROR(__xludf.DUMMYFUNCTION("""COMPUTED_VALUE"""),"India")</f>
        <v>India</v>
      </c>
      <c r="B29" s="2" t="str">
        <f ca="1">IFERROR(__xludf.DUMMYFUNCTION("""COMPUTED_VALUE"""),"123.000000")</f>
        <v>123.000000</v>
      </c>
    </row>
    <row r="30" spans="1:2" ht="15.75" customHeight="1" x14ac:dyDescent="0.25">
      <c r="A30" s="2" t="str">
        <f ca="1">IFERROR(__xludf.DUMMYFUNCTION("""COMPUTED_VALUE"""),"Indonesia")</f>
        <v>Indonesia</v>
      </c>
      <c r="B30" s="2" t="str">
        <f ca="1">IFERROR(__xludf.DUMMYFUNCTION("""COMPUTED_VALUE"""),"22.000000")</f>
        <v>22.000000</v>
      </c>
    </row>
    <row r="31" spans="1:2" ht="15.75" customHeight="1" x14ac:dyDescent="0.25">
      <c r="A31" s="2" t="str">
        <f ca="1">IFERROR(__xludf.DUMMYFUNCTION("""COMPUTED_VALUE"""),"Interamericas")</f>
        <v>Interamericas</v>
      </c>
      <c r="B31" s="2" t="str">
        <f ca="1">IFERROR(__xludf.DUMMYFUNCTION("""COMPUTED_VALUE"""),"11.000000")</f>
        <v>11.000000</v>
      </c>
    </row>
    <row r="32" spans="1:2" ht="15.75" customHeight="1" x14ac:dyDescent="0.25">
      <c r="A32" s="2" t="str">
        <f ca="1">IFERROR(__xludf.DUMMYFUNCTION("""COMPUTED_VALUE"""),"Ireland")</f>
        <v>Ireland</v>
      </c>
      <c r="B32" s="2" t="str">
        <f ca="1">IFERROR(__xludf.DUMMYFUNCTION("""COMPUTED_VALUE"""),"45.000000")</f>
        <v>45.000000</v>
      </c>
    </row>
    <row r="33" spans="1:2" ht="15.75" customHeight="1" x14ac:dyDescent="0.25">
      <c r="A33" s="2" t="str">
        <f ca="1">IFERROR(__xludf.DUMMYFUNCTION("""COMPUTED_VALUE"""),"Isle of Man")</f>
        <v>Isle of Man</v>
      </c>
      <c r="B33" s="2" t="str">
        <f ca="1">IFERROR(__xludf.DUMMYFUNCTION("""COMPUTED_VALUE"""),"1.000000")</f>
        <v>1.000000</v>
      </c>
    </row>
    <row r="34" spans="1:2" ht="15.75" customHeight="1" x14ac:dyDescent="0.25">
      <c r="A34" s="2" t="str">
        <f ca="1">IFERROR(__xludf.DUMMYFUNCTION("""COMPUTED_VALUE"""),"Israel")</f>
        <v>Israel</v>
      </c>
      <c r="B34" s="2" t="str">
        <f ca="1">IFERROR(__xludf.DUMMYFUNCTION("""COMPUTED_VALUE"""),"12.000000")</f>
        <v>12.000000</v>
      </c>
    </row>
    <row r="35" spans="1:2" ht="15.75" customHeight="1" x14ac:dyDescent="0.25">
      <c r="A35" s="2" t="str">
        <f ca="1">IFERROR(__xludf.DUMMYFUNCTION("""COMPUTED_VALUE"""),"Italy")</f>
        <v>Italy</v>
      </c>
      <c r="B35" s="2" t="str">
        <f ca="1">IFERROR(__xludf.DUMMYFUNCTION("""COMPUTED_VALUE"""),"84.000000")</f>
        <v>84.000000</v>
      </c>
    </row>
    <row r="36" spans="1:2" ht="12.5" x14ac:dyDescent="0.25">
      <c r="A36" s="2" t="str">
        <f ca="1">IFERROR(__xludf.DUMMYFUNCTION("""COMPUTED_VALUE"""),"Japan Tax")</f>
        <v>Japan Tax</v>
      </c>
      <c r="B36" s="2" t="str">
        <f ca="1">IFERROR(__xludf.DUMMYFUNCTION("""COMPUTED_VALUE"""),"63.000000")</f>
        <v>63.000000</v>
      </c>
    </row>
    <row r="37" spans="1:2" ht="12.5" x14ac:dyDescent="0.25">
      <c r="A37" s="2" t="str">
        <f ca="1">IFERROR(__xludf.DUMMYFUNCTION("""COMPUTED_VALUE"""),"Korea")</f>
        <v>Korea</v>
      </c>
      <c r="B37" s="2" t="str">
        <f ca="1">IFERROR(__xludf.DUMMYFUNCTION("""COMPUTED_VALUE"""),"78.000000")</f>
        <v>78.000000</v>
      </c>
    </row>
    <row r="38" spans="1:2" ht="12.5" x14ac:dyDescent="0.25">
      <c r="A38" s="2" t="str">
        <f ca="1">IFERROR(__xludf.DUMMYFUNCTION("""COMPUTED_VALUE"""),"Luxembourg")</f>
        <v>Luxembourg</v>
      </c>
      <c r="B38" s="2" t="str">
        <f ca="1">IFERROR(__xludf.DUMMYFUNCTION("""COMPUTED_VALUE"""),"98.000000")</f>
        <v>98.000000</v>
      </c>
    </row>
    <row r="39" spans="1:2" ht="12.5" x14ac:dyDescent="0.25">
      <c r="A39" s="2" t="str">
        <f ca="1">IFERROR(__xludf.DUMMYFUNCTION("""COMPUTED_VALUE"""),"Maghreb")</f>
        <v>Maghreb</v>
      </c>
      <c r="B39" s="2" t="str">
        <f ca="1">IFERROR(__xludf.DUMMYFUNCTION("""COMPUTED_VALUE"""),"4.000000")</f>
        <v>4.000000</v>
      </c>
    </row>
    <row r="40" spans="1:2" ht="12.5" x14ac:dyDescent="0.25">
      <c r="A40" s="2" t="str">
        <f ca="1">IFERROR(__xludf.DUMMYFUNCTION("""COMPUTED_VALUE"""),"Malta")</f>
        <v>Malta</v>
      </c>
      <c r="B40" s="2" t="str">
        <f ca="1">IFERROR(__xludf.DUMMYFUNCTION("""COMPUTED_VALUE"""),"8.000000")</f>
        <v>8.000000</v>
      </c>
    </row>
    <row r="41" spans="1:2" ht="12.5" x14ac:dyDescent="0.25">
      <c r="A41" s="2" t="str">
        <f ca="1">IFERROR(__xludf.DUMMYFUNCTION("""COMPUTED_VALUE"""),"Mekong")</f>
        <v>Mekong</v>
      </c>
      <c r="B41" s="2" t="str">
        <f ca="1">IFERROR(__xludf.DUMMYFUNCTION("""COMPUTED_VALUE"""),"21.000000")</f>
        <v>21.000000</v>
      </c>
    </row>
    <row r="42" spans="1:2" ht="12.5" x14ac:dyDescent="0.25">
      <c r="A42" s="2" t="str">
        <f ca="1">IFERROR(__xludf.DUMMYFUNCTION("""COMPUTED_VALUE"""),"Mexico")</f>
        <v>Mexico</v>
      </c>
      <c r="B42" s="2" t="str">
        <f ca="1">IFERROR(__xludf.DUMMYFUNCTION("""COMPUTED_VALUE"""),"60.000000")</f>
        <v>60.000000</v>
      </c>
    </row>
    <row r="43" spans="1:2" ht="12.5" x14ac:dyDescent="0.25">
      <c r="A43" s="2" t="str">
        <f ca="1">IFERROR(__xludf.DUMMYFUNCTION("""COMPUTED_VALUE"""),"Middle East")</f>
        <v>Middle East</v>
      </c>
      <c r="B43" s="2" t="str">
        <f ca="1">IFERROR(__xludf.DUMMYFUNCTION("""COMPUTED_VALUE"""),"49.000000")</f>
        <v>49.000000</v>
      </c>
    </row>
    <row r="44" spans="1:2" ht="12.5" x14ac:dyDescent="0.25">
      <c r="A44" s="2" t="str">
        <f ca="1">IFERROR(__xludf.DUMMYFUNCTION("""COMPUTED_VALUE"""),"MYVN")</f>
        <v>MYVN</v>
      </c>
      <c r="B44" s="2" t="str">
        <f ca="1">IFERROR(__xludf.DUMMYFUNCTION("""COMPUTED_VALUE"""),"56.000000")</f>
        <v>56.000000</v>
      </c>
    </row>
    <row r="45" spans="1:2" ht="12.5" x14ac:dyDescent="0.25">
      <c r="A45" s="2" t="str">
        <f ca="1">IFERROR(__xludf.DUMMYFUNCTION("""COMPUTED_VALUE"""),"Netherlands")</f>
        <v>Netherlands</v>
      </c>
      <c r="B45" s="2" t="str">
        <f ca="1">IFERROR(__xludf.DUMMYFUNCTION("""COMPUTED_VALUE"""),"141.000000")</f>
        <v>141.000000</v>
      </c>
    </row>
    <row r="46" spans="1:2" ht="12.5" x14ac:dyDescent="0.25">
      <c r="A46" s="2" t="str">
        <f ca="1">IFERROR(__xludf.DUMMYFUNCTION("""COMPUTED_VALUE"""),"New Zealand")</f>
        <v>New Zealand</v>
      </c>
      <c r="B46" s="2" t="str">
        <f ca="1">IFERROR(__xludf.DUMMYFUNCTION("""COMPUTED_VALUE"""),"68.000000")</f>
        <v>68.000000</v>
      </c>
    </row>
    <row r="47" spans="1:2" ht="12.5" x14ac:dyDescent="0.25">
      <c r="A47" s="2" t="str">
        <f ca="1">IFERROR(__xludf.DUMMYFUNCTION("""COMPUTED_VALUE"""),"Norway")</f>
        <v>Norway</v>
      </c>
      <c r="B47" s="2" t="str">
        <f ca="1">IFERROR(__xludf.DUMMYFUNCTION("""COMPUTED_VALUE"""),"26.000000")</f>
        <v>26.000000</v>
      </c>
    </row>
    <row r="48" spans="1:2" ht="12.5" x14ac:dyDescent="0.25">
      <c r="A48" s="2" t="str">
        <f ca="1">IFERROR(__xludf.DUMMYFUNCTION("""COMPUTED_VALUE"""),"Pakistan")</f>
        <v>Pakistan</v>
      </c>
      <c r="B48" s="2" t="str">
        <f ca="1">IFERROR(__xludf.DUMMYFUNCTION("""COMPUTED_VALUE"""),"14.000000")</f>
        <v>14.000000</v>
      </c>
    </row>
    <row r="49" spans="1:2" ht="12.5" x14ac:dyDescent="0.25">
      <c r="A49" s="2" t="str">
        <f ca="1">IFERROR(__xludf.DUMMYFUNCTION("""COMPUTED_VALUE"""),"Papua New Guinea")</f>
        <v>Papua New Guinea</v>
      </c>
      <c r="B49" s="2" t="str">
        <f ca="1">IFERROR(__xludf.DUMMYFUNCTION("""COMPUTED_VALUE"""),"5.000000")</f>
        <v>5.000000</v>
      </c>
    </row>
    <row r="50" spans="1:2" ht="12.5" x14ac:dyDescent="0.25">
      <c r="A50" s="2" t="str">
        <f ca="1">IFERROR(__xludf.DUMMYFUNCTION("""COMPUTED_VALUE"""),"Paraguay")</f>
        <v>Paraguay</v>
      </c>
      <c r="B50" s="2" t="str">
        <f ca="1">IFERROR(__xludf.DUMMYFUNCTION("""COMPUTED_VALUE"""),"2.000000")</f>
        <v>2.000000</v>
      </c>
    </row>
    <row r="51" spans="1:2" ht="12.5" x14ac:dyDescent="0.25">
      <c r="A51" s="2" t="str">
        <f ca="1">IFERROR(__xludf.DUMMYFUNCTION("""COMPUTED_VALUE"""),"Peru")</f>
        <v>Peru</v>
      </c>
      <c r="B51" s="2" t="str">
        <f ca="1">IFERROR(__xludf.DUMMYFUNCTION("""COMPUTED_VALUE"""),"22.000000")</f>
        <v>22.000000</v>
      </c>
    </row>
    <row r="52" spans="1:2" ht="12.5" x14ac:dyDescent="0.25">
      <c r="A52" s="2" t="str">
        <f ca="1">IFERROR(__xludf.DUMMYFUNCTION("""COMPUTED_VALUE"""),"Philippines")</f>
        <v>Philippines</v>
      </c>
      <c r="B52" s="2" t="str">
        <f ca="1">IFERROR(__xludf.DUMMYFUNCTION("""COMPUTED_VALUE"""),"9.000000")</f>
        <v>9.000000</v>
      </c>
    </row>
    <row r="53" spans="1:2" ht="12.5" x14ac:dyDescent="0.25">
      <c r="A53" s="2" t="str">
        <f ca="1">IFERROR(__xludf.DUMMYFUNCTION("""COMPUTED_VALUE"""),"Portugal")</f>
        <v>Portugal</v>
      </c>
      <c r="B53" s="2" t="str">
        <f ca="1">IFERROR(__xludf.DUMMYFUNCTION("""COMPUTED_VALUE"""),"19.000000")</f>
        <v>19.000000</v>
      </c>
    </row>
    <row r="54" spans="1:2" ht="12.5" x14ac:dyDescent="0.25">
      <c r="A54" s="2" t="str">
        <f ca="1">IFERROR(__xludf.DUMMYFUNCTION("""COMPUTED_VALUE"""),"Singapore")</f>
        <v>Singapore</v>
      </c>
      <c r="B54" s="2" t="str">
        <f ca="1">IFERROR(__xludf.DUMMYFUNCTION("""COMPUTED_VALUE"""),"39.000000")</f>
        <v>39.000000</v>
      </c>
    </row>
    <row r="55" spans="1:2" ht="12.5" x14ac:dyDescent="0.25">
      <c r="A55" s="2" t="str">
        <f ca="1">IFERROR(__xludf.DUMMYFUNCTION("""COMPUTED_VALUE"""),"Spain")</f>
        <v>Spain</v>
      </c>
      <c r="B55" s="2" t="str">
        <f ca="1">IFERROR(__xludf.DUMMYFUNCTION("""COMPUTED_VALUE"""),"129.000000")</f>
        <v>129.000000</v>
      </c>
    </row>
    <row r="56" spans="1:2" ht="12.5" x14ac:dyDescent="0.25">
      <c r="A56" s="2" t="str">
        <f ca="1">IFERROR(__xludf.DUMMYFUNCTION("""COMPUTED_VALUE"""),"Sri Lanka")</f>
        <v>Sri Lanka</v>
      </c>
      <c r="B56" s="2" t="str">
        <f ca="1">IFERROR(__xludf.DUMMYFUNCTION("""COMPUTED_VALUE"""),"3.000000")</f>
        <v>3.000000</v>
      </c>
    </row>
    <row r="57" spans="1:2" ht="12.5" x14ac:dyDescent="0.25">
      <c r="A57" s="2" t="str">
        <f ca="1">IFERROR(__xludf.DUMMYFUNCTION("""COMPUTED_VALUE"""),"Sweden")</f>
        <v>Sweden</v>
      </c>
      <c r="B57" s="2" t="str">
        <f ca="1">IFERROR(__xludf.DUMMYFUNCTION("""COMPUTED_VALUE"""),"70.000000")</f>
        <v>70.000000</v>
      </c>
    </row>
    <row r="58" spans="1:2" ht="12.5" x14ac:dyDescent="0.25">
      <c r="A58" s="2" t="str">
        <f ca="1">IFERROR(__xludf.DUMMYFUNCTION("""COMPUTED_VALUE"""),"Switzerland")</f>
        <v>Switzerland</v>
      </c>
      <c r="B58" s="2" t="str">
        <f ca="1">IFERROR(__xludf.DUMMYFUNCTION("""COMPUTED_VALUE"""),"102.000000")</f>
        <v>102.000000</v>
      </c>
    </row>
    <row r="59" spans="1:2" ht="12.5" x14ac:dyDescent="0.25">
      <c r="A59" s="2" t="str">
        <f ca="1">IFERROR(__xludf.DUMMYFUNCTION("""COMPUTED_VALUE"""),"Taiwan")</f>
        <v>Taiwan</v>
      </c>
      <c r="B59" s="2" t="str">
        <f ca="1">IFERROR(__xludf.DUMMYFUNCTION("""COMPUTED_VALUE"""),"36.000000")</f>
        <v>36.000000</v>
      </c>
    </row>
    <row r="60" spans="1:2" ht="12.5" x14ac:dyDescent="0.25">
      <c r="A60" s="2" t="str">
        <f ca="1">IFERROR(__xludf.DUMMYFUNCTION("""COMPUTED_VALUE"""),"Turkey")</f>
        <v>Turkey</v>
      </c>
      <c r="B60" s="2" t="str">
        <f ca="1">IFERROR(__xludf.DUMMYFUNCTION("""COMPUTED_VALUE"""),"22.000000")</f>
        <v>22.000000</v>
      </c>
    </row>
    <row r="61" spans="1:2" ht="12.5" x14ac:dyDescent="0.25">
      <c r="A61" s="2" t="str">
        <f ca="1">IFERROR(__xludf.DUMMYFUNCTION("""COMPUTED_VALUE"""),"UK")</f>
        <v>UK</v>
      </c>
      <c r="B61" s="2" t="str">
        <f ca="1">IFERROR(__xludf.DUMMYFUNCTION("""COMPUTED_VALUE"""),"459.000000")</f>
        <v>459.000000</v>
      </c>
    </row>
    <row r="62" spans="1:2" ht="12.5" x14ac:dyDescent="0.25">
      <c r="A62" s="2" t="str">
        <f ca="1">IFERROR(__xludf.DUMMYFUNCTION("""COMPUTED_VALUE"""),"Uruguay")</f>
        <v>Uruguay</v>
      </c>
      <c r="B62" s="2" t="str">
        <f ca="1">IFERROR(__xludf.DUMMYFUNCTION("""COMPUTED_VALUE"""),"4.000000")</f>
        <v>4.000000</v>
      </c>
    </row>
    <row r="63" spans="1:2" ht="12.5" x14ac:dyDescent="0.25">
      <c r="A63" s="2" t="str">
        <f ca="1">IFERROR(__xludf.DUMMYFUNCTION("""COMPUTED_VALUE"""),"USA")</f>
        <v>USA</v>
      </c>
      <c r="B63" s="2" t="str">
        <f ca="1">IFERROR(__xludf.DUMMYFUNCTION("""COMPUTED_VALUE"""),"777.000000")</f>
        <v>777.000000</v>
      </c>
    </row>
    <row r="64" spans="1:2" ht="12.5" x14ac:dyDescent="0.25">
      <c r="A64" s="2" t="str">
        <f ca="1">IFERROR(__xludf.DUMMYFUNCTION("""COMPUTED_VALUE"""),"Venezuela")</f>
        <v>Venezuela</v>
      </c>
      <c r="B64" s="2" t="str">
        <f ca="1">IFERROR(__xludf.DUMMYFUNCTION("""COMPUTED_VALUE"""),"4.000000")</f>
        <v>4.000000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64"/>
  <sheetViews>
    <sheetView workbookViewId="0"/>
  </sheetViews>
  <sheetFormatPr defaultColWidth="12.6328125" defaultRowHeight="15.75" customHeight="1" x14ac:dyDescent="0.25"/>
  <sheetData>
    <row r="1" spans="1:2" ht="13" x14ac:dyDescent="0.3">
      <c r="A1" s="1" t="str">
        <f ca="1">IFERROR(__xludf.DUMMYFUNCTION("QUERY('FY22 ECR Full Results'!A:E,""Select A,D WHERE C='Number of engagement compliance reviews'"",1)"),"Territory")</f>
        <v>Territory</v>
      </c>
      <c r="B1" s="1" t="str">
        <f ca="1">IFERROR(__xludf.DUMMYFUNCTION("""COMPUTED_VALUE"""),"Response")</f>
        <v>Response</v>
      </c>
    </row>
    <row r="2" spans="1:2" ht="15.75" customHeight="1" x14ac:dyDescent="0.25">
      <c r="A2" s="2" t="str">
        <f ca="1">IFERROR(__xludf.DUMMYFUNCTION("""COMPUTED_VALUE"""),"Africa East")</f>
        <v>Africa East</v>
      </c>
      <c r="B2" s="2" t="str">
        <f ca="1">IFERROR(__xludf.DUMMYFUNCTION("""COMPUTED_VALUE"""),"60.000000")</f>
        <v>60.000000</v>
      </c>
    </row>
    <row r="3" spans="1:2" ht="15.75" customHeight="1" x14ac:dyDescent="0.25">
      <c r="A3" s="2" t="str">
        <f ca="1">IFERROR(__xludf.DUMMYFUNCTION("""COMPUTED_VALUE"""),"Africa South")</f>
        <v>Africa South</v>
      </c>
      <c r="B3" s="2" t="str">
        <f ca="1">IFERROR(__xludf.DUMMYFUNCTION("""COMPUTED_VALUE"""),"121.000000")</f>
        <v>121.000000</v>
      </c>
    </row>
    <row r="4" spans="1:2" ht="15.75" customHeight="1" x14ac:dyDescent="0.25">
      <c r="A4" s="2" t="str">
        <f ca="1">IFERROR(__xludf.DUMMYFUNCTION("""COMPUTED_VALUE"""),"Africa West")</f>
        <v>Africa West</v>
      </c>
      <c r="B4" s="2" t="str">
        <f ca="1">IFERROR(__xludf.DUMMYFUNCTION("""COMPUTED_VALUE"""),"36.000000")</f>
        <v>36.000000</v>
      </c>
    </row>
    <row r="5" spans="1:2" ht="15.75" customHeight="1" x14ac:dyDescent="0.25">
      <c r="A5" s="2" t="str">
        <f ca="1">IFERROR(__xludf.DUMMYFUNCTION("""COMPUTED_VALUE"""),"Argentina")</f>
        <v>Argentina</v>
      </c>
      <c r="B5" s="2" t="str">
        <f ca="1">IFERROR(__xludf.DUMMYFUNCTION("""COMPUTED_VALUE"""),"30.000000")</f>
        <v>30.000000</v>
      </c>
    </row>
    <row r="6" spans="1:2" ht="15.75" customHeight="1" x14ac:dyDescent="0.25">
      <c r="A6" s="2" t="str">
        <f ca="1">IFERROR(__xludf.DUMMYFUNCTION("""COMPUTED_VALUE"""),"Australia")</f>
        <v>Australia</v>
      </c>
      <c r="B6" s="2" t="str">
        <f ca="1">IFERROR(__xludf.DUMMYFUNCTION("""COMPUTED_VALUE"""),"200.000000")</f>
        <v>200.000000</v>
      </c>
    </row>
    <row r="7" spans="1:2" ht="15.75" customHeight="1" x14ac:dyDescent="0.25">
      <c r="A7" s="2" t="str">
        <f ca="1">IFERROR(__xludf.DUMMYFUNCTION("""COMPUTED_VALUE"""),"Austria")</f>
        <v>Austria</v>
      </c>
      <c r="B7" s="2" t="str">
        <f ca="1">IFERROR(__xludf.DUMMYFUNCTION("""COMPUTED_VALUE"""),"56.000000")</f>
        <v>56.000000</v>
      </c>
    </row>
    <row r="8" spans="1:2" ht="15.75" customHeight="1" x14ac:dyDescent="0.25">
      <c r="A8" s="2" t="str">
        <f ca="1">IFERROR(__xludf.DUMMYFUNCTION("""COMPUTED_VALUE"""),"Belgium")</f>
        <v>Belgium</v>
      </c>
      <c r="B8" s="2" t="str">
        <f ca="1">IFERROR(__xludf.DUMMYFUNCTION("""COMPUTED_VALUE"""),"152.000000")</f>
        <v>152.000000</v>
      </c>
    </row>
    <row r="9" spans="1:2" ht="15.75" customHeight="1" x14ac:dyDescent="0.25">
      <c r="A9" s="2" t="str">
        <f ca="1">IFERROR(__xludf.DUMMYFUNCTION("""COMPUTED_VALUE"""),"Bolivia")</f>
        <v>Bolivia</v>
      </c>
      <c r="B9" s="2" t="str">
        <f ca="1">IFERROR(__xludf.DUMMYFUNCTION("""COMPUTED_VALUE"""),"16.000000")</f>
        <v>16.000000</v>
      </c>
    </row>
    <row r="10" spans="1:2" ht="15.75" customHeight="1" x14ac:dyDescent="0.25">
      <c r="A10" s="2" t="str">
        <f ca="1">IFERROR(__xludf.DUMMYFUNCTION("""COMPUTED_VALUE"""),"Brazil")</f>
        <v>Brazil</v>
      </c>
      <c r="B10" s="2" t="str">
        <f ca="1">IFERROR(__xludf.DUMMYFUNCTION("""COMPUTED_VALUE"""),"119.000000")</f>
        <v>119.000000</v>
      </c>
    </row>
    <row r="11" spans="1:2" ht="15.75" customHeight="1" x14ac:dyDescent="0.25">
      <c r="A11" s="2" t="str">
        <f ca="1">IFERROR(__xludf.DUMMYFUNCTION("""COMPUTED_VALUE"""),"Canada")</f>
        <v>Canada</v>
      </c>
      <c r="B11" s="2" t="str">
        <f ca="1">IFERROR(__xludf.DUMMYFUNCTION("""COMPUTED_VALUE"""),"153.000000")</f>
        <v>153.000000</v>
      </c>
    </row>
    <row r="12" spans="1:2" ht="15.75" customHeight="1" x14ac:dyDescent="0.25">
      <c r="A12" s="2" t="str">
        <f ca="1">IFERROR(__xludf.DUMMYFUNCTION("""COMPUTED_VALUE"""),"Caribbean")</f>
        <v>Caribbean</v>
      </c>
      <c r="B12" s="2" t="str">
        <f ca="1">IFERROR(__xludf.DUMMYFUNCTION("""COMPUTED_VALUE"""),"21.000000")</f>
        <v>21.000000</v>
      </c>
    </row>
    <row r="13" spans="1:2" ht="15.75" customHeight="1" x14ac:dyDescent="0.25">
      <c r="A13" s="2" t="str">
        <f ca="1">IFERROR(__xludf.DUMMYFUNCTION("""COMPUTED_VALUE"""),"CEE")</f>
        <v>CEE</v>
      </c>
      <c r="B13" s="2" t="str">
        <f ca="1">IFERROR(__xludf.DUMMYFUNCTION("""COMPUTED_VALUE"""),"253.000000")</f>
        <v>253.000000</v>
      </c>
    </row>
    <row r="14" spans="1:2" ht="15.75" customHeight="1" x14ac:dyDescent="0.25">
      <c r="A14" s="2" t="str">
        <f ca="1">IFERROR(__xludf.DUMMYFUNCTION("""COMPUTED_VALUE"""),"Channel Islands")</f>
        <v>Channel Islands</v>
      </c>
      <c r="B14" s="2" t="str">
        <f ca="1">IFERROR(__xludf.DUMMYFUNCTION("""COMPUTED_VALUE"""),"3.000000")</f>
        <v>3.000000</v>
      </c>
    </row>
    <row r="15" spans="1:2" ht="15.75" customHeight="1" x14ac:dyDescent="0.25">
      <c r="A15" s="2" t="str">
        <f ca="1">IFERROR(__xludf.DUMMYFUNCTION("""COMPUTED_VALUE"""),"Chile")</f>
        <v>Chile</v>
      </c>
      <c r="B15" s="2" t="str">
        <f ca="1">IFERROR(__xludf.DUMMYFUNCTION("""COMPUTED_VALUE"""),"30.000000")</f>
        <v>30.000000</v>
      </c>
    </row>
    <row r="16" spans="1:2" ht="15.75" customHeight="1" x14ac:dyDescent="0.25">
      <c r="A16" s="2" t="str">
        <f ca="1">IFERROR(__xludf.DUMMYFUNCTION("""COMPUTED_VALUE"""),"China/HK")</f>
        <v>China/HK</v>
      </c>
      <c r="B16" s="2" t="str">
        <f ca="1">IFERROR(__xludf.DUMMYFUNCTION("""COMPUTED_VALUE"""),"294.000000")</f>
        <v>294.000000</v>
      </c>
    </row>
    <row r="17" spans="1:2" ht="15.75" customHeight="1" x14ac:dyDescent="0.25">
      <c r="A17" s="2" t="str">
        <f ca="1">IFERROR(__xludf.DUMMYFUNCTION("""COMPUTED_VALUE"""),"Colombia")</f>
        <v>Colombia</v>
      </c>
      <c r="B17" s="2" t="str">
        <f ca="1">IFERROR(__xludf.DUMMYFUNCTION("""COMPUTED_VALUE"""),"44.000000")</f>
        <v>44.000000</v>
      </c>
    </row>
    <row r="18" spans="1:2" ht="15.75" customHeight="1" x14ac:dyDescent="0.25">
      <c r="A18" s="2" t="str">
        <f ca="1">IFERROR(__xludf.DUMMYFUNCTION("""COMPUTED_VALUE"""),"Cyprus")</f>
        <v>Cyprus</v>
      </c>
      <c r="B18" s="2" t="str">
        <f ca="1">IFERROR(__xludf.DUMMYFUNCTION("""COMPUTED_VALUE"""),"54.000000")</f>
        <v>54.000000</v>
      </c>
    </row>
    <row r="19" spans="1:2" ht="15.75" customHeight="1" x14ac:dyDescent="0.25">
      <c r="A19" s="2" t="str">
        <f ca="1">IFERROR(__xludf.DUMMYFUNCTION("""COMPUTED_VALUE"""),"Denmark")</f>
        <v>Denmark</v>
      </c>
      <c r="B19" s="2" t="str">
        <f ca="1">IFERROR(__xludf.DUMMYFUNCTION("""COMPUTED_VALUE"""),"60.000000")</f>
        <v>60.000000</v>
      </c>
    </row>
    <row r="20" spans="1:2" ht="15.75" customHeight="1" x14ac:dyDescent="0.25">
      <c r="A20" s="2" t="str">
        <f ca="1">IFERROR(__xludf.DUMMYFUNCTION("""COMPUTED_VALUE"""),"Ecuador")</f>
        <v>Ecuador</v>
      </c>
      <c r="B20" s="2" t="str">
        <f ca="1">IFERROR(__xludf.DUMMYFUNCTION("""COMPUTED_VALUE"""),"8.000000")</f>
        <v>8.000000</v>
      </c>
    </row>
    <row r="21" spans="1:2" ht="15.75" customHeight="1" x14ac:dyDescent="0.25">
      <c r="A21" s="2" t="str">
        <f ca="1">IFERROR(__xludf.DUMMYFUNCTION("""COMPUTED_VALUE"""),"Fiji")</f>
        <v>Fiji</v>
      </c>
      <c r="B21" s="2" t="str">
        <f ca="1">IFERROR(__xludf.DUMMYFUNCTION("""COMPUTED_VALUE"""),"6.000000")</f>
        <v>6.000000</v>
      </c>
    </row>
    <row r="22" spans="1:2" ht="15.75" customHeight="1" x14ac:dyDescent="0.25">
      <c r="A22" s="2" t="str">
        <f ca="1">IFERROR(__xludf.DUMMYFUNCTION("""COMPUTED_VALUE"""),"Finland")</f>
        <v>Finland</v>
      </c>
      <c r="B22" s="2" t="str">
        <f ca="1">IFERROR(__xludf.DUMMYFUNCTION("""COMPUTED_VALUE"""),"44.000000")</f>
        <v>44.000000</v>
      </c>
    </row>
    <row r="23" spans="1:2" ht="15.75" customHeight="1" x14ac:dyDescent="0.25">
      <c r="A23" s="2" t="str">
        <f ca="1">IFERROR(__xludf.DUMMYFUNCTION("""COMPUTED_VALUE"""),"France")</f>
        <v>France</v>
      </c>
      <c r="B23" s="2" t="str">
        <f ca="1">IFERROR(__xludf.DUMMYFUNCTION("""COMPUTED_VALUE"""),"62.000000")</f>
        <v>62.000000</v>
      </c>
    </row>
    <row r="24" spans="1:2" ht="15.75" customHeight="1" x14ac:dyDescent="0.25">
      <c r="A24" s="2" t="str">
        <f ca="1">IFERROR(__xludf.DUMMYFUNCTION("""COMPUTED_VALUE"""),"Francophone Africa Sub Saharan")</f>
        <v>Francophone Africa Sub Saharan</v>
      </c>
      <c r="B24" s="2" t="str">
        <f ca="1">IFERROR(__xludf.DUMMYFUNCTION("""COMPUTED_VALUE"""),"42.000000")</f>
        <v>42.000000</v>
      </c>
    </row>
    <row r="25" spans="1:2" ht="15.75" customHeight="1" x14ac:dyDescent="0.25">
      <c r="A25" s="2" t="str">
        <f ca="1">IFERROR(__xludf.DUMMYFUNCTION("""COMPUTED_VALUE"""),"Germany")</f>
        <v>Germany</v>
      </c>
      <c r="B25" s="2" t="str">
        <f ca="1">IFERROR(__xludf.DUMMYFUNCTION("""COMPUTED_VALUE"""),"373.000000")</f>
        <v>373.000000</v>
      </c>
    </row>
    <row r="26" spans="1:2" ht="15.75" customHeight="1" x14ac:dyDescent="0.25">
      <c r="A26" s="2" t="str">
        <f ca="1">IFERROR(__xludf.DUMMYFUNCTION("""COMPUTED_VALUE"""),"Gibraltar")</f>
        <v>Gibraltar</v>
      </c>
      <c r="B26" s="2" t="str">
        <f ca="1">IFERROR(__xludf.DUMMYFUNCTION("""COMPUTED_VALUE"""),"3.000000")</f>
        <v>3.000000</v>
      </c>
    </row>
    <row r="27" spans="1:2" ht="15.75" customHeight="1" x14ac:dyDescent="0.25">
      <c r="A27" s="2" t="str">
        <f ca="1">IFERROR(__xludf.DUMMYFUNCTION("""COMPUTED_VALUE"""),"Greece")</f>
        <v>Greece</v>
      </c>
      <c r="B27" s="2" t="str">
        <f ca="1">IFERROR(__xludf.DUMMYFUNCTION("""COMPUTED_VALUE"""),"11.000000")</f>
        <v>11.000000</v>
      </c>
    </row>
    <row r="28" spans="1:2" ht="15.75" customHeight="1" x14ac:dyDescent="0.25">
      <c r="A28" s="2" t="str">
        <f ca="1">IFERROR(__xludf.DUMMYFUNCTION("""COMPUTED_VALUE"""),"Iceland")</f>
        <v>Iceland</v>
      </c>
      <c r="B28" s="2" t="str">
        <f ca="1">IFERROR(__xludf.DUMMYFUNCTION("""COMPUTED_VALUE"""),"2.000000")</f>
        <v>2.000000</v>
      </c>
    </row>
    <row r="29" spans="1:2" ht="15.75" customHeight="1" x14ac:dyDescent="0.25">
      <c r="A29" s="2" t="str">
        <f ca="1">IFERROR(__xludf.DUMMYFUNCTION("""COMPUTED_VALUE"""),"India")</f>
        <v>India</v>
      </c>
      <c r="B29" s="2" t="str">
        <f ca="1">IFERROR(__xludf.DUMMYFUNCTION("""COMPUTED_VALUE"""),"162.000000")</f>
        <v>162.000000</v>
      </c>
    </row>
    <row r="30" spans="1:2" ht="15.75" customHeight="1" x14ac:dyDescent="0.25">
      <c r="A30" s="2" t="str">
        <f ca="1">IFERROR(__xludf.DUMMYFUNCTION("""COMPUTED_VALUE"""),"Indonesia")</f>
        <v>Indonesia</v>
      </c>
      <c r="B30" s="2" t="str">
        <f ca="1">IFERROR(__xludf.DUMMYFUNCTION("""COMPUTED_VALUE"""),"30.000000")</f>
        <v>30.000000</v>
      </c>
    </row>
    <row r="31" spans="1:2" ht="15.75" customHeight="1" x14ac:dyDescent="0.25">
      <c r="A31" s="2" t="str">
        <f ca="1">IFERROR(__xludf.DUMMYFUNCTION("""COMPUTED_VALUE"""),"Interamericas")</f>
        <v>Interamericas</v>
      </c>
      <c r="B31" s="2" t="str">
        <f ca="1">IFERROR(__xludf.DUMMYFUNCTION("""COMPUTED_VALUE"""),"44.000000")</f>
        <v>44.000000</v>
      </c>
    </row>
    <row r="32" spans="1:2" ht="15.75" customHeight="1" x14ac:dyDescent="0.25">
      <c r="A32" s="2" t="str">
        <f ca="1">IFERROR(__xludf.DUMMYFUNCTION("""COMPUTED_VALUE"""),"Ireland")</f>
        <v>Ireland</v>
      </c>
      <c r="B32" s="2" t="str">
        <f ca="1">IFERROR(__xludf.DUMMYFUNCTION("""COMPUTED_VALUE"""),"68.000000")</f>
        <v>68.000000</v>
      </c>
    </row>
    <row r="33" spans="1:2" ht="15.75" customHeight="1" x14ac:dyDescent="0.25">
      <c r="A33" s="2" t="str">
        <f ca="1">IFERROR(__xludf.DUMMYFUNCTION("""COMPUTED_VALUE"""),"Isle of Man")</f>
        <v>Isle of Man</v>
      </c>
      <c r="B33" s="2" t="str">
        <f ca="1">IFERROR(__xludf.DUMMYFUNCTION("""COMPUTED_VALUE"""),"12.000000")</f>
        <v>12.000000</v>
      </c>
    </row>
    <row r="34" spans="1:2" ht="15.75" customHeight="1" x14ac:dyDescent="0.25">
      <c r="A34" s="2" t="str">
        <f ca="1">IFERROR(__xludf.DUMMYFUNCTION("""COMPUTED_VALUE"""),"Israel")</f>
        <v>Israel</v>
      </c>
      <c r="B34" s="2" t="str">
        <f ca="1">IFERROR(__xludf.DUMMYFUNCTION("""COMPUTED_VALUE"""),"24.000000")</f>
        <v>24.000000</v>
      </c>
    </row>
    <row r="35" spans="1:2" ht="15.75" customHeight="1" x14ac:dyDescent="0.25">
      <c r="A35" s="2" t="str">
        <f ca="1">IFERROR(__xludf.DUMMYFUNCTION("""COMPUTED_VALUE"""),"Italy")</f>
        <v>Italy</v>
      </c>
      <c r="B35" s="2" t="str">
        <f ca="1">IFERROR(__xludf.DUMMYFUNCTION("""COMPUTED_VALUE"""),"84.000000")</f>
        <v>84.000000</v>
      </c>
    </row>
    <row r="36" spans="1:2" ht="12.5" x14ac:dyDescent="0.25">
      <c r="A36" s="2" t="str">
        <f ca="1">IFERROR(__xludf.DUMMYFUNCTION("""COMPUTED_VALUE"""),"Japan Tax")</f>
        <v>Japan Tax</v>
      </c>
      <c r="B36" s="2" t="str">
        <f ca="1">IFERROR(__xludf.DUMMYFUNCTION("""COMPUTED_VALUE"""),"63.000000")</f>
        <v>63.000000</v>
      </c>
    </row>
    <row r="37" spans="1:2" ht="12.5" x14ac:dyDescent="0.25">
      <c r="A37" s="2" t="str">
        <f ca="1">IFERROR(__xludf.DUMMYFUNCTION("""COMPUTED_VALUE"""),"Korea")</f>
        <v>Korea</v>
      </c>
      <c r="B37" s="2" t="str">
        <f ca="1">IFERROR(__xludf.DUMMYFUNCTION("""COMPUTED_VALUE"""),"320.000000")</f>
        <v>320.000000</v>
      </c>
    </row>
    <row r="38" spans="1:2" ht="12.5" x14ac:dyDescent="0.25">
      <c r="A38" s="2" t="str">
        <f ca="1">IFERROR(__xludf.DUMMYFUNCTION("""COMPUTED_VALUE"""),"Luxembourg")</f>
        <v>Luxembourg</v>
      </c>
      <c r="B38" s="2" t="str">
        <f ca="1">IFERROR(__xludf.DUMMYFUNCTION("""COMPUTED_VALUE"""),"103.000000")</f>
        <v>103.000000</v>
      </c>
    </row>
    <row r="39" spans="1:2" ht="12.5" x14ac:dyDescent="0.25">
      <c r="A39" s="2" t="str">
        <f ca="1">IFERROR(__xludf.DUMMYFUNCTION("""COMPUTED_VALUE"""),"Maghreb")</f>
        <v>Maghreb</v>
      </c>
      <c r="B39" s="2" t="str">
        <f ca="1">IFERROR(__xludf.DUMMYFUNCTION("""COMPUTED_VALUE"""),"4.000000")</f>
        <v>4.000000</v>
      </c>
    </row>
    <row r="40" spans="1:2" ht="12.5" x14ac:dyDescent="0.25">
      <c r="A40" s="2" t="str">
        <f ca="1">IFERROR(__xludf.DUMMYFUNCTION("""COMPUTED_VALUE"""),"Malta")</f>
        <v>Malta</v>
      </c>
      <c r="B40" s="2" t="str">
        <f ca="1">IFERROR(__xludf.DUMMYFUNCTION("""COMPUTED_VALUE"""),"30.000000")</f>
        <v>30.000000</v>
      </c>
    </row>
    <row r="41" spans="1:2" ht="12.5" x14ac:dyDescent="0.25">
      <c r="A41" s="2" t="str">
        <f ca="1">IFERROR(__xludf.DUMMYFUNCTION("""COMPUTED_VALUE"""),"Mekong")</f>
        <v>Mekong</v>
      </c>
      <c r="B41" s="2" t="str">
        <f ca="1">IFERROR(__xludf.DUMMYFUNCTION("""COMPUTED_VALUE"""),"41.000000")</f>
        <v>41.000000</v>
      </c>
    </row>
    <row r="42" spans="1:2" ht="12.5" x14ac:dyDescent="0.25">
      <c r="A42" s="2" t="str">
        <f ca="1">IFERROR(__xludf.DUMMYFUNCTION("""COMPUTED_VALUE"""),"Mexico")</f>
        <v>Mexico</v>
      </c>
      <c r="B42" s="2" t="str">
        <f ca="1">IFERROR(__xludf.DUMMYFUNCTION("""COMPUTED_VALUE"""),"35.000000")</f>
        <v>35.000000</v>
      </c>
    </row>
    <row r="43" spans="1:2" ht="12.5" x14ac:dyDescent="0.25">
      <c r="A43" s="2" t="str">
        <f ca="1">IFERROR(__xludf.DUMMYFUNCTION("""COMPUTED_VALUE"""),"Middle East")</f>
        <v>Middle East</v>
      </c>
      <c r="B43" s="2" t="str">
        <f ca="1">IFERROR(__xludf.DUMMYFUNCTION("""COMPUTED_VALUE"""),"45.000000")</f>
        <v>45.000000</v>
      </c>
    </row>
    <row r="44" spans="1:2" ht="12.5" x14ac:dyDescent="0.25">
      <c r="A44" s="2" t="str">
        <f ca="1">IFERROR(__xludf.DUMMYFUNCTION("""COMPUTED_VALUE"""),"MYVN")</f>
        <v>MYVN</v>
      </c>
      <c r="B44" s="2" t="str">
        <f ca="1">IFERROR(__xludf.DUMMYFUNCTION("""COMPUTED_VALUE"""),"108.000000")</f>
        <v>108.000000</v>
      </c>
    </row>
    <row r="45" spans="1:2" ht="12.5" x14ac:dyDescent="0.25">
      <c r="A45" s="2" t="str">
        <f ca="1">IFERROR(__xludf.DUMMYFUNCTION("""COMPUTED_VALUE"""),"Netherlands")</f>
        <v>Netherlands</v>
      </c>
      <c r="B45" s="2" t="str">
        <f ca="1">IFERROR(__xludf.DUMMYFUNCTION("""COMPUTED_VALUE"""),"141.000000")</f>
        <v>141.000000</v>
      </c>
    </row>
    <row r="46" spans="1:2" ht="12.5" x14ac:dyDescent="0.25">
      <c r="A46" s="2" t="str">
        <f ca="1">IFERROR(__xludf.DUMMYFUNCTION("""COMPUTED_VALUE"""),"New Zealand")</f>
        <v>New Zealand</v>
      </c>
      <c r="B46" s="2" t="str">
        <f ca="1">IFERROR(__xludf.DUMMYFUNCTION("""COMPUTED_VALUE"""),"131.000000")</f>
        <v>131.000000</v>
      </c>
    </row>
    <row r="47" spans="1:2" ht="12.5" x14ac:dyDescent="0.25">
      <c r="A47" s="2" t="str">
        <f ca="1">IFERROR(__xludf.DUMMYFUNCTION("""COMPUTED_VALUE"""),"Norway")</f>
        <v>Norway</v>
      </c>
      <c r="B47" s="2" t="str">
        <f ca="1">IFERROR(__xludf.DUMMYFUNCTION("""COMPUTED_VALUE"""),"52.000000")</f>
        <v>52.000000</v>
      </c>
    </row>
    <row r="48" spans="1:2" ht="12.5" x14ac:dyDescent="0.25">
      <c r="A48" s="2" t="str">
        <f ca="1">IFERROR(__xludf.DUMMYFUNCTION("""COMPUTED_VALUE"""),"Pakistan")</f>
        <v>Pakistan</v>
      </c>
      <c r="B48" s="2" t="str">
        <f ca="1">IFERROR(__xludf.DUMMYFUNCTION("""COMPUTED_VALUE"""),"30.000000")</f>
        <v>30.000000</v>
      </c>
    </row>
    <row r="49" spans="1:2" ht="12.5" x14ac:dyDescent="0.25">
      <c r="A49" s="2" t="str">
        <f ca="1">IFERROR(__xludf.DUMMYFUNCTION("""COMPUTED_VALUE"""),"Papua New Guinea")</f>
        <v>Papua New Guinea</v>
      </c>
      <c r="B49" s="2" t="str">
        <f ca="1">IFERROR(__xludf.DUMMYFUNCTION("""COMPUTED_VALUE"""),"13.000000")</f>
        <v>13.000000</v>
      </c>
    </row>
    <row r="50" spans="1:2" ht="12.5" x14ac:dyDescent="0.25">
      <c r="A50" s="2" t="str">
        <f ca="1">IFERROR(__xludf.DUMMYFUNCTION("""COMPUTED_VALUE"""),"Paraguay")</f>
        <v>Paraguay</v>
      </c>
      <c r="B50" s="2" t="str">
        <f ca="1">IFERROR(__xludf.DUMMYFUNCTION("""COMPUTED_VALUE"""),"8.000000")</f>
        <v>8.000000</v>
      </c>
    </row>
    <row r="51" spans="1:2" ht="12.5" x14ac:dyDescent="0.25">
      <c r="A51" s="2" t="str">
        <f ca="1">IFERROR(__xludf.DUMMYFUNCTION("""COMPUTED_VALUE"""),"Peru")</f>
        <v>Peru</v>
      </c>
      <c r="B51" s="2" t="str">
        <f ca="1">IFERROR(__xludf.DUMMYFUNCTION("""COMPUTED_VALUE"""),"80.000000")</f>
        <v>80.000000</v>
      </c>
    </row>
    <row r="52" spans="1:2" ht="12.5" x14ac:dyDescent="0.25">
      <c r="A52" s="2" t="str">
        <f ca="1">IFERROR(__xludf.DUMMYFUNCTION("""COMPUTED_VALUE"""),"Philippines")</f>
        <v>Philippines</v>
      </c>
      <c r="B52" s="2" t="str">
        <f ca="1">IFERROR(__xludf.DUMMYFUNCTION("""COMPUTED_VALUE"""),"103.000000")</f>
        <v>103.000000</v>
      </c>
    </row>
    <row r="53" spans="1:2" ht="12.5" x14ac:dyDescent="0.25">
      <c r="A53" s="2" t="str">
        <f ca="1">IFERROR(__xludf.DUMMYFUNCTION("""COMPUTED_VALUE"""),"Portugal")</f>
        <v>Portugal</v>
      </c>
      <c r="B53" s="2" t="str">
        <f ca="1">IFERROR(__xludf.DUMMYFUNCTION("""COMPUTED_VALUE"""),"52.000000")</f>
        <v>52.000000</v>
      </c>
    </row>
    <row r="54" spans="1:2" ht="12.5" x14ac:dyDescent="0.25">
      <c r="A54" s="2" t="str">
        <f ca="1">IFERROR(__xludf.DUMMYFUNCTION("""COMPUTED_VALUE"""),"Singapore")</f>
        <v>Singapore</v>
      </c>
      <c r="B54" s="2" t="str">
        <f ca="1">IFERROR(__xludf.DUMMYFUNCTION("""COMPUTED_VALUE"""),"35.000000")</f>
        <v>35.000000</v>
      </c>
    </row>
    <row r="55" spans="1:2" ht="12.5" x14ac:dyDescent="0.25">
      <c r="A55" s="2" t="str">
        <f ca="1">IFERROR(__xludf.DUMMYFUNCTION("""COMPUTED_VALUE"""),"Spain")</f>
        <v>Spain</v>
      </c>
      <c r="B55" s="2" t="str">
        <f ca="1">IFERROR(__xludf.DUMMYFUNCTION("""COMPUTED_VALUE"""),"336.000000")</f>
        <v>336.000000</v>
      </c>
    </row>
    <row r="56" spans="1:2" ht="12.5" x14ac:dyDescent="0.25">
      <c r="A56" s="2" t="str">
        <f ca="1">IFERROR(__xludf.DUMMYFUNCTION("""COMPUTED_VALUE"""),"Sri Lanka")</f>
        <v>Sri Lanka</v>
      </c>
      <c r="B56" s="2" t="str">
        <f ca="1">IFERROR(__xludf.DUMMYFUNCTION("""COMPUTED_VALUE"""),"5.000000")</f>
        <v>5.000000</v>
      </c>
    </row>
    <row r="57" spans="1:2" ht="12.5" x14ac:dyDescent="0.25">
      <c r="A57" s="2" t="str">
        <f ca="1">IFERROR(__xludf.DUMMYFUNCTION("""COMPUTED_VALUE"""),"Sweden")</f>
        <v>Sweden</v>
      </c>
      <c r="B57" s="2" t="str">
        <f ca="1">IFERROR(__xludf.DUMMYFUNCTION("""COMPUTED_VALUE"""),"139.000000")</f>
        <v>139.000000</v>
      </c>
    </row>
    <row r="58" spans="1:2" ht="12.5" x14ac:dyDescent="0.25">
      <c r="A58" s="2" t="str">
        <f ca="1">IFERROR(__xludf.DUMMYFUNCTION("""COMPUTED_VALUE"""),"Switzerland")</f>
        <v>Switzerland</v>
      </c>
      <c r="B58" s="2" t="str">
        <f ca="1">IFERROR(__xludf.DUMMYFUNCTION("""COMPUTED_VALUE"""),"202.000000")</f>
        <v>202.000000</v>
      </c>
    </row>
    <row r="59" spans="1:2" ht="12.5" x14ac:dyDescent="0.25">
      <c r="A59" s="2" t="str">
        <f ca="1">IFERROR(__xludf.DUMMYFUNCTION("""COMPUTED_VALUE"""),"Taiwan")</f>
        <v>Taiwan</v>
      </c>
      <c r="B59" s="2" t="str">
        <f ca="1">IFERROR(__xludf.DUMMYFUNCTION("""COMPUTED_VALUE"""),"63.000000")</f>
        <v>63.000000</v>
      </c>
    </row>
    <row r="60" spans="1:2" ht="12.5" x14ac:dyDescent="0.25">
      <c r="A60" s="2" t="str">
        <f ca="1">IFERROR(__xludf.DUMMYFUNCTION("""COMPUTED_VALUE"""),"Turkey")</f>
        <v>Turkey</v>
      </c>
      <c r="B60" s="2" t="str">
        <f ca="1">IFERROR(__xludf.DUMMYFUNCTION("""COMPUTED_VALUE"""),"26.000000")</f>
        <v>26.000000</v>
      </c>
    </row>
    <row r="61" spans="1:2" ht="12.5" x14ac:dyDescent="0.25">
      <c r="A61" s="2" t="str">
        <f ca="1">IFERROR(__xludf.DUMMYFUNCTION("""COMPUTED_VALUE"""),"UK")</f>
        <v>UK</v>
      </c>
      <c r="B61" s="2" t="str">
        <f ca="1">IFERROR(__xludf.DUMMYFUNCTION("""COMPUTED_VALUE"""),"459.000000")</f>
        <v>459.000000</v>
      </c>
    </row>
    <row r="62" spans="1:2" ht="12.5" x14ac:dyDescent="0.25">
      <c r="A62" s="2" t="str">
        <f ca="1">IFERROR(__xludf.DUMMYFUNCTION("""COMPUTED_VALUE"""),"Uruguay")</f>
        <v>Uruguay</v>
      </c>
      <c r="B62" s="2" t="str">
        <f ca="1">IFERROR(__xludf.DUMMYFUNCTION("""COMPUTED_VALUE"""),"11.000000")</f>
        <v>11.000000</v>
      </c>
    </row>
    <row r="63" spans="1:2" ht="12.5" x14ac:dyDescent="0.25">
      <c r="A63" s="2" t="str">
        <f ca="1">IFERROR(__xludf.DUMMYFUNCTION("""COMPUTED_VALUE"""),"USA")</f>
        <v>USA</v>
      </c>
      <c r="B63" s="2" t="str">
        <f ca="1">IFERROR(__xludf.DUMMYFUNCTION("""COMPUTED_VALUE"""),"405.000000")</f>
        <v>405.000000</v>
      </c>
    </row>
    <row r="64" spans="1:2" ht="12.5" x14ac:dyDescent="0.25">
      <c r="A64" s="2" t="str">
        <f ca="1">IFERROR(__xludf.DUMMYFUNCTION("""COMPUTED_VALUE"""),"Venezuela")</f>
        <v>Venezuela</v>
      </c>
      <c r="B64" s="2" t="str">
        <f ca="1">IFERROR(__xludf.DUMMYFUNCTION("""COMPUTED_VALUE"""),"12.000000")</f>
        <v>12.000000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A344C-5AD3-4BF7-8E1C-40396EF228E4}">
  <dimension ref="A1:P61"/>
  <sheetViews>
    <sheetView tabSelected="1" workbookViewId="0">
      <selection activeCell="O23" sqref="O23"/>
    </sheetView>
  </sheetViews>
  <sheetFormatPr defaultRowHeight="12.5" x14ac:dyDescent="0.25"/>
  <cols>
    <col min="1" max="1" width="10.90625" customWidth="1"/>
    <col min="4" max="15" width="6.6328125" customWidth="1"/>
    <col min="16" max="16" width="8.26953125" customWidth="1"/>
  </cols>
  <sheetData>
    <row r="1" spans="1:16" ht="13" x14ac:dyDescent="0.25">
      <c r="A1" s="3" t="s">
        <v>0</v>
      </c>
      <c r="B1" t="s">
        <v>1</v>
      </c>
      <c r="C1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5" t="s">
        <v>14</v>
      </c>
      <c r="P1" s="6" t="s">
        <v>15</v>
      </c>
    </row>
    <row r="2" spans="1:16" ht="13" x14ac:dyDescent="0.3">
      <c r="A2" s="9" t="s">
        <v>17</v>
      </c>
      <c r="B2">
        <v>30</v>
      </c>
      <c r="C2">
        <v>60</v>
      </c>
      <c r="D2" s="10">
        <v>100</v>
      </c>
      <c r="E2" s="11">
        <v>98.33</v>
      </c>
      <c r="F2" s="11">
        <v>96.77</v>
      </c>
      <c r="G2" s="10">
        <v>100</v>
      </c>
      <c r="H2" s="10">
        <v>100</v>
      </c>
      <c r="I2" s="10">
        <v>100</v>
      </c>
      <c r="J2" s="10">
        <v>100</v>
      </c>
      <c r="K2" s="10">
        <v>100</v>
      </c>
      <c r="L2" s="10">
        <v>100</v>
      </c>
      <c r="M2" s="10">
        <v>100</v>
      </c>
      <c r="N2" s="10">
        <v>100</v>
      </c>
      <c r="O2" s="12">
        <v>100</v>
      </c>
      <c r="P2" s="8">
        <f t="shared" ref="P2:P60" si="0">AVERAGE(D2:O2)</f>
        <v>99.591666666666654</v>
      </c>
    </row>
    <row r="3" spans="1:16" ht="13" x14ac:dyDescent="0.3">
      <c r="A3" s="13" t="s">
        <v>18</v>
      </c>
      <c r="B3">
        <v>60</v>
      </c>
      <c r="C3">
        <v>121</v>
      </c>
      <c r="D3" s="11">
        <v>99.16</v>
      </c>
      <c r="E3" s="14">
        <v>96.69</v>
      </c>
      <c r="F3" s="15">
        <v>100</v>
      </c>
      <c r="G3" s="15">
        <v>100</v>
      </c>
      <c r="H3" s="15">
        <v>100</v>
      </c>
      <c r="I3" s="15">
        <v>100</v>
      </c>
      <c r="J3" s="15">
        <v>100</v>
      </c>
      <c r="K3" s="15">
        <v>100</v>
      </c>
      <c r="L3" s="15">
        <v>100</v>
      </c>
      <c r="M3" s="14">
        <v>98.350000000000009</v>
      </c>
      <c r="N3" s="15">
        <v>100</v>
      </c>
      <c r="O3" s="15">
        <v>100</v>
      </c>
      <c r="P3" s="16">
        <f t="shared" si="0"/>
        <v>99.516666666666666</v>
      </c>
    </row>
    <row r="4" spans="1:16" ht="13" x14ac:dyDescent="0.3">
      <c r="A4" s="9" t="s">
        <v>19</v>
      </c>
      <c r="B4">
        <v>18</v>
      </c>
      <c r="C4">
        <v>36</v>
      </c>
      <c r="D4" s="10">
        <v>100</v>
      </c>
      <c r="E4" s="15">
        <v>100</v>
      </c>
      <c r="F4" s="15">
        <v>100</v>
      </c>
      <c r="G4" s="15">
        <v>100</v>
      </c>
      <c r="H4" s="15">
        <v>100</v>
      </c>
      <c r="I4" s="15">
        <v>100</v>
      </c>
      <c r="J4" s="15">
        <v>100</v>
      </c>
      <c r="K4" s="15">
        <v>100</v>
      </c>
      <c r="L4" s="15">
        <v>100</v>
      </c>
      <c r="M4" s="15">
        <v>100</v>
      </c>
      <c r="N4" s="15">
        <v>100</v>
      </c>
      <c r="O4" s="15">
        <v>100</v>
      </c>
      <c r="P4" s="16">
        <f t="shared" si="0"/>
        <v>100</v>
      </c>
    </row>
    <row r="5" spans="1:16" ht="13" x14ac:dyDescent="0.3">
      <c r="A5" s="13" t="s">
        <v>20</v>
      </c>
      <c r="B5">
        <v>26</v>
      </c>
      <c r="C5">
        <v>30</v>
      </c>
      <c r="D5" s="11">
        <v>96.67</v>
      </c>
      <c r="E5" s="17">
        <v>93.33</v>
      </c>
      <c r="F5" s="14">
        <v>96.67</v>
      </c>
      <c r="G5" s="15">
        <v>100</v>
      </c>
      <c r="H5" s="15">
        <v>100</v>
      </c>
      <c r="I5" s="15">
        <v>100</v>
      </c>
      <c r="J5" s="15">
        <v>100</v>
      </c>
      <c r="K5" s="17">
        <v>93.33</v>
      </c>
      <c r="L5" s="17">
        <v>62.5</v>
      </c>
      <c r="M5" s="15">
        <v>100</v>
      </c>
      <c r="N5" s="14">
        <v>96.67</v>
      </c>
      <c r="O5" s="15">
        <v>100</v>
      </c>
      <c r="P5" s="16">
        <f t="shared" si="0"/>
        <v>94.930833333333339</v>
      </c>
    </row>
    <row r="6" spans="1:16" ht="13" x14ac:dyDescent="0.3">
      <c r="A6" s="9" t="s">
        <v>21</v>
      </c>
      <c r="B6">
        <v>194</v>
      </c>
      <c r="C6">
        <v>200</v>
      </c>
      <c r="D6" s="10">
        <v>100</v>
      </c>
      <c r="E6" s="14">
        <v>99.5</v>
      </c>
      <c r="F6" s="14">
        <v>98.48</v>
      </c>
      <c r="G6" s="15">
        <v>100</v>
      </c>
      <c r="H6" s="15">
        <v>100</v>
      </c>
      <c r="I6" s="15">
        <v>100</v>
      </c>
      <c r="J6" s="15">
        <v>100</v>
      </c>
      <c r="K6" s="14">
        <v>99.5</v>
      </c>
      <c r="L6" s="15">
        <v>100</v>
      </c>
      <c r="M6" s="15">
        <v>100</v>
      </c>
      <c r="N6" s="14">
        <v>99.5</v>
      </c>
      <c r="O6" s="15">
        <v>100</v>
      </c>
      <c r="P6" s="16">
        <f t="shared" si="0"/>
        <v>99.748333333333335</v>
      </c>
    </row>
    <row r="7" spans="1:16" ht="13" x14ac:dyDescent="0.3">
      <c r="A7" s="13" t="s">
        <v>22</v>
      </c>
      <c r="B7">
        <v>23</v>
      </c>
      <c r="C7">
        <v>56</v>
      </c>
      <c r="D7" s="11">
        <v>98.21</v>
      </c>
      <c r="E7" s="14">
        <v>98.21</v>
      </c>
      <c r="F7" s="15">
        <v>100</v>
      </c>
      <c r="G7" s="15">
        <v>100</v>
      </c>
      <c r="H7" s="17">
        <v>94.289999999999992</v>
      </c>
      <c r="I7" s="17">
        <v>0</v>
      </c>
      <c r="J7" s="15">
        <v>100</v>
      </c>
      <c r="K7" s="14">
        <v>98.21</v>
      </c>
      <c r="L7" s="15">
        <v>100</v>
      </c>
      <c r="M7" s="14">
        <v>98.21</v>
      </c>
      <c r="N7" s="15">
        <v>100</v>
      </c>
      <c r="O7" s="15">
        <v>100</v>
      </c>
      <c r="P7" s="16">
        <f t="shared" si="0"/>
        <v>90.59416666666668</v>
      </c>
    </row>
    <row r="8" spans="1:16" ht="13" x14ac:dyDescent="0.3">
      <c r="A8" s="9" t="s">
        <v>23</v>
      </c>
      <c r="B8">
        <v>79</v>
      </c>
      <c r="C8">
        <v>152</v>
      </c>
      <c r="D8" s="11">
        <v>98.68</v>
      </c>
      <c r="E8" s="15">
        <v>100</v>
      </c>
      <c r="F8" s="15">
        <v>100</v>
      </c>
      <c r="G8" s="15">
        <v>100</v>
      </c>
      <c r="H8" s="15">
        <v>100</v>
      </c>
      <c r="I8" s="15">
        <v>100</v>
      </c>
      <c r="J8" s="15">
        <v>100</v>
      </c>
      <c r="K8" s="14">
        <v>98.68</v>
      </c>
      <c r="L8" s="15">
        <v>100</v>
      </c>
      <c r="M8" s="15">
        <v>100</v>
      </c>
      <c r="N8" s="15">
        <v>100</v>
      </c>
      <c r="O8" s="14">
        <v>99.339999999999989</v>
      </c>
      <c r="P8" s="16">
        <f t="shared" si="0"/>
        <v>99.725000000000009</v>
      </c>
    </row>
    <row r="9" spans="1:16" ht="13" x14ac:dyDescent="0.3">
      <c r="A9" s="13" t="s">
        <v>24</v>
      </c>
      <c r="B9">
        <v>2</v>
      </c>
      <c r="C9">
        <v>16</v>
      </c>
      <c r="D9" s="18">
        <v>81.25</v>
      </c>
      <c r="E9" s="15">
        <v>100</v>
      </c>
      <c r="F9" s="15">
        <v>100</v>
      </c>
      <c r="G9" s="15">
        <v>100</v>
      </c>
      <c r="H9" s="15">
        <v>100</v>
      </c>
      <c r="I9" s="15">
        <v>100</v>
      </c>
      <c r="J9" s="15">
        <v>100</v>
      </c>
      <c r="K9" s="15">
        <v>100</v>
      </c>
      <c r="L9" s="15">
        <v>100</v>
      </c>
      <c r="M9" s="15">
        <v>100</v>
      </c>
      <c r="N9" s="15">
        <v>100</v>
      </c>
      <c r="O9" s="15">
        <v>100</v>
      </c>
      <c r="P9" s="16">
        <f t="shared" si="0"/>
        <v>98.4375</v>
      </c>
    </row>
    <row r="10" spans="1:16" ht="13" x14ac:dyDescent="0.3">
      <c r="A10" s="9" t="s">
        <v>25</v>
      </c>
      <c r="B10">
        <v>28</v>
      </c>
      <c r="C10">
        <v>119</v>
      </c>
      <c r="D10" s="11">
        <v>99.16</v>
      </c>
      <c r="E10" s="14">
        <v>95.8</v>
      </c>
      <c r="F10" s="15">
        <v>100</v>
      </c>
      <c r="G10" s="15">
        <v>100</v>
      </c>
      <c r="H10" s="15">
        <v>100</v>
      </c>
      <c r="I10" s="15">
        <v>100</v>
      </c>
      <c r="J10" s="15">
        <v>100</v>
      </c>
      <c r="K10" s="14">
        <v>95.8</v>
      </c>
      <c r="L10" s="17">
        <v>93.75</v>
      </c>
      <c r="M10" s="15">
        <v>100</v>
      </c>
      <c r="N10" s="14">
        <v>98.839999999999989</v>
      </c>
      <c r="O10" s="17">
        <v>93.28</v>
      </c>
      <c r="P10" s="16">
        <f t="shared" si="0"/>
        <v>98.052499999999995</v>
      </c>
    </row>
    <row r="11" spans="1:16" ht="13" x14ac:dyDescent="0.3">
      <c r="A11" s="13" t="s">
        <v>26</v>
      </c>
      <c r="B11">
        <v>153</v>
      </c>
      <c r="C11">
        <v>153</v>
      </c>
      <c r="D11" s="18">
        <v>88.570000000000007</v>
      </c>
      <c r="E11" s="14">
        <v>95.42</v>
      </c>
      <c r="F11" s="17">
        <v>62.67</v>
      </c>
      <c r="G11" s="14">
        <v>97.92</v>
      </c>
      <c r="H11" s="17">
        <v>51.38</v>
      </c>
      <c r="I11" s="15">
        <v>100</v>
      </c>
      <c r="J11" s="15">
        <v>100</v>
      </c>
      <c r="K11" s="14">
        <v>95.42</v>
      </c>
      <c r="L11" s="14">
        <v>97.3</v>
      </c>
      <c r="M11" s="17">
        <v>91.5</v>
      </c>
      <c r="N11" s="14">
        <v>96.73</v>
      </c>
      <c r="O11" s="14">
        <v>99.350000000000009</v>
      </c>
      <c r="P11" s="16">
        <f t="shared" si="0"/>
        <v>89.688333333333333</v>
      </c>
    </row>
    <row r="12" spans="1:16" ht="13" x14ac:dyDescent="0.3">
      <c r="A12" s="9" t="s">
        <v>27</v>
      </c>
      <c r="B12">
        <v>19</v>
      </c>
      <c r="C12">
        <v>21</v>
      </c>
      <c r="D12" s="10">
        <v>100</v>
      </c>
      <c r="E12" s="15">
        <v>100</v>
      </c>
      <c r="F12" s="15">
        <v>100</v>
      </c>
      <c r="G12" s="15">
        <v>100</v>
      </c>
      <c r="H12" s="15">
        <v>100</v>
      </c>
      <c r="I12" s="15">
        <v>100</v>
      </c>
      <c r="J12" s="15">
        <v>100</v>
      </c>
      <c r="K12" s="15">
        <v>100</v>
      </c>
      <c r="L12" s="15">
        <v>100</v>
      </c>
      <c r="M12" s="15">
        <v>100</v>
      </c>
      <c r="N12" s="14">
        <v>95.240000000000009</v>
      </c>
      <c r="O12" s="15">
        <v>100</v>
      </c>
      <c r="P12" s="16">
        <f t="shared" si="0"/>
        <v>99.603333333333339</v>
      </c>
    </row>
    <row r="13" spans="1:16" ht="13" x14ac:dyDescent="0.3">
      <c r="A13" s="13" t="s">
        <v>28</v>
      </c>
      <c r="B13">
        <v>126</v>
      </c>
      <c r="C13">
        <v>253</v>
      </c>
      <c r="D13" s="11">
        <v>97.83</v>
      </c>
      <c r="E13" s="14">
        <v>95.65</v>
      </c>
      <c r="F13" s="14">
        <v>97.78</v>
      </c>
      <c r="G13" s="15">
        <v>100</v>
      </c>
      <c r="H13" s="15">
        <v>100</v>
      </c>
      <c r="I13" s="15">
        <v>100</v>
      </c>
      <c r="J13" s="15">
        <v>100</v>
      </c>
      <c r="K13" s="14">
        <v>99.6</v>
      </c>
      <c r="L13" s="14">
        <v>96.59</v>
      </c>
      <c r="M13" s="15">
        <v>100</v>
      </c>
      <c r="N13" s="14">
        <v>98.81</v>
      </c>
      <c r="O13" s="14">
        <v>96.44</v>
      </c>
      <c r="P13" s="16">
        <f t="shared" si="0"/>
        <v>98.558333333333337</v>
      </c>
    </row>
    <row r="14" spans="1:16" ht="13" x14ac:dyDescent="0.3">
      <c r="A14" s="9" t="s">
        <v>29</v>
      </c>
      <c r="B14">
        <v>3</v>
      </c>
      <c r="C14">
        <v>3</v>
      </c>
      <c r="D14" s="10">
        <v>100</v>
      </c>
      <c r="E14" s="17">
        <v>66.67</v>
      </c>
      <c r="F14" s="15">
        <v>100</v>
      </c>
      <c r="G14" s="15">
        <v>100</v>
      </c>
      <c r="H14" s="15">
        <v>100</v>
      </c>
      <c r="I14" s="15">
        <v>100</v>
      </c>
      <c r="J14" s="15">
        <v>100</v>
      </c>
      <c r="K14" s="15">
        <v>100</v>
      </c>
      <c r="L14" s="15">
        <v>100</v>
      </c>
      <c r="M14" s="15">
        <v>100</v>
      </c>
      <c r="N14" s="15">
        <v>100</v>
      </c>
      <c r="O14" s="15">
        <v>100</v>
      </c>
      <c r="P14" s="16">
        <f t="shared" si="0"/>
        <v>97.222500000000011</v>
      </c>
    </row>
    <row r="15" spans="1:16" ht="13" x14ac:dyDescent="0.3">
      <c r="A15" s="13" t="s">
        <v>30</v>
      </c>
      <c r="B15">
        <v>15</v>
      </c>
      <c r="C15">
        <v>30</v>
      </c>
      <c r="D15" s="11">
        <v>96.67</v>
      </c>
      <c r="E15" s="15">
        <v>100</v>
      </c>
      <c r="F15" s="17">
        <v>92.31</v>
      </c>
      <c r="G15" s="15">
        <v>100</v>
      </c>
      <c r="H15" s="15">
        <v>100</v>
      </c>
      <c r="I15" s="17">
        <v>87.5</v>
      </c>
      <c r="J15" s="15">
        <v>100</v>
      </c>
      <c r="K15" s="15">
        <v>100</v>
      </c>
      <c r="L15" s="15">
        <v>100</v>
      </c>
      <c r="M15" s="14">
        <v>96.67</v>
      </c>
      <c r="N15" s="17">
        <v>86.67</v>
      </c>
      <c r="O15" s="14">
        <v>96.67</v>
      </c>
      <c r="P15" s="16">
        <f t="shared" si="0"/>
        <v>96.374166666666667</v>
      </c>
    </row>
    <row r="16" spans="1:16" ht="13" x14ac:dyDescent="0.3">
      <c r="A16" s="9" t="s">
        <v>31</v>
      </c>
      <c r="B16">
        <v>214</v>
      </c>
      <c r="C16">
        <v>294</v>
      </c>
      <c r="D16" s="11">
        <v>97.23</v>
      </c>
      <c r="E16" s="17">
        <v>92.52</v>
      </c>
      <c r="F16" s="17">
        <v>92.73</v>
      </c>
      <c r="G16" s="14">
        <v>99.29</v>
      </c>
      <c r="H16" s="14">
        <v>97.929999999999993</v>
      </c>
      <c r="I16" s="17">
        <v>87.5</v>
      </c>
      <c r="J16" s="15">
        <v>100</v>
      </c>
      <c r="K16" s="14">
        <v>98.64</v>
      </c>
      <c r="L16" s="15">
        <v>100</v>
      </c>
      <c r="M16" s="14">
        <v>98.98</v>
      </c>
      <c r="N16" s="14">
        <v>99.32</v>
      </c>
      <c r="O16" s="17">
        <v>76.87</v>
      </c>
      <c r="P16" s="16">
        <f t="shared" si="0"/>
        <v>95.08416666666669</v>
      </c>
    </row>
    <row r="17" spans="1:16" ht="13" x14ac:dyDescent="0.3">
      <c r="A17" s="13" t="s">
        <v>32</v>
      </c>
      <c r="B17">
        <v>11</v>
      </c>
      <c r="C17">
        <v>44</v>
      </c>
      <c r="D17" s="10">
        <v>100</v>
      </c>
      <c r="E17" s="15">
        <v>100</v>
      </c>
      <c r="F17" s="15">
        <v>100</v>
      </c>
      <c r="G17" s="15">
        <v>100</v>
      </c>
      <c r="H17" s="15">
        <v>100</v>
      </c>
      <c r="I17" s="15">
        <v>100</v>
      </c>
      <c r="J17" s="15">
        <v>100</v>
      </c>
      <c r="K17" s="15">
        <v>100</v>
      </c>
      <c r="L17" s="15">
        <v>100</v>
      </c>
      <c r="M17" s="15">
        <v>100</v>
      </c>
      <c r="N17" s="14">
        <v>95.45</v>
      </c>
      <c r="O17" s="15">
        <v>100</v>
      </c>
      <c r="P17" s="16">
        <f t="shared" si="0"/>
        <v>99.620833333333337</v>
      </c>
    </row>
    <row r="18" spans="1:16" ht="13" x14ac:dyDescent="0.3">
      <c r="A18" s="9" t="s">
        <v>33</v>
      </c>
      <c r="B18">
        <v>44</v>
      </c>
      <c r="C18">
        <v>54</v>
      </c>
      <c r="D18" s="10">
        <v>100</v>
      </c>
      <c r="E18" s="14">
        <v>96.3</v>
      </c>
      <c r="F18" s="15">
        <v>100</v>
      </c>
      <c r="G18" s="15">
        <v>100</v>
      </c>
      <c r="H18" s="14">
        <v>96.67</v>
      </c>
      <c r="I18" s="15">
        <v>100</v>
      </c>
      <c r="J18" s="15">
        <v>100</v>
      </c>
      <c r="K18" s="15">
        <v>100</v>
      </c>
      <c r="L18" s="15">
        <v>100</v>
      </c>
      <c r="M18" s="15">
        <v>100</v>
      </c>
      <c r="N18" s="15">
        <v>100</v>
      </c>
      <c r="O18" s="15">
        <v>100</v>
      </c>
      <c r="P18" s="16">
        <f t="shared" si="0"/>
        <v>99.414166666666674</v>
      </c>
    </row>
    <row r="19" spans="1:16" ht="13" x14ac:dyDescent="0.3">
      <c r="A19" s="13" t="s">
        <v>34</v>
      </c>
      <c r="B19">
        <v>59</v>
      </c>
      <c r="C19">
        <v>60</v>
      </c>
      <c r="D19" s="18">
        <v>92.86</v>
      </c>
      <c r="E19" s="14">
        <v>95</v>
      </c>
      <c r="F19" s="15">
        <v>100</v>
      </c>
      <c r="G19" s="15">
        <v>100</v>
      </c>
      <c r="H19" s="15">
        <v>100</v>
      </c>
      <c r="I19" s="15">
        <v>100</v>
      </c>
      <c r="J19" s="15">
        <v>100</v>
      </c>
      <c r="K19" s="15">
        <v>100</v>
      </c>
      <c r="L19" s="17">
        <v>93.75</v>
      </c>
      <c r="M19" s="15">
        <v>100</v>
      </c>
      <c r="N19" s="14">
        <v>95</v>
      </c>
      <c r="O19" s="17">
        <v>86.67</v>
      </c>
      <c r="P19" s="16">
        <f t="shared" si="0"/>
        <v>96.940000000000012</v>
      </c>
    </row>
    <row r="20" spans="1:16" ht="13" x14ac:dyDescent="0.3">
      <c r="A20" s="9" t="s">
        <v>35</v>
      </c>
      <c r="B20">
        <v>3</v>
      </c>
      <c r="C20">
        <v>8</v>
      </c>
      <c r="D20" s="10">
        <v>100</v>
      </c>
      <c r="E20" s="17">
        <v>87.5</v>
      </c>
      <c r="F20" s="15">
        <v>100</v>
      </c>
      <c r="G20" s="15">
        <v>100</v>
      </c>
      <c r="H20" s="15">
        <v>100</v>
      </c>
      <c r="I20" s="15">
        <v>100</v>
      </c>
      <c r="J20" s="15">
        <v>100</v>
      </c>
      <c r="K20" s="15">
        <v>100</v>
      </c>
      <c r="L20" s="15">
        <v>100</v>
      </c>
      <c r="M20" s="15">
        <v>100</v>
      </c>
      <c r="N20" s="17">
        <v>75</v>
      </c>
      <c r="O20" s="15">
        <v>100</v>
      </c>
      <c r="P20" s="16">
        <f t="shared" si="0"/>
        <v>96.875</v>
      </c>
    </row>
    <row r="21" spans="1:16" ht="13" x14ac:dyDescent="0.3">
      <c r="A21" s="13" t="s">
        <v>36</v>
      </c>
      <c r="B21">
        <v>22</v>
      </c>
      <c r="C21">
        <v>44</v>
      </c>
      <c r="D21" s="10">
        <v>100</v>
      </c>
      <c r="E21" s="14">
        <v>97.72999999999999</v>
      </c>
      <c r="F21" s="17">
        <v>88.460000000000008</v>
      </c>
      <c r="G21" s="15">
        <v>100</v>
      </c>
      <c r="H21" s="14">
        <v>95.45</v>
      </c>
      <c r="I21" s="15">
        <v>100</v>
      </c>
      <c r="J21" s="15">
        <v>100</v>
      </c>
      <c r="K21" s="14">
        <v>95.45</v>
      </c>
      <c r="L21" s="15">
        <v>100</v>
      </c>
      <c r="M21" s="17">
        <v>93.179999999999993</v>
      </c>
      <c r="N21" s="17">
        <v>93.179999999999993</v>
      </c>
      <c r="O21" s="15">
        <v>100</v>
      </c>
      <c r="P21" s="16">
        <f t="shared" si="0"/>
        <v>96.954166666666666</v>
      </c>
    </row>
    <row r="22" spans="1:16" ht="13" x14ac:dyDescent="0.3">
      <c r="A22" s="9" t="s">
        <v>37</v>
      </c>
      <c r="B22">
        <v>62</v>
      </c>
      <c r="C22">
        <v>62</v>
      </c>
      <c r="D22" s="10">
        <v>100</v>
      </c>
      <c r="E22" s="14">
        <v>95.16</v>
      </c>
      <c r="F22" s="15">
        <v>100</v>
      </c>
      <c r="G22" s="15">
        <v>100</v>
      </c>
      <c r="H22" s="15">
        <v>100</v>
      </c>
      <c r="I22" s="15">
        <v>100</v>
      </c>
      <c r="J22" s="15">
        <v>100</v>
      </c>
      <c r="K22" s="14">
        <v>96.77</v>
      </c>
      <c r="L22" s="15">
        <v>100</v>
      </c>
      <c r="M22" s="14">
        <v>98.39</v>
      </c>
      <c r="N22" s="14">
        <v>98.39</v>
      </c>
      <c r="O22" s="14">
        <v>96.77</v>
      </c>
      <c r="P22" s="16">
        <f t="shared" si="0"/>
        <v>98.79</v>
      </c>
    </row>
    <row r="23" spans="1:16" ht="13" x14ac:dyDescent="0.3">
      <c r="A23" s="13" t="s">
        <v>38</v>
      </c>
      <c r="B23">
        <v>186</v>
      </c>
      <c r="C23">
        <v>373</v>
      </c>
      <c r="D23" s="11">
        <v>96.25</v>
      </c>
      <c r="E23" s="14">
        <v>96.25</v>
      </c>
      <c r="F23" s="14">
        <v>96.03</v>
      </c>
      <c r="G23" s="14">
        <v>97.69</v>
      </c>
      <c r="H23" s="14">
        <v>99</v>
      </c>
      <c r="I23" s="15">
        <v>100</v>
      </c>
      <c r="J23" s="15">
        <v>100</v>
      </c>
      <c r="K23" s="14">
        <v>98.11999999999999</v>
      </c>
      <c r="L23" s="15">
        <v>100</v>
      </c>
      <c r="M23" s="14">
        <v>98.39</v>
      </c>
      <c r="N23" s="14">
        <v>97.850000000000009</v>
      </c>
      <c r="O23" s="14">
        <v>96.25</v>
      </c>
      <c r="P23" s="16">
        <f t="shared" si="0"/>
        <v>97.985833333333332</v>
      </c>
    </row>
    <row r="24" spans="1:16" ht="13" x14ac:dyDescent="0.3">
      <c r="A24" s="9" t="s">
        <v>39</v>
      </c>
      <c r="B24">
        <v>3</v>
      </c>
      <c r="C24">
        <v>3</v>
      </c>
      <c r="D24" s="10">
        <v>100</v>
      </c>
      <c r="E24" s="15">
        <v>100</v>
      </c>
      <c r="F24" s="15">
        <v>100</v>
      </c>
      <c r="G24" s="15">
        <v>100</v>
      </c>
      <c r="H24" s="15">
        <v>100</v>
      </c>
      <c r="I24" s="15">
        <v>100</v>
      </c>
      <c r="J24" s="15">
        <v>100</v>
      </c>
      <c r="K24" s="15">
        <v>100</v>
      </c>
      <c r="L24" s="15">
        <v>100</v>
      </c>
      <c r="M24" s="15">
        <v>100</v>
      </c>
      <c r="N24" s="15">
        <v>100</v>
      </c>
      <c r="O24" s="15">
        <v>100</v>
      </c>
      <c r="P24" s="16">
        <f t="shared" si="0"/>
        <v>100</v>
      </c>
    </row>
    <row r="25" spans="1:16" ht="13" x14ac:dyDescent="0.3">
      <c r="A25" s="13" t="s">
        <v>40</v>
      </c>
      <c r="B25">
        <v>11</v>
      </c>
      <c r="C25">
        <v>11</v>
      </c>
      <c r="D25" s="10">
        <v>100</v>
      </c>
      <c r="E25" s="15">
        <v>100</v>
      </c>
      <c r="F25" s="15">
        <v>100</v>
      </c>
      <c r="G25" s="15">
        <v>100</v>
      </c>
      <c r="H25" s="15">
        <v>100</v>
      </c>
      <c r="I25" s="15">
        <v>100</v>
      </c>
      <c r="J25" s="15">
        <v>100</v>
      </c>
      <c r="K25" s="15">
        <v>100</v>
      </c>
      <c r="L25" s="15">
        <v>100</v>
      </c>
      <c r="M25" s="15">
        <v>100</v>
      </c>
      <c r="N25" s="15">
        <v>100</v>
      </c>
      <c r="O25" s="15">
        <v>100</v>
      </c>
      <c r="P25" s="16">
        <f t="shared" si="0"/>
        <v>100</v>
      </c>
    </row>
    <row r="26" spans="1:16" ht="13" x14ac:dyDescent="0.3">
      <c r="A26" s="9" t="s">
        <v>41</v>
      </c>
      <c r="B26">
        <v>123</v>
      </c>
      <c r="C26">
        <v>162</v>
      </c>
      <c r="D26" s="10">
        <v>100</v>
      </c>
      <c r="E26" s="15">
        <v>100</v>
      </c>
      <c r="F26" s="14">
        <v>98.61</v>
      </c>
      <c r="G26" s="14">
        <v>98.61</v>
      </c>
      <c r="H26" s="15">
        <v>100</v>
      </c>
      <c r="I26" s="15">
        <v>100</v>
      </c>
      <c r="J26" s="15">
        <v>100</v>
      </c>
      <c r="K26" s="15">
        <v>100</v>
      </c>
      <c r="L26" s="15">
        <v>100</v>
      </c>
      <c r="M26" s="14">
        <v>99.38</v>
      </c>
      <c r="N26" s="15">
        <v>100</v>
      </c>
      <c r="O26" s="15">
        <v>100</v>
      </c>
      <c r="P26" s="16">
        <f t="shared" si="0"/>
        <v>99.716666666666654</v>
      </c>
    </row>
    <row r="27" spans="1:16" ht="13" x14ac:dyDescent="0.3">
      <c r="A27" s="13" t="s">
        <v>42</v>
      </c>
      <c r="B27">
        <v>22</v>
      </c>
      <c r="C27">
        <v>30</v>
      </c>
      <c r="D27" s="10">
        <v>100</v>
      </c>
      <c r="E27" s="15">
        <v>100</v>
      </c>
      <c r="F27" s="17">
        <v>92.31</v>
      </c>
      <c r="G27" s="15">
        <v>100</v>
      </c>
      <c r="H27" s="15">
        <v>100</v>
      </c>
      <c r="I27" s="15">
        <v>100</v>
      </c>
      <c r="J27" s="15">
        <v>100</v>
      </c>
      <c r="K27" s="15">
        <v>100</v>
      </c>
      <c r="L27" s="15">
        <v>100</v>
      </c>
      <c r="M27" s="15">
        <v>100</v>
      </c>
      <c r="N27" s="15">
        <v>100</v>
      </c>
      <c r="O27" s="17">
        <v>93.33</v>
      </c>
      <c r="P27" s="16">
        <f t="shared" si="0"/>
        <v>98.803333333333327</v>
      </c>
    </row>
    <row r="28" spans="1:16" ht="13" x14ac:dyDescent="0.3">
      <c r="A28" s="9" t="s">
        <v>43</v>
      </c>
      <c r="B28">
        <v>11</v>
      </c>
      <c r="C28">
        <v>44</v>
      </c>
      <c r="D28" s="11">
        <v>95.45</v>
      </c>
      <c r="E28" s="14">
        <v>95.45</v>
      </c>
      <c r="F28" s="15">
        <v>100</v>
      </c>
      <c r="G28" s="15">
        <v>100</v>
      </c>
      <c r="H28" s="15">
        <v>100</v>
      </c>
      <c r="I28" s="15">
        <v>100</v>
      </c>
      <c r="J28" s="15">
        <v>100</v>
      </c>
      <c r="K28" s="14">
        <v>97.72999999999999</v>
      </c>
      <c r="L28" s="15">
        <v>100</v>
      </c>
      <c r="M28" s="15">
        <v>100</v>
      </c>
      <c r="N28" s="15">
        <v>100</v>
      </c>
      <c r="O28" s="15">
        <v>100</v>
      </c>
      <c r="P28" s="16">
        <f t="shared" si="0"/>
        <v>99.052500000000009</v>
      </c>
    </row>
    <row r="29" spans="1:16" ht="13" x14ac:dyDescent="0.3">
      <c r="A29" s="13" t="s">
        <v>44</v>
      </c>
      <c r="B29">
        <v>45</v>
      </c>
      <c r="C29">
        <v>68</v>
      </c>
      <c r="D29" s="18">
        <v>93.75</v>
      </c>
      <c r="E29" s="17">
        <v>94.12</v>
      </c>
      <c r="F29" s="15">
        <v>100</v>
      </c>
      <c r="G29" s="15">
        <v>100</v>
      </c>
      <c r="H29" s="14">
        <v>98.53</v>
      </c>
      <c r="I29" s="15">
        <v>100</v>
      </c>
      <c r="J29" s="15">
        <v>100</v>
      </c>
      <c r="K29" s="15">
        <v>100</v>
      </c>
      <c r="L29" s="15">
        <v>100</v>
      </c>
      <c r="M29" s="14">
        <v>98.53</v>
      </c>
      <c r="N29" s="15">
        <v>100</v>
      </c>
      <c r="O29" s="17">
        <v>83.82</v>
      </c>
      <c r="P29" s="16">
        <f t="shared" si="0"/>
        <v>97.395833333333314</v>
      </c>
    </row>
    <row r="30" spans="1:16" ht="13" x14ac:dyDescent="0.3">
      <c r="A30" s="9" t="s">
        <v>45</v>
      </c>
      <c r="B30">
        <v>1</v>
      </c>
      <c r="C30">
        <v>12</v>
      </c>
      <c r="D30" s="10">
        <v>100</v>
      </c>
      <c r="E30" s="15">
        <v>100</v>
      </c>
      <c r="F30" s="15">
        <v>100</v>
      </c>
      <c r="G30" s="15">
        <v>100</v>
      </c>
      <c r="H30" s="15">
        <v>100</v>
      </c>
      <c r="I30" s="15">
        <v>100</v>
      </c>
      <c r="J30" s="15">
        <v>100</v>
      </c>
      <c r="K30" s="15">
        <v>100</v>
      </c>
      <c r="L30" s="15">
        <v>100</v>
      </c>
      <c r="M30" s="15">
        <v>100</v>
      </c>
      <c r="N30" s="15">
        <v>100</v>
      </c>
      <c r="O30" s="15">
        <v>100</v>
      </c>
      <c r="P30" s="16">
        <f t="shared" si="0"/>
        <v>100</v>
      </c>
    </row>
    <row r="31" spans="1:16" ht="13" x14ac:dyDescent="0.3">
      <c r="A31" s="13" t="s">
        <v>46</v>
      </c>
      <c r="B31">
        <v>12</v>
      </c>
      <c r="C31">
        <v>24</v>
      </c>
      <c r="D31" s="10">
        <v>100</v>
      </c>
      <c r="E31" s="15">
        <v>100</v>
      </c>
      <c r="F31" s="15">
        <v>100</v>
      </c>
      <c r="G31" s="14">
        <v>95.83</v>
      </c>
      <c r="H31" s="17">
        <v>91.67</v>
      </c>
      <c r="I31" s="15">
        <v>100</v>
      </c>
      <c r="J31" s="15">
        <v>100</v>
      </c>
      <c r="K31" s="15">
        <v>100</v>
      </c>
      <c r="L31" s="15">
        <v>100</v>
      </c>
      <c r="M31" s="15">
        <v>100</v>
      </c>
      <c r="N31" s="15">
        <v>100</v>
      </c>
      <c r="O31" s="15">
        <v>100</v>
      </c>
      <c r="P31" s="16">
        <f t="shared" si="0"/>
        <v>98.958333333333329</v>
      </c>
    </row>
    <row r="32" spans="1:16" ht="13" x14ac:dyDescent="0.3">
      <c r="A32" s="9" t="s">
        <v>47</v>
      </c>
      <c r="B32">
        <v>84</v>
      </c>
      <c r="C32">
        <v>84</v>
      </c>
      <c r="D32" s="11">
        <v>96.43</v>
      </c>
      <c r="E32" s="17">
        <v>94.05</v>
      </c>
      <c r="F32" s="14">
        <v>96.15</v>
      </c>
      <c r="G32" s="15">
        <v>100</v>
      </c>
      <c r="H32" s="14">
        <v>97.61999999999999</v>
      </c>
      <c r="I32" s="15">
        <v>100</v>
      </c>
      <c r="J32" s="15">
        <v>100</v>
      </c>
      <c r="K32" s="14">
        <v>97.61999999999999</v>
      </c>
      <c r="L32" s="15">
        <v>100</v>
      </c>
      <c r="M32" s="15">
        <v>100</v>
      </c>
      <c r="N32" s="14">
        <v>98.81</v>
      </c>
      <c r="O32" s="17">
        <v>86.9</v>
      </c>
      <c r="P32" s="16">
        <f t="shared" si="0"/>
        <v>97.298333333333346</v>
      </c>
    </row>
    <row r="33" spans="1:16" ht="13" x14ac:dyDescent="0.3">
      <c r="A33" s="13" t="s">
        <v>48</v>
      </c>
      <c r="B33">
        <v>63</v>
      </c>
      <c r="C33">
        <v>63</v>
      </c>
      <c r="D33" s="10">
        <v>100</v>
      </c>
      <c r="E33" s="14">
        <v>98.41</v>
      </c>
      <c r="F33" s="14">
        <v>95.35</v>
      </c>
      <c r="G33" s="15">
        <v>100</v>
      </c>
      <c r="H33" s="15">
        <v>100</v>
      </c>
      <c r="I33" s="15">
        <v>100</v>
      </c>
      <c r="J33" s="15">
        <v>100</v>
      </c>
      <c r="K33" s="15">
        <v>100</v>
      </c>
      <c r="L33" s="15">
        <v>100</v>
      </c>
      <c r="M33" s="15">
        <v>100</v>
      </c>
      <c r="N33" s="15">
        <v>100</v>
      </c>
      <c r="O33" s="15">
        <v>100</v>
      </c>
      <c r="P33" s="16">
        <f t="shared" si="0"/>
        <v>99.48</v>
      </c>
    </row>
    <row r="34" spans="1:16" ht="13" x14ac:dyDescent="0.3">
      <c r="A34" s="9" t="s">
        <v>49</v>
      </c>
      <c r="B34">
        <v>78</v>
      </c>
      <c r="C34">
        <v>320</v>
      </c>
      <c r="D34" s="10">
        <v>100</v>
      </c>
      <c r="E34" s="15">
        <v>100</v>
      </c>
      <c r="F34" s="14">
        <v>98.18</v>
      </c>
      <c r="G34" s="15">
        <v>100</v>
      </c>
      <c r="H34" s="15">
        <v>100</v>
      </c>
      <c r="I34" s="15">
        <v>100</v>
      </c>
      <c r="J34" s="15">
        <v>100</v>
      </c>
      <c r="K34" s="14">
        <v>98.75</v>
      </c>
      <c r="L34" s="15">
        <v>100</v>
      </c>
      <c r="M34" s="15">
        <v>100</v>
      </c>
      <c r="N34" s="15">
        <v>100</v>
      </c>
      <c r="O34" s="15">
        <v>100</v>
      </c>
      <c r="P34" s="16">
        <f t="shared" si="0"/>
        <v>99.744166666666672</v>
      </c>
    </row>
    <row r="35" spans="1:16" ht="13" x14ac:dyDescent="0.3">
      <c r="A35" s="13" t="s">
        <v>50</v>
      </c>
      <c r="B35">
        <v>98</v>
      </c>
      <c r="C35">
        <v>103</v>
      </c>
      <c r="D35" s="11">
        <v>99.03</v>
      </c>
      <c r="E35" s="15">
        <v>100</v>
      </c>
      <c r="F35" s="14">
        <v>96.08</v>
      </c>
      <c r="G35" s="15">
        <v>100</v>
      </c>
      <c r="H35" s="15">
        <v>100</v>
      </c>
      <c r="I35" s="15">
        <v>100</v>
      </c>
      <c r="J35" s="15">
        <v>100</v>
      </c>
      <c r="K35" s="15">
        <v>100</v>
      </c>
      <c r="L35" s="15">
        <v>100</v>
      </c>
      <c r="M35" s="15">
        <v>100</v>
      </c>
      <c r="N35" s="15">
        <v>100</v>
      </c>
      <c r="O35" s="14">
        <v>98.06</v>
      </c>
      <c r="P35" s="16">
        <f t="shared" si="0"/>
        <v>99.430833333333339</v>
      </c>
    </row>
    <row r="36" spans="1:16" ht="13" x14ac:dyDescent="0.3">
      <c r="A36" s="9" t="s">
        <v>51</v>
      </c>
      <c r="B36">
        <v>4</v>
      </c>
      <c r="C36">
        <v>4</v>
      </c>
      <c r="D36" s="18">
        <v>75</v>
      </c>
      <c r="E36" s="17">
        <v>75</v>
      </c>
      <c r="F36" s="15">
        <v>100</v>
      </c>
      <c r="G36" s="15">
        <v>100</v>
      </c>
      <c r="H36" s="15">
        <v>100</v>
      </c>
      <c r="I36" s="15">
        <v>100</v>
      </c>
      <c r="J36" s="15">
        <v>100</v>
      </c>
      <c r="K36" s="15">
        <v>100</v>
      </c>
      <c r="L36" s="15">
        <v>100</v>
      </c>
      <c r="M36" s="15">
        <v>100</v>
      </c>
      <c r="N36" s="15">
        <v>100</v>
      </c>
      <c r="O36" s="15">
        <v>100</v>
      </c>
      <c r="P36" s="16">
        <f t="shared" si="0"/>
        <v>95.833333333333329</v>
      </c>
    </row>
    <row r="37" spans="1:16" ht="13" x14ac:dyDescent="0.3">
      <c r="A37" s="13" t="s">
        <v>52</v>
      </c>
      <c r="B37">
        <v>8</v>
      </c>
      <c r="C37">
        <v>30</v>
      </c>
      <c r="D37" s="11">
        <v>97.06</v>
      </c>
      <c r="E37" s="17">
        <v>94.12</v>
      </c>
      <c r="F37" s="15">
        <v>100</v>
      </c>
      <c r="G37" s="15">
        <v>100</v>
      </c>
      <c r="H37" s="15">
        <v>100</v>
      </c>
      <c r="I37" s="15">
        <v>100</v>
      </c>
      <c r="J37" s="15">
        <v>100</v>
      </c>
      <c r="K37" s="15">
        <v>100</v>
      </c>
      <c r="L37" s="15">
        <v>100</v>
      </c>
      <c r="M37" s="15">
        <v>100</v>
      </c>
      <c r="N37" s="15">
        <v>100</v>
      </c>
      <c r="O37" s="15">
        <v>100</v>
      </c>
      <c r="P37" s="16">
        <f t="shared" si="0"/>
        <v>99.265000000000001</v>
      </c>
    </row>
    <row r="38" spans="1:16" ht="13" x14ac:dyDescent="0.3">
      <c r="A38" s="9" t="s">
        <v>53</v>
      </c>
      <c r="B38">
        <v>21</v>
      </c>
      <c r="C38">
        <v>41</v>
      </c>
      <c r="D38" s="10">
        <v>100</v>
      </c>
      <c r="E38" s="15">
        <v>100</v>
      </c>
      <c r="F38" s="15">
        <v>100</v>
      </c>
      <c r="G38" s="15">
        <v>100</v>
      </c>
      <c r="H38" s="15">
        <v>100</v>
      </c>
      <c r="I38" s="15">
        <v>100</v>
      </c>
      <c r="J38" s="15">
        <v>100</v>
      </c>
      <c r="K38" s="15">
        <v>100</v>
      </c>
      <c r="L38" s="15">
        <v>100</v>
      </c>
      <c r="M38" s="15">
        <v>100</v>
      </c>
      <c r="N38" s="15">
        <v>100</v>
      </c>
      <c r="O38" s="17">
        <v>48.78</v>
      </c>
      <c r="P38" s="16">
        <f t="shared" si="0"/>
        <v>95.731666666666669</v>
      </c>
    </row>
    <row r="39" spans="1:16" ht="13" x14ac:dyDescent="0.3">
      <c r="A39" s="13" t="s">
        <v>54</v>
      </c>
      <c r="B39">
        <v>60</v>
      </c>
      <c r="C39">
        <v>35</v>
      </c>
      <c r="D39" s="10">
        <v>100</v>
      </c>
      <c r="E39" s="15">
        <v>100</v>
      </c>
      <c r="F39" s="15">
        <v>100</v>
      </c>
      <c r="G39" s="15">
        <v>100</v>
      </c>
      <c r="H39" s="15">
        <v>100</v>
      </c>
      <c r="I39" s="15">
        <v>100</v>
      </c>
      <c r="J39" s="15">
        <v>100</v>
      </c>
      <c r="K39" s="17">
        <v>71.430000000000007</v>
      </c>
      <c r="L39" s="15">
        <v>100</v>
      </c>
      <c r="M39" s="15">
        <v>100</v>
      </c>
      <c r="N39" s="15">
        <v>100</v>
      </c>
      <c r="O39" s="17">
        <v>62.860000000000007</v>
      </c>
      <c r="P39" s="16">
        <f t="shared" si="0"/>
        <v>94.524166666666659</v>
      </c>
    </row>
    <row r="40" spans="1:16" ht="13" x14ac:dyDescent="0.3">
      <c r="A40" s="9" t="s">
        <v>55</v>
      </c>
      <c r="B40">
        <v>49</v>
      </c>
      <c r="C40">
        <v>45</v>
      </c>
      <c r="D40" s="11">
        <v>95.56</v>
      </c>
      <c r="E40" s="17">
        <v>86.67</v>
      </c>
      <c r="F40" s="14">
        <v>95.56</v>
      </c>
      <c r="G40" s="15">
        <v>100</v>
      </c>
      <c r="H40" s="15">
        <v>100</v>
      </c>
      <c r="I40" s="15">
        <v>100</v>
      </c>
      <c r="J40" s="15">
        <v>100</v>
      </c>
      <c r="K40" s="14">
        <v>97.78</v>
      </c>
      <c r="L40" s="15">
        <v>100</v>
      </c>
      <c r="M40" s="15">
        <v>100</v>
      </c>
      <c r="N40" s="15">
        <v>100</v>
      </c>
      <c r="O40" s="15">
        <v>100</v>
      </c>
      <c r="P40" s="16">
        <f t="shared" si="0"/>
        <v>97.964166666666657</v>
      </c>
    </row>
    <row r="41" spans="1:16" ht="13" x14ac:dyDescent="0.3">
      <c r="A41" s="13" t="s">
        <v>56</v>
      </c>
      <c r="B41">
        <v>56</v>
      </c>
      <c r="C41">
        <v>108</v>
      </c>
      <c r="D41" s="10">
        <v>100</v>
      </c>
      <c r="E41" s="15">
        <v>100</v>
      </c>
      <c r="F41" s="15">
        <v>100</v>
      </c>
      <c r="G41" s="15">
        <v>100</v>
      </c>
      <c r="H41" s="15">
        <v>100</v>
      </c>
      <c r="I41" s="15">
        <v>100</v>
      </c>
      <c r="J41" s="15">
        <v>100</v>
      </c>
      <c r="K41" s="15">
        <v>100</v>
      </c>
      <c r="L41" s="15">
        <v>100</v>
      </c>
      <c r="M41" s="15">
        <v>100</v>
      </c>
      <c r="N41" s="15">
        <v>100</v>
      </c>
      <c r="O41" s="14">
        <v>99.070000000000007</v>
      </c>
      <c r="P41" s="16">
        <f t="shared" si="0"/>
        <v>99.922499999999999</v>
      </c>
    </row>
    <row r="42" spans="1:16" ht="13" x14ac:dyDescent="0.3">
      <c r="A42" s="9" t="s">
        <v>57</v>
      </c>
      <c r="B42">
        <v>141</v>
      </c>
      <c r="C42">
        <v>141</v>
      </c>
      <c r="D42" s="11">
        <v>95.93</v>
      </c>
      <c r="E42" s="14">
        <v>96.45</v>
      </c>
      <c r="F42" s="15">
        <v>100</v>
      </c>
      <c r="G42" s="15">
        <v>100</v>
      </c>
      <c r="H42" s="15">
        <v>100</v>
      </c>
      <c r="I42" s="15">
        <v>100</v>
      </c>
      <c r="J42" s="15">
        <v>100</v>
      </c>
      <c r="K42" s="15">
        <v>100</v>
      </c>
      <c r="L42" s="15">
        <v>100</v>
      </c>
      <c r="M42" s="15">
        <v>100</v>
      </c>
      <c r="N42" s="15">
        <v>100</v>
      </c>
      <c r="O42" s="17">
        <v>90.07</v>
      </c>
      <c r="P42" s="16">
        <f t="shared" si="0"/>
        <v>98.537500000000009</v>
      </c>
    </row>
    <row r="43" spans="1:16" ht="13" x14ac:dyDescent="0.3">
      <c r="A43" s="13" t="s">
        <v>58</v>
      </c>
      <c r="B43">
        <v>68</v>
      </c>
      <c r="C43">
        <v>131</v>
      </c>
      <c r="D43" s="18">
        <v>94.67</v>
      </c>
      <c r="E43" s="14">
        <v>95.42</v>
      </c>
      <c r="F43" s="17">
        <v>93.94</v>
      </c>
      <c r="G43" s="15">
        <v>100</v>
      </c>
      <c r="H43" s="17">
        <v>94.23</v>
      </c>
      <c r="I43" s="15">
        <v>100</v>
      </c>
      <c r="J43" s="15">
        <v>100</v>
      </c>
      <c r="K43" s="14">
        <v>99.24</v>
      </c>
      <c r="L43" s="14">
        <v>97.5</v>
      </c>
      <c r="M43" s="14">
        <v>99.24</v>
      </c>
      <c r="N43" s="14">
        <v>98.47</v>
      </c>
      <c r="O43" s="15">
        <v>100</v>
      </c>
      <c r="P43" s="16">
        <f t="shared" si="0"/>
        <v>97.725833333333341</v>
      </c>
    </row>
    <row r="44" spans="1:16" ht="13" x14ac:dyDescent="0.3">
      <c r="A44" s="9" t="s">
        <v>59</v>
      </c>
      <c r="B44">
        <v>26</v>
      </c>
      <c r="C44">
        <v>52</v>
      </c>
      <c r="D44" s="10">
        <v>100</v>
      </c>
      <c r="E44" s="14">
        <v>96.15</v>
      </c>
      <c r="F44" s="15">
        <v>100</v>
      </c>
      <c r="G44" s="15">
        <v>100</v>
      </c>
      <c r="H44" s="15">
        <v>100</v>
      </c>
      <c r="I44" s="15">
        <v>100</v>
      </c>
      <c r="J44" s="15">
        <v>100</v>
      </c>
      <c r="K44" s="14">
        <v>96.15</v>
      </c>
      <c r="L44" s="15">
        <v>100</v>
      </c>
      <c r="M44" s="14">
        <v>98.08</v>
      </c>
      <c r="N44" s="15">
        <v>100</v>
      </c>
      <c r="O44" s="14">
        <v>98.08</v>
      </c>
      <c r="P44" s="16">
        <f t="shared" si="0"/>
        <v>99.038333333333341</v>
      </c>
    </row>
    <row r="45" spans="1:16" ht="13" x14ac:dyDescent="0.3">
      <c r="A45" s="13" t="s">
        <v>60</v>
      </c>
      <c r="B45">
        <v>14</v>
      </c>
      <c r="C45">
        <v>30</v>
      </c>
      <c r="D45" s="10">
        <v>100</v>
      </c>
      <c r="E45" s="15">
        <v>100</v>
      </c>
      <c r="F45" s="15">
        <v>100</v>
      </c>
      <c r="G45" s="15">
        <v>100</v>
      </c>
      <c r="H45" s="15">
        <v>100</v>
      </c>
      <c r="I45" s="15">
        <v>100</v>
      </c>
      <c r="J45" s="15">
        <v>100</v>
      </c>
      <c r="K45" s="15">
        <v>100</v>
      </c>
      <c r="L45" s="15">
        <v>100</v>
      </c>
      <c r="M45" s="15">
        <v>100</v>
      </c>
      <c r="N45" s="15">
        <v>100</v>
      </c>
      <c r="O45" s="15">
        <v>100</v>
      </c>
      <c r="P45" s="16">
        <f t="shared" si="0"/>
        <v>100</v>
      </c>
    </row>
    <row r="46" spans="1:16" ht="13" x14ac:dyDescent="0.3">
      <c r="A46" s="9" t="s">
        <v>61</v>
      </c>
      <c r="B46">
        <v>5</v>
      </c>
      <c r="C46">
        <v>13</v>
      </c>
      <c r="D46" s="10">
        <v>100</v>
      </c>
      <c r="E46" s="15">
        <v>100</v>
      </c>
      <c r="F46" s="15">
        <v>100</v>
      </c>
      <c r="G46" s="15">
        <v>100</v>
      </c>
      <c r="H46" s="15">
        <v>100</v>
      </c>
      <c r="I46" s="15">
        <v>100</v>
      </c>
      <c r="J46" s="15">
        <v>100</v>
      </c>
      <c r="K46" s="15">
        <v>100</v>
      </c>
      <c r="L46" s="15">
        <v>100</v>
      </c>
      <c r="M46" s="15">
        <v>100</v>
      </c>
      <c r="N46" s="15">
        <v>100</v>
      </c>
      <c r="O46" s="15">
        <v>100</v>
      </c>
      <c r="P46" s="16">
        <f t="shared" si="0"/>
        <v>100</v>
      </c>
    </row>
    <row r="47" spans="1:16" ht="13" x14ac:dyDescent="0.3">
      <c r="A47" s="13" t="s">
        <v>62</v>
      </c>
      <c r="B47">
        <v>2</v>
      </c>
      <c r="C47">
        <v>8</v>
      </c>
      <c r="D47" s="10">
        <v>100</v>
      </c>
      <c r="E47" s="15">
        <v>100</v>
      </c>
      <c r="F47" s="15">
        <v>100</v>
      </c>
      <c r="G47" s="15">
        <v>100</v>
      </c>
      <c r="H47" s="15">
        <v>100</v>
      </c>
      <c r="I47" s="15">
        <v>100</v>
      </c>
      <c r="J47" s="15">
        <v>100</v>
      </c>
      <c r="K47" s="15">
        <v>100</v>
      </c>
      <c r="L47" s="15">
        <v>100</v>
      </c>
      <c r="M47" s="15">
        <v>100</v>
      </c>
      <c r="N47" s="15">
        <v>100</v>
      </c>
      <c r="O47" s="15">
        <v>100</v>
      </c>
      <c r="P47" s="16">
        <f t="shared" si="0"/>
        <v>100</v>
      </c>
    </row>
    <row r="48" spans="1:16" ht="13" x14ac:dyDescent="0.3">
      <c r="A48" s="9" t="s">
        <v>63</v>
      </c>
      <c r="B48">
        <v>22</v>
      </c>
      <c r="C48">
        <v>80</v>
      </c>
      <c r="D48" s="10">
        <v>100</v>
      </c>
      <c r="E48" s="15">
        <v>100</v>
      </c>
      <c r="F48" s="14">
        <v>97.14</v>
      </c>
      <c r="G48" s="14">
        <v>97.14</v>
      </c>
      <c r="H48" s="15">
        <v>100</v>
      </c>
      <c r="I48" s="15">
        <v>100</v>
      </c>
      <c r="J48" s="15">
        <v>100</v>
      </c>
      <c r="K48" s="15">
        <v>100</v>
      </c>
      <c r="L48" s="15">
        <v>100</v>
      </c>
      <c r="M48" s="15">
        <v>100</v>
      </c>
      <c r="N48" s="15">
        <v>100</v>
      </c>
      <c r="O48" s="15">
        <v>100</v>
      </c>
      <c r="P48" s="16">
        <f t="shared" si="0"/>
        <v>99.523333333333326</v>
      </c>
    </row>
    <row r="49" spans="1:16" ht="13" x14ac:dyDescent="0.3">
      <c r="A49" s="13" t="s">
        <v>64</v>
      </c>
      <c r="B49">
        <v>9</v>
      </c>
      <c r="C49">
        <v>103</v>
      </c>
      <c r="D49" s="10">
        <v>100</v>
      </c>
      <c r="E49" s="15">
        <v>100</v>
      </c>
      <c r="F49" s="15">
        <v>100</v>
      </c>
      <c r="G49" s="15">
        <v>100</v>
      </c>
      <c r="H49" s="15">
        <v>100</v>
      </c>
      <c r="I49" s="15">
        <v>100</v>
      </c>
      <c r="J49" s="15">
        <v>100</v>
      </c>
      <c r="K49" s="15">
        <v>100</v>
      </c>
      <c r="L49" s="15">
        <v>100</v>
      </c>
      <c r="M49" s="15">
        <v>100</v>
      </c>
      <c r="N49" s="15">
        <v>100</v>
      </c>
      <c r="O49" s="15">
        <v>100</v>
      </c>
      <c r="P49" s="16">
        <f t="shared" si="0"/>
        <v>100</v>
      </c>
    </row>
    <row r="50" spans="1:16" ht="13" x14ac:dyDescent="0.3">
      <c r="A50" s="9" t="s">
        <v>65</v>
      </c>
      <c r="B50">
        <v>19</v>
      </c>
      <c r="C50">
        <v>52</v>
      </c>
      <c r="D50" s="11">
        <v>98.08</v>
      </c>
      <c r="E50" s="17">
        <v>86.539999999999992</v>
      </c>
      <c r="F50" s="14">
        <v>95.240000000000009</v>
      </c>
      <c r="G50" s="15">
        <v>100</v>
      </c>
      <c r="H50" s="17">
        <v>94.23</v>
      </c>
      <c r="I50" s="15">
        <v>100</v>
      </c>
      <c r="J50" s="15">
        <v>100</v>
      </c>
      <c r="K50" s="17">
        <v>76.92</v>
      </c>
      <c r="L50" s="15">
        <v>100</v>
      </c>
      <c r="M50" s="15">
        <v>100</v>
      </c>
      <c r="N50" s="15">
        <v>100</v>
      </c>
      <c r="O50" s="15">
        <v>100</v>
      </c>
      <c r="P50" s="16">
        <f t="shared" si="0"/>
        <v>95.917500000000004</v>
      </c>
    </row>
    <row r="51" spans="1:16" ht="13" x14ac:dyDescent="0.3">
      <c r="A51" s="13" t="s">
        <v>66</v>
      </c>
      <c r="B51">
        <v>39</v>
      </c>
      <c r="C51">
        <v>35</v>
      </c>
      <c r="D51" s="10">
        <v>100</v>
      </c>
      <c r="E51" s="17">
        <v>74.290000000000006</v>
      </c>
      <c r="F51" s="17">
        <v>91.67</v>
      </c>
      <c r="G51" s="14">
        <v>95.65</v>
      </c>
      <c r="H51" s="15">
        <v>100</v>
      </c>
      <c r="I51" s="15">
        <v>100</v>
      </c>
      <c r="J51" s="15">
        <v>100</v>
      </c>
      <c r="K51" s="14">
        <v>97.14</v>
      </c>
      <c r="L51" s="15">
        <v>100</v>
      </c>
      <c r="M51" s="15">
        <v>100</v>
      </c>
      <c r="N51" s="15">
        <v>100</v>
      </c>
      <c r="O51" s="15">
        <v>100</v>
      </c>
      <c r="P51" s="16">
        <f t="shared" si="0"/>
        <v>96.5625</v>
      </c>
    </row>
    <row r="52" spans="1:16" ht="13" x14ac:dyDescent="0.3">
      <c r="A52" s="9" t="s">
        <v>67</v>
      </c>
      <c r="B52">
        <v>129</v>
      </c>
      <c r="C52">
        <v>336</v>
      </c>
      <c r="D52" s="11">
        <v>99.11</v>
      </c>
      <c r="E52" s="14">
        <v>99.7</v>
      </c>
      <c r="F52" s="14">
        <v>97.04</v>
      </c>
      <c r="G52" s="14">
        <v>98.52</v>
      </c>
      <c r="H52" s="14">
        <v>99.69</v>
      </c>
      <c r="I52" s="15">
        <v>100</v>
      </c>
      <c r="J52" s="15">
        <v>100</v>
      </c>
      <c r="K52" s="14">
        <v>99.4</v>
      </c>
      <c r="L52" s="15">
        <v>100</v>
      </c>
      <c r="M52" s="15">
        <v>100</v>
      </c>
      <c r="N52" s="15">
        <v>100</v>
      </c>
      <c r="O52" s="15">
        <v>100</v>
      </c>
      <c r="P52" s="16">
        <f t="shared" si="0"/>
        <v>99.454999999999998</v>
      </c>
    </row>
    <row r="53" spans="1:16" ht="13" x14ac:dyDescent="0.3">
      <c r="A53" s="13" t="s">
        <v>68</v>
      </c>
      <c r="B53">
        <v>70</v>
      </c>
      <c r="C53">
        <v>139</v>
      </c>
      <c r="D53" s="10">
        <v>100</v>
      </c>
      <c r="E53" s="15">
        <v>100</v>
      </c>
      <c r="F53" s="14">
        <v>97.18</v>
      </c>
      <c r="G53" s="15">
        <v>100</v>
      </c>
      <c r="H53" s="15">
        <v>100</v>
      </c>
      <c r="I53" s="17">
        <v>94.44</v>
      </c>
      <c r="J53" s="15">
        <v>100</v>
      </c>
      <c r="K53" s="15">
        <v>100</v>
      </c>
      <c r="L53" s="15">
        <v>100</v>
      </c>
      <c r="M53" s="15">
        <v>100</v>
      </c>
      <c r="N53" s="14">
        <v>98.56</v>
      </c>
      <c r="O53" s="15">
        <v>100</v>
      </c>
      <c r="P53" s="16">
        <f t="shared" si="0"/>
        <v>99.181666666666672</v>
      </c>
    </row>
    <row r="54" spans="1:16" ht="13" x14ac:dyDescent="0.3">
      <c r="A54" s="9" t="s">
        <v>69</v>
      </c>
      <c r="B54">
        <v>102</v>
      </c>
      <c r="C54">
        <v>202</v>
      </c>
      <c r="D54" s="11">
        <v>99.350000000000009</v>
      </c>
      <c r="E54" s="14">
        <v>99.5</v>
      </c>
      <c r="F54" s="15">
        <v>100</v>
      </c>
      <c r="G54" s="15">
        <v>100</v>
      </c>
      <c r="H54" s="15">
        <v>100</v>
      </c>
      <c r="I54" s="15">
        <v>100</v>
      </c>
      <c r="J54" s="15">
        <v>100</v>
      </c>
      <c r="K54" s="15">
        <v>100</v>
      </c>
      <c r="L54" s="14">
        <v>99.5</v>
      </c>
      <c r="M54" s="14">
        <v>99.009999999999991</v>
      </c>
      <c r="N54" s="15">
        <v>100</v>
      </c>
      <c r="O54" s="14">
        <v>99.009999999999991</v>
      </c>
      <c r="P54" s="16">
        <f t="shared" si="0"/>
        <v>99.697500000000005</v>
      </c>
    </row>
    <row r="55" spans="1:16" ht="13" x14ac:dyDescent="0.3">
      <c r="A55" s="13" t="s">
        <v>70</v>
      </c>
      <c r="B55">
        <v>36</v>
      </c>
      <c r="C55">
        <v>63</v>
      </c>
      <c r="D55" s="10">
        <v>100</v>
      </c>
      <c r="E55" s="15">
        <v>100</v>
      </c>
      <c r="F55" s="17">
        <v>94.289999999999992</v>
      </c>
      <c r="G55" s="15">
        <v>100</v>
      </c>
      <c r="H55" s="15">
        <v>100</v>
      </c>
      <c r="I55" s="15">
        <v>100</v>
      </c>
      <c r="J55" s="15">
        <v>100</v>
      </c>
      <c r="K55" s="15">
        <v>100</v>
      </c>
      <c r="L55" s="15">
        <v>100</v>
      </c>
      <c r="M55" s="15">
        <v>100</v>
      </c>
      <c r="N55" s="15">
        <v>100</v>
      </c>
      <c r="O55" s="15">
        <v>100</v>
      </c>
      <c r="P55" s="16">
        <f t="shared" si="0"/>
        <v>99.524166666666659</v>
      </c>
    </row>
    <row r="56" spans="1:16" ht="13" x14ac:dyDescent="0.3">
      <c r="A56" s="9" t="s">
        <v>71</v>
      </c>
      <c r="B56">
        <v>22</v>
      </c>
      <c r="C56">
        <v>26</v>
      </c>
      <c r="D56" s="10">
        <v>100</v>
      </c>
      <c r="E56" s="15">
        <v>100</v>
      </c>
      <c r="F56" s="15">
        <v>100</v>
      </c>
      <c r="G56" s="15">
        <v>100</v>
      </c>
      <c r="H56" s="15">
        <v>100</v>
      </c>
      <c r="I56" s="15">
        <v>100</v>
      </c>
      <c r="J56" s="15">
        <v>100</v>
      </c>
      <c r="K56" s="14">
        <v>96.15</v>
      </c>
      <c r="L56" s="15">
        <v>100</v>
      </c>
      <c r="M56" s="15">
        <v>100</v>
      </c>
      <c r="N56" s="15">
        <v>100</v>
      </c>
      <c r="O56" s="15">
        <v>100</v>
      </c>
      <c r="P56" s="16">
        <f t="shared" si="0"/>
        <v>99.679166666666674</v>
      </c>
    </row>
    <row r="57" spans="1:16" ht="13" x14ac:dyDescent="0.3">
      <c r="A57" s="13" t="s">
        <v>72</v>
      </c>
      <c r="B57">
        <v>459</v>
      </c>
      <c r="C57">
        <v>459</v>
      </c>
      <c r="D57" s="11">
        <v>98.850000000000009</v>
      </c>
      <c r="E57" s="17">
        <v>87.8</v>
      </c>
      <c r="F57" s="14">
        <v>96.45</v>
      </c>
      <c r="G57" s="17">
        <v>57.14</v>
      </c>
      <c r="H57" s="14">
        <v>99.78</v>
      </c>
      <c r="I57" s="15">
        <v>100</v>
      </c>
      <c r="J57" s="15">
        <v>100</v>
      </c>
      <c r="K57" s="17">
        <v>93.46</v>
      </c>
      <c r="L57" s="15">
        <v>100</v>
      </c>
      <c r="M57" s="14">
        <v>97.6</v>
      </c>
      <c r="N57" s="14">
        <v>97.82</v>
      </c>
      <c r="O57" s="17">
        <v>89.98</v>
      </c>
      <c r="P57" s="16">
        <f t="shared" si="0"/>
        <v>93.240000000000009</v>
      </c>
    </row>
    <row r="58" spans="1:16" ht="13" x14ac:dyDescent="0.3">
      <c r="A58" s="9" t="s">
        <v>73</v>
      </c>
      <c r="B58">
        <v>4</v>
      </c>
      <c r="C58">
        <v>11</v>
      </c>
      <c r="D58" s="10">
        <v>100</v>
      </c>
      <c r="E58" s="17">
        <v>90.91</v>
      </c>
      <c r="F58" s="15">
        <v>100</v>
      </c>
      <c r="G58" s="15">
        <v>100</v>
      </c>
      <c r="H58" s="15">
        <v>100</v>
      </c>
      <c r="I58" s="15">
        <v>100</v>
      </c>
      <c r="J58" s="15">
        <v>100</v>
      </c>
      <c r="K58" s="15">
        <v>100</v>
      </c>
      <c r="L58" s="17">
        <v>66.67</v>
      </c>
      <c r="M58" s="15">
        <v>100</v>
      </c>
      <c r="N58" s="15">
        <v>100</v>
      </c>
      <c r="O58" s="15">
        <v>100</v>
      </c>
      <c r="P58" s="16">
        <f t="shared" si="0"/>
        <v>96.464999999999989</v>
      </c>
    </row>
    <row r="59" spans="1:16" ht="13" x14ac:dyDescent="0.3">
      <c r="A59" s="13" t="s">
        <v>74</v>
      </c>
      <c r="B59">
        <v>777</v>
      </c>
      <c r="C59">
        <v>405</v>
      </c>
      <c r="D59" s="10">
        <v>100</v>
      </c>
      <c r="E59" s="14">
        <v>99.26</v>
      </c>
      <c r="F59" s="14">
        <v>99.45</v>
      </c>
      <c r="G59" s="14">
        <v>99.45</v>
      </c>
      <c r="H59" s="14">
        <v>99.45</v>
      </c>
      <c r="I59" s="17">
        <v>82.76</v>
      </c>
      <c r="J59" s="15">
        <v>100</v>
      </c>
      <c r="K59" s="14">
        <v>99.75</v>
      </c>
      <c r="L59" s="17">
        <v>94.899999999999991</v>
      </c>
      <c r="M59" s="14">
        <v>97.53</v>
      </c>
      <c r="N59" s="17">
        <v>92.35</v>
      </c>
      <c r="O59" s="17">
        <v>93.83</v>
      </c>
      <c r="P59" s="16">
        <f t="shared" si="0"/>
        <v>96.560833333333321</v>
      </c>
    </row>
    <row r="60" spans="1:16" ht="13" x14ac:dyDescent="0.3">
      <c r="A60" s="9" t="s">
        <v>75</v>
      </c>
      <c r="B60">
        <v>4</v>
      </c>
      <c r="C60">
        <v>12</v>
      </c>
      <c r="D60" s="19">
        <v>100</v>
      </c>
      <c r="E60" s="20">
        <v>100</v>
      </c>
      <c r="F60" s="20">
        <v>100</v>
      </c>
      <c r="G60" s="20">
        <v>100</v>
      </c>
      <c r="H60" s="20">
        <v>100</v>
      </c>
      <c r="I60" s="20">
        <v>100</v>
      </c>
      <c r="J60" s="20">
        <v>100</v>
      </c>
      <c r="K60" s="20">
        <v>100</v>
      </c>
      <c r="L60" s="20">
        <v>100</v>
      </c>
      <c r="M60" s="20">
        <v>100</v>
      </c>
      <c r="N60" s="20">
        <v>100</v>
      </c>
      <c r="O60" s="20">
        <v>100</v>
      </c>
      <c r="P60" s="21">
        <f t="shared" si="0"/>
        <v>100</v>
      </c>
    </row>
    <row r="61" spans="1:16" ht="13" x14ac:dyDescent="0.3">
      <c r="A61" s="6" t="s">
        <v>16</v>
      </c>
      <c r="D61" s="7">
        <f t="shared" ref="D61:O61" si="1">AVERAGE(D2:D60)</f>
        <v>97.979830508474578</v>
      </c>
      <c r="E61" s="7">
        <f t="shared" si="1"/>
        <v>95.998305084745752</v>
      </c>
      <c r="F61" s="7">
        <f t="shared" si="1"/>
        <v>97.568474576271186</v>
      </c>
      <c r="G61" s="7">
        <f t="shared" si="1"/>
        <v>98.936271186440692</v>
      </c>
      <c r="H61" s="7">
        <f t="shared" si="1"/>
        <v>98.47322033898304</v>
      </c>
      <c r="I61" s="7">
        <f t="shared" si="1"/>
        <v>97.494915254237284</v>
      </c>
      <c r="J61" s="7">
        <f t="shared" si="1"/>
        <v>100</v>
      </c>
      <c r="K61" s="7">
        <f t="shared" si="1"/>
        <v>98.153220338983033</v>
      </c>
      <c r="L61" s="7">
        <f t="shared" si="1"/>
        <v>98.346779661016939</v>
      </c>
      <c r="M61" s="7">
        <f t="shared" si="1"/>
        <v>99.373559322033913</v>
      </c>
      <c r="N61" s="7">
        <f t="shared" si="1"/>
        <v>98.519661016949172</v>
      </c>
      <c r="O61" s="7">
        <f t="shared" si="1"/>
        <v>96.363220338983069</v>
      </c>
      <c r="P61" s="8">
        <f>AVERAGE(D61:O61)</f>
        <v>98.100621468926576</v>
      </c>
    </row>
  </sheetData>
  <phoneticPr fontId="8" type="noConversion"/>
  <conditionalFormatting sqref="D2:P61">
    <cfRule type="cellIs" dxfId="2" priority="1" operator="equal">
      <formula>100</formula>
    </cfRule>
  </conditionalFormatting>
  <conditionalFormatting sqref="D2:P61">
    <cfRule type="cellIs" dxfId="1" priority="2" operator="lessThan">
      <formula>95</formula>
    </cfRule>
  </conditionalFormatting>
  <conditionalFormatting sqref="D2:P61">
    <cfRule type="cellIs" dxfId="0" priority="3" operator="between">
      <formula>95</formula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ELs</vt:lpstr>
      <vt:lpstr>ECRs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2022-12-02T09:38:32Z</dcterms:modified>
</cp:coreProperties>
</file>