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4740A432-A3B8-4875-A72B-E016285ECB8E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P10" i="1"/>
  <c r="L13" i="1"/>
  <c r="G13" i="1"/>
  <c r="H13" i="1" s="1"/>
  <c r="P12" i="1"/>
  <c r="P11" i="1"/>
  <c r="J13" i="1" l="1"/>
  <c r="M13" i="1"/>
  <c r="K13" i="1"/>
  <c r="O13" i="1"/>
  <c r="I13" i="1"/>
  <c r="F20" i="1"/>
  <c r="E20" i="1"/>
  <c r="N9" i="1"/>
  <c r="N20" i="1" s="1"/>
  <c r="P13" i="1" l="1"/>
  <c r="T10" i="1"/>
  <c r="G8" i="1" l="1"/>
  <c r="M8" i="1" l="1"/>
  <c r="H8" i="1"/>
  <c r="O8" i="1" s="1"/>
  <c r="J8" i="1"/>
  <c r="K8" i="1"/>
  <c r="L8" i="1"/>
  <c r="T9" i="1"/>
  <c r="T8" i="1"/>
  <c r="I8" i="1" l="1"/>
  <c r="P8" i="1" s="1"/>
  <c r="W8" i="1"/>
  <c r="W10" i="1" l="1"/>
  <c r="W9" i="1"/>
  <c r="G9" i="1"/>
  <c r="J9" i="1" l="1"/>
  <c r="J20" i="1" s="1"/>
  <c r="K9" i="1"/>
  <c r="K20" i="1" s="1"/>
  <c r="M9" i="1"/>
  <c r="M20" i="1" s="1"/>
  <c r="L9" i="1"/>
  <c r="L20" i="1" s="1"/>
  <c r="H9" i="1"/>
  <c r="G20" i="1"/>
  <c r="O9" i="1" l="1"/>
  <c r="O20" i="1" s="1"/>
  <c r="H20" i="1"/>
  <c r="I9" i="1"/>
  <c r="W19" i="1"/>
  <c r="I20" i="1" l="1"/>
  <c r="P9" i="1"/>
  <c r="P19" i="1" s="1"/>
  <c r="W21" i="1" s="1"/>
</calcChain>
</file>

<file path=xl/sharedStrings.xml><?xml version="1.0" encoding="utf-8"?>
<sst xmlns="http://schemas.openxmlformats.org/spreadsheetml/2006/main" count="58" uniqueCount="54">
  <si>
    <t>Amount</t>
  </si>
  <si>
    <t>PAYMENT NOTE No.</t>
  </si>
  <si>
    <t>UTR</t>
  </si>
  <si>
    <t>SD (5%)</t>
  </si>
  <si>
    <t>Advance paid</t>
  </si>
  <si>
    <t>Kela Shikarpur Village Pipeline laying work</t>
  </si>
  <si>
    <t>Kanha Construction</t>
  </si>
  <si>
    <t>02-09-2022 NEFT/AXISP00316824204/RIUP22/655/KANHA CONSTRUCTI 99000.00</t>
  </si>
  <si>
    <t>15-09-2022 NEFT/AXISP00320271381/RIUP22/754/KANHA CONSTRUCTI 198000.00</t>
  </si>
  <si>
    <t>RIUP22/655</t>
  </si>
  <si>
    <t>RIUP22/754</t>
  </si>
  <si>
    <t>Total Payable Amount Rs. -</t>
  </si>
  <si>
    <t>Total Paid Amount Rs. -</t>
  </si>
  <si>
    <t>Balance Payable Amount Rs. -</t>
  </si>
  <si>
    <t>Hold Amount For Quantity excess against DPR</t>
  </si>
  <si>
    <t>12-10-2022 NEFT/AXISP00327753844/RIUP22/971/KANHA CONSTRUCTI 297000.00</t>
  </si>
  <si>
    <t>RIUP22/971</t>
  </si>
  <si>
    <t>05-11-2022 NEFT/AXISP00334835404/RIUP22/1168/KANHA CONSTRUCT 210988.00</t>
  </si>
  <si>
    <t>RIUP22/1168</t>
  </si>
  <si>
    <t>GST release note</t>
  </si>
  <si>
    <t>12-12-2022 NEFT/AXISP00345431090/RIUP22/1481/KANHA CONSTRUCT 125000.00</t>
  </si>
  <si>
    <t>Hold amount release note</t>
  </si>
  <si>
    <t>21-12-2022 NEFT/AXISP00347651719/RIUP22/1528/KANHA CONSTRUCT 157407.00</t>
  </si>
  <si>
    <t>09-01-2023 NEFT/AXISP00353555433/RIUP22/1666/KANHA CONSTRUCT 84383.00</t>
  </si>
  <si>
    <t>11-04-2023 NEFT/AXISP00380905277/SPUP23/0078/KANHA CONSTRUCT 29700.00</t>
  </si>
  <si>
    <t>RIUP22/1481</t>
  </si>
  <si>
    <t>RIUP22/1528</t>
  </si>
  <si>
    <t>/RIUP22/1666</t>
  </si>
  <si>
    <t>SPUP23/0078</t>
  </si>
  <si>
    <t>06-05-2023 NEFT/AXISP00388047280/RIUP23/115/KANHA CONSTRUCTI 39048.00</t>
  </si>
  <si>
    <t>RIUP23/115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</si>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</sst>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26" xfId="1" applyNumberFormat="1" applyFont="1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9" fontId="2" fillId="2" borderId="6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27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horizontal="right"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164" fontId="2" fillId="2" borderId="24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2" fillId="2" borderId="30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164" fontId="2" fillId="2" borderId="33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3" borderId="0" xfId="0" applyFill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31" xfId="1" applyNumberFormat="1" applyFont="1" applyFill="1" applyBorder="1" applyAlignment="1">
      <alignment vertical="center"/>
    </xf>
    <xf numFmtId="164" fontId="2" fillId="3" borderId="30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26" xfId="1" applyNumberFormat="1" applyFont="1" applyFill="1" applyBorder="1" applyAlignment="1">
      <alignment vertical="center"/>
    </xf>
    <xf numFmtId="164" fontId="2" fillId="3" borderId="26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9" fontId="2" fillId="3" borderId="6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165" fontId="0" fillId="2" borderId="0" xfId="0" applyNumberFormat="1" applyFill="1" applyAlignment="1">
      <alignment vertical="center"/>
    </xf>
    <xf numFmtId="165" fontId="2" fillId="2" borderId="16" xfId="1" applyNumberFormat="1" applyFont="1" applyFill="1" applyBorder="1" applyAlignment="1">
      <alignment vertical="center"/>
    </xf>
    <xf numFmtId="165" fontId="2" fillId="3" borderId="16" xfId="1" applyNumberFormat="1" applyFont="1" applyFill="1" applyBorder="1" applyAlignment="1">
      <alignment vertical="center"/>
    </xf>
    <xf numFmtId="165" fontId="2" fillId="2" borderId="16" xfId="0" applyNumberFormat="1" applyFont="1" applyFill="1" applyBorder="1" applyAlignment="1">
      <alignment horizontal="center" vertical="center"/>
    </xf>
    <xf numFmtId="165" fontId="2" fillId="2" borderId="18" xfId="0" applyNumberFormat="1" applyFont="1" applyFill="1" applyBorder="1" applyAlignment="1">
      <alignment horizontal="center" vertical="center"/>
    </xf>
    <xf numFmtId="165" fontId="2" fillId="2" borderId="18" xfId="1" applyNumberFormat="1" applyFont="1" applyFill="1" applyBorder="1" applyAlignment="1">
      <alignment vertical="center"/>
    </xf>
    <xf numFmtId="165" fontId="2" fillId="2" borderId="17" xfId="0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33" xfId="0" applyFont="1" applyFill="1" applyBorder="1" applyAlignment="1">
      <alignment vertical="center"/>
    </xf>
    <xf numFmtId="0" fontId="4" fillId="2" borderId="33" xfId="0" applyFont="1" applyFill="1" applyBorder="1" applyAlignment="1">
      <alignment horizontal="center" vertical="center" wrapText="1"/>
    </xf>
    <xf numFmtId="14" fontId="4" fillId="2" borderId="33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164" fontId="5" fillId="2" borderId="33" xfId="1" applyNumberFormat="1" applyFont="1" applyFill="1" applyBorder="1" applyAlignment="1">
      <alignment horizontal="center" vertical="center"/>
    </xf>
    <xf numFmtId="164" fontId="4" fillId="2" borderId="3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zoomScale="85" zoomScaleNormal="85" workbookViewId="0">
      <selection activeCell="B4" sqref="B4"/>
    </sheetView>
  </sheetViews>
  <sheetFormatPr defaultColWidth="9" defaultRowHeight="14.4" x14ac:dyDescent="0.3"/>
  <cols>
    <col min="1" max="1" width="9" style="9"/>
    <col min="2" max="2" width="30" style="9" customWidth="1"/>
    <col min="3" max="3" width="13.44140625" style="63" bestFit="1" customWidth="1"/>
    <col min="4" max="4" width="11.5546875" style="9" bestFit="1" customWidth="1"/>
    <col min="5" max="5" width="13.33203125" style="9" bestFit="1" customWidth="1"/>
    <col min="6" max="7" width="13.33203125" style="9" customWidth="1"/>
    <col min="8" max="8" width="14.6640625" style="38" customWidth="1"/>
    <col min="9" max="9" width="12.88671875" style="38" bestFit="1" customWidth="1"/>
    <col min="10" max="10" width="10.6640625" style="9" bestFit="1" customWidth="1"/>
    <col min="11" max="11" width="10.44140625" style="9" bestFit="1" customWidth="1"/>
    <col min="12" max="13" width="10.44140625" style="9" customWidth="1"/>
    <col min="14" max="14" width="12.88671875" style="9" customWidth="1"/>
    <col min="15" max="16" width="14.88671875" style="9" customWidth="1"/>
    <col min="17" max="17" width="7.33203125" style="9" customWidth="1"/>
    <col min="18" max="18" width="21.6640625" style="9" bestFit="1" customWidth="1"/>
    <col min="19" max="19" width="12.6640625" style="9" bestFit="1" customWidth="1"/>
    <col min="20" max="20" width="14.5546875" style="9" bestFit="1" customWidth="1"/>
    <col min="21" max="22" width="14.5546875" style="9" customWidth="1"/>
    <col min="23" max="23" width="15" style="9" bestFit="1" customWidth="1"/>
    <col min="24" max="24" width="78.44140625" style="9" bestFit="1" customWidth="1"/>
    <col min="25" max="16384" width="9" style="9"/>
  </cols>
  <sheetData>
    <row r="1" spans="1:24" s="73" customFormat="1" ht="24.9" customHeight="1" x14ac:dyDescent="0.3">
      <c r="A1" s="71" t="s">
        <v>31</v>
      </c>
      <c r="B1" s="72" t="s">
        <v>6</v>
      </c>
    </row>
    <row r="2" spans="1:24" s="73" customFormat="1" ht="24.9" customHeight="1" x14ac:dyDescent="0.3">
      <c r="A2" s="71" t="s">
        <v>32</v>
      </c>
      <c r="B2" s="73" t="s">
        <v>33</v>
      </c>
    </row>
    <row r="3" spans="1:24" s="73" customFormat="1" ht="30.6" customHeight="1" x14ac:dyDescent="0.3">
      <c r="A3" s="71" t="s">
        <v>34</v>
      </c>
      <c r="B3" s="71" t="s">
        <v>35</v>
      </c>
    </row>
    <row r="4" spans="1:24" s="73" customFormat="1" ht="24.9" customHeight="1" thickBot="1" x14ac:dyDescent="0.35">
      <c r="A4" s="71" t="s">
        <v>36</v>
      </c>
      <c r="B4" s="71" t="s">
        <v>35</v>
      </c>
    </row>
    <row r="5" spans="1:24" ht="58.2" thickBot="1" x14ac:dyDescent="0.35">
      <c r="A5" s="74" t="s">
        <v>37</v>
      </c>
      <c r="B5" s="75" t="s">
        <v>38</v>
      </c>
      <c r="C5" s="76" t="s">
        <v>39</v>
      </c>
      <c r="D5" s="77" t="s">
        <v>40</v>
      </c>
      <c r="E5" s="75" t="s">
        <v>41</v>
      </c>
      <c r="F5" s="75" t="s">
        <v>42</v>
      </c>
      <c r="G5" s="77" t="s">
        <v>43</v>
      </c>
      <c r="H5" s="78" t="s">
        <v>44</v>
      </c>
      <c r="I5" s="79" t="s">
        <v>0</v>
      </c>
      <c r="J5" s="75" t="s">
        <v>45</v>
      </c>
      <c r="K5" s="75" t="s">
        <v>46</v>
      </c>
      <c r="L5" s="75" t="s">
        <v>47</v>
      </c>
      <c r="M5" s="75" t="s">
        <v>48</v>
      </c>
      <c r="N5" s="8" t="s">
        <v>14</v>
      </c>
      <c r="O5" s="75" t="s">
        <v>49</v>
      </c>
      <c r="P5" s="75" t="s">
        <v>50</v>
      </c>
      <c r="Q5" s="3"/>
      <c r="R5" s="2" t="s">
        <v>1</v>
      </c>
      <c r="S5" s="75" t="s">
        <v>51</v>
      </c>
      <c r="T5" s="75" t="s">
        <v>52</v>
      </c>
      <c r="U5" s="1" t="s">
        <v>3</v>
      </c>
      <c r="V5" s="2" t="s">
        <v>4</v>
      </c>
      <c r="W5" s="75" t="s">
        <v>53</v>
      </c>
      <c r="X5" s="75" t="s">
        <v>2</v>
      </c>
    </row>
    <row r="6" spans="1:24" x14ac:dyDescent="0.3">
      <c r="B6" s="10"/>
      <c r="C6" s="64"/>
      <c r="D6" s="11"/>
      <c r="E6" s="42"/>
      <c r="F6" s="41"/>
      <c r="G6" s="40"/>
      <c r="H6" s="14"/>
      <c r="I6" s="23"/>
      <c r="J6" s="15">
        <v>0.01</v>
      </c>
      <c r="K6" s="16">
        <v>0.05</v>
      </c>
      <c r="L6" s="16">
        <v>0.1</v>
      </c>
      <c r="M6" s="16">
        <v>0.1</v>
      </c>
      <c r="N6" s="16"/>
      <c r="O6" s="17"/>
      <c r="P6" s="17"/>
      <c r="Q6" s="3"/>
      <c r="R6" s="18"/>
      <c r="S6" s="13"/>
      <c r="T6" s="19">
        <v>0.01</v>
      </c>
      <c r="U6" s="20">
        <v>0.05</v>
      </c>
      <c r="V6" s="14"/>
      <c r="W6" s="21"/>
      <c r="X6" s="45"/>
    </row>
    <row r="7" spans="1:24" s="48" customFormat="1" ht="21.75" customHeight="1" x14ac:dyDescent="0.3">
      <c r="B7" s="49"/>
      <c r="C7" s="65"/>
      <c r="D7" s="50"/>
      <c r="E7" s="51"/>
      <c r="F7" s="51"/>
      <c r="G7" s="52"/>
      <c r="H7" s="53"/>
      <c r="I7" s="50"/>
      <c r="J7" s="54"/>
      <c r="K7" s="55"/>
      <c r="L7" s="55"/>
      <c r="M7" s="55"/>
      <c r="N7" s="55"/>
      <c r="O7" s="56"/>
      <c r="P7" s="56"/>
      <c r="Q7" s="62">
        <f>A8</f>
        <v>52162</v>
      </c>
      <c r="R7" s="57"/>
      <c r="S7" s="58"/>
      <c r="T7" s="59"/>
      <c r="U7" s="60"/>
      <c r="V7" s="53"/>
      <c r="W7" s="61"/>
      <c r="X7" s="50"/>
    </row>
    <row r="8" spans="1:24" ht="31.95" customHeight="1" x14ac:dyDescent="0.3">
      <c r="A8" s="9">
        <v>52162</v>
      </c>
      <c r="B8" s="44" t="s">
        <v>5</v>
      </c>
      <c r="C8" s="66">
        <v>44837</v>
      </c>
      <c r="D8" s="6">
        <v>1</v>
      </c>
      <c r="E8" s="22">
        <v>874482</v>
      </c>
      <c r="F8" s="41">
        <v>0</v>
      </c>
      <c r="G8" s="41">
        <f>E8-F8</f>
        <v>874482</v>
      </c>
      <c r="H8" s="14">
        <f>ROUND(G8*18%,)</f>
        <v>157407</v>
      </c>
      <c r="I8" s="23">
        <f>ROUND(G8+H8,)</f>
        <v>1031889</v>
      </c>
      <c r="J8" s="23">
        <f>ROUND(G8*J6,)</f>
        <v>8745</v>
      </c>
      <c r="K8" s="17">
        <f>ROUND(G8*5%,)</f>
        <v>43724</v>
      </c>
      <c r="L8" s="17">
        <f>ROUND(G8*5%,)</f>
        <v>43724</v>
      </c>
      <c r="M8" s="17">
        <f>ROUND(G8*10%,)</f>
        <v>87448</v>
      </c>
      <c r="N8" s="17">
        <v>179411</v>
      </c>
      <c r="O8" s="17">
        <f>H8</f>
        <v>157407</v>
      </c>
      <c r="P8" s="17">
        <f>I8-SUM(J8:O8)</f>
        <v>511430</v>
      </c>
      <c r="Q8" s="3"/>
      <c r="R8" s="24" t="s">
        <v>9</v>
      </c>
      <c r="S8" s="13">
        <v>100000</v>
      </c>
      <c r="T8" s="13">
        <f>S8*$T$6</f>
        <v>1000</v>
      </c>
      <c r="U8" s="14">
        <v>0</v>
      </c>
      <c r="V8" s="14">
        <v>0</v>
      </c>
      <c r="W8" s="21">
        <f>S8-T8-U8</f>
        <v>99000</v>
      </c>
      <c r="X8" s="46" t="s">
        <v>7</v>
      </c>
    </row>
    <row r="9" spans="1:24" ht="31.95" customHeight="1" x14ac:dyDescent="0.3">
      <c r="A9" s="9">
        <v>52162</v>
      </c>
      <c r="B9" s="44" t="s">
        <v>5</v>
      </c>
      <c r="C9" s="66">
        <v>44854</v>
      </c>
      <c r="D9" s="6">
        <v>2</v>
      </c>
      <c r="E9" s="22">
        <v>468792</v>
      </c>
      <c r="F9" s="41">
        <v>0</v>
      </c>
      <c r="G9" s="41">
        <f>E9-F9</f>
        <v>468792</v>
      </c>
      <c r="H9" s="14">
        <f>ROUND(G9*18%,)</f>
        <v>84383</v>
      </c>
      <c r="I9" s="23">
        <f>G9+H9</f>
        <v>553175</v>
      </c>
      <c r="J9" s="23">
        <f>ROUND(G9*J6,)</f>
        <v>4688</v>
      </c>
      <c r="K9" s="17">
        <f>ROUND(G9*5%,)</f>
        <v>23440</v>
      </c>
      <c r="L9" s="17">
        <f>ROUND(G9*5%,)</f>
        <v>23440</v>
      </c>
      <c r="M9" s="17">
        <f>ROUND(G9*10%,)</f>
        <v>46879</v>
      </c>
      <c r="N9" s="17">
        <f>256200-N8</f>
        <v>76789</v>
      </c>
      <c r="O9" s="17">
        <f>H9</f>
        <v>84383</v>
      </c>
      <c r="P9" s="17">
        <f>I9-SUM(J9:O9)</f>
        <v>293556</v>
      </c>
      <c r="Q9" s="3"/>
      <c r="R9" s="24" t="s">
        <v>10</v>
      </c>
      <c r="S9" s="13">
        <v>200000</v>
      </c>
      <c r="T9" s="13">
        <f>S9*$T$6</f>
        <v>2000</v>
      </c>
      <c r="U9" s="14">
        <v>0</v>
      </c>
      <c r="V9" s="14">
        <v>0</v>
      </c>
      <c r="W9" s="21">
        <f>S9-T9-U9-V9</f>
        <v>198000</v>
      </c>
      <c r="X9" s="47" t="s">
        <v>8</v>
      </c>
    </row>
    <row r="10" spans="1:24" ht="31.95" customHeight="1" x14ac:dyDescent="0.3">
      <c r="A10" s="9">
        <v>52162</v>
      </c>
      <c r="B10" s="44" t="s">
        <v>21</v>
      </c>
      <c r="C10" s="66">
        <v>44904</v>
      </c>
      <c r="D10" s="6"/>
      <c r="E10" s="22">
        <v>125000</v>
      </c>
      <c r="F10" s="41">
        <v>0</v>
      </c>
      <c r="G10" s="41"/>
      <c r="H10" s="14"/>
      <c r="I10" s="23"/>
      <c r="J10" s="23"/>
      <c r="K10" s="29"/>
      <c r="L10" s="29"/>
      <c r="M10" s="29"/>
      <c r="N10" s="29"/>
      <c r="O10" s="29"/>
      <c r="P10" s="17">
        <f>E10</f>
        <v>125000</v>
      </c>
      <c r="Q10" s="3"/>
      <c r="R10" s="24" t="s">
        <v>16</v>
      </c>
      <c r="S10" s="13">
        <v>300000</v>
      </c>
      <c r="T10" s="13">
        <f>S10*$T$6</f>
        <v>3000</v>
      </c>
      <c r="U10" s="14"/>
      <c r="V10" s="14"/>
      <c r="W10" s="21">
        <f t="shared" ref="W10" si="0">S10-T10</f>
        <v>297000</v>
      </c>
      <c r="X10" s="47" t="s">
        <v>15</v>
      </c>
    </row>
    <row r="11" spans="1:24" x14ac:dyDescent="0.3">
      <c r="A11" s="9">
        <v>52162</v>
      </c>
      <c r="B11" s="44" t="s">
        <v>19</v>
      </c>
      <c r="C11" s="66">
        <v>44907</v>
      </c>
      <c r="D11" s="6">
        <v>1</v>
      </c>
      <c r="E11" s="12">
        <v>157406.81</v>
      </c>
      <c r="F11" s="27">
        <v>0</v>
      </c>
      <c r="G11" s="27"/>
      <c r="H11" s="28"/>
      <c r="I11" s="23"/>
      <c r="J11" s="23"/>
      <c r="K11" s="17"/>
      <c r="L11" s="17"/>
      <c r="M11" s="17"/>
      <c r="N11" s="17"/>
      <c r="O11" s="17"/>
      <c r="P11" s="17">
        <f>E11</f>
        <v>157406.81</v>
      </c>
      <c r="Q11" s="7"/>
      <c r="R11" s="24" t="s">
        <v>18</v>
      </c>
      <c r="S11" s="13"/>
      <c r="T11" s="13">
        <v>0</v>
      </c>
      <c r="U11" s="14"/>
      <c r="V11" s="14">
        <v>0</v>
      </c>
      <c r="W11" s="21">
        <v>210988</v>
      </c>
      <c r="X11" s="47" t="s">
        <v>17</v>
      </c>
    </row>
    <row r="12" spans="1:24" x14ac:dyDescent="0.3">
      <c r="A12" s="9">
        <v>52162</v>
      </c>
      <c r="B12" s="44" t="s">
        <v>19</v>
      </c>
      <c r="C12" s="67">
        <v>44913</v>
      </c>
      <c r="D12" s="6">
        <v>2</v>
      </c>
      <c r="E12" s="26">
        <v>84382.74</v>
      </c>
      <c r="F12" s="27"/>
      <c r="G12" s="27"/>
      <c r="H12" s="28"/>
      <c r="I12" s="23"/>
      <c r="J12" s="23"/>
      <c r="K12" s="17"/>
      <c r="L12" s="17"/>
      <c r="M12" s="17"/>
      <c r="N12" s="17"/>
      <c r="O12" s="17"/>
      <c r="P12" s="17">
        <f>E12</f>
        <v>84382.74</v>
      </c>
      <c r="Q12" s="7"/>
      <c r="R12" s="24" t="s">
        <v>25</v>
      </c>
      <c r="S12" s="13"/>
      <c r="T12" s="13"/>
      <c r="U12" s="14"/>
      <c r="V12" s="14"/>
      <c r="W12" s="21">
        <v>125000</v>
      </c>
      <c r="X12" s="47" t="s">
        <v>20</v>
      </c>
    </row>
    <row r="13" spans="1:24" ht="28.8" x14ac:dyDescent="0.3">
      <c r="A13" s="9">
        <v>52162</v>
      </c>
      <c r="B13" s="44" t="s">
        <v>5</v>
      </c>
      <c r="C13" s="67">
        <v>45040</v>
      </c>
      <c r="D13" s="6">
        <v>3</v>
      </c>
      <c r="E13" s="26">
        <v>102324</v>
      </c>
      <c r="F13" s="27"/>
      <c r="G13" s="27">
        <f>E13-F13</f>
        <v>102324</v>
      </c>
      <c r="H13" s="14">
        <f>ROUND(G13*18%,)</f>
        <v>18418</v>
      </c>
      <c r="I13" s="23">
        <f>G13+H13</f>
        <v>120742</v>
      </c>
      <c r="J13" s="23">
        <f>ROUND(G13*J6,)</f>
        <v>1023</v>
      </c>
      <c r="K13" s="17">
        <f>ROUND(G13*5%,)</f>
        <v>5116</v>
      </c>
      <c r="L13" s="17">
        <f>E13*$L$6</f>
        <v>10232.400000000001</v>
      </c>
      <c r="M13" s="17">
        <f>G13*$M$6</f>
        <v>10232.400000000001</v>
      </c>
      <c r="N13" s="17">
        <v>6971</v>
      </c>
      <c r="O13" s="17">
        <f>H13</f>
        <v>18418</v>
      </c>
      <c r="P13" s="17">
        <f>I13-SUM(J13:O13)</f>
        <v>68749.2</v>
      </c>
      <c r="Q13" s="7"/>
      <c r="R13" s="24" t="s">
        <v>26</v>
      </c>
      <c r="S13" s="13"/>
      <c r="T13" s="13"/>
      <c r="U13" s="14"/>
      <c r="V13" s="14"/>
      <c r="W13" s="21">
        <v>157407</v>
      </c>
      <c r="X13" s="47" t="s">
        <v>22</v>
      </c>
    </row>
    <row r="14" spans="1:24" x14ac:dyDescent="0.3">
      <c r="A14" s="9">
        <v>52162</v>
      </c>
      <c r="B14" s="44"/>
      <c r="C14" s="67"/>
      <c r="D14" s="6"/>
      <c r="E14" s="26"/>
      <c r="F14" s="27"/>
      <c r="G14" s="27"/>
      <c r="H14" s="28"/>
      <c r="I14" s="23"/>
      <c r="J14" s="23"/>
      <c r="K14" s="17"/>
      <c r="L14" s="17"/>
      <c r="M14" s="17"/>
      <c r="N14" s="17"/>
      <c r="O14" s="17"/>
      <c r="P14" s="17"/>
      <c r="Q14" s="7"/>
      <c r="R14" s="24" t="s">
        <v>27</v>
      </c>
      <c r="S14" s="13"/>
      <c r="T14" s="13"/>
      <c r="U14" s="14"/>
      <c r="V14" s="14"/>
      <c r="W14" s="30">
        <v>84383</v>
      </c>
      <c r="X14" s="47" t="s">
        <v>23</v>
      </c>
    </row>
    <row r="15" spans="1:24" x14ac:dyDescent="0.3">
      <c r="A15" s="9">
        <v>52162</v>
      </c>
      <c r="B15" s="44"/>
      <c r="C15" s="68"/>
      <c r="D15" s="25"/>
      <c r="E15" s="26"/>
      <c r="F15" s="27"/>
      <c r="G15" s="26"/>
      <c r="H15" s="28"/>
      <c r="I15" s="11"/>
      <c r="J15" s="11"/>
      <c r="K15" s="29"/>
      <c r="L15" s="29"/>
      <c r="M15" s="29"/>
      <c r="N15" s="29"/>
      <c r="O15" s="29"/>
      <c r="P15" s="29"/>
      <c r="Q15" s="7"/>
      <c r="R15" s="24" t="s">
        <v>28</v>
      </c>
      <c r="S15" s="27"/>
      <c r="T15" s="27"/>
      <c r="U15" s="27"/>
      <c r="V15" s="27"/>
      <c r="W15" s="30">
        <v>29700</v>
      </c>
      <c r="X15" s="47" t="s">
        <v>24</v>
      </c>
    </row>
    <row r="16" spans="1:24" ht="15" thickBot="1" x14ac:dyDescent="0.35">
      <c r="A16" s="9">
        <v>52162</v>
      </c>
      <c r="B16" s="4"/>
      <c r="C16" s="69"/>
      <c r="D16" s="5"/>
      <c r="E16" s="31"/>
      <c r="F16" s="31"/>
      <c r="G16" s="31"/>
      <c r="H16" s="33"/>
      <c r="I16" s="34"/>
      <c r="J16" s="34"/>
      <c r="K16" s="35"/>
      <c r="L16" s="35"/>
      <c r="M16" s="35"/>
      <c r="N16" s="35"/>
      <c r="O16" s="35"/>
      <c r="P16" s="35"/>
      <c r="Q16" s="7"/>
      <c r="R16" s="36" t="s">
        <v>30</v>
      </c>
      <c r="S16" s="32"/>
      <c r="T16" s="32"/>
      <c r="U16" s="32"/>
      <c r="V16" s="32"/>
      <c r="W16" s="37">
        <v>39048</v>
      </c>
      <c r="X16" s="47" t="s">
        <v>29</v>
      </c>
    </row>
    <row r="17" spans="1:24" x14ac:dyDescent="0.3">
      <c r="A17" s="13"/>
      <c r="B17" s="13"/>
      <c r="C17" s="70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4"/>
      <c r="X17" s="13"/>
    </row>
    <row r="18" spans="1:24" x14ac:dyDescent="0.3">
      <c r="A18" s="13"/>
      <c r="B18" s="13"/>
      <c r="C18" s="70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27"/>
    </row>
    <row r="19" spans="1:24" x14ac:dyDescent="0.3">
      <c r="A19" s="13"/>
      <c r="B19" s="13"/>
      <c r="C19" s="70"/>
      <c r="D19" s="13"/>
      <c r="E19" s="13"/>
      <c r="F19" s="13"/>
      <c r="G19" s="13"/>
      <c r="H19" s="13"/>
      <c r="I19" s="13"/>
      <c r="J19" s="13"/>
      <c r="K19" s="13"/>
      <c r="L19" s="13"/>
      <c r="M19" s="43" t="s">
        <v>11</v>
      </c>
      <c r="N19" s="43"/>
      <c r="O19" s="13"/>
      <c r="P19" s="43">
        <f>SUM(P8:P16)</f>
        <v>1240524.75</v>
      </c>
      <c r="Q19" s="13"/>
      <c r="R19" s="13"/>
      <c r="S19" s="13"/>
      <c r="T19" s="13"/>
      <c r="U19" s="43" t="s">
        <v>12</v>
      </c>
      <c r="V19" s="13"/>
      <c r="W19" s="39">
        <f>SUM(W6:W16)</f>
        <v>1240526</v>
      </c>
      <c r="X19" s="27"/>
    </row>
    <row r="20" spans="1:24" x14ac:dyDescent="0.3">
      <c r="A20" s="13"/>
      <c r="B20" s="13"/>
      <c r="C20" s="70"/>
      <c r="D20" s="13"/>
      <c r="E20" s="13">
        <f>SUM(E8:E16)</f>
        <v>1812387.55</v>
      </c>
      <c r="F20" s="13">
        <f t="shared" ref="F20:O20" si="1">SUM(F8:F16)</f>
        <v>0</v>
      </c>
      <c r="G20" s="13">
        <f t="shared" si="1"/>
        <v>1445598</v>
      </c>
      <c r="H20" s="13">
        <f t="shared" si="1"/>
        <v>260208</v>
      </c>
      <c r="I20" s="13">
        <f t="shared" si="1"/>
        <v>1705806</v>
      </c>
      <c r="J20" s="13">
        <f t="shared" si="1"/>
        <v>14456</v>
      </c>
      <c r="K20" s="13">
        <f t="shared" si="1"/>
        <v>72280</v>
      </c>
      <c r="L20" s="13">
        <f t="shared" si="1"/>
        <v>77396.399999999994</v>
      </c>
      <c r="M20" s="13">
        <f t="shared" si="1"/>
        <v>144559.4</v>
      </c>
      <c r="N20" s="13">
        <f t="shared" si="1"/>
        <v>263171</v>
      </c>
      <c r="O20" s="13">
        <f t="shared" si="1"/>
        <v>260208</v>
      </c>
      <c r="P20" s="13"/>
      <c r="Q20" s="13"/>
      <c r="R20" s="13"/>
      <c r="S20" s="13"/>
      <c r="T20" s="13"/>
      <c r="U20" s="13"/>
      <c r="V20" s="13"/>
      <c r="W20" s="14"/>
      <c r="X20" s="27"/>
    </row>
    <row r="21" spans="1:24" x14ac:dyDescent="0.3">
      <c r="A21" s="13"/>
      <c r="B21" s="13"/>
      <c r="C21" s="70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43" t="s">
        <v>13</v>
      </c>
      <c r="V21" s="13"/>
      <c r="W21" s="39">
        <f>P19-W19</f>
        <v>-1.25</v>
      </c>
      <c r="X21" s="27"/>
    </row>
    <row r="22" spans="1:24" x14ac:dyDescent="0.3">
      <c r="A22" s="13"/>
      <c r="B22" s="13"/>
      <c r="C22" s="70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2025-05-29T12:22:30Z</dcterms:modified>
</cp:coreProperties>
</file>