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1" l="1"/>
  <c r="P16" i="1"/>
  <c r="G16" i="1"/>
  <c r="K16" i="1" s="1"/>
  <c r="E22" i="1"/>
  <c r="P22" i="1" s="1"/>
  <c r="J16" i="1" l="1"/>
  <c r="L16" i="1"/>
  <c r="M16" i="1"/>
  <c r="H16" i="1"/>
  <c r="T21" i="1"/>
  <c r="G21" i="1"/>
  <c r="H21" i="1" s="1"/>
  <c r="Q20" i="1"/>
  <c r="I16" i="1" l="1"/>
  <c r="N16" i="1"/>
  <c r="J21" i="1"/>
  <c r="K21" i="1"/>
  <c r="N21" i="1"/>
  <c r="I21" i="1" l="1"/>
  <c r="U15" i="1"/>
  <c r="G10" i="1"/>
  <c r="U9" i="1"/>
  <c r="U10" i="1"/>
  <c r="U11" i="1"/>
  <c r="U12" i="1"/>
  <c r="U14" i="1"/>
  <c r="G14" i="1"/>
  <c r="K14" i="1" s="1"/>
  <c r="G12" i="1"/>
  <c r="K12" i="1" s="1"/>
  <c r="Q7" i="1"/>
  <c r="T13" i="1"/>
  <c r="U13" i="1" s="1"/>
  <c r="P21" i="1" l="1"/>
  <c r="L12" i="1"/>
  <c r="H14" i="1"/>
  <c r="I14" i="1" s="1"/>
  <c r="J14" i="1"/>
  <c r="L14" i="1"/>
  <c r="M14" i="1"/>
  <c r="H12" i="1"/>
  <c r="I12" i="1" s="1"/>
  <c r="M12" i="1"/>
  <c r="J12" i="1"/>
  <c r="L49" i="1"/>
  <c r="J47" i="1"/>
  <c r="L47" i="1" s="1"/>
  <c r="L48" i="1" s="1"/>
  <c r="L50" i="1" s="1"/>
  <c r="G9" i="1"/>
  <c r="I9" i="1" s="1"/>
  <c r="P9" i="1" s="1"/>
  <c r="N12" i="1" l="1"/>
  <c r="N14" i="1"/>
  <c r="P14" i="1" s="1"/>
  <c r="P12" i="1"/>
  <c r="E15" i="1" l="1"/>
  <c r="P15" i="1" s="1"/>
  <c r="O27" i="1"/>
  <c r="G8" i="1" l="1"/>
  <c r="M8" i="1" l="1"/>
  <c r="L8" i="1"/>
  <c r="J8" i="1"/>
  <c r="K8" i="1"/>
  <c r="T8" i="1"/>
  <c r="U8" i="1" l="1"/>
  <c r="L10" i="1"/>
  <c r="U26" i="1" l="1"/>
  <c r="H10" i="1"/>
  <c r="N10" i="1" s="1"/>
  <c r="E11" i="1" s="1"/>
  <c r="G11" i="1" s="1"/>
  <c r="I11" i="1" s="1"/>
  <c r="P11" i="1" s="1"/>
  <c r="M10" i="1"/>
  <c r="K10" i="1"/>
  <c r="J10" i="1"/>
  <c r="H8" i="1"/>
  <c r="I10" i="1" l="1"/>
  <c r="P10" i="1" s="1"/>
  <c r="N8" i="1"/>
  <c r="I8" i="1"/>
  <c r="M27" i="1" l="1"/>
  <c r="L27" i="1"/>
  <c r="K27" i="1"/>
  <c r="N34" i="1" s="1"/>
  <c r="P8" i="1"/>
  <c r="P26" i="1" l="1"/>
  <c r="U28" i="1" s="1"/>
  <c r="W20" i="1"/>
  <c r="W26" i="1" s="1"/>
  <c r="N27" i="1"/>
  <c r="N35" i="1" l="1"/>
</calcChain>
</file>

<file path=xl/sharedStrings.xml><?xml version="1.0" encoding="utf-8"?>
<sst xmlns="http://schemas.openxmlformats.org/spreadsheetml/2006/main" count="90" uniqueCount="80">
  <si>
    <t>Amount</t>
  </si>
  <si>
    <t>PAYMENT NOTE No.</t>
  </si>
  <si>
    <t>UTR</t>
  </si>
  <si>
    <t>Pipe Laying work</t>
  </si>
  <si>
    <t>Total Payable Amount Rs. -</t>
  </si>
  <si>
    <t>Balance Payable Amount Rs. -</t>
  </si>
  <si>
    <t>Total Paid Amount Rs. -</t>
  </si>
  <si>
    <t>Hold the Amount because the Qty. is more then the DPR</t>
  </si>
  <si>
    <t>Shri Raj construction</t>
  </si>
  <si>
    <t>23-02-2023 NEFT/AXISP00365094499/RIUP22/2276/SHRI RAJ CONSTR 198000.00</t>
  </si>
  <si>
    <t>RIUP22/2276</t>
  </si>
  <si>
    <t>GST Release note</t>
  </si>
  <si>
    <t>06-05-2023 NEFT/AXISP00388047278/RIUP23/113/SHRI RAJ CONSTRU 80083.00</t>
  </si>
  <si>
    <t>RIUP23/113</t>
  </si>
  <si>
    <t>16-05-2023 NEFT/AXISP003880586542/RIUP23/281/SHRI RAJ CONSTRU 70654.00</t>
  </si>
  <si>
    <t>RIUP23/281</t>
  </si>
  <si>
    <t>ITEM</t>
  </si>
  <si>
    <t>DPR</t>
  </si>
  <si>
    <t>CUM</t>
  </si>
  <si>
    <t>EXCESS</t>
  </si>
  <si>
    <t>RATE</t>
  </si>
  <si>
    <t>AMOUNT</t>
  </si>
  <si>
    <t>BOE</t>
  </si>
  <si>
    <t>HOLD AMT</t>
  </si>
  <si>
    <t>Already hold</t>
  </si>
  <si>
    <t>To be hold in this bills</t>
  </si>
  <si>
    <t>Respected Mam,
As per Row no.25 Tax Invoice No. 1  dated 19/06/2023.
Total Basic Amount Rs. 5,91,117.00/-
Total Amount Including GST 18% Rs. 6,97,518.00/-.
Total deduction (TDS 1%, SD 5%, Commissioning 5%, Hydro testing 10% &amp; GST 18%) = Amount Rs.2,30,536.00/-
Hold amount Rs. 14,731.50/- (Quantity excess against DPR)
Payable Amount Rs. 4,52,250.00/-
Aside,
Amitava ji  Please check P35 and P48 DIA in measurement sheet is diff than DIA mentioned in DPR</t>
  </si>
  <si>
    <t>28-06-2023 NEFT/AXISP00401332286/RIUP23/863/SHRI RAJ CONSTRU 452250.00</t>
  </si>
  <si>
    <t>07-09-2023 NEFT/AXISP00422654404/RIUP23/1885/SHRI RAJ CONSTRUCT/NTBL0KAN130 99000.0</t>
  </si>
  <si>
    <t>14-07-2023 NEFT/AXISP00406995896/RIUP23/1080/SHRI RAJ CONSTR 106401.00</t>
  </si>
  <si>
    <t>RIUP23/863</t>
  </si>
  <si>
    <t>RIUP23/1080</t>
  </si>
  <si>
    <t>RIUP23/1885</t>
  </si>
  <si>
    <t>09-01-2024 NEFT/AXISP00460826668/RIUP23/4127/SHRI RAJ CONSTRUCT/NTBL0KAN130 96464.00</t>
  </si>
  <si>
    <t>RIUP23/1886</t>
  </si>
  <si>
    <t>Total Hold</t>
  </si>
  <si>
    <t>Advance / Surplus</t>
  </si>
  <si>
    <t>Debit</t>
  </si>
  <si>
    <t>Nil</t>
  </si>
  <si>
    <t>12-02-2024 NEFT/AXISP00470368419/RIUP23/4416/SHRI RAJ CONSTRUCT/NTBL0KAN130 331806.00</t>
  </si>
  <si>
    <t xml:space="preserve">GST </t>
  </si>
  <si>
    <t>2 &amp;  3</t>
  </si>
  <si>
    <t>26-04-2024 NEFT/AXISP00493991571/RIUP24/0332/SHRI RAJ CONSTRUCT/NTBL0KAN130 99000.00</t>
  </si>
  <si>
    <t>23-02-2024 NEFT/AXISP00473620333/RIUP23/4762/SHRI RAJ CONSTRUCT/NTBL0KAN130 ₹ 1,54,297.00</t>
  </si>
  <si>
    <t>GST Pending</t>
  </si>
  <si>
    <t>clear</t>
  </si>
  <si>
    <t>21-06-2024 NEFT/AXISP00510912033/RIUP24/0939/SHRI RAJ CONSTRUCT/NTBL0KAN130 99000.00</t>
  </si>
  <si>
    <t>18-09-2024 NEFT/AXISP00541733394/RIUP24/1839/SHRI RAJ CONSTRUCT/NTBL0KAN130 198000.00</t>
  </si>
  <si>
    <t>18-10-2024 NEFT/AXISP00555372153/RIUP24/2099/SHRI RAJ CONSTRUCT/NTBL0KAN130 97426.00</t>
  </si>
  <si>
    <t>Advance</t>
  </si>
  <si>
    <t>14-11-2024 NEFT/AXISP00569474702/RIUP24/2474/SHRI RAJ CONSTRUCT/NTBL0KAN130 103415.00</t>
  </si>
  <si>
    <t>Bill not checked nodes repeated</t>
  </si>
  <si>
    <t>06-02-2025 NEFT/AXISP00611496706/RIUP24/2965/SHRI RAJ CONSTRUCT/NTBL0KAN130 37614.00</t>
  </si>
  <si>
    <t>Updated On 07/02/25</t>
  </si>
  <si>
    <t>Subcontractor:</t>
  </si>
  <si>
    <t>State:</t>
  </si>
  <si>
    <t>District:</t>
  </si>
  <si>
    <t>Block:</t>
  </si>
  <si>
    <t>Uttar Pradesh</t>
  </si>
  <si>
    <t>Muzaffarnagar</t>
  </si>
  <si>
    <t xml:space="preserve">Samauli Village Pipe laying work </t>
  </si>
  <si>
    <t>Samauli Village Pipe laying work</t>
  </si>
  <si>
    <t>BASAYACH village  BOUNDARY WALL WORK  AT BASAYACH  BLOCK KHATAULI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</si>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</sst>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omic Sans MS"/>
      <family val="4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1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3" fillId="2" borderId="5" xfId="0" quotePrefix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3" fontId="0" fillId="2" borderId="6" xfId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horizontal="right" vertical="center"/>
    </xf>
    <xf numFmtId="43" fontId="5" fillId="2" borderId="7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0" fontId="5" fillId="2" borderId="5" xfId="1" applyNumberFormat="1" applyFont="1" applyFill="1" applyBorder="1" applyAlignment="1">
      <alignment vertical="center"/>
    </xf>
    <xf numFmtId="0" fontId="10" fillId="2" borderId="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43" fontId="9" fillId="2" borderId="11" xfId="1" applyNumberFormat="1" applyFont="1" applyFill="1" applyBorder="1" applyAlignment="1">
      <alignment horizontal="center" vertical="center"/>
    </xf>
    <xf numFmtId="43" fontId="9" fillId="2" borderId="1" xfId="1" applyNumberFormat="1" applyFont="1" applyFill="1" applyBorder="1" applyAlignment="1">
      <alignment horizontal="center" vertical="center"/>
    </xf>
    <xf numFmtId="43" fontId="9" fillId="2" borderId="12" xfId="1" applyNumberFormat="1" applyFont="1" applyFill="1" applyBorder="1" applyAlignment="1">
      <alignment horizontal="center" vertical="center"/>
    </xf>
    <xf numFmtId="43" fontId="9" fillId="2" borderId="2" xfId="1" applyNumberFormat="1" applyFont="1" applyFill="1" applyBorder="1" applyAlignment="1">
      <alignment horizontal="center" vertical="center"/>
    </xf>
    <xf numFmtId="43" fontId="9" fillId="2" borderId="3" xfId="1" applyNumberFormat="1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43" fontId="9" fillId="2" borderId="13" xfId="1" applyNumberFormat="1" applyFont="1" applyFill="1" applyBorder="1" applyAlignment="1">
      <alignment horizontal="center"/>
    </xf>
    <xf numFmtId="43" fontId="9" fillId="2" borderId="14" xfId="1" applyNumberFormat="1" applyFont="1" applyFill="1" applyBorder="1" applyAlignment="1">
      <alignment horizontal="center"/>
    </xf>
    <xf numFmtId="43" fontId="9" fillId="2" borderId="13" xfId="1" applyNumberFormat="1" applyFont="1" applyFill="1" applyBorder="1" applyAlignment="1">
      <alignment horizontal="center" vertical="center"/>
    </xf>
    <xf numFmtId="43" fontId="9" fillId="2" borderId="15" xfId="1" applyNumberFormat="1" applyFont="1" applyFill="1" applyBorder="1" applyAlignment="1">
      <alignment horizontal="center" vertical="center"/>
    </xf>
    <xf numFmtId="43" fontId="9" fillId="2" borderId="13" xfId="1" applyNumberFormat="1" applyFont="1" applyFill="1" applyBorder="1" applyAlignment="1">
      <alignment horizontal="right"/>
    </xf>
    <xf numFmtId="43" fontId="9" fillId="2" borderId="14" xfId="1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Font="1"/>
    <xf numFmtId="0" fontId="6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 wrapText="1"/>
    </xf>
    <xf numFmtId="14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43" fontId="11" fillId="2" borderId="16" xfId="1" applyNumberFormat="1" applyFont="1" applyFill="1" applyBorder="1" applyAlignment="1">
      <alignment horizontal="center" vertical="center"/>
    </xf>
    <xf numFmtId="43" fontId="6" fillId="2" borderId="1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zoomScaleNormal="100" workbookViewId="0">
      <selection activeCell="U10" sqref="U10"/>
    </sheetView>
  </sheetViews>
  <sheetFormatPr defaultColWidth="9" defaultRowHeight="24.95" customHeight="1" x14ac:dyDescent="0.25"/>
  <cols>
    <col min="1" max="1" width="8.42578125" style="2" customWidth="1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6" customWidth="1"/>
    <col min="9" max="9" width="12.85546875" style="16" bestFit="1" customWidth="1"/>
    <col min="10" max="10" width="10.7109375" style="3" bestFit="1" customWidth="1"/>
    <col min="11" max="11" width="13.7109375" style="3" bestFit="1" customWidth="1"/>
    <col min="12" max="12" width="15.5703125" style="3" bestFit="1" customWidth="1"/>
    <col min="13" max="13" width="13.5703125" style="3" customWidth="1"/>
    <col min="14" max="14" width="14.85546875" style="3" customWidth="1"/>
    <col min="15" max="15" width="17.5703125" style="3" bestFit="1" customWidth="1"/>
    <col min="16" max="16" width="14.85546875" style="3" customWidth="1"/>
    <col min="17" max="17" width="11.28515625" style="3" customWidth="1"/>
    <col min="18" max="18" width="11.42578125" style="3" customWidth="1"/>
    <col min="19" max="19" width="19.5703125" style="3" customWidth="1"/>
    <col min="20" max="20" width="12.140625" style="3" customWidth="1"/>
    <col min="21" max="21" width="15" style="3" bestFit="1" customWidth="1"/>
    <col min="22" max="22" width="90.42578125" style="3" customWidth="1"/>
    <col min="23" max="23" width="15" style="3" bestFit="1" customWidth="1"/>
    <col min="24" max="16384" width="9" style="3"/>
  </cols>
  <sheetData>
    <row r="1" spans="1:23" ht="24.95" customHeight="1" x14ac:dyDescent="0.25">
      <c r="A1" s="63" t="s">
        <v>54</v>
      </c>
      <c r="B1" s="2" t="s">
        <v>8</v>
      </c>
      <c r="E1" s="4"/>
      <c r="F1" s="4"/>
      <c r="G1" s="4"/>
      <c r="H1" s="5"/>
      <c r="I1" s="5"/>
    </row>
    <row r="2" spans="1:23" ht="24.95" customHeight="1" x14ac:dyDescent="0.25">
      <c r="A2" s="63" t="s">
        <v>55</v>
      </c>
      <c r="B2" s="64" t="s">
        <v>58</v>
      </c>
      <c r="C2" s="6"/>
      <c r="D2" s="6" t="s">
        <v>8</v>
      </c>
      <c r="G2" s="7"/>
      <c r="I2" s="7" t="s"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3" ht="24.95" customHeight="1" thickBot="1" x14ac:dyDescent="0.3">
      <c r="A3" s="63" t="s">
        <v>56</v>
      </c>
      <c r="B3" s="64" t="s">
        <v>59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3" ht="24.95" customHeight="1" thickBot="1" x14ac:dyDescent="0.3">
      <c r="A4" s="63" t="s">
        <v>57</v>
      </c>
      <c r="B4" s="64" t="s">
        <v>59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R4" s="8"/>
      <c r="S4" s="11"/>
      <c r="T4" s="11"/>
      <c r="U4" s="11"/>
      <c r="V4" s="11"/>
      <c r="W4" s="11"/>
    </row>
    <row r="5" spans="1:23" ht="24.95" customHeight="1" x14ac:dyDescent="0.25">
      <c r="A5" s="65" t="s">
        <v>63</v>
      </c>
      <c r="B5" s="66" t="s">
        <v>64</v>
      </c>
      <c r="C5" s="67" t="s">
        <v>65</v>
      </c>
      <c r="D5" s="68" t="s">
        <v>66</v>
      </c>
      <c r="E5" s="66" t="s">
        <v>67</v>
      </c>
      <c r="F5" s="66" t="s">
        <v>68</v>
      </c>
      <c r="G5" s="68" t="s">
        <v>69</v>
      </c>
      <c r="H5" s="69" t="s">
        <v>70</v>
      </c>
      <c r="I5" s="70" t="s">
        <v>0</v>
      </c>
      <c r="J5" s="66" t="s">
        <v>71</v>
      </c>
      <c r="K5" s="66" t="s">
        <v>72</v>
      </c>
      <c r="L5" s="66" t="s">
        <v>73</v>
      </c>
      <c r="M5" s="66" t="s">
        <v>74</v>
      </c>
      <c r="N5" s="24" t="s">
        <v>75</v>
      </c>
      <c r="O5" s="24" t="s">
        <v>7</v>
      </c>
      <c r="P5" s="24" t="s">
        <v>76</v>
      </c>
      <c r="Q5" s="24"/>
      <c r="R5" s="24" t="s">
        <v>1</v>
      </c>
      <c r="S5" s="66" t="s">
        <v>77</v>
      </c>
      <c r="T5" s="66" t="s">
        <v>78</v>
      </c>
      <c r="U5" s="66" t="s">
        <v>79</v>
      </c>
      <c r="V5" s="66" t="s">
        <v>2</v>
      </c>
      <c r="W5" s="24" t="s">
        <v>49</v>
      </c>
    </row>
    <row r="6" spans="1:23" ht="24.95" customHeight="1" thickBot="1" x14ac:dyDescent="0.3">
      <c r="A6" s="45"/>
      <c r="B6" s="15"/>
      <c r="C6" s="15"/>
      <c r="D6" s="15"/>
      <c r="E6" s="15"/>
      <c r="F6" s="15"/>
      <c r="G6" s="15"/>
      <c r="H6" s="32">
        <v>0.18</v>
      </c>
      <c r="I6" s="15"/>
      <c r="J6" s="32">
        <v>0.01</v>
      </c>
      <c r="K6" s="32">
        <v>0.05</v>
      </c>
      <c r="L6" s="32">
        <v>0.05</v>
      </c>
      <c r="M6" s="32">
        <v>0.1</v>
      </c>
      <c r="N6" s="32">
        <v>0.18</v>
      </c>
      <c r="O6" s="32"/>
      <c r="P6" s="15"/>
      <c r="Q6" s="33"/>
      <c r="R6" s="15"/>
      <c r="S6" s="15"/>
      <c r="T6" s="32">
        <v>0.01</v>
      </c>
      <c r="U6" s="15"/>
      <c r="V6" s="15"/>
      <c r="W6" s="15"/>
    </row>
    <row r="7" spans="1:23" s="23" customFormat="1" ht="24.95" customHeight="1" thickBot="1" x14ac:dyDescent="0.3">
      <c r="A7" s="45"/>
      <c r="B7" s="38"/>
      <c r="C7" s="38"/>
      <c r="D7" s="38"/>
      <c r="E7" s="38"/>
      <c r="F7" s="38"/>
      <c r="G7" s="38"/>
      <c r="H7" s="39"/>
      <c r="I7" s="38"/>
      <c r="J7" s="39"/>
      <c r="K7" s="39"/>
      <c r="L7" s="39"/>
      <c r="M7" s="39"/>
      <c r="N7" s="39"/>
      <c r="O7" s="39"/>
      <c r="P7" s="38"/>
      <c r="Q7" s="40">
        <f>A8</f>
        <v>53293</v>
      </c>
      <c r="R7" s="38"/>
      <c r="S7" s="38"/>
      <c r="T7" s="39"/>
      <c r="U7" s="38"/>
      <c r="V7" s="38"/>
      <c r="W7" s="38"/>
    </row>
    <row r="8" spans="1:23" ht="24.95" customHeight="1" x14ac:dyDescent="0.25">
      <c r="A8" s="47">
        <v>53293</v>
      </c>
      <c r="B8" s="34" t="s">
        <v>60</v>
      </c>
      <c r="C8" s="35">
        <v>44960</v>
      </c>
      <c r="D8" s="17">
        <v>1</v>
      </c>
      <c r="E8" s="13">
        <v>392521</v>
      </c>
      <c r="F8" s="13">
        <v>0</v>
      </c>
      <c r="G8" s="13">
        <f>ROUND(E8-F8,)</f>
        <v>392521</v>
      </c>
      <c r="H8" s="13">
        <f>ROUND(G8*H6,0)</f>
        <v>70654</v>
      </c>
      <c r="I8" s="13">
        <f>G8+H8</f>
        <v>463175</v>
      </c>
      <c r="J8" s="13">
        <f>ROUND(G8*$J$6,)</f>
        <v>3925</v>
      </c>
      <c r="K8" s="13">
        <f>ROUND(G8*$K$6,)</f>
        <v>19626</v>
      </c>
      <c r="L8" s="13">
        <f>ROUND(G8*10%,)</f>
        <v>39252</v>
      </c>
      <c r="M8" s="13">
        <f>ROUND(G8*$M$6,)</f>
        <v>39252</v>
      </c>
      <c r="N8" s="13">
        <f>H8</f>
        <v>70654</v>
      </c>
      <c r="O8" s="13">
        <v>12383</v>
      </c>
      <c r="P8" s="13">
        <f>ROUND(I8-SUM(J8:O8),0)</f>
        <v>278083</v>
      </c>
      <c r="Q8" s="36"/>
      <c r="R8" s="13" t="s">
        <v>10</v>
      </c>
      <c r="S8" s="13">
        <v>200000</v>
      </c>
      <c r="T8" s="13">
        <f>S8*$T$6</f>
        <v>2000</v>
      </c>
      <c r="U8" s="13">
        <f t="shared" ref="U8:U14" si="0">S8-T8</f>
        <v>198000</v>
      </c>
      <c r="V8" s="37" t="s">
        <v>9</v>
      </c>
      <c r="W8" s="13"/>
    </row>
    <row r="9" spans="1:23" ht="24.95" customHeight="1" x14ac:dyDescent="0.25">
      <c r="A9" s="47">
        <v>53293</v>
      </c>
      <c r="B9" s="26" t="s">
        <v>11</v>
      </c>
      <c r="C9" s="1">
        <v>45045</v>
      </c>
      <c r="D9" s="27">
        <v>1</v>
      </c>
      <c r="E9" s="12">
        <v>70654</v>
      </c>
      <c r="F9" s="12"/>
      <c r="G9" s="12">
        <f>ROUND(E9-F9,)</f>
        <v>70654</v>
      </c>
      <c r="H9" s="12"/>
      <c r="I9" s="12">
        <f>G9+H9</f>
        <v>70654</v>
      </c>
      <c r="J9" s="12"/>
      <c r="K9" s="12"/>
      <c r="L9" s="12"/>
      <c r="M9" s="12"/>
      <c r="N9" s="12"/>
      <c r="O9" s="12"/>
      <c r="P9" s="12">
        <f>ROUND(I9-SUM(J9:O9),0)</f>
        <v>70654</v>
      </c>
      <c r="Q9" s="25"/>
      <c r="R9" s="12" t="s">
        <v>13</v>
      </c>
      <c r="S9" s="12">
        <v>80083</v>
      </c>
      <c r="T9" s="12">
        <v>0</v>
      </c>
      <c r="U9" s="12">
        <f t="shared" si="0"/>
        <v>80083</v>
      </c>
      <c r="V9" s="28" t="s">
        <v>12</v>
      </c>
      <c r="W9" s="12"/>
    </row>
    <row r="10" spans="1:23" ht="24.95" customHeight="1" x14ac:dyDescent="0.25">
      <c r="A10" s="47">
        <v>53293</v>
      </c>
      <c r="B10" s="26" t="s">
        <v>61</v>
      </c>
      <c r="C10" s="1">
        <v>45096</v>
      </c>
      <c r="D10" s="29">
        <v>1</v>
      </c>
      <c r="E10" s="12">
        <v>591117</v>
      </c>
      <c r="F10" s="12"/>
      <c r="G10" s="12">
        <f>ROUND(E10-F10,)</f>
        <v>591117</v>
      </c>
      <c r="H10" s="12">
        <f>ROUND(G10*H6,0)</f>
        <v>106401</v>
      </c>
      <c r="I10" s="12">
        <f>G10+H10</f>
        <v>697518</v>
      </c>
      <c r="J10" s="12">
        <f>ROUND(G10*$J$6,)</f>
        <v>5911</v>
      </c>
      <c r="K10" s="12">
        <f>ROUND(G10*$K$6,)</f>
        <v>29556</v>
      </c>
      <c r="L10" s="12">
        <f>ROUND(G10*$L$6,)</f>
        <v>29556</v>
      </c>
      <c r="M10" s="12">
        <f>ROUND(G10*$M$6,)</f>
        <v>59112</v>
      </c>
      <c r="N10" s="12">
        <f>H10</f>
        <v>106401</v>
      </c>
      <c r="O10" s="12">
        <v>14731.5</v>
      </c>
      <c r="P10" s="12">
        <f>I10-SUM(J10:O10)</f>
        <v>452250.5</v>
      </c>
      <c r="Q10" s="25"/>
      <c r="R10" s="12" t="s">
        <v>15</v>
      </c>
      <c r="S10" s="12">
        <v>70654</v>
      </c>
      <c r="T10" s="12">
        <v>0</v>
      </c>
      <c r="U10" s="12">
        <f t="shared" si="0"/>
        <v>70654</v>
      </c>
      <c r="V10" s="28" t="s">
        <v>14</v>
      </c>
      <c r="W10" s="12"/>
    </row>
    <row r="11" spans="1:23" ht="24.95" customHeight="1" x14ac:dyDescent="0.25">
      <c r="A11" s="47">
        <v>53293</v>
      </c>
      <c r="B11" s="26" t="s">
        <v>11</v>
      </c>
      <c r="C11" s="1"/>
      <c r="D11" s="27">
        <v>1</v>
      </c>
      <c r="E11" s="12">
        <f>N10</f>
        <v>106401</v>
      </c>
      <c r="F11" s="12"/>
      <c r="G11" s="12">
        <f>ROUND(E11-F11,)</f>
        <v>106401</v>
      </c>
      <c r="H11" s="12"/>
      <c r="I11" s="12">
        <f>G11+H11</f>
        <v>106401</v>
      </c>
      <c r="J11" s="12"/>
      <c r="K11" s="12"/>
      <c r="L11" s="12"/>
      <c r="M11" s="12"/>
      <c r="N11" s="12"/>
      <c r="O11" s="12"/>
      <c r="P11" s="12">
        <f>ROUND(I11-SUM(J11:O11),0)</f>
        <v>106401</v>
      </c>
      <c r="Q11" s="25"/>
      <c r="R11" s="12" t="s">
        <v>30</v>
      </c>
      <c r="S11" s="12">
        <v>452250</v>
      </c>
      <c r="T11" s="12"/>
      <c r="U11" s="12">
        <f t="shared" si="0"/>
        <v>452250</v>
      </c>
      <c r="V11" s="28" t="s">
        <v>27</v>
      </c>
      <c r="W11" s="12"/>
    </row>
    <row r="12" spans="1:23" ht="24.95" customHeight="1" x14ac:dyDescent="0.25">
      <c r="A12" s="47">
        <v>53293</v>
      </c>
      <c r="B12" s="26" t="s">
        <v>61</v>
      </c>
      <c r="C12" s="1">
        <v>45096</v>
      </c>
      <c r="D12" s="29">
        <v>2</v>
      </c>
      <c r="E12" s="12">
        <v>381569</v>
      </c>
      <c r="F12" s="12">
        <v>98010</v>
      </c>
      <c r="G12" s="12">
        <f>E12-F12</f>
        <v>283559</v>
      </c>
      <c r="H12" s="12">
        <f>G12*18%</f>
        <v>51040.619999999995</v>
      </c>
      <c r="I12" s="12">
        <f>G12+H12</f>
        <v>334599.62</v>
      </c>
      <c r="J12" s="12">
        <f>ROUND(G12*$J$6,)</f>
        <v>2836</v>
      </c>
      <c r="K12" s="12">
        <f>ROUND(G12*$K$6,)</f>
        <v>14178</v>
      </c>
      <c r="L12" s="12">
        <f>G12*10%</f>
        <v>28355.9</v>
      </c>
      <c r="M12" s="12">
        <f>ROUND(G12*$M$6,)</f>
        <v>28356</v>
      </c>
      <c r="N12" s="12">
        <f>H12</f>
        <v>51040.619999999995</v>
      </c>
      <c r="O12" s="12">
        <v>14369</v>
      </c>
      <c r="P12" s="12">
        <f>I12-SUM(J12:O12)</f>
        <v>195464.1</v>
      </c>
      <c r="Q12" s="25"/>
      <c r="R12" s="12" t="s">
        <v>31</v>
      </c>
      <c r="S12" s="12">
        <v>106401</v>
      </c>
      <c r="T12" s="12"/>
      <c r="U12" s="12">
        <f t="shared" si="0"/>
        <v>106401</v>
      </c>
      <c r="V12" s="28" t="s">
        <v>29</v>
      </c>
      <c r="W12" s="12"/>
    </row>
    <row r="13" spans="1:23" ht="24.95" customHeight="1" x14ac:dyDescent="0.25">
      <c r="A13" s="47">
        <v>53293</v>
      </c>
      <c r="B13" s="26"/>
      <c r="C13" s="1"/>
      <c r="D13" s="29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25"/>
      <c r="R13" s="12" t="s">
        <v>32</v>
      </c>
      <c r="S13" s="12">
        <v>100000</v>
      </c>
      <c r="T13" s="12">
        <f>S13*1%</f>
        <v>1000</v>
      </c>
      <c r="U13" s="12">
        <f>S13-T13</f>
        <v>99000</v>
      </c>
      <c r="V13" s="28" t="s">
        <v>28</v>
      </c>
      <c r="W13" s="12"/>
    </row>
    <row r="14" spans="1:23" ht="24.95" customHeight="1" x14ac:dyDescent="0.25">
      <c r="A14" s="47">
        <v>53293</v>
      </c>
      <c r="B14" s="26" t="s">
        <v>61</v>
      </c>
      <c r="C14" s="1">
        <v>45302</v>
      </c>
      <c r="D14" s="29">
        <v>3</v>
      </c>
      <c r="E14" s="12">
        <v>573642</v>
      </c>
      <c r="F14" s="12">
        <v>0</v>
      </c>
      <c r="G14" s="12">
        <f>E14-F14</f>
        <v>573642</v>
      </c>
      <c r="H14" s="12">
        <f>G14*18%</f>
        <v>103255.56</v>
      </c>
      <c r="I14" s="12">
        <f>G14+H14</f>
        <v>676897.56</v>
      </c>
      <c r="J14" s="12">
        <f>ROUND(G14*$J$6,)</f>
        <v>5736</v>
      </c>
      <c r="K14" s="12">
        <f>ROUND(G14*$K$6,)</f>
        <v>28682</v>
      </c>
      <c r="L14" s="12">
        <f>G14*10%</f>
        <v>57364.200000000004</v>
      </c>
      <c r="M14" s="12">
        <f>ROUND(G14*$M$6,)</f>
        <v>57364</v>
      </c>
      <c r="N14" s="12">
        <f>H14</f>
        <v>103255.56</v>
      </c>
      <c r="O14" s="12">
        <v>92690</v>
      </c>
      <c r="P14" s="12">
        <f>I14-SUM(J14:O14)</f>
        <v>331805.80000000005</v>
      </c>
      <c r="Q14" s="25"/>
      <c r="R14" s="12" t="s">
        <v>34</v>
      </c>
      <c r="S14" s="12">
        <v>96464</v>
      </c>
      <c r="T14" s="12">
        <v>0</v>
      </c>
      <c r="U14" s="12">
        <f t="shared" si="0"/>
        <v>96464</v>
      </c>
      <c r="V14" s="28" t="s">
        <v>33</v>
      </c>
      <c r="W14" s="12"/>
    </row>
    <row r="15" spans="1:23" ht="24.95" customHeight="1" x14ac:dyDescent="0.25">
      <c r="A15" s="47">
        <v>53293</v>
      </c>
      <c r="B15" s="26" t="s">
        <v>40</v>
      </c>
      <c r="C15" s="1"/>
      <c r="D15" s="29" t="s">
        <v>41</v>
      </c>
      <c r="E15" s="12">
        <f>N12+N14</f>
        <v>154296.18</v>
      </c>
      <c r="F15" s="12">
        <v>0</v>
      </c>
      <c r="G15" s="12"/>
      <c r="H15" s="12"/>
      <c r="I15" s="12"/>
      <c r="J15" s="12"/>
      <c r="K15" s="12"/>
      <c r="L15" s="12"/>
      <c r="M15" s="12"/>
      <c r="N15" s="12"/>
      <c r="O15" s="12"/>
      <c r="P15" s="12">
        <f>E15</f>
        <v>154296.18</v>
      </c>
      <c r="Q15" s="25"/>
      <c r="R15" s="12" t="s">
        <v>34</v>
      </c>
      <c r="S15" s="12">
        <v>331806</v>
      </c>
      <c r="T15" s="12">
        <v>0</v>
      </c>
      <c r="U15" s="12">
        <f t="shared" ref="U15" si="1">S15-T15</f>
        <v>331806</v>
      </c>
      <c r="V15" s="28" t="s">
        <v>39</v>
      </c>
      <c r="W15" s="12"/>
    </row>
    <row r="16" spans="1:23" ht="54" x14ac:dyDescent="0.25">
      <c r="A16" s="47">
        <v>53293</v>
      </c>
      <c r="B16" s="26" t="s">
        <v>61</v>
      </c>
      <c r="C16" s="1">
        <v>45302</v>
      </c>
      <c r="D16" s="29">
        <v>1</v>
      </c>
      <c r="E16" s="12">
        <v>542513</v>
      </c>
      <c r="F16" s="12">
        <v>0</v>
      </c>
      <c r="G16" s="12">
        <f>E16-F16</f>
        <v>542513</v>
      </c>
      <c r="H16" s="12">
        <f>G16*18%</f>
        <v>97652.34</v>
      </c>
      <c r="I16" s="12">
        <f>G16+H16</f>
        <v>640165.34</v>
      </c>
      <c r="J16" s="12">
        <f>ROUND(G16*$J$6,)</f>
        <v>5425</v>
      </c>
      <c r="K16" s="12">
        <f>ROUND(G16*$K$6,)</f>
        <v>27126</v>
      </c>
      <c r="L16" s="12">
        <f>G16*10%</f>
        <v>54251.3</v>
      </c>
      <c r="M16" s="12">
        <f>ROUND(G16*$M$6,)</f>
        <v>54251</v>
      </c>
      <c r="N16" s="12">
        <f>H16</f>
        <v>97652.34</v>
      </c>
      <c r="O16" s="12">
        <v>0</v>
      </c>
      <c r="P16" s="12">
        <f>I16-SUM(J16:O16)</f>
        <v>401459.69999999995</v>
      </c>
      <c r="Q16" s="48" t="s">
        <v>51</v>
      </c>
      <c r="R16" s="12"/>
      <c r="S16" s="12"/>
      <c r="T16" s="12"/>
      <c r="U16" s="12">
        <v>154297</v>
      </c>
      <c r="V16" s="28" t="s">
        <v>43</v>
      </c>
      <c r="W16" s="12"/>
    </row>
    <row r="17" spans="1:23" ht="24.95" customHeight="1" x14ac:dyDescent="0.25">
      <c r="A17" s="47">
        <v>53293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5"/>
      <c r="R17" s="12"/>
      <c r="S17" s="12"/>
      <c r="T17" s="12"/>
      <c r="U17" s="12">
        <v>99000</v>
      </c>
      <c r="V17" s="28" t="s">
        <v>42</v>
      </c>
      <c r="W17" s="12"/>
    </row>
    <row r="18" spans="1:23" ht="24.95" customHeight="1" x14ac:dyDescent="0.25">
      <c r="A18" s="47">
        <v>53293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5"/>
      <c r="R18" s="12"/>
      <c r="S18" s="12"/>
      <c r="T18" s="12"/>
      <c r="U18" s="12">
        <v>198000</v>
      </c>
      <c r="V18" s="28" t="s">
        <v>47</v>
      </c>
      <c r="W18" s="12"/>
    </row>
    <row r="19" spans="1:23" ht="24.95" customHeight="1" thickBot="1" x14ac:dyDescent="0.3">
      <c r="A19" s="47">
        <v>53293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41"/>
      <c r="R19" s="14"/>
      <c r="S19" s="14"/>
      <c r="T19" s="14"/>
      <c r="U19" s="14">
        <v>103415</v>
      </c>
      <c r="V19" s="42" t="s">
        <v>50</v>
      </c>
      <c r="W19" s="14"/>
    </row>
    <row r="20" spans="1:23" s="23" customFormat="1" ht="24.95" customHeight="1" thickBot="1" x14ac:dyDescent="0.3">
      <c r="A20" s="45"/>
      <c r="B20" s="38"/>
      <c r="C20" s="38"/>
      <c r="D20" s="38"/>
      <c r="E20" s="38"/>
      <c r="F20" s="38"/>
      <c r="G20" s="38"/>
      <c r="H20" s="39"/>
      <c r="I20" s="38"/>
      <c r="J20" s="39"/>
      <c r="K20" s="39"/>
      <c r="L20" s="39"/>
      <c r="M20" s="39"/>
      <c r="N20" s="39"/>
      <c r="O20" s="39"/>
      <c r="P20" s="38"/>
      <c r="Q20" s="40">
        <f>A21</f>
        <v>64206</v>
      </c>
      <c r="R20" s="38"/>
      <c r="S20" s="38"/>
      <c r="T20" s="39"/>
      <c r="U20" s="38"/>
      <c r="V20" s="38"/>
      <c r="W20" s="38">
        <f>SUM(P8:P19)-SUM(U8:U19)</f>
        <v>1044.2800000000279</v>
      </c>
    </row>
    <row r="21" spans="1:23" ht="24.95" customHeight="1" x14ac:dyDescent="0.25">
      <c r="A21" s="47">
        <v>64206</v>
      </c>
      <c r="B21" s="34" t="s">
        <v>62</v>
      </c>
      <c r="C21" s="35">
        <v>45555</v>
      </c>
      <c r="D21" s="17">
        <v>1</v>
      </c>
      <c r="E21" s="13">
        <v>208964</v>
      </c>
      <c r="F21" s="13">
        <v>0</v>
      </c>
      <c r="G21" s="13">
        <f>ROUND(E21-F21,)</f>
        <v>208964</v>
      </c>
      <c r="H21" s="13">
        <f>G21*18%</f>
        <v>37613.519999999997</v>
      </c>
      <c r="I21" s="13">
        <f>G21+H21</f>
        <v>246577.52</v>
      </c>
      <c r="J21" s="13">
        <f>ROUND(G21*$J$6,)</f>
        <v>2090</v>
      </c>
      <c r="K21" s="13">
        <f>ROUND(G21*$K$6,)</f>
        <v>10448</v>
      </c>
      <c r="L21" s="13"/>
      <c r="M21" s="13"/>
      <c r="N21" s="13">
        <f>H21</f>
        <v>37613.519999999997</v>
      </c>
      <c r="O21" s="13"/>
      <c r="P21" s="13">
        <f>ROUND(I21-SUM(J21:O21),0)</f>
        <v>196426</v>
      </c>
      <c r="Q21" s="36"/>
      <c r="R21" s="13" t="s">
        <v>10</v>
      </c>
      <c r="S21" s="13">
        <v>200000</v>
      </c>
      <c r="T21" s="13">
        <f>S21*$T$6</f>
        <v>2000</v>
      </c>
      <c r="U21" s="13">
        <v>99000</v>
      </c>
      <c r="V21" s="37" t="s">
        <v>46</v>
      </c>
      <c r="W21" s="13"/>
    </row>
    <row r="22" spans="1:23" ht="24.95" customHeight="1" x14ac:dyDescent="0.25">
      <c r="A22" s="47">
        <v>64206</v>
      </c>
      <c r="B22" s="26" t="s">
        <v>40</v>
      </c>
      <c r="C22" s="1"/>
      <c r="D22" s="29">
        <v>1</v>
      </c>
      <c r="E22" s="12">
        <f>N21</f>
        <v>37613.519999999997</v>
      </c>
      <c r="F22" s="12">
        <v>0</v>
      </c>
      <c r="G22" s="12"/>
      <c r="H22" s="12"/>
      <c r="I22" s="12"/>
      <c r="J22" s="12"/>
      <c r="K22" s="12"/>
      <c r="L22" s="12"/>
      <c r="M22" s="12"/>
      <c r="N22" s="12"/>
      <c r="O22" s="12"/>
      <c r="P22" s="12">
        <f>E22</f>
        <v>37613.519999999997</v>
      </c>
      <c r="Q22" s="25"/>
      <c r="R22" s="12"/>
      <c r="S22" s="12"/>
      <c r="T22" s="12"/>
      <c r="U22" s="12">
        <v>97426</v>
      </c>
      <c r="V22" s="28" t="s">
        <v>48</v>
      </c>
      <c r="W22" s="12"/>
    </row>
    <row r="23" spans="1:23" ht="24.95" customHeight="1" x14ac:dyDescent="0.25">
      <c r="A23" s="47">
        <v>64206</v>
      </c>
      <c r="B23" s="29"/>
      <c r="C23" s="29"/>
      <c r="D23" s="29"/>
      <c r="E23" s="30"/>
      <c r="F23" s="30"/>
      <c r="G23" s="30"/>
      <c r="H23" s="12"/>
      <c r="I23" s="12"/>
      <c r="J23" s="12"/>
      <c r="K23" s="12"/>
      <c r="L23" s="12"/>
      <c r="M23" s="12"/>
      <c r="N23" s="12"/>
      <c r="O23" s="12"/>
      <c r="P23" s="12"/>
      <c r="Q23" s="25"/>
      <c r="R23" s="12"/>
      <c r="S23" s="12"/>
      <c r="T23" s="12"/>
      <c r="U23" s="12">
        <v>37614</v>
      </c>
      <c r="V23" s="12" t="s">
        <v>52</v>
      </c>
      <c r="W23" s="12">
        <f>SUM(P21:P24)-SUM(U21:U24)</f>
        <v>-0.48000000001047738</v>
      </c>
    </row>
    <row r="24" spans="1:23" ht="24.95" customHeight="1" x14ac:dyDescent="0.25">
      <c r="A24" s="47">
        <v>64206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24.95" customHeight="1" thickBot="1" x14ac:dyDescent="0.3">
      <c r="A25" s="47">
        <v>64206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24.95" customHeight="1" x14ac:dyDescent="0.25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4"/>
      <c r="O26" s="44" t="s">
        <v>4</v>
      </c>
      <c r="P26" s="44">
        <f>SUM(P8:P23)</f>
        <v>2224453.8000000003</v>
      </c>
      <c r="Q26" s="44"/>
      <c r="R26" s="44" t="s">
        <v>6</v>
      </c>
      <c r="S26" s="44"/>
      <c r="T26" s="44"/>
      <c r="U26" s="44">
        <f>SUM(U6:U23)</f>
        <v>2223410</v>
      </c>
      <c r="V26" s="43"/>
      <c r="W26" s="44">
        <f>SUM(W8:W25)</f>
        <v>1043.8000000000175</v>
      </c>
    </row>
    <row r="27" spans="1:23" ht="24.95" customHeight="1" x14ac:dyDescent="0.25">
      <c r="A27" s="45"/>
      <c r="B27" s="12"/>
      <c r="C27" s="12"/>
      <c r="D27" s="12"/>
      <c r="E27" s="12"/>
      <c r="F27" s="12"/>
      <c r="G27" s="12"/>
      <c r="H27" s="12"/>
      <c r="I27" s="12"/>
      <c r="J27" s="12"/>
      <c r="K27" s="31">
        <f t="shared" ref="K27:N27" si="2">SUM(K8:K23)</f>
        <v>129616</v>
      </c>
      <c r="L27" s="31">
        <f t="shared" si="2"/>
        <v>208779.40000000002</v>
      </c>
      <c r="M27" s="31">
        <f t="shared" si="2"/>
        <v>238335</v>
      </c>
      <c r="N27" s="31">
        <f t="shared" si="2"/>
        <v>466617.04000000004</v>
      </c>
      <c r="O27" s="31">
        <f>SUM(O8:O23)</f>
        <v>134173.5</v>
      </c>
      <c r="P27" s="12"/>
      <c r="Q27" s="12"/>
      <c r="R27" s="12"/>
      <c r="S27" s="12"/>
      <c r="T27" s="12"/>
      <c r="U27" s="12"/>
      <c r="V27" s="12"/>
      <c r="W27" s="12"/>
    </row>
    <row r="28" spans="1:23" ht="24.95" customHeight="1" x14ac:dyDescent="0.25">
      <c r="A28" s="4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31" t="s">
        <v>5</v>
      </c>
      <c r="S28" s="12"/>
      <c r="T28" s="12"/>
      <c r="U28" s="31">
        <f>P26-U26</f>
        <v>1043.8000000002794</v>
      </c>
      <c r="V28" s="12"/>
      <c r="W28" s="31"/>
    </row>
    <row r="29" spans="1:23" ht="24.95" customHeight="1" thickBot="1" x14ac:dyDescent="0.3">
      <c r="A29" s="4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1" spans="1:23" ht="24.95" customHeight="1" thickBot="1" x14ac:dyDescent="0.3"/>
    <row r="32" spans="1:23" ht="24.95" customHeight="1" thickBot="1" x14ac:dyDescent="0.3">
      <c r="L32" s="51" t="s">
        <v>8</v>
      </c>
      <c r="M32" s="52"/>
      <c r="N32" s="52"/>
      <c r="O32" s="53"/>
    </row>
    <row r="33" spans="7:15" ht="24.95" customHeight="1" thickBot="1" x14ac:dyDescent="0.3">
      <c r="L33" s="54" t="s">
        <v>53</v>
      </c>
      <c r="M33" s="55"/>
      <c r="N33" s="55"/>
      <c r="O33" s="56"/>
    </row>
    <row r="34" spans="7:15" ht="24.95" customHeight="1" thickBot="1" x14ac:dyDescent="0.45">
      <c r="L34" s="54" t="s">
        <v>35</v>
      </c>
      <c r="M34" s="55"/>
      <c r="N34" s="57">
        <f>K27+L27+M27</f>
        <v>576730.4</v>
      </c>
      <c r="O34" s="58"/>
    </row>
    <row r="35" spans="7:15" ht="24.95" customHeight="1" thickBot="1" x14ac:dyDescent="0.45">
      <c r="L35" s="54" t="s">
        <v>36</v>
      </c>
      <c r="M35" s="55"/>
      <c r="N35" s="57">
        <f>U28</f>
        <v>1043.8000000002794</v>
      </c>
      <c r="O35" s="58"/>
    </row>
    <row r="36" spans="7:15" ht="24.95" customHeight="1" thickBot="1" x14ac:dyDescent="0.45">
      <c r="L36" s="59" t="s">
        <v>37</v>
      </c>
      <c r="M36" s="60"/>
      <c r="N36" s="61" t="s">
        <v>38</v>
      </c>
      <c r="O36" s="62"/>
    </row>
    <row r="37" spans="7:15" ht="24.95" customHeight="1" x14ac:dyDescent="0.25">
      <c r="L37" s="3" t="s">
        <v>44</v>
      </c>
      <c r="N37" s="3" t="s">
        <v>45</v>
      </c>
    </row>
    <row r="46" spans="7:15" ht="24.95" customHeight="1" x14ac:dyDescent="0.25">
      <c r="G46" s="18" t="s">
        <v>16</v>
      </c>
      <c r="H46" s="19" t="s">
        <v>17</v>
      </c>
      <c r="I46" s="19" t="s">
        <v>18</v>
      </c>
      <c r="J46" s="18" t="s">
        <v>19</v>
      </c>
      <c r="K46" s="18" t="s">
        <v>20</v>
      </c>
      <c r="L46" s="18" t="s">
        <v>21</v>
      </c>
    </row>
    <row r="47" spans="7:15" ht="24.95" customHeight="1" x14ac:dyDescent="0.25">
      <c r="G47" s="18" t="s">
        <v>22</v>
      </c>
      <c r="H47" s="18">
        <v>15.18</v>
      </c>
      <c r="I47" s="18">
        <v>557.47</v>
      </c>
      <c r="J47" s="18">
        <f>I47-H47</f>
        <v>542.29000000000008</v>
      </c>
      <c r="K47" s="18">
        <v>50</v>
      </c>
      <c r="L47" s="18">
        <f>K47*J47</f>
        <v>27114.500000000004</v>
      </c>
    </row>
    <row r="48" spans="7:15" ht="24.95" customHeight="1" x14ac:dyDescent="0.25">
      <c r="G48" s="18"/>
      <c r="H48" s="18"/>
      <c r="I48" s="19"/>
      <c r="J48" s="18"/>
      <c r="K48" s="20" t="s">
        <v>23</v>
      </c>
      <c r="L48" s="20">
        <f>SUM(L47)</f>
        <v>27114.500000000004</v>
      </c>
    </row>
    <row r="49" spans="7:14" ht="24.95" customHeight="1" x14ac:dyDescent="0.25">
      <c r="K49" s="3" t="s">
        <v>24</v>
      </c>
      <c r="L49" s="21">
        <f>O8</f>
        <v>12383</v>
      </c>
    </row>
    <row r="50" spans="7:14" ht="24.95" customHeight="1" x14ac:dyDescent="0.25">
      <c r="J50" s="49" t="s">
        <v>25</v>
      </c>
      <c r="K50" s="49"/>
      <c r="L50" s="22">
        <f>L48-L49</f>
        <v>14731.500000000004</v>
      </c>
    </row>
    <row r="53" spans="7:14" ht="24.95" customHeight="1" x14ac:dyDescent="0.25">
      <c r="G53" s="50" t="s">
        <v>26</v>
      </c>
      <c r="H53" s="50"/>
      <c r="I53" s="50"/>
      <c r="J53" s="50"/>
      <c r="K53" s="50"/>
      <c r="L53" s="50"/>
      <c r="M53" s="50"/>
      <c r="N53" s="50"/>
    </row>
    <row r="54" spans="7:14" ht="24.95" customHeight="1" x14ac:dyDescent="0.25">
      <c r="G54" s="50"/>
      <c r="H54" s="50"/>
      <c r="I54" s="50"/>
      <c r="J54" s="50"/>
      <c r="K54" s="50"/>
      <c r="L54" s="50"/>
      <c r="M54" s="50"/>
      <c r="N54" s="50"/>
    </row>
    <row r="55" spans="7:14" ht="24.95" customHeight="1" x14ac:dyDescent="0.25">
      <c r="G55" s="50"/>
      <c r="H55" s="50"/>
      <c r="I55" s="50"/>
      <c r="J55" s="50"/>
      <c r="K55" s="50"/>
      <c r="L55" s="50"/>
      <c r="M55" s="50"/>
      <c r="N55" s="50"/>
    </row>
    <row r="56" spans="7:14" ht="24.95" customHeight="1" x14ac:dyDescent="0.25">
      <c r="G56" s="50"/>
      <c r="H56" s="50"/>
      <c r="I56" s="50"/>
      <c r="J56" s="50"/>
      <c r="K56" s="50"/>
      <c r="L56" s="50"/>
      <c r="M56" s="50"/>
      <c r="N56" s="50"/>
    </row>
    <row r="57" spans="7:14" ht="24.95" customHeight="1" x14ac:dyDescent="0.25">
      <c r="G57" s="50"/>
      <c r="H57" s="50"/>
      <c r="I57" s="50"/>
      <c r="J57" s="50"/>
      <c r="K57" s="50"/>
      <c r="L57" s="50"/>
      <c r="M57" s="50"/>
      <c r="N57" s="50"/>
    </row>
    <row r="58" spans="7:14" ht="24.95" customHeight="1" x14ac:dyDescent="0.25">
      <c r="G58" s="50"/>
      <c r="H58" s="50"/>
      <c r="I58" s="50"/>
      <c r="J58" s="50"/>
      <c r="K58" s="50"/>
      <c r="L58" s="50"/>
      <c r="M58" s="50"/>
      <c r="N58" s="50"/>
    </row>
    <row r="59" spans="7:14" ht="24.95" customHeight="1" x14ac:dyDescent="0.25">
      <c r="G59" s="50"/>
      <c r="H59" s="50"/>
      <c r="I59" s="50"/>
      <c r="J59" s="50"/>
      <c r="K59" s="50"/>
      <c r="L59" s="50"/>
      <c r="M59" s="50"/>
      <c r="N59" s="50"/>
    </row>
    <row r="60" spans="7:14" ht="24.95" customHeight="1" x14ac:dyDescent="0.25">
      <c r="G60" s="50"/>
      <c r="H60" s="50"/>
      <c r="I60" s="50"/>
      <c r="J60" s="50"/>
      <c r="K60" s="50"/>
      <c r="L60" s="50"/>
      <c r="M60" s="50"/>
      <c r="N60" s="50"/>
    </row>
    <row r="61" spans="7:14" ht="24.95" customHeight="1" x14ac:dyDescent="0.25">
      <c r="G61" s="50"/>
      <c r="H61" s="50"/>
      <c r="I61" s="50"/>
      <c r="J61" s="50"/>
      <c r="K61" s="50"/>
      <c r="L61" s="50"/>
      <c r="M61" s="50"/>
      <c r="N61" s="50"/>
    </row>
    <row r="62" spans="7:14" ht="24.95" customHeight="1" x14ac:dyDescent="0.25">
      <c r="G62" s="50"/>
      <c r="H62" s="50"/>
      <c r="I62" s="50"/>
      <c r="J62" s="50"/>
      <c r="K62" s="50"/>
      <c r="L62" s="50"/>
      <c r="M62" s="50"/>
      <c r="N62" s="50"/>
    </row>
    <row r="63" spans="7:14" ht="24.95" customHeight="1" x14ac:dyDescent="0.25">
      <c r="G63" s="50"/>
      <c r="H63" s="50"/>
      <c r="I63" s="50"/>
      <c r="J63" s="50"/>
      <c r="K63" s="50"/>
      <c r="L63" s="50"/>
      <c r="M63" s="50"/>
      <c r="N63" s="50"/>
    </row>
    <row r="64" spans="7:14" ht="24.95" customHeight="1" x14ac:dyDescent="0.25">
      <c r="G64" s="50"/>
      <c r="H64" s="50"/>
      <c r="I64" s="50"/>
      <c r="J64" s="50"/>
      <c r="K64" s="50"/>
      <c r="L64" s="50"/>
      <c r="M64" s="50"/>
      <c r="N64" s="50"/>
    </row>
  </sheetData>
  <mergeCells count="10">
    <mergeCell ref="J50:K50"/>
    <mergeCell ref="G53:N64"/>
    <mergeCell ref="L32:O32"/>
    <mergeCell ref="L33:O33"/>
    <mergeCell ref="L34:M34"/>
    <mergeCell ref="N34:O34"/>
    <mergeCell ref="L35:M35"/>
    <mergeCell ref="N35:O35"/>
    <mergeCell ref="L36:M36"/>
    <mergeCell ref="N36:O36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2025-05-27T05:46:26Z</dcterms:modified>
</cp:coreProperties>
</file>