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0D308B08-4F8C-46CA-9AB1-CA15043EB6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3" i="1" l="1"/>
  <c r="I83" i="1"/>
  <c r="G82" i="1"/>
  <c r="J82" i="1" s="1"/>
  <c r="O87" i="1"/>
  <c r="O94" i="1" s="1"/>
  <c r="R87" i="1"/>
  <c r="K82" i="1" l="1"/>
  <c r="H82" i="1"/>
  <c r="N82" i="1" s="1"/>
  <c r="E83" i="1" s="1"/>
  <c r="P83" i="1" s="1"/>
  <c r="L82" i="1"/>
  <c r="M82" i="1"/>
  <c r="G80" i="1"/>
  <c r="M80" i="1" s="1"/>
  <c r="Q79" i="1"/>
  <c r="I82" i="1" l="1"/>
  <c r="P82" i="1" s="1"/>
  <c r="H80" i="1"/>
  <c r="N80" i="1" s="1"/>
  <c r="E81" i="1" s="1"/>
  <c r="P81" i="1" s="1"/>
  <c r="J80" i="1"/>
  <c r="K80" i="1"/>
  <c r="L80" i="1"/>
  <c r="I80" i="1" l="1"/>
  <c r="P80" i="1" s="1"/>
  <c r="T80" i="1" s="1"/>
  <c r="Q75" i="1" l="1"/>
  <c r="Q69" i="1"/>
  <c r="Q48" i="1"/>
  <c r="Q34" i="1"/>
  <c r="Q21" i="1"/>
  <c r="Q7" i="1"/>
  <c r="G64" i="1" l="1"/>
  <c r="K64" i="1" s="1"/>
  <c r="J64" i="1" l="1"/>
  <c r="H64" i="1"/>
  <c r="N64" i="1" s="1"/>
  <c r="E65" i="1" s="1"/>
  <c r="P65" i="1" s="1"/>
  <c r="L64" i="1"/>
  <c r="M64" i="1"/>
  <c r="G26" i="1"/>
  <c r="L26" i="1" s="1"/>
  <c r="I64" i="1" l="1"/>
  <c r="P64" i="1" s="1"/>
  <c r="J26" i="1"/>
  <c r="M26" i="1"/>
  <c r="K26" i="1"/>
  <c r="H26" i="1"/>
  <c r="N26" i="1" l="1"/>
  <c r="I26" i="1"/>
  <c r="P26" i="1" l="1"/>
  <c r="P13" i="1"/>
  <c r="P12" i="1"/>
  <c r="P25" i="1"/>
  <c r="P27" i="1"/>
  <c r="P51" i="1"/>
  <c r="P52" i="1"/>
  <c r="I27" i="1" l="1"/>
  <c r="G28" i="1"/>
  <c r="L28" i="1" s="1"/>
  <c r="G29" i="1"/>
  <c r="I29" i="1" s="1"/>
  <c r="N29" i="1"/>
  <c r="N77" i="1"/>
  <c r="G76" i="1"/>
  <c r="K76" i="1" s="1"/>
  <c r="N71" i="1"/>
  <c r="N63" i="1"/>
  <c r="N62" i="1"/>
  <c r="G61" i="1"/>
  <c r="K61" i="1" s="1"/>
  <c r="G70" i="1"/>
  <c r="M70" i="1" s="1"/>
  <c r="G60" i="1"/>
  <c r="M60" i="1" s="1"/>
  <c r="Q59" i="1"/>
  <c r="I13" i="1"/>
  <c r="P38" i="1"/>
  <c r="M28" i="1" l="1"/>
  <c r="H28" i="1"/>
  <c r="N28" i="1" s="1"/>
  <c r="K28" i="1"/>
  <c r="J28" i="1"/>
  <c r="H61" i="1"/>
  <c r="N61" i="1" s="1"/>
  <c r="E63" i="1" s="1"/>
  <c r="G63" i="1" s="1"/>
  <c r="I63" i="1" s="1"/>
  <c r="P63" i="1" s="1"/>
  <c r="L61" i="1"/>
  <c r="P29" i="1"/>
  <c r="M76" i="1"/>
  <c r="H76" i="1"/>
  <c r="N76" i="1" s="1"/>
  <c r="E77" i="1" s="1"/>
  <c r="L76" i="1"/>
  <c r="J60" i="1"/>
  <c r="J76" i="1"/>
  <c r="M61" i="1"/>
  <c r="J61" i="1"/>
  <c r="L60" i="1"/>
  <c r="J70" i="1"/>
  <c r="K70" i="1"/>
  <c r="H70" i="1"/>
  <c r="L70" i="1"/>
  <c r="K60" i="1"/>
  <c r="H60" i="1"/>
  <c r="N60" i="1" s="1"/>
  <c r="E62" i="1" s="1"/>
  <c r="I12" i="1"/>
  <c r="N12" i="1"/>
  <c r="I28" i="1" l="1"/>
  <c r="P28" i="1" s="1"/>
  <c r="I62" i="1"/>
  <c r="P62" i="1"/>
  <c r="I61" i="1"/>
  <c r="P61" i="1" s="1"/>
  <c r="I77" i="1"/>
  <c r="P77" i="1"/>
  <c r="I76" i="1"/>
  <c r="P76" i="1" s="1"/>
  <c r="I70" i="1"/>
  <c r="N70" i="1"/>
  <c r="E71" i="1" s="1"/>
  <c r="I60" i="1"/>
  <c r="P60" i="1" s="1"/>
  <c r="T60" i="1" l="1"/>
  <c r="T76" i="1"/>
  <c r="I71" i="1"/>
  <c r="P71" i="1"/>
  <c r="P70" i="1"/>
  <c r="T70" i="1" s="1"/>
  <c r="E10" i="1"/>
  <c r="G10" i="1" s="1"/>
  <c r="L10" i="1" s="1"/>
  <c r="G11" i="1"/>
  <c r="N42" i="1"/>
  <c r="N41" i="1"/>
  <c r="L11" i="1" l="1"/>
  <c r="J11" i="1"/>
  <c r="M11" i="1"/>
  <c r="K11" i="1"/>
  <c r="H11" i="1"/>
  <c r="N11" i="1" s="1"/>
  <c r="K10" i="1"/>
  <c r="M10" i="1"/>
  <c r="H10" i="1"/>
  <c r="N10" i="1" s="1"/>
  <c r="I10" i="1" l="1"/>
  <c r="J10" i="1" s="1"/>
  <c r="I11" i="1"/>
  <c r="P11" i="1" s="1"/>
  <c r="G40" i="1"/>
  <c r="J40" i="1" s="1"/>
  <c r="G39" i="1"/>
  <c r="J39" i="1" s="1"/>
  <c r="P10" i="1" l="1"/>
  <c r="K39" i="1"/>
  <c r="L39" i="1"/>
  <c r="M39" i="1"/>
  <c r="H40" i="1"/>
  <c r="N40" i="1" s="1"/>
  <c r="E42" i="1" s="1"/>
  <c r="P42" i="1" s="1"/>
  <c r="K40" i="1"/>
  <c r="H39" i="1"/>
  <c r="N39" i="1" s="1"/>
  <c r="E41" i="1" s="1"/>
  <c r="P41" i="1" s="1"/>
  <c r="I40" i="1" l="1"/>
  <c r="P40" i="1" s="1"/>
  <c r="I39" i="1"/>
  <c r="P39" i="1" s="1"/>
  <c r="N9" i="1" l="1"/>
  <c r="G8" i="1"/>
  <c r="J8" i="1" l="1"/>
  <c r="K8" i="1"/>
  <c r="M8" i="1"/>
  <c r="H8" i="1"/>
  <c r="N8" i="1" s="1"/>
  <c r="E9" i="1" l="1"/>
  <c r="P9" i="1" s="1"/>
  <c r="I9" i="1"/>
  <c r="I8" i="1"/>
  <c r="P8" i="1" s="1"/>
  <c r="T8" i="1" l="1"/>
  <c r="I25" i="1"/>
  <c r="G24" i="1"/>
  <c r="G22" i="1"/>
  <c r="L24" i="1" l="1"/>
  <c r="J24" i="1"/>
  <c r="M22" i="1"/>
  <c r="J22" i="1"/>
  <c r="L22" i="1"/>
  <c r="H22" i="1"/>
  <c r="N22" i="1" s="1"/>
  <c r="E23" i="1" s="1"/>
  <c r="K24" i="1"/>
  <c r="M24" i="1"/>
  <c r="K22" i="1"/>
  <c r="H24" i="1"/>
  <c r="N24" i="1" s="1"/>
  <c r="I22" i="1" l="1"/>
  <c r="P22" i="1" s="1"/>
  <c r="I24" i="1"/>
  <c r="P24" i="1" s="1"/>
  <c r="I23" i="1" l="1"/>
  <c r="P23" i="1"/>
  <c r="T22" i="1" s="1"/>
  <c r="G37" i="1"/>
  <c r="L37" i="1" s="1"/>
  <c r="N36" i="1"/>
  <c r="F35" i="1"/>
  <c r="G35" i="1" l="1"/>
  <c r="K35" i="1" s="1"/>
  <c r="F87" i="1"/>
  <c r="K37" i="1"/>
  <c r="M37" i="1"/>
  <c r="H37" i="1"/>
  <c r="N37" i="1" s="1"/>
  <c r="J37" i="1"/>
  <c r="M35" i="1" l="1"/>
  <c r="H35" i="1"/>
  <c r="N35" i="1" s="1"/>
  <c r="E36" i="1" s="1"/>
  <c r="P36" i="1" s="1"/>
  <c r="L35" i="1"/>
  <c r="J35" i="1"/>
  <c r="I37" i="1"/>
  <c r="P37" i="1" s="1"/>
  <c r="I35" i="1" l="1"/>
  <c r="P35" i="1" s="1"/>
  <c r="K131" i="1"/>
  <c r="T35" i="1" l="1"/>
  <c r="G49" i="1"/>
  <c r="G50" i="1"/>
  <c r="M50" i="1" s="1"/>
  <c r="I122" i="1"/>
  <c r="K122" i="1" s="1"/>
  <c r="I121" i="1"/>
  <c r="K121" i="1" s="1"/>
  <c r="I123" i="1"/>
  <c r="K123" i="1" s="1"/>
  <c r="H131" i="1"/>
  <c r="I125" i="1"/>
  <c r="K125" i="1" s="1"/>
  <c r="K126" i="1"/>
  <c r="K127" i="1"/>
  <c r="K128" i="1"/>
  <c r="K129" i="1"/>
  <c r="I124" i="1"/>
  <c r="K124" i="1" s="1"/>
  <c r="K130" i="1" l="1"/>
  <c r="M127" i="1" s="1"/>
  <c r="J50" i="1"/>
  <c r="K50" i="1"/>
  <c r="H50" i="1"/>
  <c r="N50" i="1" s="1"/>
  <c r="H49" i="1"/>
  <c r="I49" i="1" s="1"/>
  <c r="L50" i="1"/>
  <c r="I50" i="1" l="1"/>
  <c r="P50" i="1" s="1"/>
  <c r="N49" i="1"/>
  <c r="N87" i="1" l="1"/>
  <c r="O96" i="1" s="1"/>
  <c r="M49" i="1"/>
  <c r="M87" i="1" s="1"/>
  <c r="J49" i="1"/>
  <c r="K49" i="1"/>
  <c r="K87" i="1" s="1"/>
  <c r="L49" i="1"/>
  <c r="L87" i="1" s="1"/>
  <c r="O93" i="1" l="1"/>
  <c r="P49" i="1"/>
  <c r="T49" i="1" l="1"/>
  <c r="T88" i="1" s="1"/>
  <c r="P87" i="1"/>
  <c r="R88" i="1"/>
  <c r="O95" i="1" s="1"/>
  <c r="I51" i="1"/>
</calcChain>
</file>

<file path=xl/sharedStrings.xml><?xml version="1.0" encoding="utf-8"?>
<sst xmlns="http://schemas.openxmlformats.org/spreadsheetml/2006/main" count="153" uniqueCount="123">
  <si>
    <t>Amount</t>
  </si>
  <si>
    <t>UTR</t>
  </si>
  <si>
    <t>Pipe Laying work</t>
  </si>
  <si>
    <t>Hold the Amount because the Qty. is more then the DPR</t>
  </si>
  <si>
    <t xml:space="preserve">HASANPUR Village Pipe laying work </t>
  </si>
  <si>
    <t>08-03-2023 NEFT/AXISP00369766204/RIUP22/2502/AARHAM INTERNAT 196000.00</t>
  </si>
  <si>
    <t>21-03-2023 NEFT/AXISP00373201702/RIUP22/2685/AARHAM INTERNAT 98000.00</t>
  </si>
  <si>
    <t>27-03-2023 NEFT/AXISP00374603537/RIUP22/2738/AARHAM INTERNAT 58800.00</t>
  </si>
  <si>
    <t>11-04-2023 NEFT/AXISP00380905282/SPUP23/0073/AARHAM INTERNAT 98000.00</t>
  </si>
  <si>
    <t>B.O.E</t>
  </si>
  <si>
    <t>63MM DIA</t>
  </si>
  <si>
    <t>90MM DIA</t>
  </si>
  <si>
    <t>200MM DIA</t>
  </si>
  <si>
    <t>Cum</t>
  </si>
  <si>
    <t xml:space="preserve">AARHAM INTERNATIONAL </t>
  </si>
  <si>
    <t>Item no</t>
  </si>
  <si>
    <t>dpr</t>
  </si>
  <si>
    <t>Extra</t>
  </si>
  <si>
    <t>Rate</t>
  </si>
  <si>
    <t>Amt</t>
  </si>
  <si>
    <t>upto date hold</t>
  </si>
  <si>
    <t>already hold</t>
  </si>
  <si>
    <t>pending hold</t>
  </si>
  <si>
    <t>Restoration BOE</t>
  </si>
  <si>
    <t>GST Release Note</t>
  </si>
  <si>
    <t>20-05-2023 NEFT/AXISP00391552051/RIUP23/303/AARHAM INTERNATI ₹ 95,776.00</t>
  </si>
  <si>
    <t>20-05-2023 NEFT/AXISP00391552052/RIUP23/302/AARHAM INTERNATI ₹ 99,153.00</t>
  </si>
  <si>
    <t>29-05-2023 NEFT/AXISP00392949341/RIUP23/426/AARHAM INTERNATI 98000.00</t>
  </si>
  <si>
    <t>Bibipur Hatiya Village Pipeline laying work</t>
  </si>
  <si>
    <t>03-01-2023 NEFT/AXISP00351384277/RIUP22/1744/AARHAM INTERNAT 452923.00</t>
  </si>
  <si>
    <t>24-01-2023 NEFT/AXISP00356990172/RIUP22/1976/AARHAM INTERNAT ₹ 1,36,101.00</t>
  </si>
  <si>
    <t>31-01-2023 NEFT/AXISP00358425205/RIUP22/2043/AARHAM INTERNAT 185063.00</t>
  </si>
  <si>
    <t>24-02-2023 NEFT/AXISP00365286191/RIUP22/2279/AARHAM INTERNAT 63300.00</t>
  </si>
  <si>
    <t>13-04-2023 13-04-2023 NEFT/AXISP00381797400/SPUP23/0122/AARHAM INTERNAT 98000.00</t>
  </si>
  <si>
    <t>16-06-2023 NEFT/AXISP00399073687/RIUP23/694/AARHAM INTERNATI 78400.00</t>
  </si>
  <si>
    <t>Bhogimazra Village Pipeline laying work</t>
  </si>
  <si>
    <t xml:space="preserve">GST Release Note </t>
  </si>
  <si>
    <t>20-10-2022 NEFT/AXISP00330252336/RIUP22/1059/AARHAM INTERNAT 147000.00</t>
  </si>
  <si>
    <t>22-11-2022 NEFT/AXISP00339527011/RIUP22/1316/AARHAM INTERNAT 37145.00</t>
  </si>
  <si>
    <t>18-01-2023 NEFT/AXISP00355694664/RIUP22/1829/AARHAM INTERNAT 119023.00</t>
  </si>
  <si>
    <t>20-02-2023 NEFT/AXISP00364387945/RIUP22/2229/AARHAM INTERNAT 49000.00</t>
  </si>
  <si>
    <t>24-02-2023 NEFT/AXISP00365286192/RIUP22/2278/AARHAM INTERNAT 44973.00</t>
  </si>
  <si>
    <t>11-04-2023 NEFT/AXISP00380905284/SPUP23/0071/AARHAM INTERNAT 29400.00</t>
  </si>
  <si>
    <t>16-06-2023 NEFT/AXISP00399073691/RIUP23/693/AARHAM INTERNATI 98000.00</t>
  </si>
  <si>
    <t>Yarpur Village Pipeline laying work</t>
  </si>
  <si>
    <t>08-08-2022 NEFT/AXISP00310461061/RIUP22/470/AARHAM INTERNATI 220500.00</t>
  </si>
  <si>
    <t>18-10-2022 NEFT/AXISP00329290828/RIUP22/1030/AARHAM INTERNAT 490000.00</t>
  </si>
  <si>
    <t>20-10-2022 NEFT/AXISP00330319204/RIUP22/1075/AARHAM INTERNAT 8600.00</t>
  </si>
  <si>
    <t>22-11-2022 NEFT/AXISP00339527010/RIUP22/1315/AARHAM INTERNAT 215707.00</t>
  </si>
  <si>
    <t>15-12-2022 NEFT/AXISP00346453829/RIUP22/1521/AARHAM INTERNAT 50000.00</t>
  </si>
  <si>
    <t>07-02-2023 NEFT/AXISP00361424978/RIUP22/2129/AARHAM INTERNAT ₹ 1,47,000.00</t>
  </si>
  <si>
    <t>19-06-2023 NEFT/AXISP00399550939/RIUP23/731/AARHAM INTERNATI 98000.00</t>
  </si>
  <si>
    <t>28-06-2023 NEFT/AXISP00401332287/RIUP23/866/AARHAM INTERNATI 73342.00</t>
  </si>
  <si>
    <t>21-08-2023 NEFT/AXISP00417026989/RIUP23/1632/AARHAM INTERNAT 98000.00</t>
  </si>
  <si>
    <t xml:space="preserve">02-08-2023 NEFT/AXISP00411959004/RIUP23/1322/AARHAM INTERNAT ₹ 46,771.00
</t>
  </si>
  <si>
    <t>02-08-2023 NEFT/AXISP00411959005/RIUP23/1323/AARHAM INTERNAT ₹ 1,82,810.00</t>
  </si>
  <si>
    <t>26-09-2023 NEFT/AXISP00427655665/RIUP23/2284/AARHAM INTERNATION  98000.00</t>
  </si>
  <si>
    <t>11-09-2023 NEFT/AXISP00423685740/RIUP23/1959/AARHAM INTERNATION  98000.00</t>
  </si>
  <si>
    <t>04-10-2023 NEFT/AXISP00430543820/RIUP23/2411A/AARHAM INTERNATION 65002.00</t>
  </si>
  <si>
    <t xml:space="preserve">04-10-2023 NEFT/AXISP00430543821/RIUP23/2412A/AARHAM INTERNATION 232691.00
</t>
  </si>
  <si>
    <t xml:space="preserve"> </t>
  </si>
  <si>
    <t>GST</t>
  </si>
  <si>
    <t>Ahmadpur  Village Pipeline laying work</t>
  </si>
  <si>
    <t>Nai Nagla Sakauti  Village Pipeline laying work</t>
  </si>
  <si>
    <t>13-10-2023 NEFT/AXISP00434019644/RIUP23/2633/AARHAM INTERNATION 98000.00</t>
  </si>
  <si>
    <t>19-10-2023 NEFT/AXISP00435643032/RIUP23/2754/AARHAM INTERNATION 11178.00</t>
  </si>
  <si>
    <t>01-11-2023 NEFT/AXISP00439457388/RIUP23/2936/AARHAM INTERNATION  45602.00</t>
  </si>
  <si>
    <t>29-11-2023 NEFT/AXISP00439456856/RIUP23/3485/AARHAM INTERNATION 49000.00</t>
  </si>
  <si>
    <t>24-08-2023 NEFT/AXISP00418043566/RIUP23/1673/AARHAM INTERNATION 81358.00</t>
  </si>
  <si>
    <t>14-12-2023 NEFT/AXISP00452866512/RIUP23/3720/AARHAM INTERNATION 49000.00</t>
  </si>
  <si>
    <t>08-11-2023 NEFT/AXISP00441999414/RIUP23/2937/AARHAM INTERNATION 138762.00</t>
  </si>
  <si>
    <t>08-12-2023 NEFT/AXISP00451236003/RIUP23/3659/AARHAM INTERNATION 98000.00</t>
  </si>
  <si>
    <t>16-06-2023 NEFT/AXISP00399009125/RIUP23/661/AARHAM INTERNATI 455693.00</t>
  </si>
  <si>
    <t>31-07-2023 NEFT/AXISP00410478614/RIUP23/1272/AARHAM INTERNAT ₹ 1,13,213.00</t>
  </si>
  <si>
    <t>09-11-2023 NEFT/AXISP00442541904/RIUP23/3172/AARHAM INTERNATION 196000.00</t>
  </si>
  <si>
    <t>30-11-2023 NEFT/AXISP00447912056/RIUP23/3537/AARHAM INTERNATION 71815.00</t>
  </si>
  <si>
    <t>08-01-2024 NEFT/AXISP00460674629/RIUP23/4168/AARHAM INTERNATION ₹ 98,000.00</t>
  </si>
  <si>
    <t>30-12-2023 NEFT/AXISP00457527704/RIUP23/4001/AARHAM INTERNATION 77424.00</t>
  </si>
  <si>
    <t>15-12-2023 NEFT/AXISP00453272887/RIUP23/3728/AARHAM INTERNATION 40627.00</t>
  </si>
  <si>
    <t>23-10-2023 NEFT/AXISP00436449476/RIUP23/2823/AARHAM INTERNATION 196000.00</t>
  </si>
  <si>
    <t xml:space="preserve">Total Hold </t>
  </si>
  <si>
    <t>Advance/ Surplus</t>
  </si>
  <si>
    <t>Advance</t>
  </si>
  <si>
    <t>17-01-2024 NEFT/AXISP00463099941/RIUP23/4201/AARHAM INTERNATION/SBIN0011556 22967.00</t>
  </si>
  <si>
    <t>05-02-2024 NEFT/AXISP00468222688/RIUP23/4407/AARHAM INTERNATION/SBIN0011556 64085.00</t>
  </si>
  <si>
    <t>02-02-2024 NEFT/AXISP00467749363/RIUP23/4559/AARHAM INTERNATION/SBIN0011556 39200.00</t>
  </si>
  <si>
    <t>06-03-2024 NEFT/AXISP00477669910/RIUP23/4644/AARHAM INTERNATION/SBIN0011556 42920.00</t>
  </si>
  <si>
    <t>20-03-2024 NEFT/AXISP00482717103/RIUP23/5148/AARHAM INTERNATION/SBIN0011556 11270.00</t>
  </si>
  <si>
    <t>Balance Payable</t>
  </si>
  <si>
    <t>Total Paid</t>
  </si>
  <si>
    <t>GST Remaining</t>
  </si>
  <si>
    <t>14-05-2024 NEFT/AXISP00499817094/RIUP24/0503/AARHAM INTERNATION/SBIN0011556 196000.00</t>
  </si>
  <si>
    <t>DPR Excess  Debit</t>
  </si>
  <si>
    <t>03-08-2024 NEFT/AXISP00524511281/RIUP24/1351/AARHAM INTERNATION/SBIN0011556 274400.00</t>
  </si>
  <si>
    <t>15-10-2024 NEFT/AXISP00553688662/RIUP24/2204/AARHAM INTERNATION/SBIN0011556 98000.00</t>
  </si>
  <si>
    <t>18-09-2024 NEFT/AXISP00541733386/RIUP24/1830/AARHAM INTERNATION/SBIN0011556 98000.00</t>
  </si>
  <si>
    <t>18-09-2024 NEFT/AXISP00541733387/RIUP24/1831/AARHAM INTERNATION/SBIN0011556 49000.00</t>
  </si>
  <si>
    <t>13-12-2024 NEFT/AXISP00583928106/RIUP24/2691/AARHAM INTERNATION/SBIN0011556 49000.00</t>
  </si>
  <si>
    <t>A1/2024-25/01</t>
  </si>
  <si>
    <t>Subcontractor:</t>
  </si>
  <si>
    <t>State:</t>
  </si>
  <si>
    <t>District:</t>
  </si>
  <si>
    <t>Block:</t>
  </si>
  <si>
    <t>Uttar Pradesh</t>
  </si>
  <si>
    <t>Shamli</t>
  </si>
  <si>
    <t xml:space="preserve">KADARPUR VILLAGE Pipe Line &amp; FHTC Work </t>
  </si>
  <si>
    <t>Janipur village - Pipeline work</t>
  </si>
  <si>
    <t>Janipur village - FHTC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</si>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</sst>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color rgb="FF333333"/>
      <name val="Verdana"/>
      <family val="2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15" fontId="3" fillId="3" borderId="4" xfId="0" applyNumberFormat="1" applyFont="1" applyFill="1" applyBorder="1" applyAlignment="1">
      <alignment horizontal="center" vertical="center"/>
    </xf>
    <xf numFmtId="43" fontId="3" fillId="3" borderId="2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43" fontId="0" fillId="2" borderId="4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0" xfId="0" applyFill="1" applyAlignment="1">
      <alignment vertical="center"/>
    </xf>
    <xf numFmtId="43" fontId="0" fillId="3" borderId="4" xfId="1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43" fontId="3" fillId="2" borderId="9" xfId="1" applyNumberFormat="1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4" fontId="3" fillId="2" borderId="4" xfId="1" applyNumberFormat="1" applyFont="1" applyFill="1" applyBorder="1" applyAlignment="1">
      <alignment vertical="center"/>
    </xf>
    <xf numFmtId="165" fontId="6" fillId="2" borderId="8" xfId="0" applyNumberFormat="1" applyFont="1" applyFill="1" applyBorder="1" applyAlignment="1">
      <alignment vertical="center"/>
    </xf>
    <xf numFmtId="165" fontId="6" fillId="2" borderId="15" xfId="0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3" fillId="0" borderId="4" xfId="1" applyNumberFormat="1" applyFont="1" applyFill="1" applyBorder="1" applyAlignment="1">
      <alignment vertical="center"/>
    </xf>
    <xf numFmtId="43" fontId="3" fillId="5" borderId="4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4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9" fontId="3" fillId="3" borderId="4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164" fontId="5" fillId="2" borderId="5" xfId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9" fontId="3" fillId="2" borderId="5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43" fontId="3" fillId="2" borderId="7" xfId="1" applyNumberFormat="1" applyFont="1" applyFill="1" applyBorder="1" applyAlignment="1">
      <alignment horizontal="right" vertical="center"/>
    </xf>
    <xf numFmtId="43" fontId="13" fillId="6" borderId="4" xfId="1" applyNumberFormat="1" applyFont="1" applyFill="1" applyBorder="1" applyAlignment="1">
      <alignment vertical="center"/>
    </xf>
    <xf numFmtId="0" fontId="6" fillId="0" borderId="0" xfId="0" applyFont="1"/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3" fontId="14" fillId="2" borderId="7" xfId="1" applyNumberFormat="1" applyFont="1" applyFill="1" applyBorder="1" applyAlignment="1">
      <alignment horizontal="center" vertical="center"/>
    </xf>
    <xf numFmtId="43" fontId="6" fillId="2" borderId="7" xfId="1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12" fillId="2" borderId="10" xfId="0" applyNumberFormat="1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14" fontId="12" fillId="2" borderId="11" xfId="0" applyNumberFormat="1" applyFont="1" applyFill="1" applyBorder="1" applyAlignment="1">
      <alignment horizontal="center" vertical="center"/>
    </xf>
    <xf numFmtId="14" fontId="12" fillId="2" borderId="1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1"/>
  <sheetViews>
    <sheetView tabSelected="1" zoomScaleNormal="100" workbookViewId="0">
      <pane ySplit="5" topLeftCell="A76" activePane="bottomLeft" state="frozen"/>
      <selection activeCell="E1" sqref="E1"/>
      <selection pane="bottomLeft" activeCell="D82" sqref="D82"/>
    </sheetView>
  </sheetViews>
  <sheetFormatPr defaultColWidth="9" defaultRowHeight="20.100000000000001" customHeight="1" x14ac:dyDescent="0.25"/>
  <cols>
    <col min="1" max="1" width="7.85546875" style="3" bestFit="1" customWidth="1"/>
    <col min="2" max="2" width="30.140625" style="3" bestFit="1" customWidth="1"/>
    <col min="3" max="3" width="13.140625" style="3" bestFit="1" customWidth="1"/>
    <col min="4" max="4" width="13.5703125" style="16" customWidth="1"/>
    <col min="5" max="5" width="12.7109375" style="3" bestFit="1" customWidth="1"/>
    <col min="6" max="6" width="11.7109375" style="3" customWidth="1"/>
    <col min="7" max="7" width="11.85546875" style="3" customWidth="1"/>
    <col min="8" max="8" width="11.85546875" style="14" bestFit="1" customWidth="1"/>
    <col min="9" max="9" width="15.28515625" style="14" bestFit="1" customWidth="1"/>
    <col min="10" max="10" width="10.28515625" style="3" bestFit="1" customWidth="1"/>
    <col min="11" max="11" width="14" style="3" bestFit="1" customWidth="1"/>
    <col min="12" max="12" width="14.85546875" style="3" bestFit="1" customWidth="1"/>
    <col min="13" max="13" width="13.7109375" style="3" bestFit="1" customWidth="1"/>
    <col min="14" max="14" width="14.85546875" style="3" customWidth="1"/>
    <col min="15" max="15" width="19.5703125" style="3" bestFit="1" customWidth="1"/>
    <col min="16" max="16" width="15.42578125" style="3" bestFit="1" customWidth="1"/>
    <col min="17" max="17" width="7.85546875" style="3" bestFit="1" customWidth="1"/>
    <col min="18" max="18" width="15.28515625" style="3" bestFit="1" customWidth="1"/>
    <col min="19" max="19" width="101.42578125" style="3" bestFit="1" customWidth="1"/>
    <col min="20" max="20" width="16" style="3" bestFit="1" customWidth="1"/>
    <col min="21" max="16384" width="9" style="3"/>
  </cols>
  <sheetData>
    <row r="1" spans="1:51" ht="20.100000000000001" customHeight="1" x14ac:dyDescent="0.25">
      <c r="A1" s="73" t="s">
        <v>99</v>
      </c>
      <c r="B1" s="2" t="s">
        <v>14</v>
      </c>
      <c r="E1" s="4"/>
      <c r="F1" s="4"/>
      <c r="G1" s="4"/>
      <c r="H1" s="5"/>
      <c r="I1" s="5"/>
    </row>
    <row r="2" spans="1:51" ht="20.100000000000001" customHeight="1" x14ac:dyDescent="0.25">
      <c r="A2" s="73" t="s">
        <v>100</v>
      </c>
      <c r="B2" t="s">
        <v>103</v>
      </c>
      <c r="C2" s="6"/>
      <c r="D2" s="49" t="s">
        <v>14</v>
      </c>
      <c r="G2" s="7"/>
      <c r="I2" s="7" t="s">
        <v>2</v>
      </c>
      <c r="J2" s="8"/>
      <c r="K2" s="8"/>
      <c r="L2" s="8"/>
      <c r="M2" s="8"/>
      <c r="N2" s="8"/>
      <c r="O2" s="8"/>
      <c r="P2" s="8"/>
      <c r="Q2" s="61"/>
      <c r="T2" s="8"/>
    </row>
    <row r="3" spans="1:51" ht="20.100000000000001" customHeight="1" thickBot="1" x14ac:dyDescent="0.3">
      <c r="A3" s="73" t="s">
        <v>101</v>
      </c>
      <c r="B3" t="s">
        <v>104</v>
      </c>
      <c r="C3" s="6"/>
      <c r="D3" s="49"/>
      <c r="G3" s="7"/>
      <c r="I3" s="7"/>
      <c r="J3" s="8"/>
      <c r="K3" s="8"/>
      <c r="L3" s="8"/>
      <c r="M3" s="8"/>
      <c r="N3" s="8"/>
      <c r="O3" s="8"/>
      <c r="P3" s="8"/>
      <c r="Q3" s="61"/>
      <c r="T3" s="8"/>
    </row>
    <row r="4" spans="1:51" ht="20.100000000000001" customHeight="1" thickBot="1" x14ac:dyDescent="0.3">
      <c r="A4" s="73" t="s">
        <v>102</v>
      </c>
      <c r="B4" t="s">
        <v>104</v>
      </c>
      <c r="C4" s="9"/>
      <c r="D4" s="50"/>
      <c r="E4" s="9"/>
      <c r="F4" s="8"/>
      <c r="G4" s="8"/>
      <c r="H4" s="10"/>
      <c r="I4" s="10"/>
      <c r="J4" s="8"/>
      <c r="K4" s="8"/>
      <c r="L4" s="8"/>
      <c r="M4" s="8"/>
      <c r="Q4" s="60"/>
      <c r="R4" s="11"/>
      <c r="S4" s="11"/>
    </row>
    <row r="5" spans="1:51" ht="20.100000000000001" customHeight="1" x14ac:dyDescent="0.25">
      <c r="A5" s="74" t="s">
        <v>108</v>
      </c>
      <c r="B5" s="75" t="s">
        <v>109</v>
      </c>
      <c r="C5" s="76" t="s">
        <v>110</v>
      </c>
      <c r="D5" s="77" t="s">
        <v>111</v>
      </c>
      <c r="E5" s="75" t="s">
        <v>112</v>
      </c>
      <c r="F5" s="75" t="s">
        <v>113</v>
      </c>
      <c r="G5" s="77" t="s">
        <v>114</v>
      </c>
      <c r="H5" s="78" t="s">
        <v>115</v>
      </c>
      <c r="I5" s="79" t="s">
        <v>0</v>
      </c>
      <c r="J5" s="75" t="s">
        <v>116</v>
      </c>
      <c r="K5" s="75" t="s">
        <v>117</v>
      </c>
      <c r="L5" s="75" t="s">
        <v>118</v>
      </c>
      <c r="M5" s="75" t="s">
        <v>119</v>
      </c>
      <c r="N5" s="28" t="s">
        <v>120</v>
      </c>
      <c r="O5" s="28" t="s">
        <v>3</v>
      </c>
      <c r="P5" s="28" t="s">
        <v>121</v>
      </c>
      <c r="Q5" s="28"/>
      <c r="R5" s="75" t="s">
        <v>122</v>
      </c>
      <c r="S5" s="75" t="s">
        <v>1</v>
      </c>
      <c r="T5" s="28" t="s">
        <v>82</v>
      </c>
    </row>
    <row r="6" spans="1:51" ht="20.100000000000001" customHeight="1" thickBot="1" x14ac:dyDescent="0.3">
      <c r="A6" s="67"/>
      <c r="B6" s="13"/>
      <c r="C6" s="13"/>
      <c r="D6" s="59"/>
      <c r="E6" s="13"/>
      <c r="F6" s="13"/>
      <c r="G6" s="13"/>
      <c r="H6" s="68">
        <v>0.18</v>
      </c>
      <c r="I6" s="13"/>
      <c r="J6" s="68">
        <v>0.02</v>
      </c>
      <c r="K6" s="68">
        <v>0.05</v>
      </c>
      <c r="L6" s="68">
        <v>0.1</v>
      </c>
      <c r="M6" s="68">
        <v>0.1</v>
      </c>
      <c r="N6" s="68">
        <v>0.18</v>
      </c>
      <c r="O6" s="68"/>
      <c r="P6" s="13"/>
      <c r="Q6" s="67"/>
      <c r="R6" s="13"/>
      <c r="S6" s="13"/>
      <c r="T6" s="68"/>
    </row>
    <row r="7" spans="1:51" s="37" customFormat="1" ht="20.100000000000001" customHeight="1" x14ac:dyDescent="0.25">
      <c r="A7" s="39">
        <v>51760</v>
      </c>
      <c r="B7" s="25"/>
      <c r="C7" s="25"/>
      <c r="D7" s="5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39">
        <f>A7</f>
        <v>51760</v>
      </c>
      <c r="R7" s="66"/>
      <c r="S7" s="66"/>
      <c r="T7" s="2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ht="20.100000000000001" customHeight="1" x14ac:dyDescent="0.25">
      <c r="A8" s="39">
        <v>51760</v>
      </c>
      <c r="B8" s="33" t="s">
        <v>44</v>
      </c>
      <c r="C8" s="1">
        <v>44851</v>
      </c>
      <c r="D8" s="52">
        <v>2</v>
      </c>
      <c r="E8" s="12">
        <v>1198373</v>
      </c>
      <c r="F8" s="12">
        <v>0</v>
      </c>
      <c r="G8" s="12">
        <f>E8-F8</f>
        <v>1198373</v>
      </c>
      <c r="H8" s="12">
        <f>ROUND(G8*18%,)</f>
        <v>215707</v>
      </c>
      <c r="I8" s="12">
        <f>G8+H8</f>
        <v>1414080</v>
      </c>
      <c r="J8" s="12">
        <f>ROUND(G8*$J$6,)</f>
        <v>23967</v>
      </c>
      <c r="K8" s="12">
        <f>ROUND(G8*10%,)</f>
        <v>119837</v>
      </c>
      <c r="L8" s="12"/>
      <c r="M8" s="12">
        <f>ROUND(G8*10%,)</f>
        <v>119837</v>
      </c>
      <c r="N8" s="72">
        <f>H8</f>
        <v>215707</v>
      </c>
      <c r="O8" s="12">
        <v>215632</v>
      </c>
      <c r="P8" s="47">
        <f>ROUND(I8-SUM(J8:O8),)</f>
        <v>719100</v>
      </c>
      <c r="Q8" s="30"/>
      <c r="R8" s="47">
        <v>220500</v>
      </c>
      <c r="S8" s="34" t="s">
        <v>45</v>
      </c>
      <c r="T8" s="12">
        <f>SUM(P8:P19)-SUM(R8:R19)</f>
        <v>-148377</v>
      </c>
    </row>
    <row r="9" spans="1:51" ht="20.100000000000001" customHeight="1" x14ac:dyDescent="0.25">
      <c r="A9" s="39">
        <v>51760</v>
      </c>
      <c r="B9" s="33" t="s">
        <v>24</v>
      </c>
      <c r="C9" s="1">
        <v>44867</v>
      </c>
      <c r="D9" s="52">
        <v>2</v>
      </c>
      <c r="E9" s="12">
        <f>N8</f>
        <v>215707</v>
      </c>
      <c r="F9" s="12">
        <v>0</v>
      </c>
      <c r="G9" s="12"/>
      <c r="H9" s="12">
        <v>0</v>
      </c>
      <c r="I9" s="12">
        <f>G9+H9</f>
        <v>0</v>
      </c>
      <c r="J9" s="12">
        <v>0</v>
      </c>
      <c r="K9" s="12">
        <v>0</v>
      </c>
      <c r="L9" s="12">
        <v>0</v>
      </c>
      <c r="M9" s="12">
        <v>0</v>
      </c>
      <c r="N9" s="12">
        <f>H9</f>
        <v>0</v>
      </c>
      <c r="O9" s="12">
        <v>0</v>
      </c>
      <c r="P9" s="72">
        <f>E9</f>
        <v>215707</v>
      </c>
      <c r="Q9" s="30"/>
      <c r="R9" s="47">
        <v>490000</v>
      </c>
      <c r="S9" s="34" t="s">
        <v>46</v>
      </c>
      <c r="T9" s="12"/>
    </row>
    <row r="10" spans="1:51" ht="20.100000000000001" customHeight="1" x14ac:dyDescent="0.25">
      <c r="A10" s="39">
        <v>51760</v>
      </c>
      <c r="B10" s="33" t="s">
        <v>44</v>
      </c>
      <c r="C10" s="1">
        <v>45188</v>
      </c>
      <c r="D10" s="52">
        <v>7</v>
      </c>
      <c r="E10" s="12">
        <f>97423+7660</f>
        <v>105083</v>
      </c>
      <c r="F10" s="12">
        <v>0</v>
      </c>
      <c r="G10" s="12">
        <f>E10-F10</f>
        <v>105083</v>
      </c>
      <c r="H10" s="12">
        <f>ROUND(G10*18%,)</f>
        <v>18915</v>
      </c>
      <c r="I10" s="12">
        <f>G10+H10</f>
        <v>123998</v>
      </c>
      <c r="J10" s="12">
        <f>I10*2%</f>
        <v>2479.96</v>
      </c>
      <c r="K10" s="12">
        <f>ROUND(G10*5%,)</f>
        <v>5254</v>
      </c>
      <c r="L10" s="12">
        <f>ROUND(G10*10%,)</f>
        <v>10508</v>
      </c>
      <c r="M10" s="12">
        <f>ROUND(G10*10%,)</f>
        <v>10508</v>
      </c>
      <c r="N10" s="72">
        <f>H10</f>
        <v>18915</v>
      </c>
      <c r="O10" s="12">
        <v>11709</v>
      </c>
      <c r="P10" s="47">
        <f>ROUND(I10-SUM(J10:O10),)</f>
        <v>64624</v>
      </c>
      <c r="Q10" s="30"/>
      <c r="R10" s="47">
        <v>8600</v>
      </c>
      <c r="S10" s="34" t="s">
        <v>47</v>
      </c>
      <c r="T10" s="12"/>
    </row>
    <row r="11" spans="1:51" ht="20.100000000000001" customHeight="1" x14ac:dyDescent="0.25">
      <c r="A11" s="39">
        <v>51760</v>
      </c>
      <c r="B11" s="33" t="s">
        <v>44</v>
      </c>
      <c r="C11" s="1">
        <v>45188</v>
      </c>
      <c r="D11" s="52">
        <v>8</v>
      </c>
      <c r="E11" s="12">
        <v>755469</v>
      </c>
      <c r="F11" s="12">
        <v>89652</v>
      </c>
      <c r="G11" s="12">
        <f>E11-F11</f>
        <v>665817</v>
      </c>
      <c r="H11" s="12">
        <f>ROUND(G11*18%,)</f>
        <v>119847</v>
      </c>
      <c r="I11" s="12">
        <f>G11+H11</f>
        <v>785664</v>
      </c>
      <c r="J11" s="12">
        <f>ROUND(G11*$J$6,)</f>
        <v>13316</v>
      </c>
      <c r="K11" s="12">
        <f>ROUND(G11*5%,)</f>
        <v>33291</v>
      </c>
      <c r="L11" s="12">
        <f>ROUND(G11*10%,)</f>
        <v>66582</v>
      </c>
      <c r="M11" s="12">
        <f>ROUND(G11*10%,)</f>
        <v>66582</v>
      </c>
      <c r="N11" s="72">
        <f>H11</f>
        <v>119847</v>
      </c>
      <c r="O11" s="12">
        <v>8354</v>
      </c>
      <c r="P11" s="47">
        <f>ROUND(I11-SUM(J11:O11),)</f>
        <v>477692</v>
      </c>
      <c r="Q11" s="30"/>
      <c r="R11" s="47">
        <v>215707</v>
      </c>
      <c r="S11" s="34" t="s">
        <v>48</v>
      </c>
      <c r="T11" s="12"/>
    </row>
    <row r="12" spans="1:51" ht="20.100000000000001" customHeight="1" x14ac:dyDescent="0.25">
      <c r="A12" s="39">
        <v>51760</v>
      </c>
      <c r="B12" s="12" t="s">
        <v>61</v>
      </c>
      <c r="C12" s="43">
        <v>45225</v>
      </c>
      <c r="D12" s="53">
        <v>7</v>
      </c>
      <c r="E12" s="12">
        <v>18915</v>
      </c>
      <c r="F12" s="12"/>
      <c r="G12" s="12"/>
      <c r="H12" s="12">
        <v>0</v>
      </c>
      <c r="I12" s="12">
        <f t="shared" ref="I12:I13" si="0">G12+H12</f>
        <v>0</v>
      </c>
      <c r="J12" s="12">
        <v>0</v>
      </c>
      <c r="K12" s="12">
        <v>0</v>
      </c>
      <c r="L12" s="12">
        <v>0</v>
      </c>
      <c r="M12" s="12">
        <v>0</v>
      </c>
      <c r="N12" s="12">
        <f t="shared" ref="N12" si="1">H12</f>
        <v>0</v>
      </c>
      <c r="O12" s="12">
        <v>0</v>
      </c>
      <c r="P12" s="72">
        <f>E12</f>
        <v>18915</v>
      </c>
      <c r="Q12" s="30"/>
      <c r="R12" s="47">
        <v>50000</v>
      </c>
      <c r="S12" s="34" t="s">
        <v>49</v>
      </c>
      <c r="T12" s="12"/>
    </row>
    <row r="13" spans="1:51" ht="20.100000000000001" customHeight="1" x14ac:dyDescent="0.25">
      <c r="A13" s="39">
        <v>51760</v>
      </c>
      <c r="B13" s="12" t="s">
        <v>61</v>
      </c>
      <c r="C13" s="43">
        <v>45225</v>
      </c>
      <c r="D13" s="53">
        <v>8</v>
      </c>
      <c r="E13" s="12">
        <v>119847</v>
      </c>
      <c r="F13" s="12"/>
      <c r="G13" s="12"/>
      <c r="H13" s="12">
        <v>0</v>
      </c>
      <c r="I13" s="12">
        <f t="shared" si="0"/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72">
        <f>E13</f>
        <v>119847</v>
      </c>
      <c r="Q13" s="30"/>
      <c r="R13" s="47">
        <v>147000</v>
      </c>
      <c r="S13" s="34" t="s">
        <v>50</v>
      </c>
      <c r="T13" s="12"/>
    </row>
    <row r="14" spans="1:51" ht="20.100000000000001" customHeight="1" x14ac:dyDescent="0.25">
      <c r="A14" s="39">
        <v>51760</v>
      </c>
      <c r="B14" s="12"/>
      <c r="C14" s="12"/>
      <c r="D14" s="5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30"/>
      <c r="R14" s="47">
        <v>98000</v>
      </c>
      <c r="S14" s="34" t="s">
        <v>51</v>
      </c>
      <c r="T14" s="12"/>
    </row>
    <row r="15" spans="1:51" ht="20.100000000000001" customHeight="1" x14ac:dyDescent="0.25">
      <c r="A15" s="39">
        <v>51760</v>
      </c>
      <c r="B15" s="12"/>
      <c r="C15" s="12"/>
      <c r="D15" s="5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47"/>
      <c r="Q15" s="30"/>
      <c r="R15" s="47">
        <v>232691</v>
      </c>
      <c r="S15" s="34" t="s">
        <v>59</v>
      </c>
      <c r="T15" s="12"/>
    </row>
    <row r="16" spans="1:51" ht="20.100000000000001" customHeight="1" x14ac:dyDescent="0.25">
      <c r="A16" s="39">
        <v>51760</v>
      </c>
      <c r="B16" s="12"/>
      <c r="C16" s="12"/>
      <c r="D16" s="5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30"/>
      <c r="R16" s="47">
        <v>65002</v>
      </c>
      <c r="S16" s="34" t="s">
        <v>58</v>
      </c>
      <c r="T16" s="12"/>
    </row>
    <row r="17" spans="1:51" ht="20.100000000000001" customHeight="1" x14ac:dyDescent="0.25">
      <c r="A17" s="39">
        <v>51760</v>
      </c>
      <c r="B17" s="12"/>
      <c r="C17" s="12"/>
      <c r="D17" s="5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30"/>
      <c r="R17" s="47">
        <v>138762</v>
      </c>
      <c r="S17" s="34" t="s">
        <v>70</v>
      </c>
      <c r="T17" s="12"/>
    </row>
    <row r="18" spans="1:51" ht="20.100000000000001" customHeight="1" x14ac:dyDescent="0.25">
      <c r="A18" s="39">
        <v>51760</v>
      </c>
      <c r="B18" s="12"/>
      <c r="C18" s="12"/>
      <c r="D18" s="5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30"/>
      <c r="R18" s="47">
        <v>98000</v>
      </c>
      <c r="S18" s="34" t="s">
        <v>71</v>
      </c>
      <c r="T18" s="12"/>
    </row>
    <row r="19" spans="1:51" ht="20.100000000000001" customHeight="1" x14ac:dyDescent="0.25">
      <c r="A19" s="39">
        <v>51760</v>
      </c>
      <c r="B19" s="12"/>
      <c r="C19" s="12"/>
      <c r="D19" s="5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30"/>
      <c r="R19" s="12"/>
      <c r="S19" s="34"/>
      <c r="T19" s="12"/>
    </row>
    <row r="20" spans="1:51" ht="20.100000000000001" customHeight="1" x14ac:dyDescent="0.25">
      <c r="A20" s="39">
        <v>51760</v>
      </c>
      <c r="B20" s="12"/>
      <c r="C20" s="12"/>
      <c r="D20" s="5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30"/>
      <c r="R20" s="12"/>
      <c r="S20" s="34"/>
      <c r="T20" s="12"/>
    </row>
    <row r="21" spans="1:51" s="37" customFormat="1" ht="20.100000000000001" customHeight="1" x14ac:dyDescent="0.25">
      <c r="A21" s="62">
        <v>52429</v>
      </c>
      <c r="B21" s="26"/>
      <c r="C21" s="24"/>
      <c r="D21" s="51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62">
        <f>A21</f>
        <v>52429</v>
      </c>
      <c r="R21" s="36"/>
      <c r="S21" s="36"/>
      <c r="T21" s="26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ht="20.100000000000001" customHeight="1" x14ac:dyDescent="0.25">
      <c r="A22" s="62">
        <v>52429</v>
      </c>
      <c r="B22" s="33" t="s">
        <v>35</v>
      </c>
      <c r="C22" s="1">
        <v>44841</v>
      </c>
      <c r="D22" s="52">
        <v>1</v>
      </c>
      <c r="E22" s="12">
        <v>209791</v>
      </c>
      <c r="F22" s="12">
        <v>0</v>
      </c>
      <c r="G22" s="12">
        <f t="shared" ref="G22" si="2">E22-F22</f>
        <v>209791</v>
      </c>
      <c r="H22" s="12">
        <f>ROUND(G22*18%,)</f>
        <v>37762</v>
      </c>
      <c r="I22" s="12">
        <f>ROUND(G22+H22,)</f>
        <v>247553</v>
      </c>
      <c r="J22" s="12">
        <f>G22*2%</f>
        <v>4195.82</v>
      </c>
      <c r="K22" s="12">
        <f>ROUND(G22*5%,)</f>
        <v>10490</v>
      </c>
      <c r="L22" s="12">
        <f>ROUND(G22*5%,)</f>
        <v>10490</v>
      </c>
      <c r="M22" s="12">
        <f>ROUND(G22*10%,)</f>
        <v>20979</v>
      </c>
      <c r="N22" s="72">
        <f>H22</f>
        <v>37762</v>
      </c>
      <c r="O22" s="12">
        <v>17255</v>
      </c>
      <c r="P22" s="47">
        <f t="shared" ref="P22" si="3">I22-SUM(J22:O22)</f>
        <v>146381.18</v>
      </c>
      <c r="Q22" s="30"/>
      <c r="R22" s="47">
        <v>147000</v>
      </c>
      <c r="S22" s="34" t="s">
        <v>37</v>
      </c>
      <c r="T22" s="12">
        <f>SUM(P22:P33)-SUM(R22:R33)</f>
        <v>-113022.68000000005</v>
      </c>
    </row>
    <row r="23" spans="1:51" ht="20.100000000000001" customHeight="1" x14ac:dyDescent="0.25">
      <c r="A23" s="62">
        <v>52429</v>
      </c>
      <c r="B23" s="33" t="s">
        <v>61</v>
      </c>
      <c r="C23" s="1">
        <v>44867</v>
      </c>
      <c r="D23" s="52">
        <v>1</v>
      </c>
      <c r="E23" s="12">
        <f>N22</f>
        <v>37762</v>
      </c>
      <c r="F23" s="12">
        <v>0</v>
      </c>
      <c r="G23" s="12"/>
      <c r="H23" s="12">
        <v>0</v>
      </c>
      <c r="I23" s="12">
        <f>G23+H23</f>
        <v>0</v>
      </c>
      <c r="J23" s="12">
        <v>0</v>
      </c>
      <c r="K23" s="12">
        <v>0</v>
      </c>
      <c r="L23" s="12"/>
      <c r="M23" s="12"/>
      <c r="N23" s="12"/>
      <c r="O23" s="12">
        <v>0</v>
      </c>
      <c r="P23" s="72">
        <f>E23</f>
        <v>37762</v>
      </c>
      <c r="Q23" s="30"/>
      <c r="R23" s="47">
        <v>37145</v>
      </c>
      <c r="S23" s="34" t="s">
        <v>38</v>
      </c>
      <c r="T23" s="12"/>
    </row>
    <row r="24" spans="1:51" ht="20.100000000000001" customHeight="1" x14ac:dyDescent="0.25">
      <c r="A24" s="62">
        <v>52429</v>
      </c>
      <c r="B24" s="33" t="s">
        <v>35</v>
      </c>
      <c r="C24" s="1">
        <v>44932</v>
      </c>
      <c r="D24" s="52">
        <v>5</v>
      </c>
      <c r="E24" s="12">
        <v>249850</v>
      </c>
      <c r="F24" s="12">
        <v>0</v>
      </c>
      <c r="G24" s="12">
        <f>E24-F24</f>
        <v>249850</v>
      </c>
      <c r="H24" s="12">
        <f>ROUND(G24*18%,)</f>
        <v>44973</v>
      </c>
      <c r="I24" s="12">
        <f>ROUND(G24+H24,)</f>
        <v>294823</v>
      </c>
      <c r="J24" s="12">
        <f>G24*2%</f>
        <v>4997</v>
      </c>
      <c r="K24" s="12">
        <f>ROUND(G24*5%,)</f>
        <v>12493</v>
      </c>
      <c r="L24" s="12">
        <f>ROUND(G24*10%,)</f>
        <v>24985</v>
      </c>
      <c r="M24" s="12">
        <f>ROUND(G24*10%,)</f>
        <v>24985</v>
      </c>
      <c r="N24" s="72">
        <f>H24</f>
        <v>44973</v>
      </c>
      <c r="O24" s="12">
        <v>63367</v>
      </c>
      <c r="P24" s="47">
        <f>I24-SUM(J24:O24)</f>
        <v>119023</v>
      </c>
      <c r="Q24" s="30"/>
      <c r="R24" s="47">
        <v>119023</v>
      </c>
      <c r="S24" s="34" t="s">
        <v>39</v>
      </c>
      <c r="T24" s="12"/>
    </row>
    <row r="25" spans="1:51" ht="20.100000000000001" customHeight="1" x14ac:dyDescent="0.25">
      <c r="A25" s="62">
        <v>52429</v>
      </c>
      <c r="B25" s="33" t="s">
        <v>61</v>
      </c>
      <c r="C25" s="1">
        <v>44977</v>
      </c>
      <c r="D25" s="52">
        <v>5</v>
      </c>
      <c r="E25" s="12">
        <v>44973</v>
      </c>
      <c r="F25" s="12">
        <v>0</v>
      </c>
      <c r="G25" s="12"/>
      <c r="H25" s="12">
        <v>0</v>
      </c>
      <c r="I25" s="12">
        <f>G25+H25</f>
        <v>0</v>
      </c>
      <c r="J25" s="12">
        <v>0</v>
      </c>
      <c r="K25" s="12">
        <v>0</v>
      </c>
      <c r="L25" s="12"/>
      <c r="M25" s="12"/>
      <c r="N25" s="12"/>
      <c r="O25" s="12">
        <v>0</v>
      </c>
      <c r="P25" s="72">
        <f>E25</f>
        <v>44973</v>
      </c>
      <c r="Q25" s="30"/>
      <c r="R25" s="47">
        <v>49000</v>
      </c>
      <c r="S25" s="34" t="s">
        <v>40</v>
      </c>
      <c r="T25" s="12"/>
    </row>
    <row r="26" spans="1:51" ht="20.100000000000001" customHeight="1" x14ac:dyDescent="0.25">
      <c r="A26" s="62">
        <v>52429</v>
      </c>
      <c r="B26" s="33" t="s">
        <v>35</v>
      </c>
      <c r="C26" s="1">
        <v>44932</v>
      </c>
      <c r="D26" s="52">
        <v>5</v>
      </c>
      <c r="E26" s="12">
        <v>62098</v>
      </c>
      <c r="F26" s="12">
        <v>0</v>
      </c>
      <c r="G26" s="12">
        <f>E26-F26</f>
        <v>62098</v>
      </c>
      <c r="H26" s="12">
        <f>ROUND(G26*18%,)</f>
        <v>11178</v>
      </c>
      <c r="I26" s="12">
        <f>ROUND(G26+H26,)</f>
        <v>73276</v>
      </c>
      <c r="J26" s="12">
        <f>G26*2%</f>
        <v>1241.96</v>
      </c>
      <c r="K26" s="12">
        <f>ROUND(G26*5%,)</f>
        <v>3105</v>
      </c>
      <c r="L26" s="12">
        <f>ROUND(G26*10%,)</f>
        <v>6210</v>
      </c>
      <c r="M26" s="12">
        <f>ROUND(G26*10%,)</f>
        <v>6210</v>
      </c>
      <c r="N26" s="72">
        <f>H26</f>
        <v>11178</v>
      </c>
      <c r="O26" s="12">
        <v>14615</v>
      </c>
      <c r="P26" s="47">
        <f>I26-SUM(J26:O26)</f>
        <v>30716.04</v>
      </c>
      <c r="Q26" s="30"/>
      <c r="R26" s="47">
        <v>44973</v>
      </c>
      <c r="S26" s="34" t="s">
        <v>41</v>
      </c>
      <c r="T26" s="12"/>
    </row>
    <row r="27" spans="1:51" ht="20.100000000000001" customHeight="1" x14ac:dyDescent="0.25">
      <c r="A27" s="62">
        <v>52429</v>
      </c>
      <c r="B27" s="33" t="s">
        <v>36</v>
      </c>
      <c r="C27" s="1"/>
      <c r="D27" s="52">
        <v>5</v>
      </c>
      <c r="E27" s="12">
        <v>11178</v>
      </c>
      <c r="F27" s="12">
        <v>0</v>
      </c>
      <c r="G27" s="12"/>
      <c r="H27" s="12">
        <v>0</v>
      </c>
      <c r="I27" s="12">
        <f>G27+H27</f>
        <v>0</v>
      </c>
      <c r="J27" s="12">
        <v>0</v>
      </c>
      <c r="K27" s="12">
        <v>0</v>
      </c>
      <c r="L27" s="12"/>
      <c r="M27" s="12"/>
      <c r="N27" s="12"/>
      <c r="O27" s="12">
        <v>0</v>
      </c>
      <c r="P27" s="72">
        <f>E27</f>
        <v>11178</v>
      </c>
      <c r="Q27" s="30"/>
      <c r="R27" s="47">
        <v>29400</v>
      </c>
      <c r="S27" s="34" t="s">
        <v>42</v>
      </c>
      <c r="T27" s="12"/>
    </row>
    <row r="28" spans="1:51" ht="20.100000000000001" customHeight="1" x14ac:dyDescent="0.25">
      <c r="A28" s="62">
        <v>52429</v>
      </c>
      <c r="B28" s="33" t="s">
        <v>35</v>
      </c>
      <c r="C28" s="1">
        <v>45174</v>
      </c>
      <c r="D28" s="52">
        <v>6</v>
      </c>
      <c r="E28" s="12">
        <v>301032</v>
      </c>
      <c r="F28" s="12">
        <v>47687</v>
      </c>
      <c r="G28" s="12">
        <f>E28-F28</f>
        <v>253345</v>
      </c>
      <c r="H28" s="12">
        <f>ROUND(G28*18%,)</f>
        <v>45602</v>
      </c>
      <c r="I28" s="12">
        <f>ROUND(G28+H28,)</f>
        <v>298947</v>
      </c>
      <c r="J28" s="12">
        <f>G28*2%</f>
        <v>5066.9000000000005</v>
      </c>
      <c r="K28" s="12">
        <f>ROUND(G28*5%,)</f>
        <v>12667</v>
      </c>
      <c r="L28" s="12">
        <f>ROUND(G28*10%,)</f>
        <v>25335</v>
      </c>
      <c r="M28" s="12">
        <f>ROUND(G28*10%,)</f>
        <v>25335</v>
      </c>
      <c r="N28" s="72">
        <f>H28</f>
        <v>45602</v>
      </c>
      <c r="O28" s="12">
        <v>5278</v>
      </c>
      <c r="P28" s="47">
        <f>I28-SUM(J28:O28)</f>
        <v>179663.1</v>
      </c>
      <c r="Q28" s="30"/>
      <c r="R28" s="47">
        <v>98000</v>
      </c>
      <c r="S28" s="34" t="s">
        <v>43</v>
      </c>
      <c r="T28" s="12"/>
    </row>
    <row r="29" spans="1:51" ht="20.100000000000001" customHeight="1" x14ac:dyDescent="0.25">
      <c r="A29" s="62">
        <v>52429</v>
      </c>
      <c r="B29" s="33" t="s">
        <v>36</v>
      </c>
      <c r="C29" s="42">
        <v>45225</v>
      </c>
      <c r="D29" s="52">
        <v>6</v>
      </c>
      <c r="E29" s="34">
        <v>45602</v>
      </c>
      <c r="F29" s="34"/>
      <c r="G29" s="12">
        <f>E29-F29</f>
        <v>45602</v>
      </c>
      <c r="H29" s="12">
        <v>0</v>
      </c>
      <c r="I29" s="12">
        <f>ROUND(G29+H29,)</f>
        <v>45602</v>
      </c>
      <c r="J29" s="12"/>
      <c r="K29" s="12">
        <v>0</v>
      </c>
      <c r="L29" s="12">
        <v>0</v>
      </c>
      <c r="M29" s="12">
        <v>0</v>
      </c>
      <c r="N29" s="12">
        <f>H29</f>
        <v>0</v>
      </c>
      <c r="O29" s="12">
        <v>0</v>
      </c>
      <c r="P29" s="72">
        <f>I29-SUM(J29:O29)</f>
        <v>45602</v>
      </c>
      <c r="Q29" s="30"/>
      <c r="R29" s="47">
        <v>98000</v>
      </c>
      <c r="S29" s="34" t="s">
        <v>57</v>
      </c>
      <c r="T29" s="12"/>
    </row>
    <row r="30" spans="1:51" ht="20.100000000000001" customHeight="1" x14ac:dyDescent="0.25">
      <c r="A30" s="62">
        <v>52429</v>
      </c>
      <c r="B30" s="12"/>
      <c r="C30" s="12"/>
      <c r="D30" s="5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30"/>
      <c r="R30" s="47">
        <v>11178</v>
      </c>
      <c r="S30" s="34" t="s">
        <v>65</v>
      </c>
      <c r="T30" s="12"/>
    </row>
    <row r="31" spans="1:51" ht="20.100000000000001" customHeight="1" x14ac:dyDescent="0.25">
      <c r="A31" s="62">
        <v>52429</v>
      </c>
      <c r="B31" s="12"/>
      <c r="C31" s="12"/>
      <c r="D31" s="5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30"/>
      <c r="R31" s="47">
        <v>45602</v>
      </c>
      <c r="S31" s="34" t="s">
        <v>66</v>
      </c>
      <c r="T31" s="12"/>
    </row>
    <row r="32" spans="1:51" ht="20.100000000000001" customHeight="1" x14ac:dyDescent="0.25">
      <c r="A32" s="62">
        <v>52429</v>
      </c>
      <c r="B32" s="12"/>
      <c r="C32" s="12"/>
      <c r="D32" s="5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30"/>
      <c r="R32" s="12">
        <v>49000</v>
      </c>
      <c r="S32" s="34" t="s">
        <v>67</v>
      </c>
      <c r="T32" s="12"/>
    </row>
    <row r="33" spans="1:51" ht="20.100000000000001" customHeight="1" x14ac:dyDescent="0.25">
      <c r="A33" s="62">
        <v>52429</v>
      </c>
      <c r="B33" s="12"/>
      <c r="C33" s="12"/>
      <c r="D33" s="53"/>
      <c r="E33" s="12"/>
      <c r="F33" s="12"/>
      <c r="G33" s="12"/>
      <c r="H33" s="12"/>
      <c r="I33" s="12"/>
      <c r="J33" s="46"/>
      <c r="K33" s="12"/>
      <c r="L33" s="12"/>
      <c r="M33" s="12"/>
      <c r="N33" s="12"/>
      <c r="O33" s="12"/>
      <c r="P33" s="12"/>
      <c r="Q33" s="30"/>
      <c r="R33" s="34"/>
      <c r="S33" s="34"/>
      <c r="T33" s="12"/>
    </row>
    <row r="34" spans="1:51" s="37" customFormat="1" ht="20.100000000000001" customHeight="1" x14ac:dyDescent="0.25">
      <c r="A34" s="62">
        <v>53817</v>
      </c>
      <c r="B34" s="36"/>
      <c r="C34" s="36"/>
      <c r="D34" s="54"/>
      <c r="E34" s="36"/>
      <c r="F34" s="36"/>
      <c r="G34" s="36"/>
      <c r="H34" s="38"/>
      <c r="I34" s="38"/>
      <c r="J34" s="36"/>
      <c r="K34" s="36"/>
      <c r="L34" s="36"/>
      <c r="M34" s="36"/>
      <c r="N34" s="36"/>
      <c r="O34" s="36"/>
      <c r="P34" s="36"/>
      <c r="Q34" s="62">
        <f>A34</f>
        <v>53817</v>
      </c>
      <c r="R34" s="26"/>
      <c r="S34" s="36"/>
      <c r="T34" s="36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ht="20.100000000000001" customHeight="1" x14ac:dyDescent="0.25">
      <c r="A35" s="62">
        <v>53817</v>
      </c>
      <c r="B35" s="33" t="s">
        <v>28</v>
      </c>
      <c r="C35" s="1">
        <v>44910</v>
      </c>
      <c r="D35" s="52">
        <v>4</v>
      </c>
      <c r="E35" s="12">
        <v>819165</v>
      </c>
      <c r="F35" s="12">
        <f>700*90.07</f>
        <v>63048.999999999993</v>
      </c>
      <c r="G35" s="12">
        <f>E35-F35</f>
        <v>756116</v>
      </c>
      <c r="H35" s="12">
        <f>ROUND(G35*18%,)</f>
        <v>136101</v>
      </c>
      <c r="I35" s="12">
        <f>ROUND(G35+H35,)</f>
        <v>892217</v>
      </c>
      <c r="J35" s="12">
        <f>G35*2%</f>
        <v>15122.32</v>
      </c>
      <c r="K35" s="12">
        <f>ROUND(G35*5%,)</f>
        <v>37806</v>
      </c>
      <c r="L35" s="12">
        <f>ROUND(G35*10%,)</f>
        <v>75612</v>
      </c>
      <c r="M35" s="12">
        <f>ROUND(G35*10%,)</f>
        <v>75612</v>
      </c>
      <c r="N35" s="72">
        <f>H35</f>
        <v>136101</v>
      </c>
      <c r="O35" s="12">
        <v>99041</v>
      </c>
      <c r="P35" s="47">
        <f>ROUND(I35-SUM(J35:O35),)</f>
        <v>452923</v>
      </c>
      <c r="Q35" s="30"/>
      <c r="R35" s="47">
        <v>452923</v>
      </c>
      <c r="S35" s="34" t="s">
        <v>29</v>
      </c>
      <c r="T35" s="12">
        <f>SUM(P35:P47)-SUM(R35:R47)</f>
        <v>-186173</v>
      </c>
    </row>
    <row r="36" spans="1:51" ht="20.100000000000001" customHeight="1" x14ac:dyDescent="0.25">
      <c r="A36" s="62">
        <v>53817</v>
      </c>
      <c r="B36" s="33" t="s">
        <v>24</v>
      </c>
      <c r="C36" s="1"/>
      <c r="D36" s="52">
        <v>4</v>
      </c>
      <c r="E36" s="12">
        <f>N35</f>
        <v>136101</v>
      </c>
      <c r="F36" s="12">
        <v>0</v>
      </c>
      <c r="G36" s="12"/>
      <c r="H36" s="12"/>
      <c r="I36" s="12"/>
      <c r="J36" s="12">
        <v>0</v>
      </c>
      <c r="K36" s="12">
        <v>0</v>
      </c>
      <c r="L36" s="12">
        <v>0</v>
      </c>
      <c r="M36" s="12">
        <v>0</v>
      </c>
      <c r="N36" s="47">
        <f>H36</f>
        <v>0</v>
      </c>
      <c r="O36" s="12">
        <v>0</v>
      </c>
      <c r="P36" s="72">
        <f>E36</f>
        <v>136101</v>
      </c>
      <c r="Q36" s="30"/>
      <c r="R36" s="47">
        <v>136101</v>
      </c>
      <c r="S36" s="34" t="s">
        <v>30</v>
      </c>
      <c r="T36" s="12"/>
    </row>
    <row r="37" spans="1:51" ht="20.100000000000001" customHeight="1" x14ac:dyDescent="0.25">
      <c r="A37" s="62">
        <v>53817</v>
      </c>
      <c r="B37" s="33" t="s">
        <v>28</v>
      </c>
      <c r="C37" s="1">
        <v>44953</v>
      </c>
      <c r="D37" s="52">
        <v>6</v>
      </c>
      <c r="E37" s="12">
        <v>351667</v>
      </c>
      <c r="F37" s="12">
        <v>0</v>
      </c>
      <c r="G37" s="12">
        <f>E37-F37</f>
        <v>351667</v>
      </c>
      <c r="H37" s="12">
        <f>ROUND(G37*18%,)</f>
        <v>63300</v>
      </c>
      <c r="I37" s="12">
        <f>ROUND(G37+H37,)</f>
        <v>414967</v>
      </c>
      <c r="J37" s="12">
        <f>ROUND(G37*$J$6,)</f>
        <v>7033</v>
      </c>
      <c r="K37" s="12">
        <f>ROUND(G37*5%,)</f>
        <v>17583</v>
      </c>
      <c r="L37" s="12">
        <f>ROUND(G37*10%,)</f>
        <v>35167</v>
      </c>
      <c r="M37" s="12">
        <f>ROUND(G37*10%,)</f>
        <v>35167</v>
      </c>
      <c r="N37" s="72">
        <f>H37</f>
        <v>63300</v>
      </c>
      <c r="O37" s="12">
        <v>71654</v>
      </c>
      <c r="P37" s="47">
        <f>ROUND(I37-SUM(J37:O37),)</f>
        <v>185063</v>
      </c>
      <c r="Q37" s="30"/>
      <c r="R37" s="47">
        <v>185036</v>
      </c>
      <c r="S37" s="34" t="s">
        <v>31</v>
      </c>
      <c r="T37" s="12"/>
    </row>
    <row r="38" spans="1:51" ht="20.100000000000001" customHeight="1" x14ac:dyDescent="0.25">
      <c r="A38" s="62">
        <v>53817</v>
      </c>
      <c r="B38" s="33" t="s">
        <v>24</v>
      </c>
      <c r="C38" s="1"/>
      <c r="D38" s="52">
        <v>6</v>
      </c>
      <c r="E38" s="12">
        <v>63300</v>
      </c>
      <c r="F38" s="12">
        <v>0</v>
      </c>
      <c r="G38" s="12"/>
      <c r="H38" s="12"/>
      <c r="I38" s="12"/>
      <c r="J38" s="12">
        <v>0</v>
      </c>
      <c r="K38" s="12">
        <v>0</v>
      </c>
      <c r="L38" s="12"/>
      <c r="M38" s="12"/>
      <c r="N38" s="47">
        <v>0</v>
      </c>
      <c r="O38" s="12"/>
      <c r="P38" s="72">
        <f>E38</f>
        <v>63300</v>
      </c>
      <c r="Q38" s="30"/>
      <c r="R38" s="47">
        <v>63300</v>
      </c>
      <c r="S38" s="34" t="s">
        <v>32</v>
      </c>
      <c r="T38" s="12"/>
    </row>
    <row r="39" spans="1:51" ht="20.100000000000001" customHeight="1" x14ac:dyDescent="0.25">
      <c r="A39" s="62">
        <v>53817</v>
      </c>
      <c r="B39" s="33" t="s">
        <v>28</v>
      </c>
      <c r="C39" s="1">
        <v>45131</v>
      </c>
      <c r="D39" s="52">
        <v>3</v>
      </c>
      <c r="E39" s="12">
        <v>61692</v>
      </c>
      <c r="F39" s="12">
        <v>4055.32</v>
      </c>
      <c r="G39" s="12">
        <f>E39+F39</f>
        <v>65747.320000000007</v>
      </c>
      <c r="H39" s="12">
        <f>ROUND(G39*18%,)</f>
        <v>11835</v>
      </c>
      <c r="I39" s="12">
        <f>ROUND(G39+H39,)</f>
        <v>77582</v>
      </c>
      <c r="J39" s="12">
        <f>ROUND(G39*2%,)</f>
        <v>1315</v>
      </c>
      <c r="K39" s="12">
        <f>ROUND(G39*5%,)</f>
        <v>3287</v>
      </c>
      <c r="L39" s="12">
        <f>ROUND(G39*10%,)</f>
        <v>6575</v>
      </c>
      <c r="M39" s="12">
        <f>ROUND(G39*10%,)</f>
        <v>6575</v>
      </c>
      <c r="N39" s="72">
        <f>H39</f>
        <v>11835</v>
      </c>
      <c r="O39" s="12">
        <v>1224</v>
      </c>
      <c r="P39" s="47">
        <f>ROUND(I39-SUM(J39:O39),)</f>
        <v>46771</v>
      </c>
      <c r="Q39" s="30"/>
      <c r="R39" s="47">
        <v>98000</v>
      </c>
      <c r="S39" s="34" t="s">
        <v>33</v>
      </c>
      <c r="T39" s="12"/>
    </row>
    <row r="40" spans="1:51" ht="20.100000000000001" customHeight="1" x14ac:dyDescent="0.25">
      <c r="A40" s="62">
        <v>53817</v>
      </c>
      <c r="B40" s="33" t="s">
        <v>28</v>
      </c>
      <c r="C40" s="1">
        <v>45131</v>
      </c>
      <c r="D40" s="52">
        <v>4</v>
      </c>
      <c r="E40" s="12">
        <v>453007.5</v>
      </c>
      <c r="F40" s="12">
        <v>66762</v>
      </c>
      <c r="G40" s="12">
        <f>E40-F40</f>
        <v>386245.5</v>
      </c>
      <c r="H40" s="12">
        <f>ROUND(G40*18%,)</f>
        <v>69524</v>
      </c>
      <c r="I40" s="12">
        <f>ROUND(G40+H40,)</f>
        <v>455770</v>
      </c>
      <c r="J40" s="12">
        <f>ROUND(G40*2%,)</f>
        <v>7725</v>
      </c>
      <c r="K40" s="12">
        <f>ROUND(G40*5%,)</f>
        <v>19312</v>
      </c>
      <c r="L40" s="12">
        <v>0</v>
      </c>
      <c r="M40" s="12">
        <v>0</v>
      </c>
      <c r="N40" s="72">
        <f>H40</f>
        <v>69524</v>
      </c>
      <c r="O40" s="12">
        <v>0</v>
      </c>
      <c r="P40" s="47">
        <f>ROUND(I40-SUM(J40:O40),)</f>
        <v>359209</v>
      </c>
      <c r="Q40" s="30"/>
      <c r="R40" s="47">
        <v>78400</v>
      </c>
      <c r="S40" s="34" t="s">
        <v>34</v>
      </c>
      <c r="T40" s="12"/>
    </row>
    <row r="41" spans="1:51" ht="20.100000000000001" customHeight="1" x14ac:dyDescent="0.25">
      <c r="A41" s="62">
        <v>53817</v>
      </c>
      <c r="B41" s="33" t="s">
        <v>24</v>
      </c>
      <c r="C41" s="1"/>
      <c r="D41" s="52">
        <v>3</v>
      </c>
      <c r="E41" s="12">
        <f>N39</f>
        <v>11835</v>
      </c>
      <c r="F41" s="12">
        <v>0</v>
      </c>
      <c r="G41" s="12"/>
      <c r="H41" s="12"/>
      <c r="I41" s="12"/>
      <c r="J41" s="12">
        <v>0</v>
      </c>
      <c r="K41" s="12">
        <v>0</v>
      </c>
      <c r="L41" s="12">
        <v>0</v>
      </c>
      <c r="M41" s="12">
        <v>0</v>
      </c>
      <c r="N41" s="12">
        <f>H41</f>
        <v>0</v>
      </c>
      <c r="O41" s="12">
        <v>0</v>
      </c>
      <c r="P41" s="72">
        <f>E41</f>
        <v>11835</v>
      </c>
      <c r="Q41" s="30"/>
      <c r="R41" s="47">
        <v>46771</v>
      </c>
      <c r="S41" s="40" t="s">
        <v>54</v>
      </c>
      <c r="T41" s="12"/>
    </row>
    <row r="42" spans="1:51" ht="20.100000000000001" customHeight="1" x14ac:dyDescent="0.25">
      <c r="A42" s="62">
        <v>53817</v>
      </c>
      <c r="B42" s="33" t="s">
        <v>24</v>
      </c>
      <c r="C42" s="1"/>
      <c r="D42" s="52">
        <v>4</v>
      </c>
      <c r="E42" s="12">
        <f>N40</f>
        <v>69524</v>
      </c>
      <c r="F42" s="12">
        <v>0</v>
      </c>
      <c r="G42" s="12"/>
      <c r="H42" s="12"/>
      <c r="I42" s="12"/>
      <c r="J42" s="12">
        <v>0</v>
      </c>
      <c r="K42" s="12">
        <v>0</v>
      </c>
      <c r="L42" s="12">
        <v>0</v>
      </c>
      <c r="M42" s="12">
        <v>0</v>
      </c>
      <c r="N42" s="12">
        <f>H42</f>
        <v>0</v>
      </c>
      <c r="O42" s="12">
        <v>0</v>
      </c>
      <c r="P42" s="72">
        <f>E42</f>
        <v>69524</v>
      </c>
      <c r="Q42" s="30"/>
      <c r="R42" s="47">
        <v>182810</v>
      </c>
      <c r="S42" s="34" t="s">
        <v>55</v>
      </c>
      <c r="T42" s="12"/>
    </row>
    <row r="43" spans="1:51" ht="20.100000000000001" customHeight="1" x14ac:dyDescent="0.25">
      <c r="A43" s="62">
        <v>53817</v>
      </c>
      <c r="B43" s="12"/>
      <c r="C43" s="1"/>
      <c r="D43" s="53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30"/>
      <c r="R43" s="12">
        <v>98000</v>
      </c>
      <c r="S43" s="34" t="s">
        <v>53</v>
      </c>
      <c r="T43" s="12"/>
    </row>
    <row r="44" spans="1:51" ht="20.100000000000001" customHeight="1" x14ac:dyDescent="0.25">
      <c r="A44" s="62">
        <v>53817</v>
      </c>
      <c r="B44" s="12"/>
      <c r="C44" s="1"/>
      <c r="D44" s="53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30"/>
      <c r="R44" s="47">
        <v>81358</v>
      </c>
      <c r="S44" s="34" t="s">
        <v>68</v>
      </c>
      <c r="T44" s="12"/>
    </row>
    <row r="45" spans="1:51" ht="20.100000000000001" customHeight="1" x14ac:dyDescent="0.25">
      <c r="A45" s="62">
        <v>53817</v>
      </c>
      <c r="B45" s="12"/>
      <c r="C45" s="1"/>
      <c r="D45" s="53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30"/>
      <c r="R45" s="12">
        <v>49000</v>
      </c>
      <c r="S45" s="34" t="s">
        <v>69</v>
      </c>
      <c r="T45" s="12"/>
    </row>
    <row r="46" spans="1:51" ht="20.100000000000001" customHeight="1" x14ac:dyDescent="0.25">
      <c r="A46" s="62">
        <v>53817</v>
      </c>
      <c r="B46" s="12"/>
      <c r="C46" s="1"/>
      <c r="D46" s="5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30"/>
      <c r="R46" s="12">
        <v>39200</v>
      </c>
      <c r="S46" s="34" t="s">
        <v>85</v>
      </c>
      <c r="T46" s="12"/>
    </row>
    <row r="47" spans="1:51" ht="20.100000000000001" customHeight="1" x14ac:dyDescent="0.25">
      <c r="A47" s="62">
        <v>53817</v>
      </c>
      <c r="B47" s="12"/>
      <c r="C47" s="1"/>
      <c r="D47" s="5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30"/>
      <c r="R47" s="12"/>
      <c r="S47" s="34"/>
      <c r="T47" s="12"/>
    </row>
    <row r="48" spans="1:51" s="37" customFormat="1" ht="20.100000000000001" customHeight="1" x14ac:dyDescent="0.25">
      <c r="A48" s="62">
        <v>55128</v>
      </c>
      <c r="B48" s="26"/>
      <c r="C48" s="26"/>
      <c r="D48" s="51"/>
      <c r="E48" s="26"/>
      <c r="F48" s="26"/>
      <c r="G48" s="26"/>
      <c r="H48" s="63"/>
      <c r="I48" s="26"/>
      <c r="J48" s="63"/>
      <c r="K48" s="63"/>
      <c r="L48" s="63"/>
      <c r="M48" s="63"/>
      <c r="N48" s="63"/>
      <c r="O48" s="63"/>
      <c r="P48" s="26"/>
      <c r="Q48" s="62">
        <f>A48</f>
        <v>55128</v>
      </c>
      <c r="R48" s="26"/>
      <c r="S48" s="26"/>
      <c r="T48" s="6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20" ht="20.100000000000001" customHeight="1" x14ac:dyDescent="0.25">
      <c r="A49" s="62">
        <v>55128</v>
      </c>
      <c r="B49" s="29" t="s">
        <v>4</v>
      </c>
      <c r="C49" s="1">
        <v>44985</v>
      </c>
      <c r="D49" s="56">
        <v>7</v>
      </c>
      <c r="E49" s="12">
        <v>572623.25</v>
      </c>
      <c r="F49" s="12">
        <v>40532</v>
      </c>
      <c r="G49" s="12">
        <f>E49-F49</f>
        <v>532091.25</v>
      </c>
      <c r="H49" s="12">
        <f>ROUND(G49*H6,0)</f>
        <v>95776</v>
      </c>
      <c r="I49" s="12">
        <f>ROUND(G49+H49,)</f>
        <v>627867</v>
      </c>
      <c r="J49" s="12">
        <f>G49*$J$6</f>
        <v>10641.825000000001</v>
      </c>
      <c r="K49" s="12">
        <f>G49*$K$6</f>
        <v>26604.5625</v>
      </c>
      <c r="L49" s="12">
        <f>G49*$L$6</f>
        <v>53209.125</v>
      </c>
      <c r="M49" s="12">
        <f>G49*$M$6</f>
        <v>53209.125</v>
      </c>
      <c r="N49" s="72">
        <f>H49</f>
        <v>95776</v>
      </c>
      <c r="O49" s="12">
        <v>38678</v>
      </c>
      <c r="P49" s="47">
        <f>ROUND(I49-SUM(J49:O49),0)</f>
        <v>349748</v>
      </c>
      <c r="Q49" s="30"/>
      <c r="R49" s="47">
        <v>196000</v>
      </c>
      <c r="S49" s="31" t="s">
        <v>5</v>
      </c>
      <c r="T49" s="12">
        <f>SUM(P49:P58)-SUM(R49:R58)</f>
        <v>-196001</v>
      </c>
    </row>
    <row r="50" spans="1:20" ht="20.100000000000001" customHeight="1" x14ac:dyDescent="0.25">
      <c r="A50" s="62">
        <v>55128</v>
      </c>
      <c r="B50" s="29" t="s">
        <v>4</v>
      </c>
      <c r="C50" s="1">
        <v>45055</v>
      </c>
      <c r="D50" s="52">
        <v>1</v>
      </c>
      <c r="E50" s="12">
        <v>407456</v>
      </c>
      <c r="F50" s="12">
        <v>0</v>
      </c>
      <c r="G50" s="12">
        <f>E50-F50</f>
        <v>407456</v>
      </c>
      <c r="H50" s="12">
        <f>ROUND(G50*H6,0)</f>
        <v>73342</v>
      </c>
      <c r="I50" s="12">
        <f>ROUND(G50+H50,)</f>
        <v>480798</v>
      </c>
      <c r="J50" s="12">
        <f>G50*$J$6</f>
        <v>8149.12</v>
      </c>
      <c r="K50" s="12">
        <f>G50*$K$6</f>
        <v>20372.800000000003</v>
      </c>
      <c r="L50" s="12">
        <f>G50*$L$6</f>
        <v>40745.600000000006</v>
      </c>
      <c r="M50" s="12">
        <f>G50*$M$6</f>
        <v>40745.600000000006</v>
      </c>
      <c r="N50" s="72">
        <f>H50</f>
        <v>73342</v>
      </c>
      <c r="O50" s="12">
        <v>97239</v>
      </c>
      <c r="P50" s="47">
        <f>ROUND(I50-SUM(J50:O50),0)</f>
        <v>200204</v>
      </c>
      <c r="Q50" s="30"/>
      <c r="R50" s="47">
        <v>98000</v>
      </c>
      <c r="S50" s="32" t="s">
        <v>6</v>
      </c>
      <c r="T50" s="12"/>
    </row>
    <row r="51" spans="1:20" ht="20.100000000000001" customHeight="1" x14ac:dyDescent="0.25">
      <c r="A51" s="62">
        <v>55128</v>
      </c>
      <c r="B51" s="33" t="s">
        <v>24</v>
      </c>
      <c r="C51" s="1">
        <v>45064</v>
      </c>
      <c r="D51" s="52">
        <v>7</v>
      </c>
      <c r="E51" s="12">
        <v>95776</v>
      </c>
      <c r="F51" s="12"/>
      <c r="G51" s="12"/>
      <c r="H51" s="12">
        <v>0</v>
      </c>
      <c r="I51" s="12">
        <f>G51+H51</f>
        <v>0</v>
      </c>
      <c r="J51" s="12">
        <v>0</v>
      </c>
      <c r="K51" s="12"/>
      <c r="L51" s="12"/>
      <c r="M51" s="12"/>
      <c r="N51" s="12"/>
      <c r="O51" s="34"/>
      <c r="P51" s="72">
        <f>E51</f>
        <v>95776</v>
      </c>
      <c r="Q51" s="30"/>
      <c r="R51" s="47">
        <v>58800</v>
      </c>
      <c r="S51" s="32" t="s">
        <v>7</v>
      </c>
      <c r="T51" s="34"/>
    </row>
    <row r="52" spans="1:20" ht="20.100000000000001" customHeight="1" x14ac:dyDescent="0.25">
      <c r="A52" s="62">
        <v>55128</v>
      </c>
      <c r="B52" s="33" t="s">
        <v>24</v>
      </c>
      <c r="C52" s="1">
        <v>45064</v>
      </c>
      <c r="D52" s="52">
        <v>1</v>
      </c>
      <c r="E52" s="12">
        <v>73342</v>
      </c>
      <c r="F52" s="34"/>
      <c r="G52" s="12"/>
      <c r="H52" s="12"/>
      <c r="I52" s="12"/>
      <c r="J52" s="12"/>
      <c r="K52" s="12"/>
      <c r="L52" s="12"/>
      <c r="M52" s="12"/>
      <c r="N52" s="12"/>
      <c r="O52" s="12"/>
      <c r="P52" s="72">
        <f>E52</f>
        <v>73342</v>
      </c>
      <c r="Q52" s="30"/>
      <c r="R52" s="47">
        <v>98000</v>
      </c>
      <c r="S52" s="32" t="s">
        <v>8</v>
      </c>
      <c r="T52" s="12"/>
    </row>
    <row r="53" spans="1:20" ht="20.100000000000001" customHeight="1" x14ac:dyDescent="0.25">
      <c r="A53" s="62">
        <v>55128</v>
      </c>
      <c r="B53" s="34"/>
      <c r="C53" s="34"/>
      <c r="D53" s="57"/>
      <c r="E53" s="34"/>
      <c r="F53" s="34"/>
      <c r="G53" s="34"/>
      <c r="H53" s="35"/>
      <c r="I53" s="35"/>
      <c r="J53" s="34"/>
      <c r="K53" s="34"/>
      <c r="L53" s="34"/>
      <c r="M53" s="34"/>
      <c r="N53" s="34"/>
      <c r="O53" s="34"/>
      <c r="P53" s="34" t="s">
        <v>60</v>
      </c>
      <c r="Q53" s="30"/>
      <c r="R53" s="48">
        <v>95776</v>
      </c>
      <c r="S53" s="32" t="s">
        <v>25</v>
      </c>
      <c r="T53" s="34"/>
    </row>
    <row r="54" spans="1:20" ht="20.100000000000001" customHeight="1" x14ac:dyDescent="0.25">
      <c r="A54" s="62">
        <v>55128</v>
      </c>
      <c r="B54" s="34"/>
      <c r="C54" s="34"/>
      <c r="D54" s="57"/>
      <c r="E54" s="34"/>
      <c r="F54" s="34"/>
      <c r="G54" s="34"/>
      <c r="H54" s="35"/>
      <c r="I54" s="35"/>
      <c r="J54" s="34"/>
      <c r="K54" s="34"/>
      <c r="L54" s="34"/>
      <c r="M54" s="34"/>
      <c r="N54" s="34"/>
      <c r="O54" s="34"/>
      <c r="P54" s="34"/>
      <c r="Q54" s="30"/>
      <c r="R54" s="47">
        <v>99153</v>
      </c>
      <c r="S54" s="32" t="s">
        <v>26</v>
      </c>
      <c r="T54" s="34"/>
    </row>
    <row r="55" spans="1:20" ht="20.100000000000001" customHeight="1" x14ac:dyDescent="0.25">
      <c r="A55" s="62">
        <v>55128</v>
      </c>
      <c r="B55" s="34"/>
      <c r="C55" s="34"/>
      <c r="D55" s="57"/>
      <c r="E55" s="34"/>
      <c r="F55" s="34"/>
      <c r="G55" s="34"/>
      <c r="H55" s="35"/>
      <c r="I55" s="35"/>
      <c r="J55" s="34"/>
      <c r="K55" s="34"/>
      <c r="L55" s="34"/>
      <c r="M55" s="34"/>
      <c r="N55" s="34"/>
      <c r="O55" s="34"/>
      <c r="P55" s="34"/>
      <c r="Q55" s="30"/>
      <c r="R55" s="47">
        <v>98000</v>
      </c>
      <c r="S55" s="32" t="s">
        <v>27</v>
      </c>
      <c r="T55" s="34"/>
    </row>
    <row r="56" spans="1:20" ht="20.100000000000001" customHeight="1" x14ac:dyDescent="0.25">
      <c r="A56" s="62">
        <v>55128</v>
      </c>
      <c r="B56" s="34"/>
      <c r="C56" s="34"/>
      <c r="D56" s="57"/>
      <c r="E56" s="34"/>
      <c r="F56" s="34"/>
      <c r="G56" s="34"/>
      <c r="H56" s="35"/>
      <c r="I56" s="35"/>
      <c r="J56" s="34"/>
      <c r="K56" s="34"/>
      <c r="L56" s="34"/>
      <c r="M56" s="34"/>
      <c r="N56" s="34"/>
      <c r="O56" s="34"/>
      <c r="P56" s="34"/>
      <c r="Q56" s="30"/>
      <c r="R56" s="48">
        <v>73342</v>
      </c>
      <c r="S56" s="32" t="s">
        <v>52</v>
      </c>
      <c r="T56" s="34"/>
    </row>
    <row r="57" spans="1:20" ht="20.100000000000001" customHeight="1" x14ac:dyDescent="0.25">
      <c r="A57" s="62">
        <v>55128</v>
      </c>
      <c r="B57" s="34"/>
      <c r="C57" s="34"/>
      <c r="D57" s="57"/>
      <c r="E57" s="34"/>
      <c r="F57" s="34"/>
      <c r="G57" s="34"/>
      <c r="H57" s="35"/>
      <c r="I57" s="35"/>
      <c r="J57" s="34"/>
      <c r="K57" s="34"/>
      <c r="L57" s="34"/>
      <c r="M57" s="34"/>
      <c r="N57" s="34"/>
      <c r="O57" s="34"/>
      <c r="P57" s="34"/>
      <c r="Q57" s="30"/>
      <c r="R57" s="12">
        <v>98000</v>
      </c>
      <c r="S57" s="32" t="s">
        <v>56</v>
      </c>
      <c r="T57" s="34"/>
    </row>
    <row r="58" spans="1:20" ht="20.100000000000001" customHeight="1" x14ac:dyDescent="0.25">
      <c r="A58" s="62">
        <v>55128</v>
      </c>
      <c r="B58" s="34"/>
      <c r="C58" s="34"/>
      <c r="D58" s="57"/>
      <c r="E58" s="34"/>
      <c r="F58" s="34"/>
      <c r="G58" s="34"/>
      <c r="H58" s="35"/>
      <c r="I58" s="35"/>
      <c r="J58" s="34"/>
      <c r="K58" s="34"/>
      <c r="L58" s="34"/>
      <c r="M58" s="34"/>
      <c r="N58" s="34"/>
      <c r="O58" s="34"/>
      <c r="P58" s="34"/>
      <c r="Q58" s="30"/>
      <c r="R58" s="12"/>
      <c r="S58" s="32"/>
      <c r="T58" s="34"/>
    </row>
    <row r="59" spans="1:20" ht="20.100000000000001" customHeight="1" x14ac:dyDescent="0.25">
      <c r="A59" s="62"/>
      <c r="B59" s="26"/>
      <c r="C59" s="26"/>
      <c r="D59" s="51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62">
        <f>A60</f>
        <v>57798</v>
      </c>
      <c r="R59" s="36"/>
      <c r="S59" s="36"/>
      <c r="T59" s="26"/>
    </row>
    <row r="60" spans="1:20" ht="20.100000000000001" customHeight="1" x14ac:dyDescent="0.25">
      <c r="A60" s="30">
        <v>57798</v>
      </c>
      <c r="B60" s="33" t="s">
        <v>62</v>
      </c>
      <c r="C60" s="1">
        <v>45083</v>
      </c>
      <c r="D60" s="52">
        <v>2</v>
      </c>
      <c r="E60" s="12">
        <v>646976</v>
      </c>
      <c r="F60" s="12">
        <v>18014</v>
      </c>
      <c r="G60" s="12">
        <f>E60-F60</f>
        <v>628962</v>
      </c>
      <c r="H60" s="12">
        <f>ROUND(G60*18%,)</f>
        <v>113213</v>
      </c>
      <c r="I60" s="12">
        <f>G60+H60</f>
        <v>742175</v>
      </c>
      <c r="J60" s="12">
        <f>G60*2%</f>
        <v>12579.24</v>
      </c>
      <c r="K60" s="12">
        <f>ROUND(G60*5%,)</f>
        <v>31448</v>
      </c>
      <c r="L60" s="12">
        <f>ROUND(G60*10%,)</f>
        <v>62896</v>
      </c>
      <c r="M60" s="12">
        <f>ROUND(G60*10%,)</f>
        <v>62896</v>
      </c>
      <c r="N60" s="72">
        <f>H60</f>
        <v>113213</v>
      </c>
      <c r="O60" s="12">
        <v>3450</v>
      </c>
      <c r="P60" s="47">
        <f>ROUND(I60-SUM(J60:O60),)</f>
        <v>455693</v>
      </c>
      <c r="Q60" s="30"/>
      <c r="R60" s="47">
        <v>455693</v>
      </c>
      <c r="S60" s="34" t="s">
        <v>72</v>
      </c>
      <c r="T60" s="12">
        <f>SUM(P60:P69)-SUM(R60:R69)</f>
        <v>-49000</v>
      </c>
    </row>
    <row r="61" spans="1:20" ht="20.100000000000001" customHeight="1" x14ac:dyDescent="0.25">
      <c r="A61" s="30">
        <v>57798</v>
      </c>
      <c r="B61" s="33" t="s">
        <v>62</v>
      </c>
      <c r="C61" s="1">
        <v>45230</v>
      </c>
      <c r="D61" s="52">
        <v>9</v>
      </c>
      <c r="E61" s="12">
        <v>398973</v>
      </c>
      <c r="F61" s="12">
        <v>0</v>
      </c>
      <c r="G61" s="12">
        <f>E61-F61</f>
        <v>398973</v>
      </c>
      <c r="H61" s="12">
        <f>ROUND(G61*18%,)</f>
        <v>71815</v>
      </c>
      <c r="I61" s="12">
        <f>G61+H61</f>
        <v>470788</v>
      </c>
      <c r="J61" s="12">
        <f>G61*2%</f>
        <v>7979.46</v>
      </c>
      <c r="K61" s="12">
        <f>ROUND(G61*5%,)</f>
        <v>19949</v>
      </c>
      <c r="L61" s="12">
        <f>ROUND(G61*10%,)</f>
        <v>39897</v>
      </c>
      <c r="M61" s="12">
        <f>ROUND(G61*10%,)</f>
        <v>39897</v>
      </c>
      <c r="N61" s="72">
        <f>H61</f>
        <v>71815</v>
      </c>
      <c r="O61" s="12">
        <v>96271</v>
      </c>
      <c r="P61" s="47">
        <f>ROUND(I61-SUM(J61:O61),)</f>
        <v>194980</v>
      </c>
      <c r="Q61" s="30"/>
      <c r="R61" s="47">
        <v>113213</v>
      </c>
      <c r="S61" s="34" t="s">
        <v>73</v>
      </c>
      <c r="T61" s="12"/>
    </row>
    <row r="62" spans="1:20" ht="20.100000000000001" customHeight="1" x14ac:dyDescent="0.25">
      <c r="A62" s="30">
        <v>57798</v>
      </c>
      <c r="B62" s="12" t="s">
        <v>61</v>
      </c>
      <c r="C62" s="43"/>
      <c r="D62" s="53">
        <v>2</v>
      </c>
      <c r="E62" s="12">
        <f>N60</f>
        <v>113213</v>
      </c>
      <c r="F62" s="12"/>
      <c r="G62" s="12"/>
      <c r="H62" s="12">
        <v>0</v>
      </c>
      <c r="I62" s="12">
        <f t="shared" ref="I62" si="4">G62+H62</f>
        <v>0</v>
      </c>
      <c r="J62" s="12">
        <v>0</v>
      </c>
      <c r="K62" s="12">
        <v>0</v>
      </c>
      <c r="L62" s="12">
        <v>0</v>
      </c>
      <c r="M62" s="12">
        <v>0</v>
      </c>
      <c r="N62" s="12">
        <f t="shared" ref="N62" si="5">H62</f>
        <v>0</v>
      </c>
      <c r="O62" s="12">
        <v>0</v>
      </c>
      <c r="P62" s="72">
        <f>E62</f>
        <v>113213</v>
      </c>
      <c r="Q62" s="30"/>
      <c r="R62" s="47">
        <v>196000</v>
      </c>
      <c r="S62" s="34" t="s">
        <v>74</v>
      </c>
      <c r="T62" s="12"/>
    </row>
    <row r="63" spans="1:20" ht="20.100000000000001" customHeight="1" x14ac:dyDescent="0.25">
      <c r="A63" s="30">
        <v>57798</v>
      </c>
      <c r="B63" s="12" t="s">
        <v>61</v>
      </c>
      <c r="C63" s="43"/>
      <c r="D63" s="53">
        <v>9</v>
      </c>
      <c r="E63" s="12">
        <f>N61</f>
        <v>71815</v>
      </c>
      <c r="F63" s="12"/>
      <c r="G63" s="12">
        <f t="shared" ref="G63" si="6">E63-F63</f>
        <v>71815</v>
      </c>
      <c r="H63" s="12">
        <v>0</v>
      </c>
      <c r="I63" s="12">
        <f t="shared" ref="I63" si="7">G63+H63</f>
        <v>71815</v>
      </c>
      <c r="J63" s="12">
        <v>0</v>
      </c>
      <c r="K63" s="12">
        <v>0</v>
      </c>
      <c r="L63" s="12">
        <v>0</v>
      </c>
      <c r="M63" s="12">
        <v>0</v>
      </c>
      <c r="N63" s="12">
        <f t="shared" ref="N63" si="8">H63</f>
        <v>0</v>
      </c>
      <c r="O63" s="12">
        <v>0</v>
      </c>
      <c r="P63" s="72">
        <f t="shared" ref="P63" si="9">ROUND(I63-SUM(J63:O63),)</f>
        <v>71815</v>
      </c>
      <c r="Q63" s="30"/>
      <c r="R63" s="47">
        <v>71815</v>
      </c>
      <c r="S63" s="34" t="s">
        <v>75</v>
      </c>
      <c r="T63" s="12"/>
    </row>
    <row r="64" spans="1:20" ht="20.100000000000001" customHeight="1" x14ac:dyDescent="0.25">
      <c r="A64" s="30">
        <v>57798</v>
      </c>
      <c r="B64" s="33" t="s">
        <v>62</v>
      </c>
      <c r="C64" s="1">
        <v>45311</v>
      </c>
      <c r="D64" s="52">
        <v>12</v>
      </c>
      <c r="E64" s="12">
        <v>62610</v>
      </c>
      <c r="F64" s="12">
        <v>0</v>
      </c>
      <c r="G64" s="12">
        <f>E64-F64</f>
        <v>62610</v>
      </c>
      <c r="H64" s="12">
        <f>ROUND(G64*18%,)</f>
        <v>11270</v>
      </c>
      <c r="I64" s="12">
        <f>G64+H64</f>
        <v>73880</v>
      </c>
      <c r="J64" s="12">
        <f>G64*2%</f>
        <v>1252.2</v>
      </c>
      <c r="K64" s="12">
        <f>ROUND(G64*5%,)</f>
        <v>3131</v>
      </c>
      <c r="L64" s="12">
        <f>ROUND(G64*10%,)</f>
        <v>6261</v>
      </c>
      <c r="M64" s="12">
        <f>ROUND(G64*10%,)</f>
        <v>6261</v>
      </c>
      <c r="N64" s="72">
        <f>H64</f>
        <v>11270</v>
      </c>
      <c r="O64" s="12">
        <v>1765</v>
      </c>
      <c r="P64" s="47">
        <f>ROUND(I64-SUM(J64:O64),)</f>
        <v>43940</v>
      </c>
      <c r="Q64" s="30"/>
      <c r="R64" s="47">
        <v>42920</v>
      </c>
      <c r="S64" s="34" t="s">
        <v>86</v>
      </c>
      <c r="T64" s="12"/>
    </row>
    <row r="65" spans="1:20" ht="20.100000000000001" customHeight="1" x14ac:dyDescent="0.25">
      <c r="A65" s="30">
        <v>57798</v>
      </c>
      <c r="B65" s="33" t="s">
        <v>61</v>
      </c>
      <c r="C65" s="1"/>
      <c r="D65" s="52">
        <v>12</v>
      </c>
      <c r="E65" s="12">
        <f>N64</f>
        <v>11270</v>
      </c>
      <c r="F65" s="12"/>
      <c r="G65" s="12"/>
      <c r="H65" s="12"/>
      <c r="I65" s="12"/>
      <c r="J65" s="12"/>
      <c r="K65" s="12"/>
      <c r="L65" s="12"/>
      <c r="M65" s="12"/>
      <c r="N65" s="47"/>
      <c r="O65" s="12"/>
      <c r="P65" s="72">
        <f>E65</f>
        <v>11270</v>
      </c>
      <c r="Q65" s="30"/>
      <c r="R65" s="47">
        <v>11270</v>
      </c>
      <c r="S65" s="34" t="s">
        <v>87</v>
      </c>
      <c r="T65" s="12"/>
    </row>
    <row r="66" spans="1:20" ht="20.100000000000001" customHeight="1" x14ac:dyDescent="0.25">
      <c r="A66" s="30">
        <v>57798</v>
      </c>
      <c r="B66" s="33"/>
      <c r="C66" s="1"/>
      <c r="D66" s="52"/>
      <c r="E66" s="12"/>
      <c r="F66" s="12"/>
      <c r="G66" s="12"/>
      <c r="H66" s="12"/>
      <c r="I66" s="12"/>
      <c r="J66" s="12"/>
      <c r="K66" s="12"/>
      <c r="L66" s="12"/>
      <c r="M66" s="12"/>
      <c r="N66" s="47"/>
      <c r="O66" s="12"/>
      <c r="P66" s="47"/>
      <c r="Q66" s="30"/>
      <c r="R66" s="47">
        <v>49000</v>
      </c>
      <c r="S66" s="34" t="s">
        <v>96</v>
      </c>
      <c r="T66" s="12"/>
    </row>
    <row r="67" spans="1:20" ht="20.100000000000001" customHeight="1" x14ac:dyDescent="0.25">
      <c r="A67" s="30">
        <v>57798</v>
      </c>
      <c r="B67" s="33"/>
      <c r="C67" s="1"/>
      <c r="D67" s="52"/>
      <c r="E67" s="12"/>
      <c r="F67" s="12"/>
      <c r="G67" s="12"/>
      <c r="H67" s="12"/>
      <c r="I67" s="12"/>
      <c r="J67" s="12"/>
      <c r="K67" s="12"/>
      <c r="L67" s="12"/>
      <c r="M67" s="12"/>
      <c r="N67" s="47"/>
      <c r="O67" s="12"/>
      <c r="P67" s="47"/>
      <c r="Q67" s="30"/>
      <c r="R67" s="47"/>
      <c r="S67" s="34"/>
      <c r="T67" s="12"/>
    </row>
    <row r="68" spans="1:20" ht="20.100000000000001" customHeight="1" x14ac:dyDescent="0.25">
      <c r="A68" s="30">
        <v>57798</v>
      </c>
      <c r="B68" s="33"/>
      <c r="C68" s="1"/>
      <c r="D68" s="52"/>
      <c r="E68" s="12"/>
      <c r="F68" s="12"/>
      <c r="G68" s="12"/>
      <c r="H68" s="12"/>
      <c r="I68" s="12"/>
      <c r="J68" s="12"/>
      <c r="K68" s="12"/>
      <c r="L68" s="12"/>
      <c r="M68" s="12"/>
      <c r="N68" s="47"/>
      <c r="O68" s="12"/>
      <c r="P68" s="47"/>
      <c r="Q68" s="30"/>
      <c r="R68" s="47"/>
      <c r="S68" s="34"/>
      <c r="T68" s="12"/>
    </row>
    <row r="69" spans="1:20" ht="20.100000000000001" customHeight="1" x14ac:dyDescent="0.25">
      <c r="A69" s="62">
        <v>59739</v>
      </c>
      <c r="B69" s="26"/>
      <c r="C69" s="26"/>
      <c r="D69" s="51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62">
        <f>A69</f>
        <v>59739</v>
      </c>
      <c r="R69" s="36"/>
      <c r="S69" s="36"/>
      <c r="T69" s="26"/>
    </row>
    <row r="70" spans="1:20" ht="20.100000000000001" customHeight="1" x14ac:dyDescent="0.25">
      <c r="A70" s="62">
        <v>59739</v>
      </c>
      <c r="B70" s="33" t="s">
        <v>63</v>
      </c>
      <c r="C70" s="1">
        <v>44895</v>
      </c>
      <c r="D70" s="52">
        <v>10</v>
      </c>
      <c r="E70" s="12">
        <v>466158</v>
      </c>
      <c r="F70" s="12">
        <v>36028</v>
      </c>
      <c r="G70" s="12">
        <f>E70-F70</f>
        <v>430130</v>
      </c>
      <c r="H70" s="12">
        <f>ROUND(G70*18%,)</f>
        <v>77423</v>
      </c>
      <c r="I70" s="12">
        <f>G70+H70</f>
        <v>507553</v>
      </c>
      <c r="J70" s="12">
        <f>G70*2%</f>
        <v>8602.6</v>
      </c>
      <c r="K70" s="12">
        <f>ROUND(G70*5%,)</f>
        <v>21507</v>
      </c>
      <c r="L70" s="12">
        <f>ROUND(G70*10%,)</f>
        <v>43013</v>
      </c>
      <c r="M70" s="12">
        <f>ROUND(G70*10%,)</f>
        <v>43013</v>
      </c>
      <c r="N70" s="72">
        <f>H70</f>
        <v>77423</v>
      </c>
      <c r="O70" s="12">
        <v>175368</v>
      </c>
      <c r="P70" s="47">
        <f>ROUND(I70-SUM(J70:O70),)</f>
        <v>138626</v>
      </c>
      <c r="Q70" s="30"/>
      <c r="R70" s="47">
        <v>98000</v>
      </c>
      <c r="S70" s="34" t="s">
        <v>64</v>
      </c>
      <c r="T70" s="12">
        <f>SUM(P70:P74)-SUM(R70:R74)</f>
        <v>-147002</v>
      </c>
    </row>
    <row r="71" spans="1:20" ht="20.100000000000001" customHeight="1" x14ac:dyDescent="0.25">
      <c r="A71" s="62">
        <v>59739</v>
      </c>
      <c r="B71" s="12" t="s">
        <v>61</v>
      </c>
      <c r="C71" s="43"/>
      <c r="D71" s="53">
        <v>10</v>
      </c>
      <c r="E71" s="12">
        <f>N70</f>
        <v>77423</v>
      </c>
      <c r="F71" s="12"/>
      <c r="G71" s="12"/>
      <c r="H71" s="12">
        <v>0</v>
      </c>
      <c r="I71" s="12">
        <f t="shared" ref="I71" si="10">G71+H71</f>
        <v>0</v>
      </c>
      <c r="J71" s="12">
        <v>0</v>
      </c>
      <c r="K71" s="12">
        <v>0</v>
      </c>
      <c r="L71" s="12">
        <v>0</v>
      </c>
      <c r="M71" s="12">
        <v>0</v>
      </c>
      <c r="N71" s="12">
        <f t="shared" ref="N71" si="11">H71</f>
        <v>0</v>
      </c>
      <c r="O71" s="12">
        <v>0</v>
      </c>
      <c r="P71" s="72">
        <f>E71-F71</f>
        <v>77423</v>
      </c>
      <c r="Q71" s="30"/>
      <c r="R71" s="47">
        <v>40627</v>
      </c>
      <c r="S71" s="34" t="s">
        <v>78</v>
      </c>
      <c r="T71" s="12"/>
    </row>
    <row r="72" spans="1:20" ht="20.100000000000001" customHeight="1" x14ac:dyDescent="0.25">
      <c r="A72" s="62">
        <v>59739</v>
      </c>
      <c r="B72" s="12"/>
      <c r="C72" s="12"/>
      <c r="D72" s="5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30"/>
      <c r="R72" s="47">
        <v>77424</v>
      </c>
      <c r="S72" s="34" t="s">
        <v>77</v>
      </c>
      <c r="T72" s="12"/>
    </row>
    <row r="73" spans="1:20" ht="20.100000000000001" customHeight="1" x14ac:dyDescent="0.25">
      <c r="A73" s="62">
        <v>59739</v>
      </c>
      <c r="B73" s="12"/>
      <c r="C73" s="12"/>
      <c r="D73" s="5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30"/>
      <c r="R73" s="12">
        <v>98000</v>
      </c>
      <c r="S73" s="34" t="s">
        <v>76</v>
      </c>
      <c r="T73" s="12"/>
    </row>
    <row r="74" spans="1:20" ht="20.100000000000001" customHeight="1" x14ac:dyDescent="0.25">
      <c r="A74" s="62">
        <v>59739</v>
      </c>
      <c r="B74" s="12"/>
      <c r="C74" s="12"/>
      <c r="D74" s="5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30"/>
      <c r="R74" s="12">
        <v>49000</v>
      </c>
      <c r="S74" s="34" t="s">
        <v>97</v>
      </c>
      <c r="T74" s="12"/>
    </row>
    <row r="75" spans="1:20" ht="20.100000000000001" customHeight="1" x14ac:dyDescent="0.25">
      <c r="A75" s="62">
        <v>59740</v>
      </c>
      <c r="B75" s="26"/>
      <c r="C75" s="26"/>
      <c r="D75" s="51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62">
        <f>A75</f>
        <v>59740</v>
      </c>
      <c r="R75" s="36"/>
      <c r="S75" s="36"/>
      <c r="T75" s="26"/>
    </row>
    <row r="76" spans="1:20" ht="20.100000000000001" customHeight="1" x14ac:dyDescent="0.25">
      <c r="A76" s="62">
        <v>59740</v>
      </c>
      <c r="B76" s="33" t="s">
        <v>105</v>
      </c>
      <c r="C76" s="1">
        <v>45291</v>
      </c>
      <c r="D76" s="52">
        <v>11</v>
      </c>
      <c r="E76" s="12">
        <v>356029</v>
      </c>
      <c r="F76" s="12">
        <v>0</v>
      </c>
      <c r="G76" s="12">
        <f>E76-F76</f>
        <v>356029</v>
      </c>
      <c r="H76" s="12">
        <f>ROUND(G76*18%,)</f>
        <v>64085</v>
      </c>
      <c r="I76" s="12">
        <f>G76+H76</f>
        <v>420114</v>
      </c>
      <c r="J76" s="12">
        <f>G76*2%</f>
        <v>7120.58</v>
      </c>
      <c r="K76" s="12">
        <f>ROUND(G76*5%,)</f>
        <v>17801</v>
      </c>
      <c r="L76" s="12">
        <f>ROUND(G76*10%,)</f>
        <v>35603</v>
      </c>
      <c r="M76" s="12">
        <f>ROUND(G76*10%,)</f>
        <v>35603</v>
      </c>
      <c r="N76" s="72">
        <f>H76</f>
        <v>64085</v>
      </c>
      <c r="O76" s="12">
        <v>40934</v>
      </c>
      <c r="P76" s="47">
        <f>ROUND(I76-SUM(J76:O76),)</f>
        <v>218967</v>
      </c>
      <c r="Q76" s="30"/>
      <c r="R76" s="47">
        <v>196000</v>
      </c>
      <c r="S76" s="34" t="s">
        <v>79</v>
      </c>
      <c r="T76" s="12">
        <f>SUM(P76:P78)-SUM(R76:R78)</f>
        <v>0</v>
      </c>
    </row>
    <row r="77" spans="1:20" ht="20.100000000000001" customHeight="1" x14ac:dyDescent="0.25">
      <c r="A77" s="62">
        <v>59740</v>
      </c>
      <c r="B77" s="12" t="s">
        <v>61</v>
      </c>
      <c r="C77" s="43"/>
      <c r="D77" s="52">
        <v>11</v>
      </c>
      <c r="E77" s="12">
        <f>N76</f>
        <v>64085</v>
      </c>
      <c r="F77" s="12"/>
      <c r="G77" s="12"/>
      <c r="H77" s="12">
        <v>0</v>
      </c>
      <c r="I77" s="12">
        <f t="shared" ref="I77" si="12">G77+H77</f>
        <v>0</v>
      </c>
      <c r="J77" s="12">
        <v>0</v>
      </c>
      <c r="K77" s="12">
        <v>0</v>
      </c>
      <c r="L77" s="12">
        <v>0</v>
      </c>
      <c r="M77" s="12">
        <v>0</v>
      </c>
      <c r="N77" s="12">
        <f t="shared" ref="N77" si="13">H77</f>
        <v>0</v>
      </c>
      <c r="O77" s="12">
        <v>0</v>
      </c>
      <c r="P77" s="72">
        <f>E77</f>
        <v>64085</v>
      </c>
      <c r="Q77" s="30"/>
      <c r="R77" s="47">
        <v>22967</v>
      </c>
      <c r="S77" s="34" t="s">
        <v>83</v>
      </c>
      <c r="T77" s="12"/>
    </row>
    <row r="78" spans="1:20" ht="20.100000000000001" customHeight="1" x14ac:dyDescent="0.25">
      <c r="A78" s="62">
        <v>59740</v>
      </c>
      <c r="B78" s="12"/>
      <c r="C78" s="12"/>
      <c r="D78" s="5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30"/>
      <c r="R78" s="12">
        <v>64085</v>
      </c>
      <c r="S78" s="34" t="s">
        <v>84</v>
      </c>
      <c r="T78" s="12"/>
    </row>
    <row r="79" spans="1:20" ht="20.100000000000001" customHeight="1" x14ac:dyDescent="0.25">
      <c r="A79" s="62">
        <v>62902</v>
      </c>
      <c r="B79" s="26"/>
      <c r="C79" s="26"/>
      <c r="D79" s="51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62">
        <f>A79</f>
        <v>62902</v>
      </c>
      <c r="R79" s="36"/>
      <c r="S79" s="36"/>
      <c r="T79" s="26"/>
    </row>
    <row r="80" spans="1:20" ht="20.100000000000001" customHeight="1" x14ac:dyDescent="0.25">
      <c r="A80" s="62">
        <v>62902</v>
      </c>
      <c r="B80" s="12" t="s">
        <v>106</v>
      </c>
      <c r="C80" s="43">
        <v>45369</v>
      </c>
      <c r="D80" s="53">
        <v>18</v>
      </c>
      <c r="E80" s="12">
        <v>641752</v>
      </c>
      <c r="F80" s="12"/>
      <c r="G80" s="12">
        <f>E80-F80</f>
        <v>641752</v>
      </c>
      <c r="H80" s="12">
        <f>ROUND(G80*18%,)</f>
        <v>115515</v>
      </c>
      <c r="I80" s="12">
        <f>G80+H80</f>
        <v>757267</v>
      </c>
      <c r="J80" s="12">
        <f>G80*2%</f>
        <v>12835.04</v>
      </c>
      <c r="K80" s="12">
        <f>ROUND(G80*5%,)</f>
        <v>32088</v>
      </c>
      <c r="L80" s="12">
        <f>ROUND(G80*10%,)</f>
        <v>64175</v>
      </c>
      <c r="M80" s="12">
        <f>ROUND(G80*10%,)</f>
        <v>64175</v>
      </c>
      <c r="N80" s="72">
        <f>H80</f>
        <v>115515</v>
      </c>
      <c r="O80" s="12">
        <v>84523</v>
      </c>
      <c r="P80" s="47">
        <f>ROUND(I80-SUM(J80:O80),)</f>
        <v>383956</v>
      </c>
      <c r="Q80" s="12"/>
      <c r="R80" s="12">
        <v>196000</v>
      </c>
      <c r="S80" s="12" t="s">
        <v>91</v>
      </c>
      <c r="T80" s="12">
        <f>SUM(P80:P84)-SUM(R80:R84)</f>
        <v>-120860</v>
      </c>
    </row>
    <row r="81" spans="1:20" ht="20.100000000000001" customHeight="1" x14ac:dyDescent="0.25">
      <c r="A81" s="62">
        <v>62902</v>
      </c>
      <c r="B81" s="12"/>
      <c r="C81" s="12"/>
      <c r="D81" s="53">
        <v>18</v>
      </c>
      <c r="E81" s="12">
        <f>N80</f>
        <v>115515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72">
        <f>E81</f>
        <v>115515</v>
      </c>
      <c r="Q81" s="12"/>
      <c r="R81" s="12">
        <v>274400</v>
      </c>
      <c r="S81" s="12" t="s">
        <v>93</v>
      </c>
      <c r="T81" s="12"/>
    </row>
    <row r="82" spans="1:20" ht="20.100000000000001" customHeight="1" x14ac:dyDescent="0.25">
      <c r="A82" s="62">
        <v>62902</v>
      </c>
      <c r="B82" s="12" t="s">
        <v>107</v>
      </c>
      <c r="C82" s="43">
        <v>45630</v>
      </c>
      <c r="D82" s="53" t="s">
        <v>98</v>
      </c>
      <c r="E82" s="12">
        <v>50624</v>
      </c>
      <c r="F82" s="12">
        <v>0</v>
      </c>
      <c r="G82" s="12">
        <f>E82-F82</f>
        <v>50624</v>
      </c>
      <c r="H82" s="12">
        <f>ROUND(G82*18%,)</f>
        <v>9112</v>
      </c>
      <c r="I82" s="12">
        <f>G82+H82</f>
        <v>59736</v>
      </c>
      <c r="J82" s="12">
        <f>G82*2%</f>
        <v>1012.48</v>
      </c>
      <c r="K82" s="12">
        <f>ROUND(G82*5%,)</f>
        <v>2531</v>
      </c>
      <c r="L82" s="12">
        <f>ROUND(G82*10%,)</f>
        <v>5062</v>
      </c>
      <c r="M82" s="12">
        <f>ROUND(G82*10%,)</f>
        <v>5062</v>
      </c>
      <c r="N82" s="72">
        <f>H82</f>
        <v>9112</v>
      </c>
      <c r="O82" s="12">
        <v>0</v>
      </c>
      <c r="P82" s="47">
        <f>ROUND(I82-SUM(J82:O82),)</f>
        <v>36957</v>
      </c>
      <c r="Q82" s="12"/>
      <c r="R82" s="12">
        <v>98000</v>
      </c>
      <c r="S82" s="12" t="s">
        <v>95</v>
      </c>
      <c r="T82" s="12"/>
    </row>
    <row r="83" spans="1:20" ht="20.100000000000001" customHeight="1" x14ac:dyDescent="0.25">
      <c r="A83" s="62">
        <v>62902</v>
      </c>
      <c r="B83" s="12" t="s">
        <v>61</v>
      </c>
      <c r="C83" s="43"/>
      <c r="D83" s="52">
        <v>1</v>
      </c>
      <c r="E83" s="12">
        <f>N82</f>
        <v>9112</v>
      </c>
      <c r="F83" s="12"/>
      <c r="G83" s="12"/>
      <c r="H83" s="12">
        <v>0</v>
      </c>
      <c r="I83" s="12">
        <f t="shared" ref="I83" si="14">G83+H83</f>
        <v>0</v>
      </c>
      <c r="J83" s="12">
        <v>0</v>
      </c>
      <c r="K83" s="12">
        <v>0</v>
      </c>
      <c r="L83" s="12">
        <v>0</v>
      </c>
      <c r="M83" s="12">
        <v>0</v>
      </c>
      <c r="N83" s="12">
        <f t="shared" ref="N83" si="15">H83</f>
        <v>0</v>
      </c>
      <c r="O83" s="12">
        <v>0</v>
      </c>
      <c r="P83" s="72">
        <f>E83</f>
        <v>9112</v>
      </c>
      <c r="Q83" s="12"/>
      <c r="R83" s="12">
        <v>98000</v>
      </c>
      <c r="S83" s="12" t="s">
        <v>94</v>
      </c>
      <c r="T83" s="12"/>
    </row>
    <row r="84" spans="1:20" ht="20.100000000000001" customHeight="1" x14ac:dyDescent="0.25">
      <c r="A84" s="62">
        <v>62902</v>
      </c>
      <c r="B84" s="12"/>
      <c r="C84" s="12"/>
      <c r="D84" s="5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20.100000000000001" customHeight="1" x14ac:dyDescent="0.25">
      <c r="A85" s="62"/>
      <c r="B85" s="26"/>
      <c r="C85" s="26"/>
      <c r="D85" s="51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62"/>
      <c r="R85" s="36"/>
      <c r="S85" s="36"/>
      <c r="T85" s="26"/>
    </row>
    <row r="86" spans="1:20" ht="20.100000000000001" customHeight="1" thickBot="1" x14ac:dyDescent="0.3">
      <c r="A86" s="41"/>
      <c r="B86" s="41"/>
      <c r="C86" s="41"/>
      <c r="D86" s="58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spans="1:20" ht="20.100000000000001" customHeight="1" x14ac:dyDescent="0.25">
      <c r="A87" s="69"/>
      <c r="B87" s="70"/>
      <c r="C87" s="70"/>
      <c r="D87" s="70"/>
      <c r="E87" s="71"/>
      <c r="F87" s="69">
        <f>SUM(F49:F86)</f>
        <v>94574</v>
      </c>
      <c r="G87" s="71"/>
      <c r="H87" s="27"/>
      <c r="I87" s="27"/>
      <c r="J87" s="27"/>
      <c r="K87" s="69">
        <f t="shared" ref="K87:O87" si="16">SUM(K8:K86)</f>
        <v>450557.36249999999</v>
      </c>
      <c r="L87" s="69">
        <f t="shared" si="16"/>
        <v>612325.72499999998</v>
      </c>
      <c r="M87" s="69">
        <f t="shared" si="16"/>
        <v>742651.72499999998</v>
      </c>
      <c r="N87" s="69">
        <f t="shared" si="16"/>
        <v>1406295</v>
      </c>
      <c r="O87" s="69">
        <f t="shared" si="16"/>
        <v>1046357</v>
      </c>
      <c r="P87" s="69">
        <f>SUM(P8:P86)</f>
        <v>6210531.3200000003</v>
      </c>
      <c r="Q87" s="69"/>
      <c r="R87" s="69">
        <f>SUM(R8:R86)</f>
        <v>7170967</v>
      </c>
      <c r="S87" s="69" t="s">
        <v>89</v>
      </c>
      <c r="T87" s="69"/>
    </row>
    <row r="88" spans="1:20" ht="20.100000000000001" customHeight="1" thickBot="1" x14ac:dyDescent="0.3">
      <c r="A88" s="13"/>
      <c r="B88" s="13"/>
      <c r="C88" s="13"/>
      <c r="D88" s="59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64"/>
      <c r="P88" s="64"/>
      <c r="Q88" s="13"/>
      <c r="R88" s="65">
        <f>P87-R87</f>
        <v>-960435.6799999997</v>
      </c>
      <c r="S88" s="64" t="s">
        <v>88</v>
      </c>
      <c r="T88" s="64">
        <f>SUM(T8:T87)</f>
        <v>-960435.68</v>
      </c>
    </row>
    <row r="90" spans="1:20" ht="20.100000000000001" customHeight="1" thickBot="1" x14ac:dyDescent="0.3"/>
    <row r="91" spans="1:20" ht="20.100000000000001" customHeight="1" thickBot="1" x14ac:dyDescent="0.3">
      <c r="M91" s="84" t="s">
        <v>14</v>
      </c>
      <c r="N91" s="85"/>
      <c r="O91" s="86"/>
    </row>
    <row r="92" spans="1:20" ht="20.100000000000001" customHeight="1" thickBot="1" x14ac:dyDescent="0.3">
      <c r="M92" s="84">
        <v>45677</v>
      </c>
      <c r="N92" s="87"/>
      <c r="O92" s="88"/>
    </row>
    <row r="93" spans="1:20" ht="20.100000000000001" customHeight="1" thickBot="1" x14ac:dyDescent="0.3">
      <c r="H93" s="3"/>
      <c r="I93" s="3"/>
      <c r="M93" s="80" t="s">
        <v>80</v>
      </c>
      <c r="N93" s="81"/>
      <c r="O93" s="44">
        <f>K87+L87+M87</f>
        <v>1805534.8125</v>
      </c>
    </row>
    <row r="94" spans="1:20" ht="20.100000000000001" customHeight="1" thickBot="1" x14ac:dyDescent="0.3">
      <c r="H94" s="3"/>
      <c r="I94" s="3"/>
      <c r="M94" s="80" t="s">
        <v>92</v>
      </c>
      <c r="N94" s="81"/>
      <c r="O94" s="44">
        <f>O87</f>
        <v>1046357</v>
      </c>
    </row>
    <row r="95" spans="1:20" ht="20.100000000000001" customHeight="1" thickBot="1" x14ac:dyDescent="0.3">
      <c r="H95" s="3"/>
      <c r="I95" s="3"/>
      <c r="M95" s="82" t="s">
        <v>81</v>
      </c>
      <c r="N95" s="83"/>
      <c r="O95" s="45">
        <f>R88</f>
        <v>-960435.6799999997</v>
      </c>
    </row>
    <row r="96" spans="1:20" ht="20.100000000000001" customHeight="1" thickBot="1" x14ac:dyDescent="0.3">
      <c r="H96" s="3"/>
      <c r="I96" s="3"/>
      <c r="M96" s="82" t="s">
        <v>90</v>
      </c>
      <c r="N96" s="83"/>
      <c r="O96" s="45">
        <f>N87-P81-P77-P71-P65-P63-P62-P52-P51-P42-P41-P38-P36-P29-P27-P13-P12-P9-P23-P25-P83</f>
        <v>0</v>
      </c>
    </row>
    <row r="97" spans="6:12" ht="20.100000000000001" customHeight="1" x14ac:dyDescent="0.25">
      <c r="H97" s="3"/>
      <c r="I97" s="3"/>
    </row>
    <row r="98" spans="6:12" ht="20.100000000000001" customHeight="1" x14ac:dyDescent="0.25">
      <c r="H98" s="3"/>
      <c r="I98" s="3"/>
    </row>
    <row r="99" spans="6:12" ht="20.100000000000001" customHeight="1" x14ac:dyDescent="0.25">
      <c r="H99" s="3"/>
      <c r="I99" s="3"/>
    </row>
    <row r="100" spans="6:12" ht="20.100000000000001" customHeight="1" x14ac:dyDescent="0.25">
      <c r="H100" s="3"/>
      <c r="I100" s="3"/>
    </row>
    <row r="101" spans="6:12" ht="20.100000000000001" customHeight="1" x14ac:dyDescent="0.25">
      <c r="H101" s="3"/>
      <c r="I101" s="3"/>
    </row>
    <row r="102" spans="6:12" ht="20.100000000000001" customHeight="1" x14ac:dyDescent="0.25">
      <c r="H102" s="3"/>
      <c r="I102" s="3"/>
    </row>
    <row r="103" spans="6:12" ht="20.100000000000001" customHeight="1" x14ac:dyDescent="0.25">
      <c r="H103" s="3"/>
      <c r="I103" s="3"/>
    </row>
    <row r="104" spans="6:12" ht="20.100000000000001" customHeight="1" x14ac:dyDescent="0.25">
      <c r="H104" s="3"/>
      <c r="I104" s="3"/>
    </row>
    <row r="108" spans="6:12" ht="20.100000000000001" customHeight="1" x14ac:dyDescent="0.25">
      <c r="F108" s="19"/>
      <c r="G108" s="19"/>
      <c r="H108" s="19"/>
      <c r="I108" s="19"/>
      <c r="J108" s="19"/>
      <c r="K108" s="19"/>
    </row>
    <row r="109" spans="6:12" ht="20.100000000000001" customHeight="1" x14ac:dyDescent="0.25">
      <c r="G109" s="19"/>
      <c r="H109" s="19"/>
      <c r="I109" s="19"/>
      <c r="J109" s="19"/>
      <c r="K109" s="19"/>
    </row>
    <row r="110" spans="6:12" ht="20.100000000000001" customHeight="1" x14ac:dyDescent="0.25">
      <c r="F110" s="19"/>
      <c r="G110" s="19"/>
      <c r="H110" s="19"/>
      <c r="I110" s="19"/>
      <c r="J110" s="19"/>
      <c r="K110" s="19"/>
    </row>
    <row r="111" spans="6:12" ht="20.100000000000001" customHeight="1" x14ac:dyDescent="0.25">
      <c r="F111"/>
      <c r="G111"/>
      <c r="H111" s="19"/>
      <c r="I111" s="19"/>
      <c r="J111"/>
      <c r="K111" s="21"/>
      <c r="L111"/>
    </row>
    <row r="112" spans="6:12" ht="20.100000000000001" customHeight="1" x14ac:dyDescent="0.25">
      <c r="H112" s="5"/>
      <c r="I112" s="5"/>
      <c r="K112" s="22"/>
      <c r="L112"/>
    </row>
    <row r="113" spans="6:14" ht="20.100000000000001" customHeight="1" x14ac:dyDescent="0.25">
      <c r="F113" s="19"/>
      <c r="G113" s="19"/>
      <c r="H113" s="19"/>
      <c r="I113" s="19"/>
      <c r="J113" s="19"/>
      <c r="K113" s="22"/>
      <c r="L113"/>
    </row>
    <row r="114" spans="6:14" ht="20.100000000000001" customHeight="1" x14ac:dyDescent="0.25">
      <c r="F114" s="19"/>
      <c r="G114" s="19"/>
      <c r="H114" s="19"/>
      <c r="I114" s="19"/>
      <c r="J114" s="19"/>
      <c r="K114" s="19"/>
    </row>
    <row r="115" spans="6:14" ht="20.100000000000001" customHeight="1" x14ac:dyDescent="0.25">
      <c r="F115" s="18"/>
      <c r="H115" s="18"/>
      <c r="I115" s="5"/>
    </row>
    <row r="116" spans="6:14" ht="20.100000000000001" customHeight="1" x14ac:dyDescent="0.25">
      <c r="F116" s="19"/>
      <c r="G116" s="19"/>
      <c r="H116" s="19"/>
      <c r="I116" s="19"/>
      <c r="J116" s="19"/>
      <c r="K116" s="19"/>
    </row>
    <row r="117" spans="6:14" ht="20.100000000000001" customHeight="1" x14ac:dyDescent="0.25">
      <c r="G117" s="23"/>
      <c r="H117" s="23"/>
      <c r="I117" s="23"/>
      <c r="J117" s="23"/>
      <c r="K117" s="19"/>
    </row>
    <row r="118" spans="6:14" ht="20.100000000000001" customHeight="1" x14ac:dyDescent="0.25">
      <c r="G118" s="23"/>
      <c r="H118" s="23"/>
      <c r="I118" s="23"/>
      <c r="J118" s="23"/>
      <c r="K118" s="19"/>
    </row>
    <row r="119" spans="6:14" ht="20.100000000000001" customHeight="1" x14ac:dyDescent="0.25">
      <c r="G119" s="23"/>
      <c r="H119" s="23"/>
      <c r="I119" s="23"/>
      <c r="J119" s="23"/>
      <c r="K119" s="19"/>
    </row>
    <row r="120" spans="6:14" ht="20.100000000000001" customHeight="1" x14ac:dyDescent="0.25">
      <c r="F120" s="19" t="s">
        <v>15</v>
      </c>
      <c r="G120" s="19" t="s">
        <v>16</v>
      </c>
      <c r="H120" s="19" t="s">
        <v>13</v>
      </c>
      <c r="I120" s="19" t="s">
        <v>17</v>
      </c>
      <c r="J120" s="19" t="s">
        <v>18</v>
      </c>
      <c r="K120" s="19" t="s">
        <v>19</v>
      </c>
    </row>
    <row r="121" spans="6:14" ht="20.100000000000001" customHeight="1" x14ac:dyDescent="0.25">
      <c r="F121" s="15" t="s">
        <v>9</v>
      </c>
      <c r="G121" s="23">
        <v>39.119999999999997</v>
      </c>
      <c r="H121" s="23">
        <v>353.28</v>
      </c>
      <c r="I121" s="23">
        <f>H121-G121</f>
        <v>314.15999999999997</v>
      </c>
      <c r="J121" s="23">
        <v>50</v>
      </c>
      <c r="K121" s="20">
        <f>J121*I121</f>
        <v>15707.999999999998</v>
      </c>
    </row>
    <row r="122" spans="6:14" ht="20.100000000000001" customHeight="1" x14ac:dyDescent="0.25">
      <c r="F122" s="15" t="s">
        <v>23</v>
      </c>
      <c r="G122" s="23">
        <v>39.119999999999997</v>
      </c>
      <c r="H122" s="23">
        <v>353.28</v>
      </c>
      <c r="I122" s="23">
        <f>H122-G122</f>
        <v>314.15999999999997</v>
      </c>
      <c r="J122" s="23">
        <v>200</v>
      </c>
      <c r="K122" s="20">
        <f>J122*I122</f>
        <v>62831.999999999993</v>
      </c>
    </row>
    <row r="123" spans="6:14" ht="20.100000000000001" customHeight="1" x14ac:dyDescent="0.25">
      <c r="F123" s="15" t="s">
        <v>10</v>
      </c>
      <c r="G123" s="23">
        <v>2429</v>
      </c>
      <c r="H123" s="23">
        <v>2726.1</v>
      </c>
      <c r="I123" s="23">
        <f>H123-G123</f>
        <v>297.09999999999991</v>
      </c>
      <c r="J123" s="23">
        <v>85</v>
      </c>
      <c r="K123" s="20">
        <f t="shared" ref="K123:K129" si="17">J123*I123</f>
        <v>25253.499999999993</v>
      </c>
    </row>
    <row r="124" spans="6:14" ht="20.100000000000001" customHeight="1" x14ac:dyDescent="0.25">
      <c r="F124" s="15" t="s">
        <v>11</v>
      </c>
      <c r="G124" s="23">
        <v>440</v>
      </c>
      <c r="H124" s="23">
        <v>503.8</v>
      </c>
      <c r="I124" s="23">
        <f t="shared" ref="I124:I125" si="18">H124-G124</f>
        <v>63.800000000000011</v>
      </c>
      <c r="J124" s="23">
        <v>95</v>
      </c>
      <c r="K124" s="20">
        <f t="shared" si="17"/>
        <v>6061.0000000000009</v>
      </c>
    </row>
    <row r="125" spans="6:14" ht="20.100000000000001" customHeight="1" x14ac:dyDescent="0.25">
      <c r="F125" s="15" t="s">
        <v>12</v>
      </c>
      <c r="G125" s="16">
        <v>318</v>
      </c>
      <c r="H125" s="17">
        <v>526.5</v>
      </c>
      <c r="I125" s="23">
        <f t="shared" si="18"/>
        <v>208.5</v>
      </c>
      <c r="J125" s="16">
        <v>125</v>
      </c>
      <c r="K125" s="20">
        <f t="shared" si="17"/>
        <v>26062.5</v>
      </c>
    </row>
    <row r="126" spans="6:14" ht="20.100000000000001" customHeight="1" x14ac:dyDescent="0.25">
      <c r="F126" s="19"/>
      <c r="G126" s="19"/>
      <c r="H126" s="19"/>
      <c r="I126" s="19"/>
      <c r="J126" s="19"/>
      <c r="K126" s="20">
        <f t="shared" si="17"/>
        <v>0</v>
      </c>
    </row>
    <row r="127" spans="6:14" ht="20.100000000000001" customHeight="1" x14ac:dyDescent="0.25">
      <c r="K127" s="20">
        <f t="shared" si="17"/>
        <v>0</v>
      </c>
      <c r="M127" s="22">
        <f>K130-K131</f>
        <v>97238.999999999971</v>
      </c>
      <c r="N127" t="s">
        <v>22</v>
      </c>
    </row>
    <row r="128" spans="6:14" ht="20.100000000000001" customHeight="1" x14ac:dyDescent="0.25">
      <c r="K128" s="20">
        <f t="shared" si="17"/>
        <v>0</v>
      </c>
    </row>
    <row r="129" spans="8:12" ht="20.100000000000001" customHeight="1" x14ac:dyDescent="0.25">
      <c r="K129" s="20">
        <f t="shared" si="17"/>
        <v>0</v>
      </c>
    </row>
    <row r="130" spans="8:12" ht="20.100000000000001" customHeight="1" x14ac:dyDescent="0.25">
      <c r="K130" s="21">
        <f>SUM(K121:K129)</f>
        <v>135916.99999999997</v>
      </c>
      <c r="L130" t="s">
        <v>20</v>
      </c>
    </row>
    <row r="131" spans="8:12" ht="20.100000000000001" customHeight="1" x14ac:dyDescent="0.25">
      <c r="H131" s="14">
        <f>273+80.25</f>
        <v>353.25</v>
      </c>
      <c r="K131" s="22">
        <f>O49</f>
        <v>38678</v>
      </c>
      <c r="L131" t="s">
        <v>21</v>
      </c>
    </row>
  </sheetData>
  <mergeCells count="6">
    <mergeCell ref="M93:N93"/>
    <mergeCell ref="M94:N94"/>
    <mergeCell ref="M95:N95"/>
    <mergeCell ref="M91:O91"/>
    <mergeCell ref="M96:N96"/>
    <mergeCell ref="M92:O92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2025-05-29T07:14:43Z</dcterms:modified>
</cp:coreProperties>
</file>