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A8E671A2-AA21-4134-BAA3-BE9837C15A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K47" i="1" s="1"/>
  <c r="R37" i="1" l="1"/>
  <c r="S34" i="1"/>
  <c r="S33" i="1"/>
  <c r="S30" i="1"/>
  <c r="S29" i="1"/>
  <c r="S28" i="1"/>
  <c r="S27" i="1"/>
  <c r="S26" i="1"/>
  <c r="S23" i="1"/>
  <c r="S22" i="1"/>
  <c r="S21" i="1"/>
  <c r="S20" i="1"/>
  <c r="S17" i="1"/>
  <c r="S16" i="1"/>
  <c r="S15" i="1"/>
  <c r="S13" i="1"/>
  <c r="S12" i="1"/>
  <c r="S9" i="1"/>
  <c r="S8" i="1"/>
  <c r="V34" i="1" l="1"/>
  <c r="V33" i="1"/>
  <c r="X35" i="1" s="1"/>
  <c r="G26" i="1" l="1"/>
  <c r="L26" i="1" s="1"/>
  <c r="H26" i="1" l="1"/>
  <c r="I26" i="1" s="1"/>
  <c r="J26" i="1"/>
  <c r="K26" i="1"/>
  <c r="N26" i="1" l="1"/>
  <c r="V20" i="1"/>
  <c r="E20" i="1"/>
  <c r="G20" i="1" s="1"/>
  <c r="P26" i="1" l="1"/>
  <c r="X31" i="1" s="1"/>
  <c r="E27" i="1"/>
  <c r="P27" i="1" s="1"/>
  <c r="J20" i="1"/>
  <c r="H20" i="1"/>
  <c r="N20" i="1" s="1"/>
  <c r="E21" i="1" s="1"/>
  <c r="P21" i="1" s="1"/>
  <c r="K20" i="1"/>
  <c r="M20" i="1"/>
  <c r="I20" i="1" l="1"/>
  <c r="P20" i="1" s="1"/>
  <c r="X24" i="1" s="1"/>
  <c r="V17" i="1" l="1"/>
  <c r="V16" i="1"/>
  <c r="V15" i="1"/>
  <c r="E15" i="1"/>
  <c r="G15" i="1" s="1"/>
  <c r="H15" i="1" s="1"/>
  <c r="N15" i="1" s="1"/>
  <c r="E16" i="1" s="1"/>
  <c r="P16" i="1" s="1"/>
  <c r="K15" i="1" l="1"/>
  <c r="M15" i="1"/>
  <c r="J15" i="1"/>
  <c r="S11" i="1"/>
  <c r="I15" i="1" l="1"/>
  <c r="P15" i="1" s="1"/>
  <c r="X18" i="1" s="1"/>
  <c r="S10" i="1"/>
  <c r="G8" i="1" l="1"/>
  <c r="L8" i="1" s="1"/>
  <c r="L37" i="1" s="1"/>
  <c r="M8" i="1" l="1"/>
  <c r="M37" i="1" s="1"/>
  <c r="K8" i="1"/>
  <c r="K37" i="1" s="1"/>
  <c r="K46" i="1" s="1"/>
  <c r="J8" i="1"/>
  <c r="H8" i="1"/>
  <c r="V8" i="1"/>
  <c r="I8" i="1" l="1"/>
  <c r="G11" i="1"/>
  <c r="I11" i="1" s="1"/>
  <c r="V11" i="1"/>
  <c r="J11" i="1" l="1"/>
  <c r="P11" i="1" s="1"/>
  <c r="V10" i="1"/>
  <c r="V9" i="1"/>
  <c r="G10" i="1"/>
  <c r="I10" i="1" s="1"/>
  <c r="V37" i="1" l="1"/>
  <c r="J10" i="1"/>
  <c r="N8" i="1"/>
  <c r="E9" i="1" l="1"/>
  <c r="P9" i="1" s="1"/>
  <c r="N37" i="1"/>
  <c r="K49" i="1" s="1"/>
  <c r="P10" i="1"/>
  <c r="J37" i="1"/>
  <c r="P8" i="1"/>
  <c r="P37" i="1" l="1"/>
  <c r="V39" i="1" s="1"/>
  <c r="K48" i="1" s="1"/>
  <c r="X13" i="1"/>
  <c r="X38" i="1" s="1"/>
</calcChain>
</file>

<file path=xl/sharedStrings.xml><?xml version="1.0" encoding="utf-8"?>
<sst xmlns="http://schemas.openxmlformats.org/spreadsheetml/2006/main" count="90" uniqueCount="86">
  <si>
    <t>Amount</t>
  </si>
  <si>
    <t>PAYMENT NOTE No.</t>
  </si>
  <si>
    <t>UTR</t>
  </si>
  <si>
    <t>SD (5%)</t>
  </si>
  <si>
    <t>Advance paid</t>
  </si>
  <si>
    <t>Pipeline laying work</t>
  </si>
  <si>
    <t>Total Paid Amount Rs. -</t>
  </si>
  <si>
    <t>Balance Payable Amount Rs. -</t>
  </si>
  <si>
    <t>Hold Amunt for Quantity excess anainst DPR</t>
  </si>
  <si>
    <t>Ashwini Kumar Pandey</t>
  </si>
  <si>
    <t>Jafarpur Village Pipeline laying work</t>
  </si>
  <si>
    <t>AKP/01</t>
  </si>
  <si>
    <t>30-07-2022 NEFT/AXISP00307447419/RIUP22/429/ASHWINI KUMAR PA 297000.00</t>
  </si>
  <si>
    <t>09-08-2022 NEFT/AXISP00310655299/RIUP22/488/ASHWINI KUMAR PA 198000.00</t>
  </si>
  <si>
    <t>23-08-2022 NEFT/AXISP00313590074/RIUP22/587/ASHWINI KUMAR PA 99000.00</t>
  </si>
  <si>
    <t>16-09-2022 NEFT/AXISP00320727447/RIUP22/768/ASHWINI KUMAR PA 99000.00</t>
  </si>
  <si>
    <t>RIUP22/429</t>
  </si>
  <si>
    <t>RIUP22/488</t>
  </si>
  <si>
    <t>RIUP22/587</t>
  </si>
  <si>
    <t>RIUP22/768</t>
  </si>
  <si>
    <t>11-01-2023 NEFT/AXISP00354136365/RIUP22/1842/ASHWINI KUMAR P 148500.00</t>
  </si>
  <si>
    <t>RIUP22/1842</t>
  </si>
  <si>
    <t>Jaffarpur Village Pump House work</t>
  </si>
  <si>
    <t>RIUP22/683</t>
  </si>
  <si>
    <t>03-09-2022 NEFT/AXISP00317096343/RIUP22/683/ASHWINI KUMAR PA 99000.00</t>
  </si>
  <si>
    <t>RIUP22/767</t>
  </si>
  <si>
    <t>16-09-2022 NEFT/AXISP00320727448/RIUP22/767/ASHWINI KUMAR PA 99000.00</t>
  </si>
  <si>
    <t>RIUP22/842</t>
  </si>
  <si>
    <t>29-09-2022 NEFT/AXISP00323307453/RIUP22/842/ASHWINI KUMAR PA 99000.00</t>
  </si>
  <si>
    <t>Jafarpur Village OHT Construction work</t>
  </si>
  <si>
    <t>RIUP22/682</t>
  </si>
  <si>
    <t>03-09-2022 NEFT/AXISP00317096342/RIUP22/682/ASHWINI KUMAR PA 99000.00</t>
  </si>
  <si>
    <t>RIUP22/709</t>
  </si>
  <si>
    <t>09-09-2022 NEFT/AXISP00318849701/RIUP22/709/ASHWINI KUMAR PA 198000.00</t>
  </si>
  <si>
    <t>RIUP22/1045</t>
  </si>
  <si>
    <t>20-10-2022 NEFT/AXISP00330028510/RIUP22/1045/ASHWINI KUMAR P 247500.00</t>
  </si>
  <si>
    <t>RIUP22/2414</t>
  </si>
  <si>
    <t>2-03-2023 NEFT/AXISP00367916641/RIUP22/2414/ASHWINI KUMAR P 198000.00</t>
  </si>
  <si>
    <t>RIUP22/827</t>
  </si>
  <si>
    <t>26-09-2022 NEFT/AXISP00322525750/RIUP22/827/ASHWINI KUMAR PANDEY ₹ 2,47,500.00</t>
  </si>
  <si>
    <t>RIUP22/1106</t>
  </si>
  <si>
    <t>21-10-2022 NEFT/AXISP00331059030/RIUP22/1106/ASHWINI KUMAR P 99000.00</t>
  </si>
  <si>
    <t>RIUP22/1125</t>
  </si>
  <si>
    <t>29-10-2022 NEFT/AXISP00332271913/RIUP22/1125/ASHWINI KUMAR P 49500.00</t>
  </si>
  <si>
    <t>RIUP/22/1862</t>
  </si>
  <si>
    <t>13-01-2023/NEFTAXISP00327681888 /RIUP/22/1862/ASHWINI KUMAR P 198000.00</t>
  </si>
  <si>
    <t>RIUP22/2315</t>
  </si>
  <si>
    <t>27-02-2023 NEFT/AXISP00365798946/RIUP22/2315/ASHWINI KUMAR P 198000.00</t>
  </si>
  <si>
    <t>RIUP22/873</t>
  </si>
  <si>
    <t>01-10-2022 NEFT/AXISP00324596974/RIUP22/873/ASHWINI KUMAR PA 49000.00</t>
  </si>
  <si>
    <t>RIUP22/1391</t>
  </si>
  <si>
    <t>01-12-2022 NEFT/AXISP00342521078/RIUP22/1391/ASHWINI KUMAR P 396000.00</t>
  </si>
  <si>
    <t>remark</t>
  </si>
  <si>
    <t xml:space="preserve">Total Hold </t>
  </si>
  <si>
    <t>Advance/ Surplus</t>
  </si>
  <si>
    <t xml:space="preserve"> </t>
  </si>
  <si>
    <t>22.7.24 - Girija Joshi</t>
  </si>
  <si>
    <t>DPR Excess  Debit</t>
  </si>
  <si>
    <t>GST Remaining</t>
  </si>
  <si>
    <t>A K pandey</t>
  </si>
  <si>
    <t>GST</t>
  </si>
  <si>
    <t>Kheragadai Village OHT Construction work 175 Kl 16 mtr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</si>
  <si>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</si>
  <si>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</si>
  <si>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</si>
  <si>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</si>
  <si>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</si>
  <si>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</si>
  <si>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</si>
  <si>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</si>
  <si>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</si>
  <si>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</si>
  <si>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</si>
  <si>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</si>
  <si>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</si>
  <si>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</si>
  <si>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</si>
  <si>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</si>
  <si>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</si>
  <si>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Uttar Pradesh</t>
  </si>
  <si>
    <t>Shamli</t>
  </si>
  <si>
    <t>Subcontractor:</t>
  </si>
  <si>
    <t>State:</t>
  </si>
  <si>
    <t>District:</t>
  </si>
  <si>
    <t>Block:</t>
  </si>
  <si>
    <t xml:space="preserve"> Yarpur village   OHTwork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</si>
</sst>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15" fontId="3" fillId="2" borderId="6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165" fontId="6" fillId="2" borderId="5" xfId="0" applyNumberFormat="1" applyFont="1" applyFill="1" applyBorder="1" applyAlignment="1">
      <alignment vertical="center"/>
    </xf>
    <xf numFmtId="165" fontId="6" fillId="2" borderId="13" xfId="0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43" fontId="0" fillId="2" borderId="6" xfId="0" applyNumberForma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9" fontId="3" fillId="3" borderId="14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0" fontId="3" fillId="3" borderId="14" xfId="1" applyNumberFormat="1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>
      <alignment horizontal="center" vertical="center"/>
    </xf>
    <xf numFmtId="0" fontId="3" fillId="2" borderId="7" xfId="1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/>
    </xf>
    <xf numFmtId="43" fontId="9" fillId="4" borderId="6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64" fontId="10" fillId="2" borderId="9" xfId="1" applyFont="1" applyFill="1" applyBorder="1" applyAlignment="1">
      <alignment horizontal="center" vertical="center"/>
    </xf>
    <xf numFmtId="164" fontId="6" fillId="2" borderId="9" xfId="1" applyFont="1" applyFill="1" applyBorder="1" applyAlignment="1">
      <alignment horizontal="center" vertical="center"/>
    </xf>
    <xf numFmtId="0" fontId="6" fillId="0" borderId="0" xfId="0" applyFont="1"/>
    <xf numFmtId="14" fontId="8" fillId="2" borderId="3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zoomScale="81" zoomScaleNormal="81" workbookViewId="0">
      <pane xSplit="1" ySplit="6" topLeftCell="B28" activePane="bottomRight" state="frozen"/>
      <selection pane="topRight" activeCell="B1" sqref="B1"/>
      <selection pane="bottomLeft" activeCell="A6" sqref="A6"/>
      <selection pane="bottomRight" activeCell="B33" sqref="B33"/>
    </sheetView>
  </sheetViews>
  <sheetFormatPr defaultColWidth="9" defaultRowHeight="24.9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41" bestFit="1" customWidth="1"/>
    <col min="5" max="5" width="13.28515625" style="3" bestFit="1" customWidth="1"/>
    <col min="6" max="7" width="13.28515625" style="3" customWidth="1"/>
    <col min="8" max="8" width="14.7109375" style="15" customWidth="1"/>
    <col min="9" max="9" width="12.85546875" style="15" bestFit="1" customWidth="1"/>
    <col min="10" max="10" width="10.7109375" style="3" bestFit="1" customWidth="1"/>
    <col min="11" max="11" width="14.7109375" style="3" bestFit="1" customWidth="1"/>
    <col min="12" max="12" width="12.42578125" style="3" customWidth="1"/>
    <col min="13" max="13" width="12.140625" style="3" customWidth="1"/>
    <col min="14" max="14" width="15.140625" style="3" bestFit="1" customWidth="1"/>
    <col min="15" max="16" width="14.85546875" style="3" customWidth="1"/>
    <col min="17" max="17" width="18.85546875" style="3" bestFit="1" customWidth="1"/>
    <col min="18" max="18" width="14.140625" style="3" bestFit="1" customWidth="1"/>
    <col min="19" max="19" width="13.85546875" style="3" bestFit="1" customWidth="1"/>
    <col min="20" max="20" width="27.85546875" style="3" bestFit="1" customWidth="1"/>
    <col min="21" max="21" width="11.5703125" style="3" bestFit="1" customWidth="1"/>
    <col min="22" max="22" width="19.7109375" style="3" bestFit="1" customWidth="1"/>
    <col min="23" max="23" width="84.85546875" style="3" bestFit="1" customWidth="1"/>
    <col min="24" max="24" width="13.5703125" style="3" bestFit="1" customWidth="1"/>
    <col min="25" max="16384" width="9" style="3"/>
  </cols>
  <sheetData>
    <row r="1" spans="1:24" ht="24.95" customHeight="1" thickBot="1" x14ac:dyDescent="0.3">
      <c r="A1" s="58" t="s">
        <v>81</v>
      </c>
      <c r="B1" s="2" t="s">
        <v>9</v>
      </c>
      <c r="E1" s="4"/>
      <c r="F1" s="4"/>
      <c r="G1" s="4"/>
      <c r="H1" s="5"/>
      <c r="I1" s="5"/>
    </row>
    <row r="2" spans="1:24" ht="24.95" customHeight="1" thickBot="1" x14ac:dyDescent="0.3">
      <c r="A2" s="58" t="s">
        <v>82</v>
      </c>
      <c r="B2" s="6" t="s">
        <v>79</v>
      </c>
      <c r="C2" s="7"/>
      <c r="D2" s="42"/>
      <c r="H2" s="16" t="s">
        <v>5</v>
      </c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4" ht="24.95" customHeight="1" thickBot="1" x14ac:dyDescent="0.3">
      <c r="A3" s="58" t="s">
        <v>83</v>
      </c>
      <c r="B3" s="51" t="s">
        <v>80</v>
      </c>
      <c r="C3" s="7"/>
      <c r="D3" s="42"/>
      <c r="H3" s="16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4" ht="24.95" customHeight="1" thickBot="1" x14ac:dyDescent="0.3">
      <c r="A4" s="58" t="s">
        <v>84</v>
      </c>
      <c r="B4" s="10" t="s">
        <v>80</v>
      </c>
      <c r="C4" s="10"/>
      <c r="D4" s="43"/>
      <c r="E4" s="10"/>
      <c r="F4" s="9"/>
      <c r="G4" s="9"/>
      <c r="H4" s="11"/>
      <c r="I4" s="11"/>
      <c r="J4" s="9"/>
      <c r="K4" s="9"/>
      <c r="L4" s="9"/>
      <c r="M4" s="9"/>
      <c r="Q4" s="9"/>
      <c r="R4" s="12"/>
      <c r="S4" s="12"/>
      <c r="T4" s="12"/>
      <c r="U4" s="12"/>
      <c r="V4" s="12"/>
      <c r="W4" s="12"/>
    </row>
    <row r="5" spans="1:24" ht="24.95" customHeight="1" x14ac:dyDescent="0.25">
      <c r="A5" s="52" t="s">
        <v>62</v>
      </c>
      <c r="B5" s="53" t="s">
        <v>63</v>
      </c>
      <c r="C5" s="54" t="s">
        <v>64</v>
      </c>
      <c r="D5" s="55" t="s">
        <v>65</v>
      </c>
      <c r="E5" s="53" t="s">
        <v>66</v>
      </c>
      <c r="F5" s="53" t="s">
        <v>67</v>
      </c>
      <c r="G5" s="55" t="s">
        <v>68</v>
      </c>
      <c r="H5" s="56" t="s">
        <v>69</v>
      </c>
      <c r="I5" s="57" t="s">
        <v>0</v>
      </c>
      <c r="J5" s="53" t="s">
        <v>70</v>
      </c>
      <c r="K5" s="53" t="s">
        <v>71</v>
      </c>
      <c r="L5" s="53" t="s">
        <v>72</v>
      </c>
      <c r="M5" s="53" t="s">
        <v>73</v>
      </c>
      <c r="N5" s="53" t="s">
        <v>74</v>
      </c>
      <c r="O5" s="31" t="s">
        <v>8</v>
      </c>
      <c r="P5" s="31" t="s">
        <v>75</v>
      </c>
      <c r="Q5" s="31" t="s">
        <v>1</v>
      </c>
      <c r="R5" s="53" t="s">
        <v>76</v>
      </c>
      <c r="S5" s="53" t="s">
        <v>77</v>
      </c>
      <c r="T5" s="31" t="s">
        <v>3</v>
      </c>
      <c r="U5" s="31" t="s">
        <v>4</v>
      </c>
      <c r="V5" s="31" t="s">
        <v>78</v>
      </c>
      <c r="W5" s="31" t="s">
        <v>2</v>
      </c>
      <c r="X5" s="24" t="s">
        <v>52</v>
      </c>
    </row>
    <row r="6" spans="1:24" ht="24.95" customHeight="1" thickBot="1" x14ac:dyDescent="0.3">
      <c r="A6" s="30"/>
      <c r="B6" s="21"/>
      <c r="C6" s="21"/>
      <c r="D6" s="44"/>
      <c r="E6" s="21"/>
      <c r="F6" s="21"/>
      <c r="G6" s="21"/>
      <c r="H6" s="21"/>
      <c r="I6" s="21"/>
      <c r="J6" s="38">
        <v>0.01</v>
      </c>
      <c r="K6" s="38">
        <v>0.05</v>
      </c>
      <c r="L6" s="38">
        <v>0.1</v>
      </c>
      <c r="M6" s="38">
        <v>0.1</v>
      </c>
      <c r="N6" s="21"/>
      <c r="O6" s="21"/>
      <c r="P6" s="21"/>
      <c r="Q6" s="21"/>
      <c r="R6" s="21"/>
      <c r="S6" s="38">
        <v>0.01</v>
      </c>
      <c r="T6" s="38">
        <v>0.05</v>
      </c>
      <c r="U6" s="21"/>
      <c r="V6" s="21"/>
      <c r="W6" s="21"/>
      <c r="X6" s="30"/>
    </row>
    <row r="7" spans="1:24" s="17" customFormat="1" ht="24.95" customHeight="1" x14ac:dyDescent="0.25">
      <c r="A7" s="35"/>
      <c r="B7" s="36"/>
      <c r="C7" s="36"/>
      <c r="D7" s="45"/>
      <c r="E7" s="36"/>
      <c r="F7" s="36"/>
      <c r="G7" s="36"/>
      <c r="H7" s="36"/>
      <c r="I7" s="36"/>
      <c r="J7" s="37" t="s">
        <v>55</v>
      </c>
      <c r="K7" s="37"/>
      <c r="L7" s="37"/>
      <c r="M7" s="37"/>
      <c r="N7" s="36"/>
      <c r="O7" s="36"/>
      <c r="P7" s="36"/>
      <c r="Q7" s="36"/>
      <c r="R7" s="36"/>
      <c r="S7" s="37"/>
      <c r="T7" s="37"/>
      <c r="U7" s="36"/>
      <c r="V7" s="36"/>
      <c r="W7" s="36"/>
      <c r="X7" s="35"/>
    </row>
    <row r="8" spans="1:24" ht="24.95" customHeight="1" x14ac:dyDescent="0.25">
      <c r="A8" s="20">
        <v>51820</v>
      </c>
      <c r="B8" s="19" t="s">
        <v>10</v>
      </c>
      <c r="C8" s="1">
        <v>44896</v>
      </c>
      <c r="D8" s="39" t="s">
        <v>11</v>
      </c>
      <c r="E8" s="13">
        <v>1106460</v>
      </c>
      <c r="F8" s="13">
        <v>0</v>
      </c>
      <c r="G8" s="13">
        <f>ROUND(E8-F8,)</f>
        <v>1106460</v>
      </c>
      <c r="H8" s="13">
        <f>ROUND(G8*18%,)</f>
        <v>199163</v>
      </c>
      <c r="I8" s="13">
        <f>ROUND(G8+H8,)</f>
        <v>1305623</v>
      </c>
      <c r="J8" s="13">
        <f>ROUND(G8*J6,)</f>
        <v>11065</v>
      </c>
      <c r="K8" s="13">
        <f>ROUND(G8*5%,)</f>
        <v>55323</v>
      </c>
      <c r="L8" s="13">
        <f>ROUND(G8*10%,)</f>
        <v>110646</v>
      </c>
      <c r="M8" s="13">
        <f>ROUND(G8*10%,)</f>
        <v>110646</v>
      </c>
      <c r="N8" s="50">
        <f>H8</f>
        <v>199163</v>
      </c>
      <c r="O8" s="13">
        <v>138542</v>
      </c>
      <c r="P8" s="13">
        <f>I8-SUM(J8:O8)</f>
        <v>680238</v>
      </c>
      <c r="Q8" s="13" t="s">
        <v>16</v>
      </c>
      <c r="R8" s="13">
        <v>300000</v>
      </c>
      <c r="S8" s="13">
        <f>R8*1%</f>
        <v>3000</v>
      </c>
      <c r="T8" s="13">
        <v>0</v>
      </c>
      <c r="U8" s="13">
        <v>0</v>
      </c>
      <c r="V8" s="13">
        <f>R8-S8-T8</f>
        <v>297000</v>
      </c>
      <c r="W8" s="26" t="s">
        <v>12</v>
      </c>
      <c r="X8" s="20"/>
    </row>
    <row r="9" spans="1:24" ht="24.95" customHeight="1" x14ac:dyDescent="0.25">
      <c r="A9" s="20">
        <v>51820</v>
      </c>
      <c r="B9" s="19" t="s">
        <v>60</v>
      </c>
      <c r="C9" s="1"/>
      <c r="D9" s="39">
        <v>1</v>
      </c>
      <c r="E9" s="13">
        <f>N8</f>
        <v>199163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50">
        <f>E9</f>
        <v>199163</v>
      </c>
      <c r="Q9" s="13" t="s">
        <v>17</v>
      </c>
      <c r="R9" s="13">
        <v>200000</v>
      </c>
      <c r="S9" s="13">
        <f>R9*1%</f>
        <v>2000</v>
      </c>
      <c r="T9" s="13">
        <v>0</v>
      </c>
      <c r="U9" s="13">
        <v>0</v>
      </c>
      <c r="V9" s="13">
        <f>R9-S9-T9-U9</f>
        <v>198000</v>
      </c>
      <c r="W9" s="26" t="s">
        <v>13</v>
      </c>
      <c r="X9" s="20"/>
    </row>
    <row r="10" spans="1:24" ht="24.95" customHeight="1" x14ac:dyDescent="0.25">
      <c r="A10" s="20">
        <v>51820</v>
      </c>
      <c r="B10" s="19"/>
      <c r="C10" s="1"/>
      <c r="D10" s="39"/>
      <c r="E10" s="13"/>
      <c r="F10" s="13">
        <v>0</v>
      </c>
      <c r="G10" s="13">
        <f>E10-F10</f>
        <v>0</v>
      </c>
      <c r="H10" s="13">
        <v>0</v>
      </c>
      <c r="I10" s="13">
        <f>G10+H10</f>
        <v>0</v>
      </c>
      <c r="J10" s="13">
        <f>J6*I10</f>
        <v>0</v>
      </c>
      <c r="K10" s="13"/>
      <c r="L10" s="13"/>
      <c r="M10" s="13"/>
      <c r="N10" s="13"/>
      <c r="O10" s="13"/>
      <c r="P10" s="13">
        <f>I10-SUM(J10:N10)</f>
        <v>0</v>
      </c>
      <c r="Q10" s="13" t="s">
        <v>18</v>
      </c>
      <c r="R10" s="13">
        <v>100000</v>
      </c>
      <c r="S10" s="13">
        <f>R10*S6</f>
        <v>1000</v>
      </c>
      <c r="T10" s="13"/>
      <c r="U10" s="13"/>
      <c r="V10" s="13">
        <f t="shared" ref="V10" si="0">R10-S10</f>
        <v>99000</v>
      </c>
      <c r="W10" s="26" t="s">
        <v>14</v>
      </c>
      <c r="X10" s="20"/>
    </row>
    <row r="11" spans="1:24" ht="24.95" customHeight="1" x14ac:dyDescent="0.25">
      <c r="A11" s="20">
        <v>51820</v>
      </c>
      <c r="B11" s="19"/>
      <c r="C11" s="1"/>
      <c r="D11" s="39"/>
      <c r="E11" s="13"/>
      <c r="F11" s="13">
        <v>0</v>
      </c>
      <c r="G11" s="13">
        <f>E11-F11</f>
        <v>0</v>
      </c>
      <c r="H11" s="13">
        <v>0</v>
      </c>
      <c r="I11" s="13">
        <f>G11+H11</f>
        <v>0</v>
      </c>
      <c r="J11" s="13">
        <f>J$6*I11</f>
        <v>0</v>
      </c>
      <c r="K11" s="13">
        <v>0</v>
      </c>
      <c r="L11" s="13"/>
      <c r="M11" s="13"/>
      <c r="N11" s="13">
        <v>0</v>
      </c>
      <c r="O11" s="13"/>
      <c r="P11" s="13">
        <f>I11-SUM(J11:N11)</f>
        <v>0</v>
      </c>
      <c r="Q11" s="13" t="s">
        <v>19</v>
      </c>
      <c r="R11" s="13">
        <v>100000</v>
      </c>
      <c r="S11" s="13">
        <f>R11*S6</f>
        <v>1000</v>
      </c>
      <c r="T11" s="13"/>
      <c r="U11" s="13">
        <v>0</v>
      </c>
      <c r="V11" s="13">
        <f>R11-S11-T11-U11</f>
        <v>99000</v>
      </c>
      <c r="W11" s="26" t="s">
        <v>15</v>
      </c>
      <c r="X11" s="20"/>
    </row>
    <row r="12" spans="1:24" ht="24.95" customHeight="1" x14ac:dyDescent="0.25">
      <c r="A12" s="20">
        <v>51820</v>
      </c>
      <c r="B12" s="13"/>
      <c r="C12" s="13"/>
      <c r="D12" s="46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 t="s">
        <v>21</v>
      </c>
      <c r="R12" s="13">
        <v>200000</v>
      </c>
      <c r="S12" s="13">
        <f>R12*1%</f>
        <v>2000</v>
      </c>
      <c r="T12" s="13"/>
      <c r="U12" s="13"/>
      <c r="V12" s="13">
        <v>148500</v>
      </c>
      <c r="W12" s="26" t="s">
        <v>20</v>
      </c>
      <c r="X12" s="20"/>
    </row>
    <row r="13" spans="1:24" ht="24.95" customHeight="1" x14ac:dyDescent="0.25">
      <c r="A13" s="20">
        <v>51820</v>
      </c>
      <c r="B13" s="13"/>
      <c r="C13" s="13"/>
      <c r="D13" s="4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>
        <f>R13*1%</f>
        <v>0</v>
      </c>
      <c r="T13" s="13"/>
      <c r="U13" s="13"/>
      <c r="V13" s="13"/>
      <c r="W13" s="26"/>
      <c r="X13" s="27">
        <f>SUM(P8:P13)-SUM(V8:V13)</f>
        <v>37901</v>
      </c>
    </row>
    <row r="14" spans="1:24" s="17" customFormat="1" ht="24.95" customHeight="1" x14ac:dyDescent="0.25">
      <c r="A14" s="25"/>
      <c r="B14" s="18"/>
      <c r="C14" s="18"/>
      <c r="D14" s="4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25"/>
      <c r="X14" s="25"/>
    </row>
    <row r="15" spans="1:24" ht="24.95" customHeight="1" x14ac:dyDescent="0.25">
      <c r="A15" s="20">
        <v>52349</v>
      </c>
      <c r="B15" s="19" t="s">
        <v>22</v>
      </c>
      <c r="C15" s="1">
        <v>44898</v>
      </c>
      <c r="D15" s="40">
        <v>4</v>
      </c>
      <c r="E15" s="13">
        <f>370000*50%</f>
        <v>185000</v>
      </c>
      <c r="F15" s="13">
        <v>9537.5</v>
      </c>
      <c r="G15" s="13">
        <f>ROUND(E15-F15,0)</f>
        <v>175463</v>
      </c>
      <c r="H15" s="13">
        <f>ROUND(G15*18%,0)</f>
        <v>31583</v>
      </c>
      <c r="I15" s="13">
        <f>G15+H15</f>
        <v>207046</v>
      </c>
      <c r="J15" s="13">
        <f>G15*$J$6</f>
        <v>1754.63</v>
      </c>
      <c r="K15" s="13">
        <f>G15*$K$6</f>
        <v>8773.15</v>
      </c>
      <c r="L15" s="13"/>
      <c r="M15" s="13">
        <f>H15</f>
        <v>31583</v>
      </c>
      <c r="N15" s="50">
        <f>H15</f>
        <v>31583</v>
      </c>
      <c r="O15" s="20"/>
      <c r="P15" s="13">
        <f>ROUND(I15-SUM(J15:N15),0)</f>
        <v>133352</v>
      </c>
      <c r="Q15" s="13" t="s">
        <v>23</v>
      </c>
      <c r="R15" s="13">
        <v>100000</v>
      </c>
      <c r="S15" s="13">
        <f t="shared" ref="S15:S17" si="1">R15*1%</f>
        <v>1000</v>
      </c>
      <c r="T15" s="13"/>
      <c r="U15" s="13"/>
      <c r="V15" s="13">
        <f>R15-S15</f>
        <v>99000</v>
      </c>
      <c r="W15" s="28" t="s">
        <v>24</v>
      </c>
      <c r="X15" s="20"/>
    </row>
    <row r="16" spans="1:24" ht="24.95" customHeight="1" x14ac:dyDescent="0.25">
      <c r="A16" s="20">
        <v>52349</v>
      </c>
      <c r="B16" s="13" t="s">
        <v>60</v>
      </c>
      <c r="C16" s="13"/>
      <c r="D16" s="46">
        <v>4</v>
      </c>
      <c r="E16" s="13">
        <f>N15</f>
        <v>31583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50">
        <f>E16</f>
        <v>31583</v>
      </c>
      <c r="Q16" s="13" t="s">
        <v>25</v>
      </c>
      <c r="R16" s="13">
        <v>100000</v>
      </c>
      <c r="S16" s="13">
        <f t="shared" si="1"/>
        <v>1000</v>
      </c>
      <c r="T16" s="13"/>
      <c r="U16" s="13"/>
      <c r="V16" s="13">
        <f>R16-S16</f>
        <v>99000</v>
      </c>
      <c r="W16" s="28" t="s">
        <v>26</v>
      </c>
      <c r="X16" s="20"/>
    </row>
    <row r="17" spans="1:24" ht="24.95" customHeight="1" x14ac:dyDescent="0.25">
      <c r="A17" s="20">
        <v>52349</v>
      </c>
      <c r="B17" s="13"/>
      <c r="C17" s="13"/>
      <c r="D17" s="4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 t="s">
        <v>27</v>
      </c>
      <c r="R17" s="13">
        <v>100000</v>
      </c>
      <c r="S17" s="13">
        <f t="shared" si="1"/>
        <v>1000</v>
      </c>
      <c r="T17" s="13">
        <v>0</v>
      </c>
      <c r="U17" s="13"/>
      <c r="V17" s="13">
        <f>ROUND(R17-S17-T17-U17,0)</f>
        <v>99000</v>
      </c>
      <c r="W17" s="26" t="s">
        <v>28</v>
      </c>
      <c r="X17" s="20"/>
    </row>
    <row r="18" spans="1:24" ht="24.95" customHeight="1" x14ac:dyDescent="0.25">
      <c r="A18" s="20">
        <v>52349</v>
      </c>
      <c r="B18" s="13"/>
      <c r="C18" s="13"/>
      <c r="D18" s="4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26"/>
      <c r="X18" s="27">
        <f>SUM(P15:P18)-SUM(V15:V18)</f>
        <v>-132065</v>
      </c>
    </row>
    <row r="19" spans="1:24" s="17" customFormat="1" ht="24.95" customHeight="1" x14ac:dyDescent="0.25">
      <c r="A19" s="25"/>
      <c r="B19" s="18"/>
      <c r="C19" s="18"/>
      <c r="D19" s="4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25"/>
      <c r="X19" s="25"/>
    </row>
    <row r="20" spans="1:24" ht="24.95" customHeight="1" x14ac:dyDescent="0.25">
      <c r="A20" s="20">
        <v>52351</v>
      </c>
      <c r="B20" s="19" t="s">
        <v>29</v>
      </c>
      <c r="C20" s="1">
        <v>44982</v>
      </c>
      <c r="D20" s="39">
        <v>3</v>
      </c>
      <c r="E20" s="13">
        <f>2361882*35%</f>
        <v>826658.7</v>
      </c>
      <c r="F20" s="13">
        <v>636868</v>
      </c>
      <c r="G20" s="13">
        <f>E20-F20</f>
        <v>189790.69999999995</v>
      </c>
      <c r="H20" s="13">
        <f>G20*18%</f>
        <v>34162.325999999994</v>
      </c>
      <c r="I20" s="13">
        <f>G20+H20</f>
        <v>223953.02599999995</v>
      </c>
      <c r="J20" s="13">
        <f>G20*J18</f>
        <v>0</v>
      </c>
      <c r="K20" s="13">
        <f>G20*5%</f>
        <v>9489.534999999998</v>
      </c>
      <c r="L20" s="13"/>
      <c r="M20" s="13">
        <f>G20*M18</f>
        <v>0</v>
      </c>
      <c r="N20" s="50">
        <f>H20</f>
        <v>34162.325999999994</v>
      </c>
      <c r="O20" s="20"/>
      <c r="P20" s="13">
        <f>I20-SUM(J20:N20)</f>
        <v>180301.16499999998</v>
      </c>
      <c r="Q20" s="13" t="s">
        <v>30</v>
      </c>
      <c r="R20" s="13">
        <v>100000</v>
      </c>
      <c r="S20" s="13">
        <f t="shared" ref="S20:S23" si="2">R20*1%</f>
        <v>1000</v>
      </c>
      <c r="T20" s="13">
        <v>0</v>
      </c>
      <c r="U20" s="13">
        <v>0</v>
      </c>
      <c r="V20" s="13">
        <f>R20-S20-T20</f>
        <v>99000</v>
      </c>
      <c r="W20" s="26" t="s">
        <v>31</v>
      </c>
      <c r="X20" s="20"/>
    </row>
    <row r="21" spans="1:24" ht="24.95" customHeight="1" x14ac:dyDescent="0.25">
      <c r="A21" s="20">
        <v>52351</v>
      </c>
      <c r="B21" s="13" t="s">
        <v>60</v>
      </c>
      <c r="C21" s="13"/>
      <c r="D21" s="46">
        <v>3</v>
      </c>
      <c r="E21" s="13">
        <f>N20</f>
        <v>34162.325999999994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50">
        <f>E21</f>
        <v>34162.325999999994</v>
      </c>
      <c r="Q21" s="13" t="s">
        <v>32</v>
      </c>
      <c r="R21" s="13">
        <v>200000</v>
      </c>
      <c r="S21" s="13">
        <f t="shared" si="2"/>
        <v>2000</v>
      </c>
      <c r="T21" s="13">
        <v>0</v>
      </c>
      <c r="U21" s="13">
        <v>0</v>
      </c>
      <c r="V21" s="13">
        <v>198000</v>
      </c>
      <c r="W21" s="26" t="s">
        <v>33</v>
      </c>
      <c r="X21" s="20"/>
    </row>
    <row r="22" spans="1:24" ht="24.95" customHeight="1" x14ac:dyDescent="0.25">
      <c r="A22" s="20">
        <v>52351</v>
      </c>
      <c r="B22" s="13"/>
      <c r="C22" s="13"/>
      <c r="D22" s="4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 t="s">
        <v>34</v>
      </c>
      <c r="R22" s="13">
        <v>250000</v>
      </c>
      <c r="S22" s="13">
        <f t="shared" si="2"/>
        <v>2500</v>
      </c>
      <c r="T22" s="13"/>
      <c r="U22" s="13"/>
      <c r="V22" s="13">
        <v>247500</v>
      </c>
      <c r="W22" s="26" t="s">
        <v>35</v>
      </c>
      <c r="X22" s="20"/>
    </row>
    <row r="23" spans="1:24" ht="24.95" customHeight="1" x14ac:dyDescent="0.25">
      <c r="A23" s="20">
        <v>52351</v>
      </c>
      <c r="B23" s="13"/>
      <c r="C23" s="13"/>
      <c r="D23" s="4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 t="s">
        <v>36</v>
      </c>
      <c r="R23" s="13">
        <v>200000</v>
      </c>
      <c r="S23" s="13">
        <f t="shared" si="2"/>
        <v>2000</v>
      </c>
      <c r="T23" s="13"/>
      <c r="U23" s="13">
        <v>0</v>
      </c>
      <c r="V23" s="13">
        <v>198000</v>
      </c>
      <c r="W23" s="26" t="s">
        <v>37</v>
      </c>
      <c r="X23" s="20"/>
    </row>
    <row r="24" spans="1:24" ht="24.95" customHeight="1" x14ac:dyDescent="0.25">
      <c r="A24" s="20">
        <v>52351</v>
      </c>
      <c r="B24" s="13"/>
      <c r="C24" s="13"/>
      <c r="D24" s="46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26"/>
      <c r="X24" s="27">
        <f>SUM(P20:P24)-SUM(V20:V24)</f>
        <v>-528036.50900000008</v>
      </c>
    </row>
    <row r="25" spans="1:24" s="17" customFormat="1" ht="24.95" customHeight="1" x14ac:dyDescent="0.25">
      <c r="A25" s="25"/>
      <c r="B25" s="18"/>
      <c r="C25" s="18"/>
      <c r="D25" s="4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25"/>
      <c r="X25" s="25"/>
    </row>
    <row r="26" spans="1:24" ht="24.95" customHeight="1" x14ac:dyDescent="0.25">
      <c r="A26" s="20">
        <v>52494</v>
      </c>
      <c r="B26" s="19" t="s">
        <v>61</v>
      </c>
      <c r="C26" s="1">
        <v>44982</v>
      </c>
      <c r="D26" s="39">
        <v>2</v>
      </c>
      <c r="E26" s="13">
        <v>509900.79999999999</v>
      </c>
      <c r="F26" s="13">
        <v>283116</v>
      </c>
      <c r="G26" s="13">
        <f>ROUND(E26-F26,)</f>
        <v>226785</v>
      </c>
      <c r="H26" s="13">
        <f>G26*18%</f>
        <v>40821.299999999996</v>
      </c>
      <c r="I26" s="13">
        <f>G26+H26</f>
        <v>267606.3</v>
      </c>
      <c r="J26" s="13">
        <f>ROUND(G26*$J$6,)</f>
        <v>2268</v>
      </c>
      <c r="K26" s="13">
        <f>ROUND(G26*$K$6,)</f>
        <v>11339</v>
      </c>
      <c r="L26" s="13">
        <f>ROUND(G26*$L$6,)</f>
        <v>22679</v>
      </c>
      <c r="M26" s="13">
        <v>0</v>
      </c>
      <c r="N26" s="50">
        <f>H26</f>
        <v>40821.299999999996</v>
      </c>
      <c r="O26" s="20"/>
      <c r="P26" s="13">
        <f>ROUND(I26-SUM(J26:N26),0)</f>
        <v>190499</v>
      </c>
      <c r="Q26" s="13" t="s">
        <v>38</v>
      </c>
      <c r="R26" s="13">
        <v>250000</v>
      </c>
      <c r="S26" s="13">
        <f t="shared" ref="S26:S30" si="3">R26*1%</f>
        <v>2500</v>
      </c>
      <c r="T26" s="13">
        <v>0</v>
      </c>
      <c r="U26" s="13">
        <v>0</v>
      </c>
      <c r="V26" s="13">
        <v>247500</v>
      </c>
      <c r="W26" s="26" t="s">
        <v>39</v>
      </c>
      <c r="X26" s="20"/>
    </row>
    <row r="27" spans="1:24" ht="24.95" customHeight="1" x14ac:dyDescent="0.25">
      <c r="A27" s="20">
        <v>52494</v>
      </c>
      <c r="B27" s="13" t="s">
        <v>60</v>
      </c>
      <c r="C27" s="13"/>
      <c r="D27" s="46">
        <v>2</v>
      </c>
      <c r="E27" s="13">
        <f>N26</f>
        <v>40821.299999999996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50">
        <f>E27</f>
        <v>40821.299999999996</v>
      </c>
      <c r="Q27" s="13" t="s">
        <v>40</v>
      </c>
      <c r="R27" s="13">
        <v>100000</v>
      </c>
      <c r="S27" s="13">
        <f t="shared" si="3"/>
        <v>1000</v>
      </c>
      <c r="T27" s="13">
        <v>0</v>
      </c>
      <c r="U27" s="13">
        <v>0</v>
      </c>
      <c r="V27" s="13">
        <v>99000</v>
      </c>
      <c r="W27" s="26" t="s">
        <v>41</v>
      </c>
      <c r="X27" s="20"/>
    </row>
    <row r="28" spans="1:24" ht="24.95" customHeight="1" x14ac:dyDescent="0.25">
      <c r="A28" s="20">
        <v>52494</v>
      </c>
      <c r="B28" s="13"/>
      <c r="C28" s="13"/>
      <c r="D28" s="4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 t="s">
        <v>42</v>
      </c>
      <c r="R28" s="13">
        <v>50000</v>
      </c>
      <c r="S28" s="13">
        <f t="shared" si="3"/>
        <v>500</v>
      </c>
      <c r="T28" s="13">
        <v>0</v>
      </c>
      <c r="U28" s="13">
        <v>0</v>
      </c>
      <c r="V28" s="13">
        <v>49500</v>
      </c>
      <c r="W28" s="26" t="s">
        <v>43</v>
      </c>
      <c r="X28" s="20"/>
    </row>
    <row r="29" spans="1:24" ht="24.95" customHeight="1" x14ac:dyDescent="0.25">
      <c r="A29" s="20">
        <v>52494</v>
      </c>
      <c r="B29" s="13"/>
      <c r="C29" s="13"/>
      <c r="D29" s="4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 t="s">
        <v>44</v>
      </c>
      <c r="R29" s="13">
        <v>200000</v>
      </c>
      <c r="S29" s="13">
        <f t="shared" si="3"/>
        <v>2000</v>
      </c>
      <c r="T29" s="13">
        <v>0</v>
      </c>
      <c r="U29" s="13">
        <v>0</v>
      </c>
      <c r="V29" s="13">
        <v>198000</v>
      </c>
      <c r="W29" s="26" t="s">
        <v>45</v>
      </c>
      <c r="X29" s="20"/>
    </row>
    <row r="30" spans="1:24" ht="24.95" customHeight="1" x14ac:dyDescent="0.25">
      <c r="A30" s="20">
        <v>52494</v>
      </c>
      <c r="B30" s="13"/>
      <c r="C30" s="13"/>
      <c r="D30" s="46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 t="s">
        <v>46</v>
      </c>
      <c r="R30" s="13">
        <v>200000</v>
      </c>
      <c r="S30" s="13">
        <f t="shared" si="3"/>
        <v>2000</v>
      </c>
      <c r="T30" s="13">
        <v>0</v>
      </c>
      <c r="U30" s="13">
        <v>0</v>
      </c>
      <c r="V30" s="13">
        <v>198000</v>
      </c>
      <c r="W30" s="26" t="s">
        <v>47</v>
      </c>
      <c r="X30" s="20"/>
    </row>
    <row r="31" spans="1:24" ht="24.95" customHeight="1" x14ac:dyDescent="0.25">
      <c r="A31" s="20">
        <v>52494</v>
      </c>
      <c r="B31" s="13"/>
      <c r="C31" s="13"/>
      <c r="D31" s="46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26"/>
      <c r="X31" s="27">
        <f>SUM(P26:P31)-SUM(V26:V30)</f>
        <v>-560679.69999999995</v>
      </c>
    </row>
    <row r="32" spans="1:24" s="17" customFormat="1" ht="24.95" customHeight="1" x14ac:dyDescent="0.25">
      <c r="A32" s="25"/>
      <c r="B32" s="18"/>
      <c r="C32" s="18"/>
      <c r="D32" s="4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25"/>
      <c r="X32" s="25"/>
    </row>
    <row r="33" spans="1:24" ht="24.95" customHeight="1" x14ac:dyDescent="0.25">
      <c r="A33" s="20">
        <v>52497</v>
      </c>
      <c r="B33" s="13" t="s">
        <v>85</v>
      </c>
      <c r="C33" s="13"/>
      <c r="D33" s="46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 t="s">
        <v>48</v>
      </c>
      <c r="R33" s="13">
        <v>50000</v>
      </c>
      <c r="S33" s="13">
        <f t="shared" ref="S33:S34" si="4">R33*1%</f>
        <v>500</v>
      </c>
      <c r="T33" s="13">
        <v>0</v>
      </c>
      <c r="U33" s="13">
        <v>0</v>
      </c>
      <c r="V33" s="13">
        <f t="shared" ref="V33:V34" si="5">R33-S33</f>
        <v>49500</v>
      </c>
      <c r="W33" s="26" t="s">
        <v>49</v>
      </c>
      <c r="X33" s="20"/>
    </row>
    <row r="34" spans="1:24" ht="24.95" customHeight="1" x14ac:dyDescent="0.25">
      <c r="A34" s="20">
        <v>52497</v>
      </c>
      <c r="B34" s="13"/>
      <c r="C34" s="13"/>
      <c r="D34" s="46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 t="s">
        <v>50</v>
      </c>
      <c r="R34" s="13">
        <v>400000</v>
      </c>
      <c r="S34" s="13">
        <f t="shared" si="4"/>
        <v>4000</v>
      </c>
      <c r="T34" s="13">
        <v>0</v>
      </c>
      <c r="U34" s="13">
        <v>0</v>
      </c>
      <c r="V34" s="13">
        <f t="shared" si="5"/>
        <v>396000</v>
      </c>
      <c r="W34" s="26" t="s">
        <v>51</v>
      </c>
      <c r="X34" s="20"/>
    </row>
    <row r="35" spans="1:24" ht="24.95" customHeight="1" x14ac:dyDescent="0.25">
      <c r="A35" s="20"/>
      <c r="B35" s="13"/>
      <c r="C35" s="13"/>
      <c r="D35" s="46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6"/>
      <c r="X35" s="27">
        <f>SUM(P33:P35)-SUM(V33:V35)</f>
        <v>-445500</v>
      </c>
    </row>
    <row r="36" spans="1:24" ht="24.95" customHeight="1" thickBot="1" x14ac:dyDescent="0.3">
      <c r="A36" s="14"/>
      <c r="B36" s="14"/>
      <c r="C36" s="14"/>
      <c r="D36" s="48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32"/>
    </row>
    <row r="37" spans="1:24" ht="24.95" customHeight="1" x14ac:dyDescent="0.25">
      <c r="A37" s="33"/>
      <c r="B37" s="33"/>
      <c r="C37" s="33"/>
      <c r="D37" s="49"/>
      <c r="E37" s="33"/>
      <c r="F37" s="33"/>
      <c r="G37" s="33"/>
      <c r="H37" s="33"/>
      <c r="I37" s="33"/>
      <c r="J37" s="34">
        <f t="shared" ref="J37:O37" si="6">SUM(J8:J35)</f>
        <v>15087.630000000001</v>
      </c>
      <c r="K37" s="34">
        <f t="shared" si="6"/>
        <v>84924.684999999998</v>
      </c>
      <c r="L37" s="34">
        <f t="shared" si="6"/>
        <v>133325</v>
      </c>
      <c r="M37" s="34">
        <f t="shared" si="6"/>
        <v>142229</v>
      </c>
      <c r="N37" s="34">
        <f t="shared" si="6"/>
        <v>305729.62599999999</v>
      </c>
      <c r="O37" s="34">
        <f t="shared" si="6"/>
        <v>138542</v>
      </c>
      <c r="P37" s="34">
        <f>SUM(P8:P35)</f>
        <v>1490119.791</v>
      </c>
      <c r="Q37" s="33"/>
      <c r="R37" s="34">
        <f>SUM(R6:R35)</f>
        <v>3200000</v>
      </c>
      <c r="S37" s="33"/>
      <c r="T37" s="34" t="s">
        <v>6</v>
      </c>
      <c r="U37" s="33"/>
      <c r="V37" s="34">
        <f>SUM(V6:V35)</f>
        <v>3118500</v>
      </c>
      <c r="W37" s="33"/>
      <c r="X37" s="24"/>
    </row>
    <row r="38" spans="1:24" ht="24.95" customHeight="1" x14ac:dyDescent="0.25">
      <c r="A38" s="13"/>
      <c r="B38" s="13"/>
      <c r="C38" s="13"/>
      <c r="D38" s="46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>
        <f t="shared" ref="X38" si="7">SUM(X8:X37)</f>
        <v>-1628380.209</v>
      </c>
    </row>
    <row r="39" spans="1:24" ht="24.95" customHeight="1" thickBot="1" x14ac:dyDescent="0.3">
      <c r="A39" s="21"/>
      <c r="B39" s="21"/>
      <c r="C39" s="21"/>
      <c r="D39" s="4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9" t="s">
        <v>7</v>
      </c>
      <c r="U39" s="21"/>
      <c r="V39" s="29">
        <f>P37-V37</f>
        <v>-1628380.209</v>
      </c>
      <c r="W39" s="21"/>
      <c r="X39" s="30"/>
    </row>
    <row r="43" spans="1:24" ht="24.95" customHeight="1" thickBot="1" x14ac:dyDescent="0.3"/>
    <row r="44" spans="1:24" ht="24.95" customHeight="1" thickBot="1" x14ac:dyDescent="0.3">
      <c r="I44" s="59" t="s">
        <v>59</v>
      </c>
      <c r="J44" s="60"/>
      <c r="K44" s="61"/>
    </row>
    <row r="45" spans="1:24" ht="24.95" customHeight="1" thickBot="1" x14ac:dyDescent="0.3">
      <c r="I45" s="59" t="s">
        <v>56</v>
      </c>
      <c r="J45" s="64"/>
      <c r="K45" s="65"/>
    </row>
    <row r="46" spans="1:24" ht="24.95" customHeight="1" thickBot="1" x14ac:dyDescent="0.3">
      <c r="I46" s="66" t="s">
        <v>53</v>
      </c>
      <c r="J46" s="67"/>
      <c r="K46" s="22">
        <f>K37+L37+M37</f>
        <v>360478.685</v>
      </c>
    </row>
    <row r="47" spans="1:24" ht="24.95" customHeight="1" thickBot="1" x14ac:dyDescent="0.3">
      <c r="I47" s="66" t="s">
        <v>57</v>
      </c>
      <c r="J47" s="67"/>
      <c r="K47" s="22">
        <f>O37</f>
        <v>138542</v>
      </c>
    </row>
    <row r="48" spans="1:24" ht="24.95" customHeight="1" thickBot="1" x14ac:dyDescent="0.3">
      <c r="I48" s="62" t="s">
        <v>54</v>
      </c>
      <c r="J48" s="63"/>
      <c r="K48" s="23">
        <f>V39</f>
        <v>-1628380.209</v>
      </c>
    </row>
    <row r="49" spans="9:11" ht="24.95" customHeight="1" thickBot="1" x14ac:dyDescent="0.3">
      <c r="I49" s="62" t="s">
        <v>58</v>
      </c>
      <c r="J49" s="63"/>
      <c r="K49" s="23">
        <f>N37-P27-P21-P16-P9</f>
        <v>0</v>
      </c>
    </row>
  </sheetData>
  <mergeCells count="6">
    <mergeCell ref="I44:K44"/>
    <mergeCell ref="I49:J49"/>
    <mergeCell ref="I45:K45"/>
    <mergeCell ref="I46:J46"/>
    <mergeCell ref="I47:J47"/>
    <mergeCell ref="I48:J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2025-05-29T12:30:20Z</dcterms:modified>
</cp:coreProperties>
</file>