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0100FFE9-5117-4560-B364-69F21B5A29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Sheet1!$F$1:$F$2744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34" i="1"/>
  <c r="G24" i="1"/>
  <c r="H24" i="1" s="1"/>
  <c r="N24" i="1" s="1"/>
  <c r="G32" i="1"/>
  <c r="K32" i="1" s="1"/>
  <c r="G30" i="1"/>
  <c r="K30" i="1" s="1"/>
  <c r="J16" i="1" l="1"/>
  <c r="K16" i="1"/>
  <c r="N16" i="1"/>
  <c r="H16" i="1"/>
  <c r="I16" i="1" s="1"/>
  <c r="P16" i="1" s="1"/>
  <c r="H34" i="1"/>
  <c r="N34" i="1" s="1"/>
  <c r="J34" i="1"/>
  <c r="K34" i="1"/>
  <c r="J24" i="1"/>
  <c r="I24" i="1"/>
  <c r="K24" i="1"/>
  <c r="H32" i="1"/>
  <c r="N32" i="1" s="1"/>
  <c r="E33" i="1" s="1"/>
  <c r="P33" i="1" s="1"/>
  <c r="J32" i="1"/>
  <c r="H30" i="1"/>
  <c r="N30" i="1" s="1"/>
  <c r="E31" i="1" s="1"/>
  <c r="P31" i="1" s="1"/>
  <c r="J30" i="1"/>
  <c r="I32" i="1" l="1"/>
  <c r="P32" i="1" s="1"/>
  <c r="I34" i="1"/>
  <c r="P34" i="1" s="1"/>
  <c r="P24" i="1"/>
  <c r="I30" i="1"/>
  <c r="P30" i="1"/>
  <c r="G14" i="1" l="1"/>
  <c r="N14" i="1" s="1"/>
  <c r="E15" i="1" s="1"/>
  <c r="P15" i="1" s="1"/>
  <c r="H14" i="1" l="1"/>
  <c r="I14" i="1" s="1"/>
  <c r="J14" i="1"/>
  <c r="K14" i="1"/>
  <c r="G22" i="1"/>
  <c r="K22" i="1" s="1"/>
  <c r="O37" i="1"/>
  <c r="L37" i="1"/>
  <c r="P14" i="1" l="1"/>
  <c r="H22" i="1"/>
  <c r="N22" i="1" s="1"/>
  <c r="J22" i="1"/>
  <c r="E28" i="1"/>
  <c r="G28" i="1" s="1"/>
  <c r="K28" i="1" s="1"/>
  <c r="E23" i="1" l="1"/>
  <c r="P23" i="1" s="1"/>
  <c r="I22" i="1"/>
  <c r="P22" i="1" s="1"/>
  <c r="H28" i="1"/>
  <c r="N28" i="1" s="1"/>
  <c r="E29" i="1" s="1"/>
  <c r="P29" i="1" s="1"/>
  <c r="J28" i="1"/>
  <c r="Q25" i="1"/>
  <c r="Q19" i="1"/>
  <c r="U8" i="1"/>
  <c r="I28" i="1" l="1"/>
  <c r="P28" i="1" s="1"/>
  <c r="G10" i="1"/>
  <c r="N10" i="1" s="1"/>
  <c r="E13" i="1" s="1"/>
  <c r="P13" i="1" s="1"/>
  <c r="G9" i="1"/>
  <c r="M9" i="1" s="1"/>
  <c r="M37" i="1" s="1"/>
  <c r="G26" i="1"/>
  <c r="K26" i="1" s="1"/>
  <c r="G20" i="1"/>
  <c r="K20" i="1" s="1"/>
  <c r="J10" i="1" l="1"/>
  <c r="J9" i="1"/>
  <c r="N9" i="1"/>
  <c r="E12" i="1" s="1"/>
  <c r="P12" i="1" s="1"/>
  <c r="K9" i="1"/>
  <c r="K10" i="1"/>
  <c r="H10" i="1"/>
  <c r="I10" i="1" s="1"/>
  <c r="H9" i="1"/>
  <c r="I9" i="1" s="1"/>
  <c r="H26" i="1"/>
  <c r="N26" i="1" s="1"/>
  <c r="E27" i="1" s="1"/>
  <c r="P27" i="1" s="1"/>
  <c r="J26" i="1"/>
  <c r="H20" i="1"/>
  <c r="N20" i="1" s="1"/>
  <c r="E21" i="1" s="1"/>
  <c r="P21" i="1" s="1"/>
  <c r="J20" i="1"/>
  <c r="Q7" i="1"/>
  <c r="G8" i="1"/>
  <c r="K8" i="1" s="1"/>
  <c r="K37" i="1" l="1"/>
  <c r="P10" i="1"/>
  <c r="I20" i="1"/>
  <c r="P20" i="1" s="1"/>
  <c r="W20" i="1" s="1"/>
  <c r="N46" i="1"/>
  <c r="P9" i="1"/>
  <c r="I26" i="1"/>
  <c r="P26" i="1" s="1"/>
  <c r="W26" i="1" s="1"/>
  <c r="H8" i="1"/>
  <c r="N8" i="1" s="1"/>
  <c r="J8" i="1"/>
  <c r="J37" i="1" s="1"/>
  <c r="I8" i="1" l="1"/>
  <c r="P8" i="1" s="1"/>
  <c r="W8" i="1" s="1"/>
  <c r="W37" i="1" s="1"/>
  <c r="E11" i="1"/>
  <c r="P11" i="1" s="1"/>
  <c r="N37" i="1"/>
  <c r="N49" i="1" s="1"/>
  <c r="O39" i="1" l="1"/>
  <c r="U37" i="1" l="1"/>
  <c r="P37" i="1" l="1"/>
  <c r="U39" i="1" l="1"/>
  <c r="N47" i="1" s="1"/>
</calcChain>
</file>

<file path=xl/sharedStrings.xml><?xml version="1.0" encoding="utf-8"?>
<sst xmlns="http://schemas.openxmlformats.org/spreadsheetml/2006/main" count="87" uniqueCount="67">
  <si>
    <t>Amount</t>
  </si>
  <si>
    <t>PAYMENT NOTE No.</t>
  </si>
  <si>
    <t>UTR</t>
  </si>
  <si>
    <t>Pipeline Laying work</t>
  </si>
  <si>
    <t>Total Paid Amount Rs. -</t>
  </si>
  <si>
    <t>Balance Payable Amount Rs. -</t>
  </si>
  <si>
    <t>Hold Amount For Quantity excess against DPR</t>
  </si>
  <si>
    <t>Aadi SHakti Construction</t>
  </si>
  <si>
    <t>10-10-2023 NEFT/AXISP00432944784/RIUP23/2526/AADI SHAKTI CONSTR/PUNB0388500 248960.00</t>
  </si>
  <si>
    <t>RIUP23/2526</t>
  </si>
  <si>
    <t>Kasampur Village 50KL 12m Staging  OHT work</t>
  </si>
  <si>
    <t>03-11-2023 NEFT/AXISP00440155778/RIUP23/3003/AADI SHAKTI CONSTR/PUNB0388500 47673.00</t>
  </si>
  <si>
    <t>09-11-2023 NEFT/AXISP00442541879/RIUP23/3167/AADI SHAKTI CONSTR/PUNB0388500 198000.00</t>
  </si>
  <si>
    <t>RIUP23/3003</t>
  </si>
  <si>
    <t>RIUP23/3167</t>
  </si>
  <si>
    <t>29-11-2023 NEFT/AXISP00447355223/RIUP23/3407/AADI SHAKTI CONSTR/PUNB0388500 126000.00</t>
  </si>
  <si>
    <t>06-12-2023 NEFT/AXISP00450230173/RIUP23/3623/AADI SHAKTI CONSTR/PUNB0388500 69429.00</t>
  </si>
  <si>
    <t>25-01-2024 NEFT/AXISP00464983349/RIUP23/4470/AADI SHAKTI CONSTR/PUNB0388500 ₹ 1,48,500.00</t>
  </si>
  <si>
    <t>20-02-2024 NEFT/AXISP00464478563/RIUP23/4675/AADI SHAKTI CONSTR/PUNB0388500 ₹ 400876.00</t>
  </si>
  <si>
    <t>GST</t>
  </si>
  <si>
    <t>09-11-2023 NEFT/AXISP00442506532/RIUP23/3143/AADI SHAKTI CONSTR/PUNB0388500 97721.00</t>
  </si>
  <si>
    <t>GSt</t>
  </si>
  <si>
    <t>06-12-2023 NEFT/AXISP00450230172/RIUP23/3624/AADI SHAKTI CONSTR/PUNB0388500 18713.00</t>
  </si>
  <si>
    <t>09-11-2023 NEFT/AXISP00442506533/RIUP23/3147/AADI SHAKTI CONSTR/PUNB0388500 197361.00</t>
  </si>
  <si>
    <t>06-12-2023 NEFT/AXISP00450230174/RIUP23/3625/AADI SHAKTI CONSTR/PUNB0388500 37793.00</t>
  </si>
  <si>
    <t>22-03-2024 NEFT/AXISP00483290486/RIUP23/5233/AADI SHAKTI CONSTR/PUNB0388500 519674.00</t>
  </si>
  <si>
    <t>24-04-2024 NEFT/AXISP00493457025/RIUP24/0184/AADI SHAKTI CONSTR/PUNB0388500 105200.00</t>
  </si>
  <si>
    <t>16-05-2024 NEFT/AXISP00500630402/RIUP24/0351/AADI SHAKTI CONSTR/PUNB0388500 99512.00</t>
  </si>
  <si>
    <t>Total Hold ( SD+OC+HT )</t>
  </si>
  <si>
    <t>Advance / Surplus</t>
  </si>
  <si>
    <t>Debit</t>
  </si>
  <si>
    <t>GST Remaining</t>
  </si>
  <si>
    <t>Aadi Shakti Construction</t>
  </si>
  <si>
    <t>Advance Village Wise</t>
  </si>
  <si>
    <t>31-07-2024 NEFT/AXISP00522988539/RIUP24/1118/AADI SHAKTI CONSTR/PUNB0388500 250000.00</t>
  </si>
  <si>
    <t>31-07-2024 NEFT/AXISP00522988547/RIUP24/1308/AADI SHAKTI CONSTR/PUNB0388500 247500.00</t>
  </si>
  <si>
    <t>20-08-2024 NEFT/AXISP00530112320/RIUP24/1505/AADI SHAKTI CONSTR/PUNB0388500 99000.00</t>
  </si>
  <si>
    <t>19-08-2024 NEFT/AXISP00529670925/RIUP24/1489/AADI SHAKTI CONSTR/PUNB0388500 99000.00</t>
  </si>
  <si>
    <t>20-08-2024 NEFT/AXISP00530112321/RIUP24/1506/AADI SHAKTI CONSTR/PUNB0388500 99000.00</t>
  </si>
  <si>
    <t>30-10-2024 NEFT/AXISP00561389904/RIUP24/2360/AADI SHAKTI CONSTR/PUNB0388500 495000.00</t>
  </si>
  <si>
    <t>14-11-2024 NEFT/AXISP00569462153/RIUP24/2472/AADI SHAKTI CONSTR/PUNB0388500 198000.00</t>
  </si>
  <si>
    <t>Updated On 15-04-25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</si>
  <si>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</si>
  <si>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</si>
  <si>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</si>
  <si>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</si>
  <si>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</si>
  <si>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</si>
  <si>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</si>
  <si>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</si>
  <si>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</si>
  <si>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</si>
  <si>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</si>
  <si>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</si>
  <si>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</si>
  <si>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</si>
  <si>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</si>
  <si>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</si>
  <si>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</si>
  <si>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</si>
  <si>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</si>
  <si>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</si>
  <si>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</si>
  <si>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</si>
  <si>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</si>
  <si>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Bhaneri Jaat village OHT work</t>
  </si>
  <si>
    <t>Bhikki Mazra  Village 150KL 14m Staging 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</si>
</sst>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omic Sans MS"/>
      <family val="4"/>
    </font>
    <font>
      <sz val="10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7" fillId="2" borderId="2" xfId="0" applyNumberFormat="1" applyFont="1" applyFill="1" applyBorder="1" applyAlignment="1">
      <alignment horizontal="center" vertical="center"/>
    </xf>
    <xf numFmtId="43" fontId="7" fillId="2" borderId="3" xfId="1" applyNumberFormat="1" applyFont="1" applyFill="1" applyBorder="1" applyAlignment="1">
      <alignment vertical="center"/>
    </xf>
    <xf numFmtId="15" fontId="3" fillId="2" borderId="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43" fontId="7" fillId="2" borderId="2" xfId="1" applyNumberFormat="1" applyFont="1" applyFill="1" applyBorder="1" applyAlignment="1">
      <alignment vertical="center"/>
    </xf>
    <xf numFmtId="9" fontId="7" fillId="2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3" fontId="7" fillId="3" borderId="2" xfId="1" applyNumberFormat="1" applyFont="1" applyFill="1" applyBorder="1" applyAlignment="1">
      <alignment vertical="center"/>
    </xf>
    <xf numFmtId="9" fontId="7" fillId="3" borderId="2" xfId="1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43" fontId="8" fillId="2" borderId="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7" fillId="2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7" fillId="2" borderId="5" xfId="1" applyNumberFormat="1" applyFont="1" applyFill="1" applyBorder="1" applyAlignment="1">
      <alignment vertical="center"/>
    </xf>
    <xf numFmtId="43" fontId="8" fillId="2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14" fillId="5" borderId="2" xfId="1" applyNumberFormat="1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43" fontId="0" fillId="2" borderId="0" xfId="0" applyNumberFormat="1" applyFill="1" applyAlignment="1">
      <alignment vertical="center"/>
    </xf>
    <xf numFmtId="0" fontId="6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43" fontId="16" fillId="2" borderId="5" xfId="1" applyNumberFormat="1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43" fontId="12" fillId="2" borderId="6" xfId="1" applyNumberFormat="1" applyFont="1" applyFill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43" fontId="12" fillId="2" borderId="7" xfId="1" applyNumberFormat="1" applyFont="1" applyFill="1" applyBorder="1" applyAlignment="1">
      <alignment horizontal="center" vertical="center"/>
    </xf>
    <xf numFmtId="43" fontId="12" fillId="2" borderId="8" xfId="1" applyNumberFormat="1" applyFont="1" applyFill="1" applyBorder="1" applyAlignment="1">
      <alignment horizontal="center" vertical="center"/>
    </xf>
    <xf numFmtId="165" fontId="12" fillId="2" borderId="7" xfId="0" applyNumberFormat="1" applyFont="1" applyFill="1" applyBorder="1" applyAlignment="1">
      <alignment horizontal="center" vertical="center"/>
    </xf>
    <xf numFmtId="165" fontId="12" fillId="2" borderId="8" xfId="0" applyNumberFormat="1" applyFont="1" applyFill="1" applyBorder="1" applyAlignment="1">
      <alignment horizontal="center" vertical="center"/>
    </xf>
    <xf numFmtId="43" fontId="11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JT2744"/>
  <sheetViews>
    <sheetView tabSelected="1" zoomScale="85" zoomScaleNormal="85" workbookViewId="0">
      <selection activeCell="B3" sqref="B3"/>
    </sheetView>
  </sheetViews>
  <sheetFormatPr defaultColWidth="9" defaultRowHeight="25.15" customHeight="1" x14ac:dyDescent="0.25"/>
  <cols>
    <col min="1" max="1" width="12" style="47" customWidth="1"/>
    <col min="2" max="2" width="30" style="2" customWidth="1"/>
    <col min="3" max="3" width="13.5703125" style="2" bestFit="1" customWidth="1"/>
    <col min="4" max="4" width="6.28515625" style="2" customWidth="1"/>
    <col min="5" max="5" width="14.28515625" style="2" bestFit="1" customWidth="1"/>
    <col min="6" max="6" width="13.7109375" style="2" bestFit="1" customWidth="1"/>
    <col min="7" max="7" width="15.5703125" style="2" bestFit="1" customWidth="1"/>
    <col min="8" max="8" width="14.7109375" style="12" customWidth="1"/>
    <col min="9" max="9" width="14.5703125" style="12" bestFit="1" customWidth="1"/>
    <col min="10" max="10" width="13.28515625" style="2" customWidth="1"/>
    <col min="11" max="11" width="17.42578125" style="2" customWidth="1"/>
    <col min="12" max="12" width="12.7109375" style="2" bestFit="1" customWidth="1"/>
    <col min="13" max="13" width="18.42578125" style="2" customWidth="1"/>
    <col min="14" max="15" width="14.7109375" style="2" customWidth="1"/>
    <col min="16" max="16" width="16.28515625" style="2" bestFit="1" customWidth="1"/>
    <col min="17" max="17" width="14.7109375" style="2" bestFit="1" customWidth="1"/>
    <col min="18" max="18" width="5.42578125" style="2" customWidth="1"/>
    <col min="19" max="19" width="15" style="2" customWidth="1"/>
    <col min="20" max="20" width="16.85546875" style="2" customWidth="1"/>
    <col min="21" max="21" width="18.7109375" style="2" bestFit="1" customWidth="1"/>
    <col min="22" max="22" width="93.28515625" style="2" bestFit="1" customWidth="1"/>
    <col min="23" max="23" width="18.7109375" style="2" bestFit="1" customWidth="1"/>
    <col min="24" max="28" width="9" style="2"/>
    <col min="29" max="29" width="11.5703125" style="2" bestFit="1" customWidth="1"/>
    <col min="30" max="16384" width="9" style="2"/>
  </cols>
  <sheetData>
    <row r="1" spans="1:71" ht="25.15" customHeight="1" x14ac:dyDescent="0.25">
      <c r="A1" s="55" t="s">
        <v>42</v>
      </c>
      <c r="B1" s="1" t="s">
        <v>7</v>
      </c>
      <c r="E1" s="3"/>
      <c r="F1" s="3"/>
      <c r="G1" s="3"/>
      <c r="H1" s="4"/>
      <c r="I1" s="4"/>
    </row>
    <row r="2" spans="1:71" ht="25.15" customHeight="1" x14ac:dyDescent="0.25">
      <c r="A2" s="55" t="s">
        <v>43</v>
      </c>
      <c r="B2" t="s">
        <v>46</v>
      </c>
      <c r="C2" s="5"/>
      <c r="D2" s="5" t="s">
        <v>7</v>
      </c>
      <c r="H2" s="13" t="s">
        <v>3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71" ht="25.15" customHeight="1" thickBot="1" x14ac:dyDescent="0.3">
      <c r="A3" s="55" t="s">
        <v>44</v>
      </c>
      <c r="B3" t="s">
        <v>47</v>
      </c>
      <c r="C3" s="5"/>
      <c r="D3" s="5"/>
      <c r="H3" s="13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71" ht="25.15" customHeight="1" thickBot="1" x14ac:dyDescent="0.3">
      <c r="A4" s="55" t="s">
        <v>45</v>
      </c>
      <c r="B4" t="s">
        <v>47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46">
        <v>45495</v>
      </c>
      <c r="R4" s="7"/>
      <c r="S4" s="10"/>
      <c r="T4" s="10"/>
      <c r="U4" s="10"/>
      <c r="V4" s="10"/>
      <c r="W4" s="10"/>
    </row>
    <row r="5" spans="1:71" ht="25.15" customHeight="1" x14ac:dyDescent="0.25">
      <c r="A5" s="56" t="s">
        <v>48</v>
      </c>
      <c r="B5" s="57" t="s">
        <v>49</v>
      </c>
      <c r="C5" s="58" t="s">
        <v>50</v>
      </c>
      <c r="D5" s="48" t="s">
        <v>51</v>
      </c>
      <c r="E5" s="57" t="s">
        <v>52</v>
      </c>
      <c r="F5" s="57" t="s">
        <v>53</v>
      </c>
      <c r="G5" s="48" t="s">
        <v>54</v>
      </c>
      <c r="H5" s="59" t="s">
        <v>55</v>
      </c>
      <c r="I5" s="60" t="s">
        <v>0</v>
      </c>
      <c r="J5" s="57" t="s">
        <v>56</v>
      </c>
      <c r="K5" s="57" t="s">
        <v>57</v>
      </c>
      <c r="L5" s="57" t="s">
        <v>58</v>
      </c>
      <c r="M5" s="57" t="s">
        <v>59</v>
      </c>
      <c r="N5" s="24" t="s">
        <v>60</v>
      </c>
      <c r="O5" s="24" t="s">
        <v>6</v>
      </c>
      <c r="P5" s="24" t="s">
        <v>61</v>
      </c>
      <c r="Q5" s="24"/>
      <c r="R5" s="24" t="s">
        <v>1</v>
      </c>
      <c r="S5" s="57" t="s">
        <v>62</v>
      </c>
      <c r="T5" s="57" t="s">
        <v>63</v>
      </c>
      <c r="U5" s="57" t="s">
        <v>64</v>
      </c>
      <c r="V5" s="57" t="s">
        <v>2</v>
      </c>
      <c r="W5" s="24" t="s">
        <v>33</v>
      </c>
    </row>
    <row r="6" spans="1:71" ht="25.15" customHeight="1" x14ac:dyDescent="0.25">
      <c r="A6" s="49"/>
      <c r="B6" s="11"/>
      <c r="C6" s="11"/>
      <c r="D6" s="11"/>
      <c r="E6" s="11"/>
      <c r="F6" s="11"/>
      <c r="G6" s="11"/>
      <c r="H6" s="11"/>
      <c r="I6" s="11"/>
      <c r="J6" s="25">
        <v>0.01</v>
      </c>
      <c r="K6" s="25">
        <v>0.05</v>
      </c>
      <c r="L6" s="25">
        <v>0.1</v>
      </c>
      <c r="M6" s="25">
        <v>0.1</v>
      </c>
      <c r="N6" s="11"/>
      <c r="O6" s="11"/>
      <c r="P6" s="11"/>
      <c r="Q6" s="26"/>
      <c r="R6" s="27"/>
      <c r="S6" s="27"/>
      <c r="T6" s="28">
        <v>0.01</v>
      </c>
      <c r="U6" s="27"/>
      <c r="V6" s="27"/>
      <c r="W6" s="27"/>
    </row>
    <row r="7" spans="1:71" s="17" customFormat="1" ht="25.15" customHeight="1" x14ac:dyDescent="0.25">
      <c r="A7" s="50">
        <v>59485</v>
      </c>
      <c r="B7" s="18"/>
      <c r="C7" s="18"/>
      <c r="D7" s="18"/>
      <c r="E7" s="18"/>
      <c r="F7" s="18"/>
      <c r="G7" s="18"/>
      <c r="H7" s="18"/>
      <c r="I7" s="29"/>
      <c r="J7" s="29"/>
      <c r="K7" s="29"/>
      <c r="L7" s="29"/>
      <c r="M7" s="18"/>
      <c r="N7" s="18"/>
      <c r="O7" s="18"/>
      <c r="P7" s="30"/>
      <c r="Q7" s="31">
        <f>A7</f>
        <v>59485</v>
      </c>
      <c r="R7" s="32"/>
      <c r="S7" s="33"/>
      <c r="T7" s="32"/>
      <c r="U7" s="32"/>
      <c r="V7" s="32"/>
      <c r="W7" s="3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1:71" ht="25.15" customHeight="1" x14ac:dyDescent="0.25">
      <c r="A8" s="50">
        <v>59485</v>
      </c>
      <c r="B8" s="34" t="s">
        <v>65</v>
      </c>
      <c r="C8" s="14">
        <v>45196</v>
      </c>
      <c r="D8" s="35">
        <v>1</v>
      </c>
      <c r="E8" s="27">
        <v>499500</v>
      </c>
      <c r="F8" s="27">
        <v>234648</v>
      </c>
      <c r="G8" s="27">
        <f>ROUND(E8-F8,)</f>
        <v>264852</v>
      </c>
      <c r="H8" s="27">
        <f>ROUND(G8*18%,)</f>
        <v>47673</v>
      </c>
      <c r="I8" s="27">
        <f>G8+H8</f>
        <v>312525</v>
      </c>
      <c r="J8" s="27">
        <f>ROUND(G8*$J$6,)</f>
        <v>2649</v>
      </c>
      <c r="K8" s="27">
        <f>ROUND(G8*5%,)</f>
        <v>13243</v>
      </c>
      <c r="L8" s="27">
        <v>0</v>
      </c>
      <c r="M8" s="27">
        <v>0</v>
      </c>
      <c r="N8" s="44">
        <f>H8</f>
        <v>47673</v>
      </c>
      <c r="O8" s="27">
        <v>0</v>
      </c>
      <c r="P8" s="27">
        <f>ROUND(I8-SUM(J8:O8),)</f>
        <v>248960</v>
      </c>
      <c r="Q8" s="27"/>
      <c r="R8" s="27" t="s">
        <v>9</v>
      </c>
      <c r="S8" s="27">
        <v>248960</v>
      </c>
      <c r="T8" s="27">
        <v>0</v>
      </c>
      <c r="U8" s="27">
        <f>S8-T8</f>
        <v>248960</v>
      </c>
      <c r="V8" s="36" t="s">
        <v>8</v>
      </c>
      <c r="W8" s="27">
        <f>SUM(P8:P18)-SUM(U8:U18)</f>
        <v>-331387.79359999998</v>
      </c>
    </row>
    <row r="9" spans="1:71" ht="25.15" customHeight="1" x14ac:dyDescent="0.25">
      <c r="A9" s="50">
        <v>59485</v>
      </c>
      <c r="B9" s="34" t="s">
        <v>65</v>
      </c>
      <c r="C9" s="14">
        <v>45229</v>
      </c>
      <c r="D9" s="35">
        <v>2</v>
      </c>
      <c r="E9" s="27">
        <v>832500</v>
      </c>
      <c r="F9" s="27">
        <v>446786</v>
      </c>
      <c r="G9" s="27">
        <f>E9-F9</f>
        <v>385714</v>
      </c>
      <c r="H9" s="27">
        <f>G9*18%</f>
        <v>69428.52</v>
      </c>
      <c r="I9" s="27">
        <f>G9+H9</f>
        <v>455142.52</v>
      </c>
      <c r="J9" s="27">
        <f>G9*1%</f>
        <v>3857.14</v>
      </c>
      <c r="K9" s="27">
        <f>G9*5%</f>
        <v>19285.7</v>
      </c>
      <c r="L9" s="27">
        <v>0</v>
      </c>
      <c r="M9" s="27">
        <f>G9*10%</f>
        <v>38571.4</v>
      </c>
      <c r="N9" s="44">
        <f>G9*18%</f>
        <v>69428.52</v>
      </c>
      <c r="O9" s="27">
        <v>0</v>
      </c>
      <c r="P9" s="27">
        <f>ROUND(I9-SUM(J9:O9),)</f>
        <v>324000</v>
      </c>
      <c r="Q9" s="27"/>
      <c r="R9" s="27" t="s">
        <v>13</v>
      </c>
      <c r="S9" s="27">
        <v>47673</v>
      </c>
      <c r="T9" s="27"/>
      <c r="U9" s="27">
        <v>47673</v>
      </c>
      <c r="V9" s="36" t="s">
        <v>11</v>
      </c>
      <c r="W9" s="27"/>
    </row>
    <row r="10" spans="1:71" ht="25.15" customHeight="1" x14ac:dyDescent="0.25">
      <c r="A10" s="50">
        <v>59485</v>
      </c>
      <c r="B10" s="34" t="s">
        <v>65</v>
      </c>
      <c r="C10" s="14">
        <v>45229</v>
      </c>
      <c r="D10" s="35">
        <v>5</v>
      </c>
      <c r="E10" s="27">
        <v>999000</v>
      </c>
      <c r="F10" s="27">
        <v>414558</v>
      </c>
      <c r="G10" s="27">
        <f>E10-F10</f>
        <v>584442</v>
      </c>
      <c r="H10" s="27">
        <f>G10*18%</f>
        <v>105199.56</v>
      </c>
      <c r="I10" s="27">
        <f>G10+H10</f>
        <v>689641.56</v>
      </c>
      <c r="J10" s="27">
        <f>G10*1%</f>
        <v>5844.42</v>
      </c>
      <c r="K10" s="27">
        <f>G10*5%</f>
        <v>29222.100000000002</v>
      </c>
      <c r="L10" s="27">
        <v>0</v>
      </c>
      <c r="M10" s="27">
        <v>0</v>
      </c>
      <c r="N10" s="44">
        <f>G10*18%</f>
        <v>105199.56</v>
      </c>
      <c r="O10" s="27">
        <v>0</v>
      </c>
      <c r="P10" s="27">
        <f>ROUND(I10-SUM(J10:O10),)</f>
        <v>549375</v>
      </c>
      <c r="Q10" s="27"/>
      <c r="R10" s="27" t="s">
        <v>14</v>
      </c>
      <c r="S10" s="27">
        <v>198000</v>
      </c>
      <c r="T10" s="27"/>
      <c r="U10" s="27">
        <v>198000</v>
      </c>
      <c r="V10" s="36" t="s">
        <v>12</v>
      </c>
      <c r="W10" s="27"/>
    </row>
    <row r="11" spans="1:71" ht="25.15" customHeight="1" x14ac:dyDescent="0.25">
      <c r="A11" s="50">
        <v>59485</v>
      </c>
      <c r="B11" s="34" t="s">
        <v>19</v>
      </c>
      <c r="C11" s="14"/>
      <c r="D11" s="35">
        <v>1</v>
      </c>
      <c r="E11" s="27">
        <f>N8</f>
        <v>47673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44">
        <f>E11</f>
        <v>47673</v>
      </c>
      <c r="Q11" s="26"/>
      <c r="R11" s="27"/>
      <c r="S11" s="27"/>
      <c r="T11" s="27"/>
      <c r="U11" s="27">
        <v>126000</v>
      </c>
      <c r="V11" s="36" t="s">
        <v>15</v>
      </c>
      <c r="W11" s="27"/>
    </row>
    <row r="12" spans="1:71" ht="25.15" customHeight="1" x14ac:dyDescent="0.25">
      <c r="A12" s="50">
        <v>59485</v>
      </c>
      <c r="B12" s="34" t="s">
        <v>19</v>
      </c>
      <c r="C12" s="14"/>
      <c r="D12" s="35">
        <v>2</v>
      </c>
      <c r="E12" s="27">
        <f t="shared" ref="E12:E13" si="0">N9</f>
        <v>69428.52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44">
        <f t="shared" ref="P12:P13" si="1">E12</f>
        <v>69428.52</v>
      </c>
      <c r="Q12" s="26"/>
      <c r="R12" s="27"/>
      <c r="S12" s="27"/>
      <c r="T12" s="27"/>
      <c r="U12" s="27">
        <v>69429</v>
      </c>
      <c r="V12" s="36" t="s">
        <v>16</v>
      </c>
      <c r="W12" s="27"/>
    </row>
    <row r="13" spans="1:71" ht="25.15" customHeight="1" x14ac:dyDescent="0.25">
      <c r="A13" s="50">
        <v>59485</v>
      </c>
      <c r="B13" s="34" t="s">
        <v>19</v>
      </c>
      <c r="C13" s="14"/>
      <c r="D13" s="35">
        <v>5</v>
      </c>
      <c r="E13" s="27">
        <f t="shared" si="0"/>
        <v>105199.56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44">
        <f t="shared" si="1"/>
        <v>105199.56</v>
      </c>
      <c r="Q13" s="26"/>
      <c r="R13" s="27"/>
      <c r="S13" s="27"/>
      <c r="T13" s="27"/>
      <c r="U13" s="27">
        <v>148500</v>
      </c>
      <c r="V13" s="36" t="s">
        <v>17</v>
      </c>
      <c r="W13" s="27"/>
    </row>
    <row r="14" spans="1:71" ht="25.15" customHeight="1" x14ac:dyDescent="0.25">
      <c r="A14" s="50">
        <v>59485</v>
      </c>
      <c r="B14" s="34" t="s">
        <v>65</v>
      </c>
      <c r="C14" s="14">
        <v>45478</v>
      </c>
      <c r="D14" s="35">
        <v>1</v>
      </c>
      <c r="E14" s="27">
        <v>765900</v>
      </c>
      <c r="F14" s="27">
        <v>414471.52</v>
      </c>
      <c r="G14" s="27">
        <f>E14-F14</f>
        <v>351428.48</v>
      </c>
      <c r="H14" s="27">
        <f>G14*18%</f>
        <v>63257.126399999994</v>
      </c>
      <c r="I14" s="27">
        <f>G14+H14</f>
        <v>414685.60639999999</v>
      </c>
      <c r="J14" s="27">
        <f>G14*1%</f>
        <v>3514.2847999999999</v>
      </c>
      <c r="K14" s="27">
        <f>G14*5%</f>
        <v>17571.423999999999</v>
      </c>
      <c r="L14" s="27">
        <v>0</v>
      </c>
      <c r="M14" s="27">
        <v>0</v>
      </c>
      <c r="N14" s="44">
        <f>G14*18%</f>
        <v>63257.126399999994</v>
      </c>
      <c r="O14" s="27">
        <v>166500</v>
      </c>
      <c r="P14" s="27">
        <f>ROUND(I14-SUM(J14:O14),)</f>
        <v>163843</v>
      </c>
      <c r="Q14" s="26"/>
      <c r="R14" s="27"/>
      <c r="S14" s="27"/>
      <c r="T14" s="27"/>
      <c r="U14" s="27">
        <v>400876</v>
      </c>
      <c r="V14" s="36" t="s">
        <v>18</v>
      </c>
      <c r="W14" s="27"/>
    </row>
    <row r="15" spans="1:71" ht="25.15" customHeight="1" x14ac:dyDescent="0.25">
      <c r="A15" s="50">
        <v>59485</v>
      </c>
      <c r="B15" s="34" t="s">
        <v>19</v>
      </c>
      <c r="C15" s="14">
        <v>45533</v>
      </c>
      <c r="D15" s="35">
        <v>1</v>
      </c>
      <c r="E15" s="27">
        <f>N14</f>
        <v>63257.126399999994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44">
        <f>E15</f>
        <v>63257.126399999994</v>
      </c>
      <c r="Q15" s="26"/>
      <c r="R15" s="27"/>
      <c r="S15" s="27"/>
      <c r="T15" s="27"/>
      <c r="U15" s="27">
        <v>105200</v>
      </c>
      <c r="V15" s="36" t="s">
        <v>26</v>
      </c>
      <c r="W15" s="27"/>
    </row>
    <row r="16" spans="1:71" ht="25.15" customHeight="1" x14ac:dyDescent="0.25">
      <c r="A16" s="50">
        <v>59485</v>
      </c>
      <c r="B16" s="34" t="s">
        <v>65</v>
      </c>
      <c r="C16" s="14">
        <v>45723</v>
      </c>
      <c r="D16" s="35">
        <v>7</v>
      </c>
      <c r="E16" s="27">
        <v>233100</v>
      </c>
      <c r="F16" s="27">
        <v>0</v>
      </c>
      <c r="G16" s="27">
        <f>E16-F16</f>
        <v>233100</v>
      </c>
      <c r="H16" s="27">
        <f>G16*18%</f>
        <v>41958</v>
      </c>
      <c r="I16" s="27">
        <f>G16+H16</f>
        <v>275058</v>
      </c>
      <c r="J16" s="27">
        <f>G16*1%</f>
        <v>2331</v>
      </c>
      <c r="K16" s="27">
        <f>G16*5%</f>
        <v>11655</v>
      </c>
      <c r="L16" s="27">
        <v>0</v>
      </c>
      <c r="M16" s="27">
        <v>0</v>
      </c>
      <c r="N16" s="44">
        <f>G16*18%</f>
        <v>41958</v>
      </c>
      <c r="O16" s="27">
        <v>233100</v>
      </c>
      <c r="P16" s="27">
        <f>ROUND(I16-SUM(J16:O16),)</f>
        <v>-13986</v>
      </c>
      <c r="Q16" s="26"/>
      <c r="R16" s="27"/>
      <c r="S16" s="27"/>
      <c r="T16" s="27"/>
      <c r="U16" s="27">
        <v>247500</v>
      </c>
      <c r="V16" s="36" t="s">
        <v>35</v>
      </c>
      <c r="W16" s="27"/>
    </row>
    <row r="17" spans="1:29" ht="25.15" customHeight="1" x14ac:dyDescent="0.25">
      <c r="A17" s="50">
        <v>59485</v>
      </c>
      <c r="B17" s="34"/>
      <c r="C17" s="14"/>
      <c r="D17" s="35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6"/>
      <c r="R17" s="27"/>
      <c r="S17" s="27"/>
      <c r="T17" s="27"/>
      <c r="U17" s="27">
        <v>99000</v>
      </c>
      <c r="V17" s="36" t="s">
        <v>36</v>
      </c>
      <c r="W17" s="27"/>
    </row>
    <row r="18" spans="1:29" ht="25.15" customHeight="1" x14ac:dyDescent="0.25">
      <c r="A18" s="50">
        <v>59485</v>
      </c>
      <c r="B18" s="34"/>
      <c r="C18" s="14"/>
      <c r="D18" s="35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6"/>
      <c r="R18" s="27"/>
      <c r="S18" s="27"/>
      <c r="T18" s="27"/>
      <c r="U18" s="27">
        <v>198000</v>
      </c>
      <c r="V18" s="36" t="s">
        <v>40</v>
      </c>
      <c r="W18" s="27"/>
    </row>
    <row r="19" spans="1:29" ht="25.15" customHeight="1" x14ac:dyDescent="0.25">
      <c r="A19" s="50">
        <v>59486</v>
      </c>
      <c r="B19" s="18"/>
      <c r="C19" s="18"/>
      <c r="D19" s="18"/>
      <c r="E19" s="18"/>
      <c r="F19" s="18"/>
      <c r="G19" s="18"/>
      <c r="H19" s="18"/>
      <c r="I19" s="29"/>
      <c r="J19" s="29"/>
      <c r="K19" s="29"/>
      <c r="L19" s="29"/>
      <c r="M19" s="18"/>
      <c r="N19" s="18"/>
      <c r="O19" s="18"/>
      <c r="P19" s="30"/>
      <c r="Q19" s="31">
        <f>A19</f>
        <v>59486</v>
      </c>
      <c r="R19" s="32"/>
      <c r="S19" s="33"/>
      <c r="T19" s="32"/>
      <c r="U19" s="32"/>
      <c r="V19" s="32"/>
      <c r="W19" s="32"/>
      <c r="AC19" s="54"/>
    </row>
    <row r="20" spans="1:29" ht="25.15" customHeight="1" x14ac:dyDescent="0.25">
      <c r="A20" s="50">
        <v>59486</v>
      </c>
      <c r="B20" s="34" t="s">
        <v>10</v>
      </c>
      <c r="C20" s="14">
        <v>45229</v>
      </c>
      <c r="D20" s="35">
        <v>4</v>
      </c>
      <c r="E20" s="27">
        <v>204750</v>
      </c>
      <c r="F20" s="27">
        <v>100791</v>
      </c>
      <c r="G20" s="27">
        <f>ROUND(E20-F20,)</f>
        <v>103959</v>
      </c>
      <c r="H20" s="27">
        <f>ROUND(G20*18%,)</f>
        <v>18713</v>
      </c>
      <c r="I20" s="27">
        <f>G20+H20</f>
        <v>122672</v>
      </c>
      <c r="J20" s="27">
        <f>ROUND(G20*$J$6,)</f>
        <v>1040</v>
      </c>
      <c r="K20" s="27">
        <f>ROUND(G20*5%,)</f>
        <v>5198</v>
      </c>
      <c r="L20" s="27">
        <v>0</v>
      </c>
      <c r="M20" s="27">
        <v>0</v>
      </c>
      <c r="N20" s="44">
        <f>H20</f>
        <v>18713</v>
      </c>
      <c r="O20" s="27">
        <v>0</v>
      </c>
      <c r="P20" s="27">
        <f>ROUND(I20-SUM(J20:O20),)</f>
        <v>97721</v>
      </c>
      <c r="Q20" s="27"/>
      <c r="R20" s="27"/>
      <c r="S20" s="27"/>
      <c r="T20" s="27"/>
      <c r="U20" s="27">
        <v>97721</v>
      </c>
      <c r="V20" s="36" t="s">
        <v>20</v>
      </c>
      <c r="W20" s="27">
        <f>SUM(P20:P24)-SUM(U20:U24)</f>
        <v>325578</v>
      </c>
    </row>
    <row r="21" spans="1:29" ht="25.15" customHeight="1" x14ac:dyDescent="0.25">
      <c r="A21" s="50">
        <v>59486</v>
      </c>
      <c r="B21" s="34" t="s">
        <v>21</v>
      </c>
      <c r="C21" s="16"/>
      <c r="D21" s="35">
        <v>4</v>
      </c>
      <c r="E21" s="27">
        <f>N20</f>
        <v>18713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44">
        <f>E21</f>
        <v>18713</v>
      </c>
      <c r="Q21" s="26"/>
      <c r="R21" s="27"/>
      <c r="S21" s="27"/>
      <c r="T21" s="27"/>
      <c r="U21" s="27">
        <v>18713</v>
      </c>
      <c r="V21" s="36" t="s">
        <v>22</v>
      </c>
      <c r="W21" s="27"/>
    </row>
    <row r="22" spans="1:29" ht="25.15" customHeight="1" x14ac:dyDescent="0.25">
      <c r="A22" s="50">
        <v>59486</v>
      </c>
      <c r="B22" s="34" t="s">
        <v>10</v>
      </c>
      <c r="C22" s="14">
        <v>45478</v>
      </c>
      <c r="D22" s="35">
        <v>2</v>
      </c>
      <c r="E22" s="27">
        <v>341250</v>
      </c>
      <c r="F22" s="27">
        <v>51525</v>
      </c>
      <c r="G22" s="27">
        <f>ROUND(E22-F22,)</f>
        <v>289725</v>
      </c>
      <c r="H22" s="27">
        <f>ROUND(G22*18%,)</f>
        <v>52151</v>
      </c>
      <c r="I22" s="27">
        <f>G22+H22</f>
        <v>341876</v>
      </c>
      <c r="J22" s="27">
        <f>ROUND(G22*$J$6,)</f>
        <v>2897</v>
      </c>
      <c r="K22" s="27">
        <f>ROUND(G22*5%,)</f>
        <v>14486</v>
      </c>
      <c r="L22" s="27">
        <v>0</v>
      </c>
      <c r="M22" s="27">
        <v>0</v>
      </c>
      <c r="N22" s="44">
        <f>H22</f>
        <v>52151</v>
      </c>
      <c r="O22" s="27">
        <v>0</v>
      </c>
      <c r="P22" s="27">
        <f>ROUND(I22-SUM(J22:O22),)</f>
        <v>272342</v>
      </c>
      <c r="Q22" s="26"/>
      <c r="R22" s="27"/>
      <c r="S22" s="27"/>
      <c r="T22" s="27"/>
      <c r="U22" s="27">
        <v>250000</v>
      </c>
      <c r="V22" s="53" t="s">
        <v>34</v>
      </c>
      <c r="W22" s="27"/>
    </row>
    <row r="23" spans="1:29" ht="25.15" customHeight="1" x14ac:dyDescent="0.25">
      <c r="A23" s="50">
        <v>59486</v>
      </c>
      <c r="B23" s="34" t="s">
        <v>19</v>
      </c>
      <c r="C23" s="14"/>
      <c r="D23" s="35">
        <v>2</v>
      </c>
      <c r="E23" s="27">
        <f>N22</f>
        <v>52151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44">
        <f>E23</f>
        <v>52151</v>
      </c>
      <c r="Q23" s="26"/>
      <c r="R23" s="27"/>
      <c r="S23" s="27"/>
      <c r="T23" s="27"/>
      <c r="U23" s="27">
        <v>99000</v>
      </c>
      <c r="V23" s="36" t="s">
        <v>37</v>
      </c>
      <c r="W23" s="27"/>
    </row>
    <row r="24" spans="1:29" ht="25.15" customHeight="1" x14ac:dyDescent="0.25">
      <c r="A24" s="50">
        <v>59486</v>
      </c>
      <c r="B24" s="34" t="s">
        <v>10</v>
      </c>
      <c r="C24" s="14">
        <v>45723</v>
      </c>
      <c r="D24" s="35">
        <v>8</v>
      </c>
      <c r="E24" s="27">
        <v>682500</v>
      </c>
      <c r="F24" s="27">
        <v>310069</v>
      </c>
      <c r="G24" s="27">
        <f>ROUND(E24-F24,)</f>
        <v>372431</v>
      </c>
      <c r="H24" s="27">
        <f>ROUND(G24*18%,)</f>
        <v>67038</v>
      </c>
      <c r="I24" s="27">
        <f>G24+H24</f>
        <v>439469</v>
      </c>
      <c r="J24" s="27">
        <f>ROUND(G24*$J$6,)</f>
        <v>3724</v>
      </c>
      <c r="K24" s="27">
        <f>ROUND(G24*5%,)</f>
        <v>18622</v>
      </c>
      <c r="L24" s="27">
        <v>0</v>
      </c>
      <c r="M24" s="27">
        <v>0</v>
      </c>
      <c r="N24" s="44">
        <f>H24</f>
        <v>67038</v>
      </c>
      <c r="O24" s="27">
        <v>0</v>
      </c>
      <c r="P24" s="27">
        <f>ROUND(I24-SUM(J24:O24),)</f>
        <v>350085</v>
      </c>
      <c r="Q24" s="26"/>
      <c r="R24" s="27"/>
      <c r="S24" s="27"/>
      <c r="T24" s="27"/>
      <c r="U24" s="27"/>
      <c r="V24" s="36"/>
      <c r="W24" s="27"/>
    </row>
    <row r="25" spans="1:29" ht="25.15" customHeight="1" x14ac:dyDescent="0.25">
      <c r="A25" s="50">
        <v>59487</v>
      </c>
      <c r="B25" s="18"/>
      <c r="C25" s="18"/>
      <c r="D25" s="18"/>
      <c r="E25" s="18"/>
      <c r="F25" s="18"/>
      <c r="G25" s="18"/>
      <c r="H25" s="18"/>
      <c r="I25" s="29"/>
      <c r="J25" s="29"/>
      <c r="K25" s="29"/>
      <c r="L25" s="29"/>
      <c r="M25" s="18"/>
      <c r="N25" s="18"/>
      <c r="O25" s="18"/>
      <c r="P25" s="30"/>
      <c r="Q25" s="31">
        <f>A25</f>
        <v>59487</v>
      </c>
      <c r="R25" s="32"/>
      <c r="S25" s="33"/>
      <c r="T25" s="32"/>
      <c r="U25" s="32"/>
      <c r="V25" s="32"/>
      <c r="W25" s="32"/>
    </row>
    <row r="26" spans="1:29" ht="25.15" customHeight="1" x14ac:dyDescent="0.25">
      <c r="A26" s="50">
        <v>59487</v>
      </c>
      <c r="B26" s="34" t="s">
        <v>66</v>
      </c>
      <c r="C26" s="14">
        <v>45229</v>
      </c>
      <c r="D26" s="35">
        <v>3</v>
      </c>
      <c r="E26" s="27">
        <v>380250</v>
      </c>
      <c r="F26" s="27">
        <v>170291</v>
      </c>
      <c r="G26" s="27">
        <f>ROUND(E26-F26,)</f>
        <v>209959</v>
      </c>
      <c r="H26" s="27">
        <f>ROUND(G26*18%,)</f>
        <v>37793</v>
      </c>
      <c r="I26" s="27">
        <f>G26+H26</f>
        <v>247752</v>
      </c>
      <c r="J26" s="27">
        <f>ROUND(G26*$J$6,)</f>
        <v>2100</v>
      </c>
      <c r="K26" s="27">
        <f>ROUND(G26*5%,)</f>
        <v>10498</v>
      </c>
      <c r="L26" s="27">
        <v>0</v>
      </c>
      <c r="M26" s="27">
        <v>0</v>
      </c>
      <c r="N26" s="44">
        <f>H26</f>
        <v>37793</v>
      </c>
      <c r="O26" s="27">
        <v>0</v>
      </c>
      <c r="P26" s="27">
        <f>ROUND(I26-SUM(J26:O26),)</f>
        <v>197361</v>
      </c>
      <c r="Q26" s="27"/>
      <c r="R26" s="27"/>
      <c r="S26" s="27"/>
      <c r="T26" s="27"/>
      <c r="U26" s="27">
        <v>197361</v>
      </c>
      <c r="V26" s="36" t="s">
        <v>23</v>
      </c>
      <c r="W26" s="27">
        <f>SUM(P26:P34)-SUM(U26:U34)</f>
        <v>-201316</v>
      </c>
    </row>
    <row r="27" spans="1:29" ht="25.15" customHeight="1" x14ac:dyDescent="0.25">
      <c r="A27" s="50">
        <v>59487</v>
      </c>
      <c r="B27" s="16" t="s">
        <v>19</v>
      </c>
      <c r="C27" s="16"/>
      <c r="D27" s="35">
        <v>3</v>
      </c>
      <c r="E27" s="27">
        <f>N26</f>
        <v>37793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44">
        <f>E27</f>
        <v>37793</v>
      </c>
      <c r="Q27" s="26"/>
      <c r="R27" s="27"/>
      <c r="S27" s="27"/>
      <c r="T27" s="27"/>
      <c r="U27" s="27">
        <v>37793</v>
      </c>
      <c r="V27" s="36" t="s">
        <v>24</v>
      </c>
      <c r="W27" s="27"/>
    </row>
    <row r="28" spans="1:29" ht="25.15" customHeight="1" x14ac:dyDescent="0.25">
      <c r="A28" s="50">
        <v>59487</v>
      </c>
      <c r="B28" s="34" t="s">
        <v>66</v>
      </c>
      <c r="C28" s="16">
        <v>45369</v>
      </c>
      <c r="D28" s="35">
        <v>6</v>
      </c>
      <c r="E28" s="27">
        <f>A26*25%</f>
        <v>14871.75</v>
      </c>
      <c r="F28" s="27">
        <v>80906</v>
      </c>
      <c r="G28" s="27">
        <f>ROUND(E28-F28,)</f>
        <v>-66034</v>
      </c>
      <c r="H28" s="27">
        <f>ROUND(G28*18%,)</f>
        <v>-11886</v>
      </c>
      <c r="I28" s="27">
        <f>G28+H28</f>
        <v>-77920</v>
      </c>
      <c r="J28" s="27">
        <f>ROUND(G28*$J$6,)</f>
        <v>-660</v>
      </c>
      <c r="K28" s="27">
        <f>ROUND(G28*5%,)</f>
        <v>-3302</v>
      </c>
      <c r="L28" s="27">
        <v>0</v>
      </c>
      <c r="M28" s="27">
        <v>0</v>
      </c>
      <c r="N28" s="44">
        <f>H28</f>
        <v>-11886</v>
      </c>
      <c r="O28" s="27"/>
      <c r="P28" s="27">
        <f>ROUND(I28-SUM(J28:O28),)</f>
        <v>-62072</v>
      </c>
      <c r="Q28" s="26"/>
      <c r="R28" s="27"/>
      <c r="S28" s="27"/>
      <c r="T28" s="27"/>
      <c r="U28" s="27">
        <v>519674</v>
      </c>
      <c r="V28" s="36" t="s">
        <v>25</v>
      </c>
      <c r="W28" s="27"/>
    </row>
    <row r="29" spans="1:29" ht="24.75" customHeight="1" x14ac:dyDescent="0.25">
      <c r="A29" s="50">
        <v>59487</v>
      </c>
      <c r="B29" s="16" t="s">
        <v>19</v>
      </c>
      <c r="C29" s="16"/>
      <c r="D29" s="35">
        <v>6</v>
      </c>
      <c r="E29" s="27">
        <f>N28</f>
        <v>-11886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44">
        <f>E29</f>
        <v>-11886</v>
      </c>
      <c r="Q29" s="26"/>
      <c r="R29" s="27"/>
      <c r="S29" s="27"/>
      <c r="T29" s="27"/>
      <c r="U29" s="27">
        <v>99512</v>
      </c>
      <c r="V29" s="36" t="s">
        <v>27</v>
      </c>
      <c r="W29" s="27"/>
    </row>
    <row r="30" spans="1:29" ht="25.15" customHeight="1" x14ac:dyDescent="0.25">
      <c r="A30" s="50">
        <v>59487</v>
      </c>
      <c r="B30" s="34" t="s">
        <v>66</v>
      </c>
      <c r="C30" s="16">
        <v>45517</v>
      </c>
      <c r="D30" s="35">
        <v>4</v>
      </c>
      <c r="E30" s="27">
        <v>253500</v>
      </c>
      <c r="F30" s="27">
        <v>209143</v>
      </c>
      <c r="G30" s="27">
        <f>ROUND(E30-F30,)</f>
        <v>44357</v>
      </c>
      <c r="H30" s="27">
        <f>ROUND(G30*18%,)</f>
        <v>7984</v>
      </c>
      <c r="I30" s="27">
        <f>G30+H30</f>
        <v>52341</v>
      </c>
      <c r="J30" s="27">
        <f>ROUND(G30*$J$6,)</f>
        <v>444</v>
      </c>
      <c r="K30" s="27">
        <f>ROUND(G30*5%,)</f>
        <v>2218</v>
      </c>
      <c r="L30" s="27">
        <v>0</v>
      </c>
      <c r="M30" s="27">
        <v>0</v>
      </c>
      <c r="N30" s="44">
        <f>H30</f>
        <v>7984</v>
      </c>
      <c r="O30" s="27"/>
      <c r="P30" s="27">
        <f>ROUND(I30-SUM(J30:O30),)</f>
        <v>41695</v>
      </c>
      <c r="Q30" s="26"/>
      <c r="R30" s="27"/>
      <c r="S30" s="27"/>
      <c r="T30" s="27"/>
      <c r="U30" s="27">
        <v>99000</v>
      </c>
      <c r="V30" s="36" t="s">
        <v>38</v>
      </c>
      <c r="W30" s="27"/>
    </row>
    <row r="31" spans="1:29" ht="25.15" customHeight="1" x14ac:dyDescent="0.25">
      <c r="A31" s="50">
        <v>59487</v>
      </c>
      <c r="B31" s="16" t="s">
        <v>19</v>
      </c>
      <c r="C31" s="16"/>
      <c r="D31" s="35">
        <v>4</v>
      </c>
      <c r="E31" s="27">
        <f>N30</f>
        <v>7984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4">
        <f>E31</f>
        <v>7984</v>
      </c>
      <c r="Q31" s="26"/>
      <c r="R31" s="27"/>
      <c r="S31" s="27"/>
      <c r="T31" s="27"/>
      <c r="U31" s="27">
        <v>495000</v>
      </c>
      <c r="V31" s="36" t="s">
        <v>39</v>
      </c>
      <c r="W31" s="27"/>
    </row>
    <row r="32" spans="1:29" ht="25.15" customHeight="1" x14ac:dyDescent="0.25">
      <c r="A32" s="50">
        <v>59487</v>
      </c>
      <c r="B32" s="34" t="s">
        <v>66</v>
      </c>
      <c r="C32" s="16"/>
      <c r="D32" s="35">
        <v>5</v>
      </c>
      <c r="E32" s="27">
        <v>912600</v>
      </c>
      <c r="F32" s="27">
        <v>159353</v>
      </c>
      <c r="G32" s="27">
        <f>ROUND(E32-F32,)</f>
        <v>753247</v>
      </c>
      <c r="H32" s="27">
        <f>ROUND(G32*18%,)</f>
        <v>135584</v>
      </c>
      <c r="I32" s="27">
        <f>G32+H32</f>
        <v>888831</v>
      </c>
      <c r="J32" s="27">
        <f>ROUND(G32*$J$6,)</f>
        <v>7532</v>
      </c>
      <c r="K32" s="27">
        <f>ROUND(G32*5%,)</f>
        <v>37662</v>
      </c>
      <c r="L32" s="27">
        <v>0</v>
      </c>
      <c r="M32" s="27">
        <v>0</v>
      </c>
      <c r="N32" s="44">
        <f>H32</f>
        <v>135584</v>
      </c>
      <c r="O32" s="27"/>
      <c r="P32" s="27">
        <f>ROUND(I32-SUM(J32:O32),)</f>
        <v>708053</v>
      </c>
      <c r="Q32" s="26"/>
      <c r="R32" s="27"/>
      <c r="S32" s="27"/>
      <c r="T32" s="27"/>
      <c r="U32" s="27"/>
      <c r="V32" s="36"/>
      <c r="W32" s="27"/>
    </row>
    <row r="33" spans="1:23" ht="25.15" customHeight="1" x14ac:dyDescent="0.25">
      <c r="A33" s="50">
        <v>59487</v>
      </c>
      <c r="B33" s="16" t="s">
        <v>19</v>
      </c>
      <c r="C33" s="16"/>
      <c r="D33" s="35">
        <v>5</v>
      </c>
      <c r="E33" s="27">
        <f>N32</f>
        <v>135584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4">
        <f>E33</f>
        <v>135584</v>
      </c>
      <c r="Q33" s="26"/>
      <c r="R33" s="27"/>
      <c r="S33" s="27"/>
      <c r="T33" s="27"/>
      <c r="U33" s="27"/>
      <c r="V33" s="36"/>
      <c r="W33" s="27"/>
    </row>
    <row r="34" spans="1:23" ht="25.15" customHeight="1" x14ac:dyDescent="0.25">
      <c r="A34" s="50">
        <v>59487</v>
      </c>
      <c r="B34" s="34" t="s">
        <v>10</v>
      </c>
      <c r="C34" s="14">
        <v>45723</v>
      </c>
      <c r="D34" s="35">
        <v>6</v>
      </c>
      <c r="E34" s="27">
        <v>354900</v>
      </c>
      <c r="F34" s="27">
        <v>15260</v>
      </c>
      <c r="G34" s="27">
        <f>ROUND(E34-F34,)</f>
        <v>339640</v>
      </c>
      <c r="H34" s="27">
        <f>ROUND(G34*18%,)</f>
        <v>61135</v>
      </c>
      <c r="I34" s="27">
        <f>G34+H34</f>
        <v>400775</v>
      </c>
      <c r="J34" s="27">
        <f>ROUND(G34*$J$6,)</f>
        <v>3396</v>
      </c>
      <c r="K34" s="27">
        <f>ROUND(G34*5%,)</f>
        <v>16982</v>
      </c>
      <c r="L34" s="27">
        <v>0</v>
      </c>
      <c r="M34" s="27">
        <v>0</v>
      </c>
      <c r="N34" s="44">
        <f>H34</f>
        <v>61135</v>
      </c>
      <c r="O34" s="27">
        <v>126750</v>
      </c>
      <c r="P34" s="27">
        <f>ROUND(I34-SUM(J34:O34),)</f>
        <v>192512</v>
      </c>
      <c r="Q34" s="26"/>
      <c r="R34" s="27"/>
      <c r="S34" s="27"/>
      <c r="T34" s="27"/>
      <c r="U34" s="27"/>
      <c r="V34" s="36"/>
      <c r="W34" s="27"/>
    </row>
    <row r="35" spans="1:23" ht="25.15" customHeight="1" x14ac:dyDescent="0.25">
      <c r="A35" s="50"/>
      <c r="B35" s="18"/>
      <c r="C35" s="18"/>
      <c r="D35" s="18"/>
      <c r="E35" s="18"/>
      <c r="F35" s="18"/>
      <c r="G35" s="18"/>
      <c r="H35" s="18"/>
      <c r="I35" s="29"/>
      <c r="J35" s="29"/>
      <c r="K35" s="29"/>
      <c r="L35" s="29"/>
      <c r="M35" s="18"/>
      <c r="N35" s="18"/>
      <c r="O35" s="18"/>
      <c r="P35" s="30"/>
      <c r="Q35" s="31"/>
      <c r="R35" s="32"/>
      <c r="S35" s="33"/>
      <c r="T35" s="32"/>
      <c r="U35" s="32"/>
      <c r="V35" s="32"/>
      <c r="W35" s="32"/>
    </row>
    <row r="36" spans="1:23" ht="25.15" customHeight="1" thickBot="1" x14ac:dyDescent="0.3">
      <c r="A36" s="5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0"/>
      <c r="R36" s="39"/>
      <c r="S36" s="39"/>
      <c r="T36" s="39"/>
      <c r="U36" s="39"/>
      <c r="V36" s="39"/>
      <c r="W36" s="39"/>
    </row>
    <row r="37" spans="1:23" ht="25.15" customHeight="1" x14ac:dyDescent="0.25">
      <c r="A37" s="48"/>
      <c r="B37" s="41"/>
      <c r="C37" s="41"/>
      <c r="D37" s="41"/>
      <c r="E37" s="41"/>
      <c r="F37" s="41"/>
      <c r="G37" s="41"/>
      <c r="H37" s="41"/>
      <c r="I37" s="41"/>
      <c r="J37" s="42">
        <f t="shared" ref="J37:O37" si="2">SUM(J8:J35)</f>
        <v>38668.844799999999</v>
      </c>
      <c r="K37" s="42">
        <f>SUM(K8:K35)</f>
        <v>193341.22399999999</v>
      </c>
      <c r="L37" s="42">
        <f t="shared" si="2"/>
        <v>0</v>
      </c>
      <c r="M37" s="42">
        <f t="shared" si="2"/>
        <v>38571.4</v>
      </c>
      <c r="N37" s="42">
        <f t="shared" si="2"/>
        <v>696028.20640000002</v>
      </c>
      <c r="O37" s="42">
        <f t="shared" si="2"/>
        <v>526350</v>
      </c>
      <c r="P37" s="42">
        <f>SUM(P8:P35)</f>
        <v>3595786.2064</v>
      </c>
      <c r="Q37" s="43"/>
      <c r="R37" s="42" t="s">
        <v>4</v>
      </c>
      <c r="S37" s="41"/>
      <c r="T37" s="41"/>
      <c r="U37" s="42">
        <f>SUM(U6:U35)</f>
        <v>3802912</v>
      </c>
      <c r="V37" s="41"/>
      <c r="W37" s="42">
        <f>SUM(W6:W35)</f>
        <v>-207125.79359999998</v>
      </c>
    </row>
    <row r="38" spans="1:23" ht="25.15" customHeight="1" x14ac:dyDescent="0.25">
      <c r="A38" s="4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11"/>
      <c r="R38" s="27"/>
      <c r="S38" s="27"/>
      <c r="T38" s="27"/>
      <c r="U38" s="27"/>
      <c r="V38" s="27"/>
      <c r="W38" s="27"/>
    </row>
    <row r="39" spans="1:23" ht="25.15" customHeight="1" thickBot="1" x14ac:dyDescent="0.3">
      <c r="A39" s="52"/>
      <c r="B39" s="15"/>
      <c r="C39" s="15"/>
      <c r="D39" s="15"/>
      <c r="E39" s="15"/>
      <c r="F39" s="15"/>
      <c r="G39" s="15"/>
      <c r="H39" s="15"/>
      <c r="I39" s="15"/>
      <c r="J39" s="37"/>
      <c r="K39" s="37"/>
      <c r="L39" s="37"/>
      <c r="M39" s="37"/>
      <c r="N39" s="37"/>
      <c r="O39" s="37">
        <f>SUM(O8:O35)</f>
        <v>526350</v>
      </c>
      <c r="P39" s="15"/>
      <c r="Q39" s="38"/>
      <c r="R39" s="37" t="s">
        <v>5</v>
      </c>
      <c r="S39" s="15"/>
      <c r="T39" s="15"/>
      <c r="U39" s="37">
        <f>P37-U37</f>
        <v>-207125.79359999998</v>
      </c>
      <c r="V39" s="15"/>
      <c r="W39" s="37"/>
    </row>
    <row r="41" spans="1:23" ht="25.15" customHeight="1" x14ac:dyDescent="0.25">
      <c r="H41" s="4"/>
      <c r="I41" s="4"/>
    </row>
    <row r="42" spans="1:23" ht="25.15" customHeight="1" x14ac:dyDescent="0.25">
      <c r="D42" s="19"/>
      <c r="E42" s="19"/>
      <c r="H42" s="2"/>
      <c r="I42" s="19"/>
      <c r="J42" s="20"/>
      <c r="K42" s="20"/>
      <c r="L42" s="21"/>
      <c r="M42" s="19"/>
      <c r="N42" s="21"/>
    </row>
    <row r="43" spans="1:23" ht="25.15" customHeight="1" thickBot="1" x14ac:dyDescent="0.3">
      <c r="D43" s="19"/>
      <c r="E43" s="19"/>
      <c r="H43" s="22"/>
      <c r="I43" s="19"/>
      <c r="J43" s="20"/>
      <c r="K43" s="20"/>
      <c r="L43" s="21"/>
      <c r="M43" s="19"/>
      <c r="N43" s="21"/>
    </row>
    <row r="44" spans="1:23" ht="25.15" customHeight="1" thickBot="1" x14ac:dyDescent="0.3">
      <c r="D44" s="19"/>
      <c r="E44" s="19"/>
      <c r="H44" s="4"/>
      <c r="I44" s="4"/>
      <c r="L44" s="67" t="s">
        <v>32</v>
      </c>
      <c r="M44" s="67"/>
      <c r="N44" s="67"/>
      <c r="O44" s="67"/>
    </row>
    <row r="45" spans="1:23" ht="25.15" customHeight="1" thickBot="1" x14ac:dyDescent="0.3">
      <c r="D45" s="19"/>
      <c r="E45" s="19"/>
      <c r="H45" s="4"/>
      <c r="I45" s="4"/>
      <c r="L45" s="61" t="s">
        <v>41</v>
      </c>
      <c r="M45" s="61"/>
      <c r="N45" s="61"/>
      <c r="O45" s="61"/>
    </row>
    <row r="46" spans="1:23" ht="25.15" customHeight="1" thickBot="1" x14ac:dyDescent="0.3">
      <c r="D46" s="19"/>
      <c r="E46" s="19"/>
      <c r="H46" s="4"/>
      <c r="I46" s="4"/>
      <c r="L46" s="61" t="s">
        <v>28</v>
      </c>
      <c r="M46" s="61"/>
      <c r="N46" s="62">
        <f>K37+L37+M37</f>
        <v>231912.62399999998</v>
      </c>
      <c r="O46" s="62"/>
    </row>
    <row r="47" spans="1:23" ht="25.15" customHeight="1" thickBot="1" x14ac:dyDescent="0.3">
      <c r="D47" s="23"/>
      <c r="E47" s="23"/>
      <c r="H47" s="4"/>
      <c r="I47" s="4"/>
      <c r="L47" s="61" t="s">
        <v>29</v>
      </c>
      <c r="M47" s="61"/>
      <c r="N47" s="62">
        <f>U39</f>
        <v>-207125.79359999998</v>
      </c>
      <c r="O47" s="62"/>
    </row>
    <row r="48" spans="1:23" ht="25.15" customHeight="1" thickBot="1" x14ac:dyDescent="0.3">
      <c r="H48" s="4"/>
      <c r="I48" s="4"/>
      <c r="L48" s="61" t="s">
        <v>30</v>
      </c>
      <c r="M48" s="61"/>
      <c r="N48" s="62"/>
      <c r="O48" s="62"/>
    </row>
    <row r="49" spans="8:15" ht="25.15" customHeight="1" thickBot="1" x14ac:dyDescent="0.3">
      <c r="H49" s="4"/>
      <c r="I49" s="4"/>
      <c r="L49" s="63" t="s">
        <v>31</v>
      </c>
      <c r="M49" s="64"/>
      <c r="N49" s="65">
        <f>N37-P33-P31-P29-P27-P23-P21-P15-P13-P12-P11</f>
        <v>170131</v>
      </c>
      <c r="O49" s="66"/>
    </row>
    <row r="50" spans="8:15" ht="25.15" customHeight="1" x14ac:dyDescent="0.25">
      <c r="H50" s="4"/>
      <c r="I50" s="4"/>
    </row>
    <row r="2744" spans="4336:4336" ht="25.15" customHeight="1" x14ac:dyDescent="0.25">
      <c r="FJT2744" s="45"/>
    </row>
  </sheetData>
  <mergeCells count="10">
    <mergeCell ref="L48:M48"/>
    <mergeCell ref="N48:O48"/>
    <mergeCell ref="L49:M49"/>
    <mergeCell ref="N49:O49"/>
    <mergeCell ref="L44:O44"/>
    <mergeCell ref="L45:O45"/>
    <mergeCell ref="L46:M46"/>
    <mergeCell ref="N46:O46"/>
    <mergeCell ref="L47:M47"/>
    <mergeCell ref="N47:O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2025-05-29T05:52:07Z</dcterms:modified>
</cp:coreProperties>
</file>