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hahi\Downloads\Updated Data\Updated Data\"/>
    </mc:Choice>
  </mc:AlternateContent>
  <xr:revisionPtr revIDLastSave="0" documentId="13_ncr:1_{D71EEA5F-2BC4-4400-929A-ACDAE4873F9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9" i="1" l="1"/>
  <c r="N7" i="1" l="1"/>
  <c r="G19" i="1" l="1"/>
  <c r="H19" i="1" s="1"/>
  <c r="T18" i="1"/>
  <c r="T17" i="1"/>
  <c r="T16" i="1"/>
  <c r="J19" i="1" l="1"/>
  <c r="K19" i="1"/>
  <c r="K24" i="1" s="1"/>
  <c r="Q37" i="1" s="1"/>
  <c r="L19" i="1"/>
  <c r="E20" i="1" s="1"/>
  <c r="M20" i="1" s="1"/>
  <c r="E17" i="1"/>
  <c r="G17" i="1" s="1"/>
  <c r="I19" i="1" l="1"/>
  <c r="M19" i="1" s="1"/>
  <c r="H17" i="1"/>
  <c r="L17" i="1" s="1"/>
  <c r="J17" i="1"/>
  <c r="I17" i="1" l="1"/>
  <c r="M17" i="1" s="1"/>
  <c r="F15" i="1" l="1"/>
  <c r="E15" i="1"/>
  <c r="D14" i="1"/>
  <c r="D13" i="1"/>
  <c r="G15" i="1" l="1"/>
  <c r="P14" i="1" s="1"/>
  <c r="Q14" i="1" s="1"/>
  <c r="T14" i="1" s="1"/>
  <c r="T12" i="1"/>
  <c r="H15" i="1" l="1"/>
  <c r="I15" i="1" s="1"/>
  <c r="J15" i="1"/>
  <c r="E12" i="1"/>
  <c r="F12" i="1"/>
  <c r="E18" i="1" l="1"/>
  <c r="M18" i="1" s="1"/>
  <c r="L15" i="1"/>
  <c r="M15" i="1" s="1"/>
  <c r="G12" i="1"/>
  <c r="H12" i="1" s="1"/>
  <c r="L12" i="1" s="1"/>
  <c r="J12" i="1" l="1"/>
  <c r="I12" i="1"/>
  <c r="Q9" i="1"/>
  <c r="T9" i="1" s="1"/>
  <c r="M12" i="1" l="1"/>
  <c r="W6" i="1"/>
  <c r="E11" i="1" l="1"/>
  <c r="F11" i="1"/>
  <c r="F10" i="1" l="1"/>
  <c r="E10" i="1"/>
  <c r="G10" i="1" l="1"/>
  <c r="H10" i="1"/>
  <c r="I10" i="1" s="1"/>
  <c r="J10" i="1"/>
  <c r="P10" i="1"/>
  <c r="Q10" i="1" s="1"/>
  <c r="T10" i="1" s="1"/>
  <c r="F9" i="1"/>
  <c r="E9" i="1"/>
  <c r="P8" i="1"/>
  <c r="Q8" i="1" s="1"/>
  <c r="T8" i="1" s="1"/>
  <c r="E8" i="1"/>
  <c r="L10" i="1" l="1"/>
  <c r="G9" i="1"/>
  <c r="M10" i="1" l="1"/>
  <c r="J9" i="1"/>
  <c r="H9" i="1"/>
  <c r="I9" i="1" s="1"/>
  <c r="L9" i="1" l="1"/>
  <c r="G11" i="1"/>
  <c r="M9" i="1" l="1"/>
  <c r="E14" i="1"/>
  <c r="M14" i="1" s="1"/>
  <c r="H11" i="1"/>
  <c r="I11" i="1" s="1"/>
  <c r="J11" i="1"/>
  <c r="P11" i="1"/>
  <c r="G8" i="1"/>
  <c r="P13" i="1" s="1"/>
  <c r="Q13" i="1" l="1"/>
  <c r="Q11" i="1"/>
  <c r="J8" i="1"/>
  <c r="J24" i="1" s="1"/>
  <c r="H8" i="1"/>
  <c r="S11" i="1"/>
  <c r="L11" i="1"/>
  <c r="I8" i="1" l="1"/>
  <c r="I24" i="1" s="1"/>
  <c r="H24" i="1"/>
  <c r="T11" i="1"/>
  <c r="S13" i="1" s="1"/>
  <c r="T13" i="1" s="1"/>
  <c r="M11" i="1"/>
  <c r="E16" i="1"/>
  <c r="M16" i="1" s="1"/>
  <c r="L8" i="1"/>
  <c r="L24" i="1" s="1"/>
  <c r="M8" i="1" l="1"/>
  <c r="E13" i="1"/>
  <c r="M13" i="1" s="1"/>
  <c r="Q40" i="1" s="1"/>
  <c r="P15" i="1" l="1"/>
  <c r="T15" i="1" s="1"/>
  <c r="T24" i="1" s="1"/>
  <c r="M24" i="1"/>
  <c r="T26" i="1" s="1"/>
</calcChain>
</file>

<file path=xl/sharedStrings.xml><?xml version="1.0" encoding="utf-8"?>
<sst xmlns="http://schemas.openxmlformats.org/spreadsheetml/2006/main" count="111" uniqueCount="104">
  <si>
    <t>Amount</t>
  </si>
  <si>
    <t>PAYMENT NOTE No.</t>
  </si>
  <si>
    <t>UTR</t>
  </si>
  <si>
    <t>SD (5%)</t>
  </si>
  <si>
    <t>Advance paid</t>
  </si>
  <si>
    <t>Al Amman Borewell Contractors</t>
  </si>
  <si>
    <t>30-06-2022 NEFT/AXISP00299642772/RIUP22/281/ALAMMAN BOREWEL 199485.00</t>
  </si>
  <si>
    <t>06/2022-0026</t>
  </si>
  <si>
    <t>RIUP22/281</t>
  </si>
  <si>
    <t>06/2022-0027</t>
  </si>
  <si>
    <t>22-07-2022 NEFT/AXISP00305598494/RIUP22/363/AL AMMAN BOREWEL 101402.00</t>
  </si>
  <si>
    <t>RIUP22/363</t>
  </si>
  <si>
    <t>08/2022-0030</t>
  </si>
  <si>
    <t>09-08-2022 NEFT/AXISP00310655282/RIUP22/444/AL AMMAN BOREWEL 172734.00</t>
  </si>
  <si>
    <t>RIUP22/444</t>
  </si>
  <si>
    <t>Villages</t>
  </si>
  <si>
    <t xml:space="preserve">Khedi Khushnam, </t>
  </si>
  <si>
    <t xml:space="preserve">Gangarampur Khedi, </t>
  </si>
  <si>
    <t xml:space="preserve">Gari Hasanpur, </t>
  </si>
  <si>
    <t>Kamalpur</t>
  </si>
  <si>
    <t xml:space="preserve">1.Gujjarpur. </t>
  </si>
  <si>
    <t xml:space="preserve">2.Ballemajra, </t>
  </si>
  <si>
    <t xml:space="preserve">3.Sanpla, </t>
  </si>
  <si>
    <t xml:space="preserve">4.Lawa Daudpur </t>
  </si>
  <si>
    <t xml:space="preserve">1.Bidoli, </t>
  </si>
  <si>
    <t xml:space="preserve">2.Jainpur, </t>
  </si>
  <si>
    <t xml:space="preserve">3. Bedkheri, </t>
  </si>
  <si>
    <t xml:space="preserve">4.Bhogi Mazra </t>
  </si>
  <si>
    <t xml:space="preserve">1.Sakuti, </t>
  </si>
  <si>
    <t xml:space="preserve">2.Kherki, </t>
  </si>
  <si>
    <t xml:space="preserve">3. Binamazra, </t>
  </si>
  <si>
    <t xml:space="preserve">4.Gagaur, </t>
  </si>
  <si>
    <t xml:space="preserve">5.Nai Nagla </t>
  </si>
  <si>
    <t>05-09-2022 NEFT/AXISP00317277138/RIUP22/633/ALAMMAN BOREWEL 215572.00</t>
  </si>
  <si>
    <t>RIUP22/633</t>
  </si>
  <si>
    <t>Mundet Kadar</t>
  </si>
  <si>
    <t>Dhanena</t>
  </si>
  <si>
    <t>Thirwa</t>
  </si>
  <si>
    <t>Pelkha</t>
  </si>
  <si>
    <t>Singara</t>
  </si>
  <si>
    <t>Jandheri</t>
  </si>
  <si>
    <t>09/2022-0031</t>
  </si>
  <si>
    <t>Total Paid Amount Rs. -</t>
  </si>
  <si>
    <t>07/2022-0029</t>
  </si>
  <si>
    <t>Compressor work</t>
  </si>
  <si>
    <t>15-09-2022 NEFT/AXISP00320241593/RIUP22/751/ALAMMAN BOREWEL 100000.00</t>
  </si>
  <si>
    <t>RIUP22/751</t>
  </si>
  <si>
    <t>Balance Payable Amount Rs. -</t>
  </si>
  <si>
    <t>20-09-2022 NEFT/AXISP00321274044/RIUP22/763A/AL AMMAN BOREWE ₹ 1,38,831.00</t>
  </si>
  <si>
    <t>RIUP22/763A</t>
  </si>
  <si>
    <t>GST Release Note</t>
  </si>
  <si>
    <t>11/2022-0038</t>
  </si>
  <si>
    <t>17-11-2022 NEFT/AXISP00338797450/RIUP22/1257/ALAMMAN BOREWE 401272.00</t>
  </si>
  <si>
    <t>17-11-2022 NEFT/AXISP00338797451/RIUP22/1258/ALAMMAN BOREWE 54707.00</t>
  </si>
  <si>
    <t>RIUP22/1257</t>
  </si>
  <si>
    <t>RIUP22/1258</t>
  </si>
  <si>
    <t>07/2022-0029,30,31</t>
  </si>
  <si>
    <t>11/2022-0039</t>
  </si>
  <si>
    <t>13-12-2022 NEFT/AXISP00345899468/RIUP22/1418/ALAMMAN BOREWE 234146.00</t>
  </si>
  <si>
    <t>RIUP22/1418</t>
  </si>
  <si>
    <t>13-12-2022 NEFT/AXISP00345899469/RIUP22/1419/ALAMMAN BOREWE 115747.00</t>
  </si>
  <si>
    <t>RIUP22/1419</t>
  </si>
  <si>
    <t>16-02-2023 NEFT/AXISP00363866677/RIUP22/2181/AL AMMAN BOREWE ₹ 1,16,709.0</t>
  </si>
  <si>
    <t>RIUP22/2181</t>
  </si>
  <si>
    <t>09/2023-0111</t>
  </si>
  <si>
    <t>30-09-2023 NEFT/AXISP00429163525/RIUP23/2400/AL AMMAN BOREWELL 167400.00</t>
  </si>
  <si>
    <t>RIUP22/2182</t>
  </si>
  <si>
    <t>25-01-2024 NEFT/AXISP00464876201/RIUP23/4458/AL AMMAN BOREWELL/SBIN0001828 32400.00</t>
  </si>
  <si>
    <t>RIUP23/4458</t>
  </si>
  <si>
    <t>Updated On 23-7-24 - Girija</t>
  </si>
  <si>
    <t xml:space="preserve">Total Hold </t>
  </si>
  <si>
    <t>DPR Excess  Debit</t>
  </si>
  <si>
    <t>Advance/ Surplus</t>
  </si>
  <si>
    <t>GST Remaining</t>
  </si>
  <si>
    <t>Al Aman</t>
  </si>
  <si>
    <t>Subcontractor:</t>
  </si>
  <si>
    <t>State:</t>
  </si>
  <si>
    <t>District:</t>
  </si>
  <si>
    <t>Block: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</si>
  <si>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</si>
  <si>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</si>
  <si>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</si>
  <si>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</si>
  <si>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</si>
  <si>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</si>
  <si>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</si>
  <si>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</si>
  <si>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</si>
  <si>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</si>
  <si>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</si>
  <si>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</si>
  <si>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GST_SD_Amount</t>
  </si>
  <si>
    <t>Final_Amount</t>
  </si>
  <si>
    <t>Payment_Amount</t>
  </si>
  <si>
    <t>TDS_Payment_Amount</t>
  </si>
  <si>
    <t>Total_Amount</t>
  </si>
  <si>
    <t xml:space="preserve">1.Bidoli, 2.Jainpur, 3. Bedkheri, 4.Bhogi Mazra (4 Nos.) village  Tax Invoice No.07/2022-0029 dated 16/07/2022 Compressor work at </t>
  </si>
  <si>
    <t xml:space="preserve">1.Sakuti, 2.Kherki, 3. Binamazra, 4.Gagaur, 5.Nai Nagla (5 Nos.) village  Tax Invoice No.30 dated 10/08/2022 Compressor work </t>
  </si>
  <si>
    <t xml:space="preserve"> 1.Mundet Kadar, 2.Dhanena, 3. Thirwa, 4.Pelakha, 5.Singara, 6. Jandheri (6 Nos.) village   Tax Invoice No.31 dated 09/09/2022 Compressor work</t>
  </si>
  <si>
    <t xml:space="preserve"> 1. Harsana, 2. Subri, 3. Kalamazra, 4. Rangana, 5. Loharipur (5 Nos.).
2) OP Unit work at 1. Harsana, 2. Jangheri, 3. Mannamazara, 4. Subri (4 Nos.) village    Tax Invoice No.38 dated 04/11/2022 Compressor work at 1) Compressor work </t>
  </si>
  <si>
    <t xml:space="preserve"> 1. Kabberpur, 2. Adampur, 3. Hasanpur (3 Nos.).
2) OP Unit work at 1. Kalamazra, 2. Loharipur (2 Nos.) village   Tax Invoice No. 39 Total Amount Rs. 2,38,925/-.
1) Compressor work</t>
  </si>
  <si>
    <t>1. Kabberpur, 2. Adampur, 3. Hasanpur (3 Nos.).
2) OP Unit work at 1. Kalamazra, 2. Loharipur (2 Nos.) village    Tax Invoice No. 39 Total Amount Rs. 2,38,925/-.
1) Compressor work</t>
  </si>
  <si>
    <t xml:space="preserve"> at Khedi Khushnam, Gangarampur Khedi, Gari Hasanpur, Kamalpur village (4 Nos.) Amount of Rs. 1,99,485/-. Tax Invoice No. 26 dated 09/06/2022 against Air Compressor Machine work</t>
  </si>
  <si>
    <t xml:space="preserve"> 1.Gujjarpur. 2.Ballemajra, 3.Sanpla, 4.Lawa Daudpur (4 Nos.) village Tax Invoice No.06/2022-0027 dated 26/06/2022 Compressor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</si>
</sst>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"/>
      <color rgb="FFFF0000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15" fontId="8" fillId="2" borderId="6" xfId="0" quotePrefix="1" applyNumberFormat="1" applyFont="1" applyFill="1" applyBorder="1" applyAlignment="1">
      <alignment horizontal="center" vertical="center"/>
    </xf>
    <xf numFmtId="15" fontId="8" fillId="2" borderId="6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9" fontId="3" fillId="3" borderId="5" xfId="1" applyNumberFormat="1" applyFont="1" applyFill="1" applyBorder="1" applyAlignment="1">
      <alignment vertical="center"/>
    </xf>
    <xf numFmtId="0" fontId="5" fillId="2" borderId="9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43" fontId="8" fillId="2" borderId="6" xfId="1" applyNumberFormat="1" applyFont="1" applyFill="1" applyBorder="1" applyAlignment="1">
      <alignment vertical="center"/>
    </xf>
    <xf numFmtId="0" fontId="3" fillId="2" borderId="6" xfId="0" applyFont="1" applyFill="1" applyBorder="1" applyAlignment="1">
      <alignment horizontal="center" vertical="center" wrapText="1"/>
    </xf>
    <xf numFmtId="43" fontId="5" fillId="2" borderId="7" xfId="1" applyNumberFormat="1" applyFont="1" applyFill="1" applyBorder="1" applyAlignment="1">
      <alignment vertical="center"/>
    </xf>
    <xf numFmtId="43" fontId="7" fillId="2" borderId="7" xfId="1" applyNumberFormat="1" applyFont="1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5" fillId="4" borderId="5" xfId="0" applyFont="1" applyFill="1" applyBorder="1" applyAlignment="1">
      <alignment horizontal="center" vertical="center" wrapText="1"/>
    </xf>
    <xf numFmtId="43" fontId="8" fillId="3" borderId="5" xfId="1" applyNumberFormat="1" applyFont="1" applyFill="1" applyBorder="1" applyAlignment="1">
      <alignment vertical="center"/>
    </xf>
    <xf numFmtId="9" fontId="8" fillId="3" borderId="5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9" fontId="3" fillId="2" borderId="7" xfId="1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43" fontId="8" fillId="2" borderId="7" xfId="1" applyNumberFormat="1" applyFont="1" applyFill="1" applyBorder="1" applyAlignment="1">
      <alignment vertical="center"/>
    </xf>
    <xf numFmtId="9" fontId="8" fillId="2" borderId="7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15" fontId="7" fillId="2" borderId="9" xfId="0" quotePrefix="1" applyNumberFormat="1" applyFont="1" applyFill="1" applyBorder="1" applyAlignment="1">
      <alignment vertical="center"/>
    </xf>
    <xf numFmtId="43" fontId="5" fillId="2" borderId="9" xfId="1" applyNumberFormat="1" applyFont="1" applyFill="1" applyBorder="1" applyAlignment="1">
      <alignment vertical="center"/>
    </xf>
    <xf numFmtId="43" fontId="7" fillId="2" borderId="9" xfId="1" applyNumberFormat="1" applyFont="1" applyFill="1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5" fontId="8" fillId="2" borderId="10" xfId="0" applyNumberFormat="1" applyFont="1" applyFill="1" applyBorder="1" applyAlignment="1">
      <alignment horizontal="center" vertical="center"/>
    </xf>
    <xf numFmtId="15" fontId="8" fillId="2" borderId="10" xfId="0" quotePrefix="1" applyNumberFormat="1" applyFont="1" applyFill="1" applyBorder="1" applyAlignment="1">
      <alignment horizontal="center" vertical="center"/>
    </xf>
    <xf numFmtId="43" fontId="8" fillId="2" borderId="10" xfId="1" applyNumberFormat="1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 wrapText="1"/>
    </xf>
    <xf numFmtId="43" fontId="9" fillId="5" borderId="6" xfId="1" applyNumberFormat="1" applyFont="1" applyFill="1" applyBorder="1" applyAlignment="1">
      <alignment vertical="center"/>
    </xf>
    <xf numFmtId="165" fontId="6" fillId="2" borderId="4" xfId="0" applyNumberFormat="1" applyFont="1" applyFill="1" applyBorder="1" applyAlignment="1">
      <alignment vertical="center"/>
    </xf>
    <xf numFmtId="165" fontId="6" fillId="2" borderId="13" xfId="0" applyNumberFormat="1" applyFont="1" applyFill="1" applyBorder="1" applyAlignment="1">
      <alignment vertical="center"/>
    </xf>
    <xf numFmtId="0" fontId="6" fillId="0" borderId="0" xfId="0" applyFont="1"/>
    <xf numFmtId="0" fontId="6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 wrapText="1"/>
    </xf>
    <xf numFmtId="14" fontId="6" fillId="2" borderId="9" xfId="0" applyNumberFormat="1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43" fontId="11" fillId="2" borderId="9" xfId="1" applyNumberFormat="1" applyFont="1" applyFill="1" applyBorder="1" applyAlignment="1">
      <alignment horizontal="center" vertical="center"/>
    </xf>
    <xf numFmtId="43" fontId="6" fillId="2" borderId="9" xfId="1" applyNumberFormat="1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14" fontId="10" fillId="2" borderId="2" xfId="0" applyNumberFormat="1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14" fontId="10" fillId="2" borderId="3" xfId="0" applyNumberFormat="1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6"/>
  <sheetViews>
    <sheetView tabSelected="1" zoomScale="85" zoomScaleNormal="85" workbookViewId="0">
      <selection activeCell="B9" sqref="B9"/>
    </sheetView>
  </sheetViews>
  <sheetFormatPr defaultColWidth="9" defaultRowHeight="15" x14ac:dyDescent="0.25"/>
  <cols>
    <col min="1" max="1" width="9" style="2"/>
    <col min="2" max="2" width="30" style="2" customWidth="1"/>
    <col min="3" max="3" width="13.42578125" style="2" bestFit="1" customWidth="1"/>
    <col min="4" max="4" width="14.42578125" style="2" customWidth="1"/>
    <col min="5" max="5" width="13.28515625" style="2" bestFit="1" customWidth="1"/>
    <col min="6" max="7" width="13.28515625" style="2" customWidth="1"/>
    <col min="8" max="8" width="14.7109375" style="12" customWidth="1"/>
    <col min="9" max="9" width="15.7109375" style="12" bestFit="1" customWidth="1"/>
    <col min="10" max="10" width="12.42578125" style="2" bestFit="1" customWidth="1"/>
    <col min="11" max="11" width="11.28515625" style="2" bestFit="1" customWidth="1"/>
    <col min="12" max="12" width="14.5703125" style="2" bestFit="1" customWidth="1"/>
    <col min="13" max="13" width="15.7109375" style="2" customWidth="1"/>
    <col min="14" max="14" width="7.28515625" style="2" customWidth="1"/>
    <col min="15" max="15" width="21.7109375" style="2" bestFit="1" customWidth="1"/>
    <col min="16" max="16" width="13.5703125" style="2" customWidth="1"/>
    <col min="17" max="17" width="14.5703125" style="2" bestFit="1" customWidth="1"/>
    <col min="18" max="19" width="14.5703125" style="2" customWidth="1"/>
    <col min="20" max="20" width="15.7109375" style="2" bestFit="1" customWidth="1"/>
    <col min="21" max="21" width="97.5703125" style="2" bestFit="1" customWidth="1"/>
    <col min="22" max="16384" width="9" style="2"/>
  </cols>
  <sheetData>
    <row r="1" spans="1:30" x14ac:dyDescent="0.25">
      <c r="A1" s="50" t="s">
        <v>75</v>
      </c>
      <c r="B1" s="1" t="s">
        <v>5</v>
      </c>
      <c r="E1" s="3"/>
      <c r="F1" s="3"/>
      <c r="G1" s="3"/>
      <c r="H1" s="4"/>
      <c r="I1" s="4"/>
    </row>
    <row r="2" spans="1:30" ht="21" x14ac:dyDescent="0.25">
      <c r="A2" s="50" t="s">
        <v>76</v>
      </c>
      <c r="B2" t="s">
        <v>79</v>
      </c>
      <c r="C2" s="5"/>
      <c r="D2" s="5" t="s">
        <v>5</v>
      </c>
      <c r="H2" s="13" t="s">
        <v>44</v>
      </c>
      <c r="I2" s="14"/>
      <c r="J2" s="6"/>
      <c r="K2" s="6"/>
      <c r="L2" s="6"/>
      <c r="M2" s="6"/>
      <c r="N2" s="6"/>
      <c r="O2" s="6"/>
      <c r="P2" s="6"/>
      <c r="Q2" s="6"/>
      <c r="R2" s="6"/>
      <c r="S2" s="6"/>
    </row>
    <row r="3" spans="1:30" ht="21.75" thickBot="1" x14ac:dyDescent="0.3">
      <c r="A3" s="50" t="s">
        <v>77</v>
      </c>
      <c r="B3" t="s">
        <v>80</v>
      </c>
      <c r="C3" s="5"/>
      <c r="D3" s="5"/>
      <c r="H3" s="13"/>
      <c r="I3" s="14"/>
      <c r="J3" s="6"/>
      <c r="K3" s="6"/>
      <c r="L3" s="6"/>
      <c r="M3" s="6"/>
      <c r="N3" s="6"/>
      <c r="O3" s="6"/>
      <c r="P3" s="6"/>
      <c r="Q3" s="6"/>
      <c r="R3" s="6"/>
      <c r="S3" s="6"/>
    </row>
    <row r="4" spans="1:30" ht="15.75" thickBot="1" x14ac:dyDescent="0.3">
      <c r="A4" s="50" t="s">
        <v>78</v>
      </c>
      <c r="B4" t="s">
        <v>80</v>
      </c>
      <c r="C4" s="7"/>
      <c r="D4" s="7"/>
      <c r="E4" s="7"/>
      <c r="F4" s="6"/>
      <c r="G4" s="6"/>
      <c r="H4" s="8"/>
      <c r="I4" s="8"/>
      <c r="J4" s="6"/>
      <c r="K4" s="6"/>
      <c r="O4" s="6"/>
      <c r="P4" s="9"/>
      <c r="Q4" s="9"/>
      <c r="R4" s="9"/>
      <c r="S4" s="9"/>
      <c r="T4" s="9"/>
      <c r="U4" s="9"/>
    </row>
    <row r="5" spans="1:30" ht="43.9" customHeight="1" x14ac:dyDescent="0.25">
      <c r="A5" s="51" t="s">
        <v>81</v>
      </c>
      <c r="B5" s="52" t="s">
        <v>82</v>
      </c>
      <c r="C5" s="53" t="s">
        <v>83</v>
      </c>
      <c r="D5" s="54" t="s">
        <v>84</v>
      </c>
      <c r="E5" s="52" t="s">
        <v>85</v>
      </c>
      <c r="F5" s="52" t="s">
        <v>86</v>
      </c>
      <c r="G5" s="54" t="s">
        <v>87</v>
      </c>
      <c r="H5" s="55" t="s">
        <v>88</v>
      </c>
      <c r="I5" s="56" t="s">
        <v>0</v>
      </c>
      <c r="J5" s="52" t="s">
        <v>89</v>
      </c>
      <c r="K5" s="52" t="s">
        <v>90</v>
      </c>
      <c r="L5" s="52" t="s">
        <v>91</v>
      </c>
      <c r="M5" s="52" t="s">
        <v>92</v>
      </c>
      <c r="N5" s="20"/>
      <c r="O5" s="21" t="s">
        <v>1</v>
      </c>
      <c r="P5" s="52" t="s">
        <v>93</v>
      </c>
      <c r="Q5" s="52" t="s">
        <v>94</v>
      </c>
      <c r="R5" s="21" t="s">
        <v>3</v>
      </c>
      <c r="S5" s="21" t="s">
        <v>4</v>
      </c>
      <c r="T5" s="52" t="s">
        <v>95</v>
      </c>
      <c r="U5" s="52" t="s">
        <v>2</v>
      </c>
    </row>
    <row r="6" spans="1:30" ht="15.75" thickBot="1" x14ac:dyDescent="0.3">
      <c r="A6" s="32"/>
      <c r="B6" s="11"/>
      <c r="C6" s="11"/>
      <c r="D6" s="11"/>
      <c r="E6" s="11"/>
      <c r="F6" s="11"/>
      <c r="G6" s="11"/>
      <c r="H6" s="11"/>
      <c r="I6" s="11"/>
      <c r="J6" s="33">
        <v>0.02</v>
      </c>
      <c r="K6" s="33">
        <v>0.05</v>
      </c>
      <c r="L6" s="11"/>
      <c r="M6" s="11"/>
      <c r="N6" s="34"/>
      <c r="O6" s="35"/>
      <c r="P6" s="35"/>
      <c r="Q6" s="36">
        <v>0.02</v>
      </c>
      <c r="R6" s="36">
        <v>0.05</v>
      </c>
      <c r="S6" s="35"/>
      <c r="T6" s="35"/>
      <c r="U6" s="35"/>
      <c r="W6" s="2">
        <f>SUM(W8:W20)</f>
        <v>23</v>
      </c>
      <c r="X6" s="2" t="s">
        <v>15</v>
      </c>
      <c r="Y6" s="2">
        <v>1</v>
      </c>
      <c r="Z6" s="2">
        <v>2</v>
      </c>
      <c r="AA6" s="2">
        <v>3</v>
      </c>
      <c r="AB6" s="2">
        <v>4</v>
      </c>
      <c r="AC6" s="2">
        <v>5</v>
      </c>
      <c r="AD6" s="2">
        <v>6</v>
      </c>
    </row>
    <row r="7" spans="1:30" s="17" customFormat="1" x14ac:dyDescent="0.25">
      <c r="A7" s="28"/>
      <c r="B7" s="18"/>
      <c r="C7" s="18"/>
      <c r="D7" s="18"/>
      <c r="E7" s="18"/>
      <c r="F7" s="18"/>
      <c r="G7" s="18"/>
      <c r="H7" s="18"/>
      <c r="I7" s="18"/>
      <c r="J7" s="19"/>
      <c r="K7" s="19"/>
      <c r="L7" s="18"/>
      <c r="M7" s="18"/>
      <c r="N7" s="29">
        <f>A8</f>
        <v>51115</v>
      </c>
      <c r="O7" s="30"/>
      <c r="P7" s="30"/>
      <c r="Q7" s="31"/>
      <c r="R7" s="31"/>
      <c r="S7" s="30"/>
      <c r="T7" s="30"/>
      <c r="U7" s="30"/>
    </row>
    <row r="8" spans="1:30" ht="84" customHeight="1" x14ac:dyDescent="0.25">
      <c r="A8" s="22">
        <v>51115</v>
      </c>
      <c r="B8" s="25" t="s">
        <v>102</v>
      </c>
      <c r="C8" s="15">
        <v>44721</v>
      </c>
      <c r="D8" s="15" t="s">
        <v>7</v>
      </c>
      <c r="E8" s="24">
        <f>(4*46375)+4*4000</f>
        <v>201500</v>
      </c>
      <c r="F8" s="24">
        <v>0</v>
      </c>
      <c r="G8" s="24">
        <f>E8-F8</f>
        <v>201500</v>
      </c>
      <c r="H8" s="24">
        <f>ROUND(G8*18%,0)</f>
        <v>36270</v>
      </c>
      <c r="I8" s="24">
        <f>ROUND(G8+H8,0)</f>
        <v>237770</v>
      </c>
      <c r="J8" s="24">
        <f>ROUND(G8*$J$6,0)</f>
        <v>4030</v>
      </c>
      <c r="K8" s="24"/>
      <c r="L8" s="47">
        <f>H8</f>
        <v>36270</v>
      </c>
      <c r="M8" s="24">
        <f>ROUND(I8-SUM(J8:L8),0)</f>
        <v>197470</v>
      </c>
      <c r="N8" s="23"/>
      <c r="O8" s="24" t="s">
        <v>8</v>
      </c>
      <c r="P8" s="24">
        <f>(4*46375)+4*4000</f>
        <v>201500</v>
      </c>
      <c r="Q8" s="24">
        <f>P8*1%</f>
        <v>2015</v>
      </c>
      <c r="R8" s="24">
        <v>0</v>
      </c>
      <c r="S8" s="24">
        <v>0</v>
      </c>
      <c r="T8" s="24">
        <f t="shared" ref="T8:T10" si="0">ROUND(P8-Q8-R8-S8,0)</f>
        <v>199485</v>
      </c>
      <c r="U8" s="24" t="s">
        <v>6</v>
      </c>
      <c r="W8" s="2">
        <v>4</v>
      </c>
      <c r="Y8" s="2" t="s">
        <v>16</v>
      </c>
      <c r="Z8" s="2" t="s">
        <v>17</v>
      </c>
      <c r="AA8" s="2" t="s">
        <v>18</v>
      </c>
      <c r="AB8" s="2" t="s">
        <v>19</v>
      </c>
    </row>
    <row r="9" spans="1:30" ht="61.15" customHeight="1" x14ac:dyDescent="0.25">
      <c r="A9" s="22">
        <v>51115</v>
      </c>
      <c r="B9" s="25" t="s">
        <v>103</v>
      </c>
      <c r="C9" s="16">
        <v>44738</v>
      </c>
      <c r="D9" s="15" t="s">
        <v>9</v>
      </c>
      <c r="E9" s="24">
        <f>(4*46375)+4*4000</f>
        <v>201500</v>
      </c>
      <c r="F9" s="24">
        <f>(300*90.06)+(800*90.07)</f>
        <v>99074</v>
      </c>
      <c r="G9" s="24">
        <f>E9-F9</f>
        <v>102426</v>
      </c>
      <c r="H9" s="24">
        <f>ROUND(G9*18%,0)</f>
        <v>18437</v>
      </c>
      <c r="I9" s="24">
        <f>ROUND(G9+H9,0)</f>
        <v>120863</v>
      </c>
      <c r="J9" s="24">
        <f>ROUND(G9*$J$6,0)</f>
        <v>2049</v>
      </c>
      <c r="K9" s="24"/>
      <c r="L9" s="47">
        <f>H9</f>
        <v>18437</v>
      </c>
      <c r="M9" s="24">
        <f>ROUND(I9-SUM(J9:L9),0)</f>
        <v>100377</v>
      </c>
      <c r="N9" s="23"/>
      <c r="O9" s="24" t="s">
        <v>11</v>
      </c>
      <c r="P9" s="24">
        <v>102426</v>
      </c>
      <c r="Q9" s="24">
        <f>P9*1%</f>
        <v>1024.26</v>
      </c>
      <c r="R9" s="24">
        <v>0</v>
      </c>
      <c r="S9" s="24">
        <v>0</v>
      </c>
      <c r="T9" s="24">
        <f t="shared" si="0"/>
        <v>101402</v>
      </c>
      <c r="U9" s="24" t="s">
        <v>10</v>
      </c>
      <c r="W9" s="2">
        <v>4</v>
      </c>
      <c r="Y9" s="2" t="s">
        <v>20</v>
      </c>
      <c r="Z9" s="2" t="s">
        <v>21</v>
      </c>
      <c r="AA9" s="2" t="s">
        <v>22</v>
      </c>
      <c r="AB9" s="2" t="s">
        <v>23</v>
      </c>
    </row>
    <row r="10" spans="1:30" ht="57" x14ac:dyDescent="0.25">
      <c r="A10" s="22">
        <v>51115</v>
      </c>
      <c r="B10" s="25" t="s">
        <v>96</v>
      </c>
      <c r="C10" s="16">
        <v>44758</v>
      </c>
      <c r="D10" s="15" t="s">
        <v>43</v>
      </c>
      <c r="E10" s="24">
        <f>(4*46375)+4*4000</f>
        <v>201500</v>
      </c>
      <c r="F10" s="24">
        <f>300*90.07</f>
        <v>27020.999999999996</v>
      </c>
      <c r="G10" s="24">
        <f>E10-F10</f>
        <v>174479</v>
      </c>
      <c r="H10" s="24">
        <f>ROUND(G10*18%,0)</f>
        <v>31406</v>
      </c>
      <c r="I10" s="24">
        <f>ROUND(G10+H10,0)</f>
        <v>205885</v>
      </c>
      <c r="J10" s="24">
        <f>ROUND(G10*$J$6,0)</f>
        <v>3490</v>
      </c>
      <c r="K10" s="24"/>
      <c r="L10" s="47">
        <f>H10</f>
        <v>31406</v>
      </c>
      <c r="M10" s="24">
        <f>ROUND(I10-SUM(J10:L10),0)</f>
        <v>170989</v>
      </c>
      <c r="N10" s="23"/>
      <c r="O10" s="24" t="s">
        <v>14</v>
      </c>
      <c r="P10" s="24">
        <f>G10</f>
        <v>174479</v>
      </c>
      <c r="Q10" s="24">
        <f>P10*1%</f>
        <v>1744.79</v>
      </c>
      <c r="R10" s="24">
        <v>0</v>
      </c>
      <c r="S10" s="24">
        <v>0</v>
      </c>
      <c r="T10" s="24">
        <f t="shared" si="0"/>
        <v>172734</v>
      </c>
      <c r="U10" s="24" t="s">
        <v>13</v>
      </c>
      <c r="W10" s="2">
        <v>4</v>
      </c>
      <c r="Y10" s="2" t="s">
        <v>24</v>
      </c>
      <c r="Z10" s="2" t="s">
        <v>25</v>
      </c>
      <c r="AA10" s="2" t="s">
        <v>26</v>
      </c>
      <c r="AB10" s="2" t="s">
        <v>27</v>
      </c>
    </row>
    <row r="11" spans="1:30" ht="57" x14ac:dyDescent="0.25">
      <c r="A11" s="22">
        <v>51115</v>
      </c>
      <c r="B11" s="25" t="s">
        <v>97</v>
      </c>
      <c r="C11" s="16">
        <v>44783</v>
      </c>
      <c r="D11" s="15" t="s">
        <v>12</v>
      </c>
      <c r="E11" s="24">
        <f>(5*46375)+5*4000</f>
        <v>251875</v>
      </c>
      <c r="F11" s="24">
        <f>300*90.07</f>
        <v>27020.999999999996</v>
      </c>
      <c r="G11" s="24">
        <f>E11-F11</f>
        <v>224854</v>
      </c>
      <c r="H11" s="24">
        <f>ROUND(G11*18%,0)</f>
        <v>40474</v>
      </c>
      <c r="I11" s="24">
        <f>ROUND(G11+H11,0)</f>
        <v>265328</v>
      </c>
      <c r="J11" s="24">
        <f>ROUND(G11*$J$6,0)</f>
        <v>4497</v>
      </c>
      <c r="K11" s="24">
        <v>0</v>
      </c>
      <c r="L11" s="47">
        <f>H11</f>
        <v>40474</v>
      </c>
      <c r="M11" s="24">
        <f>ROUND(I11-SUM(J11:L11),0)</f>
        <v>220357</v>
      </c>
      <c r="N11" s="23"/>
      <c r="O11" s="24" t="s">
        <v>34</v>
      </c>
      <c r="P11" s="24">
        <f>G11</f>
        <v>224854</v>
      </c>
      <c r="Q11" s="24">
        <f>$Q$6*P11</f>
        <v>4497.08</v>
      </c>
      <c r="R11" s="24">
        <v>0</v>
      </c>
      <c r="S11" s="24">
        <f>ROUND(SUM(G8:G10),0)*1%+1</f>
        <v>4785.05</v>
      </c>
      <c r="T11" s="24">
        <f>ROUND(P11-Q11-R11-S11,0)</f>
        <v>215572</v>
      </c>
      <c r="U11" s="24" t="s">
        <v>33</v>
      </c>
      <c r="W11" s="2">
        <v>5</v>
      </c>
      <c r="Y11" s="2" t="s">
        <v>28</v>
      </c>
      <c r="Z11" s="2" t="s">
        <v>29</v>
      </c>
      <c r="AA11" s="2" t="s">
        <v>30</v>
      </c>
      <c r="AB11" s="2" t="s">
        <v>31</v>
      </c>
      <c r="AC11" s="2" t="s">
        <v>32</v>
      </c>
    </row>
    <row r="12" spans="1:30" ht="71.25" x14ac:dyDescent="0.25">
      <c r="A12" s="22">
        <v>51115</v>
      </c>
      <c r="B12" s="25" t="s">
        <v>98</v>
      </c>
      <c r="C12" s="16">
        <v>44813</v>
      </c>
      <c r="D12" s="15" t="s">
        <v>41</v>
      </c>
      <c r="E12" s="24">
        <f>(6*46375)+6*4000</f>
        <v>302250</v>
      </c>
      <c r="F12" s="24">
        <f>650*90.07</f>
        <v>58545.499999999993</v>
      </c>
      <c r="G12" s="24">
        <f>E12-F12</f>
        <v>243704.5</v>
      </c>
      <c r="H12" s="24">
        <f>ROUND(G12*18%,0)</f>
        <v>43867</v>
      </c>
      <c r="I12" s="24">
        <f>ROUND(G12+H12,0)</f>
        <v>287572</v>
      </c>
      <c r="J12" s="24">
        <f>ROUND(G12*$J$6,0)</f>
        <v>4874</v>
      </c>
      <c r="K12" s="24">
        <v>0</v>
      </c>
      <c r="L12" s="47">
        <f>H12</f>
        <v>43867</v>
      </c>
      <c r="M12" s="24">
        <f>ROUND(I12-SUM(J12:L12),0)</f>
        <v>238831</v>
      </c>
      <c r="N12" s="23"/>
      <c r="O12" s="24" t="s">
        <v>46</v>
      </c>
      <c r="P12" s="24">
        <v>100000</v>
      </c>
      <c r="Q12" s="24">
        <v>0</v>
      </c>
      <c r="R12" s="24">
        <v>0</v>
      </c>
      <c r="S12" s="24">
        <v>0</v>
      </c>
      <c r="T12" s="24">
        <f>ROUND(P12-Q12-R12-S12,0)</f>
        <v>100000</v>
      </c>
      <c r="U12" s="24" t="s">
        <v>45</v>
      </c>
      <c r="W12" s="2">
        <v>6</v>
      </c>
      <c r="Y12" s="2" t="s">
        <v>35</v>
      </c>
      <c r="Z12" s="2" t="s">
        <v>36</v>
      </c>
      <c r="AA12" s="2" t="s">
        <v>37</v>
      </c>
      <c r="AB12" s="2" t="s">
        <v>38</v>
      </c>
      <c r="AC12" s="2" t="s">
        <v>39</v>
      </c>
      <c r="AD12" s="2" t="s">
        <v>40</v>
      </c>
    </row>
    <row r="13" spans="1:30" x14ac:dyDescent="0.25">
      <c r="A13" s="22">
        <v>51115</v>
      </c>
      <c r="B13" s="25" t="s">
        <v>50</v>
      </c>
      <c r="C13" s="16">
        <v>44872</v>
      </c>
      <c r="D13" s="15" t="str">
        <f>D8</f>
        <v>06/2022-0026</v>
      </c>
      <c r="E13" s="24">
        <f>L8</f>
        <v>36270</v>
      </c>
      <c r="F13" s="24"/>
      <c r="G13" s="24"/>
      <c r="H13" s="24"/>
      <c r="I13" s="24"/>
      <c r="J13" s="24"/>
      <c r="K13" s="24"/>
      <c r="L13" s="24"/>
      <c r="M13" s="47">
        <f>E13</f>
        <v>36270</v>
      </c>
      <c r="N13" s="23"/>
      <c r="O13" s="24" t="s">
        <v>49</v>
      </c>
      <c r="P13" s="24">
        <f>SUM(G8:G12)</f>
        <v>946963.5</v>
      </c>
      <c r="Q13" s="24">
        <f>$Q$6*P13</f>
        <v>18939.27</v>
      </c>
      <c r="R13" s="24">
        <v>0</v>
      </c>
      <c r="S13" s="24">
        <f>SUM(T8:T12)</f>
        <v>789193</v>
      </c>
      <c r="T13" s="24">
        <f>ROUND(P13-Q13-R13-S13,0)</f>
        <v>138831</v>
      </c>
      <c r="U13" s="24" t="s">
        <v>48</v>
      </c>
    </row>
    <row r="14" spans="1:30" x14ac:dyDescent="0.25">
      <c r="A14" s="22">
        <v>51115</v>
      </c>
      <c r="B14" s="25" t="s">
        <v>50</v>
      </c>
      <c r="C14" s="16">
        <v>44872</v>
      </c>
      <c r="D14" s="15" t="str">
        <f>D9</f>
        <v>06/2022-0027</v>
      </c>
      <c r="E14" s="24">
        <f>L9</f>
        <v>18437</v>
      </c>
      <c r="F14" s="24"/>
      <c r="G14" s="24"/>
      <c r="H14" s="24"/>
      <c r="I14" s="24"/>
      <c r="J14" s="24"/>
      <c r="K14" s="24"/>
      <c r="L14" s="24"/>
      <c r="M14" s="47">
        <f>E14</f>
        <v>18437</v>
      </c>
      <c r="N14" s="23"/>
      <c r="O14" s="24" t="s">
        <v>54</v>
      </c>
      <c r="P14" s="24">
        <f>G15</f>
        <v>409461</v>
      </c>
      <c r="Q14" s="24">
        <f>$Q$6*P14</f>
        <v>8189.22</v>
      </c>
      <c r="R14" s="24">
        <v>0</v>
      </c>
      <c r="S14" s="24">
        <v>0</v>
      </c>
      <c r="T14" s="24">
        <f>ROUND(P14-Q14-R14-S14,0)</f>
        <v>401272</v>
      </c>
      <c r="U14" s="24" t="s">
        <v>52</v>
      </c>
    </row>
    <row r="15" spans="1:30" ht="114" x14ac:dyDescent="0.25">
      <c r="A15" s="22">
        <v>51115</v>
      </c>
      <c r="B15" s="25" t="s">
        <v>99</v>
      </c>
      <c r="C15" s="16">
        <v>44869</v>
      </c>
      <c r="D15" s="15" t="s">
        <v>51</v>
      </c>
      <c r="E15" s="24">
        <f>((5*46375)+(5*4000))+(4*70*570)+(4*4000*1)</f>
        <v>427475</v>
      </c>
      <c r="F15" s="24">
        <f>90.07*200</f>
        <v>18014</v>
      </c>
      <c r="G15" s="24">
        <f>E15-F15</f>
        <v>409461</v>
      </c>
      <c r="H15" s="24">
        <f>ROUND(G15*18%,0)</f>
        <v>73703</v>
      </c>
      <c r="I15" s="24">
        <f>ROUND(G15+H15,0)</f>
        <v>483164</v>
      </c>
      <c r="J15" s="24">
        <f>ROUND(G15*$J$6,0)</f>
        <v>8189</v>
      </c>
      <c r="K15" s="24">
        <v>0</v>
      </c>
      <c r="L15" s="47">
        <f>H15</f>
        <v>73703</v>
      </c>
      <c r="M15" s="24">
        <f>ROUND(I15-SUM(J15:L15),0)</f>
        <v>401272</v>
      </c>
      <c r="N15" s="23"/>
      <c r="O15" s="24" t="s">
        <v>55</v>
      </c>
      <c r="P15" s="24">
        <f>E13+E14</f>
        <v>54707</v>
      </c>
      <c r="Q15" s="24">
        <v>0</v>
      </c>
      <c r="R15" s="24">
        <v>0</v>
      </c>
      <c r="S15" s="24">
        <v>0</v>
      </c>
      <c r="T15" s="24">
        <f>ROUND(P15-Q15-R15-S15,0)</f>
        <v>54707</v>
      </c>
      <c r="U15" s="24" t="s">
        <v>53</v>
      </c>
    </row>
    <row r="16" spans="1:30" x14ac:dyDescent="0.25">
      <c r="A16" s="22">
        <v>51115</v>
      </c>
      <c r="B16" s="25" t="s">
        <v>50</v>
      </c>
      <c r="C16" s="16">
        <v>44766</v>
      </c>
      <c r="D16" s="15" t="s">
        <v>56</v>
      </c>
      <c r="E16" s="24">
        <f>L10+L11+L12</f>
        <v>115747</v>
      </c>
      <c r="F16" s="24"/>
      <c r="G16" s="24"/>
      <c r="H16" s="24"/>
      <c r="I16" s="24"/>
      <c r="J16" s="24"/>
      <c r="K16" s="24"/>
      <c r="L16" s="24"/>
      <c r="M16" s="47">
        <f>E16</f>
        <v>115747</v>
      </c>
      <c r="N16" s="23"/>
      <c r="O16" s="24" t="s">
        <v>59</v>
      </c>
      <c r="P16" s="24">
        <v>234146</v>
      </c>
      <c r="Q16" s="24"/>
      <c r="R16" s="24"/>
      <c r="S16" s="24"/>
      <c r="T16" s="24">
        <f>P16</f>
        <v>234146</v>
      </c>
      <c r="U16" s="24" t="s">
        <v>58</v>
      </c>
    </row>
    <row r="17" spans="1:21" ht="99.75" x14ac:dyDescent="0.25">
      <c r="A17" s="22">
        <v>51115</v>
      </c>
      <c r="B17" s="25" t="s">
        <v>100</v>
      </c>
      <c r="C17" s="16">
        <v>44889</v>
      </c>
      <c r="D17" s="15" t="s">
        <v>57</v>
      </c>
      <c r="E17" s="24">
        <f>((3*46375)+(3*4000))+(2*70*570)+(2*4000*1)</f>
        <v>238925</v>
      </c>
      <c r="F17" s="24">
        <v>0</v>
      </c>
      <c r="G17" s="24">
        <f>E17-F17</f>
        <v>238925</v>
      </c>
      <c r="H17" s="24">
        <f>ROUND(G17*18%,0)</f>
        <v>43007</v>
      </c>
      <c r="I17" s="24">
        <f>ROUND(G17+H17,0)</f>
        <v>281932</v>
      </c>
      <c r="J17" s="24">
        <f>ROUND(G17*$J$6,0)</f>
        <v>4779</v>
      </c>
      <c r="K17" s="24">
        <v>0</v>
      </c>
      <c r="L17" s="47">
        <f>H17</f>
        <v>43007</v>
      </c>
      <c r="M17" s="24">
        <f>ROUND(I17-SUM(J17:L17),0)</f>
        <v>234146</v>
      </c>
      <c r="N17" s="23"/>
      <c r="O17" s="24" t="s">
        <v>61</v>
      </c>
      <c r="P17" s="24">
        <v>115747</v>
      </c>
      <c r="Q17" s="24"/>
      <c r="R17" s="24"/>
      <c r="S17" s="24"/>
      <c r="T17" s="24">
        <f>P17</f>
        <v>115747</v>
      </c>
      <c r="U17" s="24" t="s">
        <v>60</v>
      </c>
    </row>
    <row r="18" spans="1:21" x14ac:dyDescent="0.25">
      <c r="A18" s="22">
        <v>51115</v>
      </c>
      <c r="B18" s="25" t="s">
        <v>50</v>
      </c>
      <c r="C18" s="16"/>
      <c r="D18" s="15"/>
      <c r="E18" s="24">
        <f>ROUNDDOWN(H15+H17,0)-1</f>
        <v>116709</v>
      </c>
      <c r="F18" s="24"/>
      <c r="G18" s="24"/>
      <c r="H18" s="24"/>
      <c r="I18" s="24"/>
      <c r="J18" s="24"/>
      <c r="K18" s="24"/>
      <c r="L18" s="24"/>
      <c r="M18" s="47">
        <f>E18</f>
        <v>116709</v>
      </c>
      <c r="N18" s="23"/>
      <c r="O18" s="24" t="s">
        <v>63</v>
      </c>
      <c r="P18" s="24">
        <v>116709</v>
      </c>
      <c r="Q18" s="24"/>
      <c r="R18" s="24"/>
      <c r="S18" s="24"/>
      <c r="T18" s="24">
        <f>P18</f>
        <v>116709</v>
      </c>
      <c r="U18" s="24" t="s">
        <v>62</v>
      </c>
    </row>
    <row r="19" spans="1:21" ht="99.75" x14ac:dyDescent="0.25">
      <c r="A19" s="22">
        <v>51115</v>
      </c>
      <c r="B19" s="25" t="s">
        <v>101</v>
      </c>
      <c r="C19" s="16">
        <v>45188</v>
      </c>
      <c r="D19" s="15" t="s">
        <v>64</v>
      </c>
      <c r="E19" s="24">
        <v>180000</v>
      </c>
      <c r="F19" s="24">
        <v>0</v>
      </c>
      <c r="G19" s="24">
        <f>E19-F19</f>
        <v>180000</v>
      </c>
      <c r="H19" s="24">
        <f>ROUND(G19*18%,0)</f>
        <v>32400</v>
      </c>
      <c r="I19" s="24">
        <f>ROUND(G19+H19,0)</f>
        <v>212400</v>
      </c>
      <c r="J19" s="24">
        <f>ROUND(G19*$J$6,0)</f>
        <v>3600</v>
      </c>
      <c r="K19" s="24">
        <f>G19*K6</f>
        <v>9000</v>
      </c>
      <c r="L19" s="47">
        <f>H19</f>
        <v>32400</v>
      </c>
      <c r="M19" s="24">
        <f>ROUND(I19-SUM(J19:L19),0)</f>
        <v>167400</v>
      </c>
      <c r="N19" s="23"/>
      <c r="O19" s="24" t="s">
        <v>66</v>
      </c>
      <c r="P19" s="24">
        <v>167400</v>
      </c>
      <c r="Q19" s="24"/>
      <c r="R19" s="24"/>
      <c r="S19" s="24"/>
      <c r="T19" s="24">
        <v>167400</v>
      </c>
      <c r="U19" s="24" t="s">
        <v>65</v>
      </c>
    </row>
    <row r="20" spans="1:21" x14ac:dyDescent="0.25">
      <c r="A20" s="22">
        <v>51115</v>
      </c>
      <c r="B20" s="25" t="s">
        <v>50</v>
      </c>
      <c r="C20" s="16"/>
      <c r="D20" s="15" t="s">
        <v>64</v>
      </c>
      <c r="E20" s="24">
        <f>L19</f>
        <v>32400</v>
      </c>
      <c r="F20" s="24"/>
      <c r="G20" s="24"/>
      <c r="H20" s="24"/>
      <c r="I20" s="24"/>
      <c r="J20" s="24"/>
      <c r="K20" s="24"/>
      <c r="L20" s="24"/>
      <c r="M20" s="47">
        <f>E20</f>
        <v>32400</v>
      </c>
      <c r="N20" s="23"/>
      <c r="O20" s="24" t="s">
        <v>68</v>
      </c>
      <c r="P20" s="24">
        <v>32400</v>
      </c>
      <c r="Q20" s="24"/>
      <c r="R20" s="24"/>
      <c r="S20" s="24"/>
      <c r="T20" s="24">
        <v>32400</v>
      </c>
      <c r="U20" s="24" t="s">
        <v>67</v>
      </c>
    </row>
    <row r="21" spans="1:21" x14ac:dyDescent="0.25">
      <c r="A21" s="22">
        <v>51115</v>
      </c>
      <c r="B21" s="42"/>
      <c r="C21" s="43"/>
      <c r="D21" s="44"/>
      <c r="E21" s="45"/>
      <c r="F21" s="45"/>
      <c r="G21" s="45"/>
      <c r="H21" s="45"/>
      <c r="I21" s="45"/>
      <c r="J21" s="45"/>
      <c r="K21" s="45"/>
      <c r="L21" s="45"/>
      <c r="M21" s="45"/>
      <c r="N21" s="46"/>
      <c r="O21" s="45"/>
      <c r="P21" s="45"/>
      <c r="Q21" s="45"/>
      <c r="R21" s="45"/>
      <c r="S21" s="45"/>
      <c r="T21" s="45"/>
      <c r="U21" s="45"/>
    </row>
    <row r="22" spans="1:21" x14ac:dyDescent="0.25">
      <c r="A22" s="22">
        <v>51115</v>
      </c>
      <c r="B22" s="42"/>
      <c r="C22" s="43"/>
      <c r="D22" s="44"/>
      <c r="E22" s="45"/>
      <c r="F22" s="45"/>
      <c r="G22" s="45"/>
      <c r="H22" s="45"/>
      <c r="I22" s="45"/>
      <c r="J22" s="45"/>
      <c r="K22" s="45"/>
      <c r="L22" s="45"/>
      <c r="M22" s="45"/>
      <c r="N22" s="46"/>
      <c r="O22" s="45"/>
      <c r="P22" s="45"/>
      <c r="Q22" s="45"/>
      <c r="R22" s="45"/>
      <c r="S22" s="45"/>
      <c r="T22" s="45"/>
      <c r="U22" s="45"/>
    </row>
    <row r="23" spans="1:21" ht="15.75" thickBot="1" x14ac:dyDescent="0.3">
      <c r="A23" s="22">
        <v>51115</v>
      </c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ht="16.5" x14ac:dyDescent="0.25">
      <c r="A24" s="38"/>
      <c r="B24" s="38"/>
      <c r="C24" s="38"/>
      <c r="D24" s="38"/>
      <c r="E24" s="38"/>
      <c r="F24" s="38"/>
      <c r="G24" s="38"/>
      <c r="H24" s="41">
        <f t="shared" ref="H24:L24" si="1">SUM(H8:H20)</f>
        <v>319564</v>
      </c>
      <c r="I24" s="41">
        <f t="shared" si="1"/>
        <v>2094914</v>
      </c>
      <c r="J24" s="41">
        <f t="shared" si="1"/>
        <v>35508</v>
      </c>
      <c r="K24" s="41">
        <f t="shared" si="1"/>
        <v>9000</v>
      </c>
      <c r="L24" s="41">
        <f t="shared" si="1"/>
        <v>319564</v>
      </c>
      <c r="M24" s="41">
        <f>SUM(M8:M20)</f>
        <v>2050405</v>
      </c>
      <c r="N24" s="40"/>
      <c r="O24" s="40"/>
      <c r="P24" s="40"/>
      <c r="Q24" s="40"/>
      <c r="R24" s="39" t="s">
        <v>42</v>
      </c>
      <c r="S24" s="40"/>
      <c r="T24" s="41">
        <f>SUM(T6:T20)</f>
        <v>2050405</v>
      </c>
      <c r="U24" s="38"/>
    </row>
    <row r="25" spans="1:2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</row>
    <row r="26" spans="1:21" ht="17.25" thickBot="1" x14ac:dyDescent="0.3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26" t="s">
        <v>47</v>
      </c>
      <c r="S26" s="26"/>
      <c r="T26" s="27">
        <f>M24-T24</f>
        <v>0</v>
      </c>
      <c r="U26" s="11"/>
    </row>
    <row r="27" spans="1:2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ht="15.75" thickBot="1" x14ac:dyDescent="0.3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ht="16.5" thickBot="1" x14ac:dyDescent="0.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59" t="s">
        <v>74</v>
      </c>
      <c r="P35" s="60"/>
      <c r="Q35" s="61"/>
      <c r="R35" s="8"/>
      <c r="S35" s="8"/>
      <c r="T35" s="8"/>
      <c r="U35" s="8"/>
    </row>
    <row r="36" spans="1:21" ht="16.5" thickBot="1" x14ac:dyDescent="0.3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59" t="s">
        <v>69</v>
      </c>
      <c r="P36" s="62"/>
      <c r="Q36" s="63"/>
      <c r="R36" s="8"/>
      <c r="S36" s="8"/>
      <c r="T36" s="8"/>
      <c r="U36" s="8"/>
    </row>
    <row r="37" spans="1:21" ht="15.75" thickBo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64" t="s">
        <v>70</v>
      </c>
      <c r="P37" s="65"/>
      <c r="Q37" s="48">
        <f>K24</f>
        <v>9000</v>
      </c>
      <c r="R37" s="8"/>
      <c r="S37" s="8"/>
      <c r="T37" s="8"/>
      <c r="U37" s="8"/>
    </row>
    <row r="38" spans="1:21" ht="15.75" thickBo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64" t="s">
        <v>71</v>
      </c>
      <c r="P38" s="65"/>
      <c r="Q38" s="48"/>
      <c r="R38" s="8"/>
      <c r="S38" s="8"/>
      <c r="T38" s="8"/>
      <c r="U38" s="8"/>
    </row>
    <row r="39" spans="1:21" ht="15.75" thickBo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57" t="s">
        <v>72</v>
      </c>
      <c r="P39" s="58"/>
      <c r="Q39" s="49">
        <f>S26</f>
        <v>0</v>
      </c>
      <c r="R39" s="8"/>
      <c r="S39" s="8"/>
      <c r="T39" s="8"/>
      <c r="U39" s="8"/>
    </row>
    <row r="40" spans="1:21" ht="15.75" thickBo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57" t="s">
        <v>73</v>
      </c>
      <c r="P40" s="58"/>
      <c r="Q40" s="49">
        <f>L24-M20-M18-M16-M14-M13</f>
        <v>1</v>
      </c>
      <c r="R40" s="8"/>
      <c r="S40" s="8"/>
      <c r="T40" s="8"/>
      <c r="U40" s="8"/>
    </row>
    <row r="41" spans="1:21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1:21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1:21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1:21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1:2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1:21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1:21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1:21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1:21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1:21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1:21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1:21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1:21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1:21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1:21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1:21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1:21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1:21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1:21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1:21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1:21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1:21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1:21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1:21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1:21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1:21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1:21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1:21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1:21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1:21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1:21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1:21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1:21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1:21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1:21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1:21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1:21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</sheetData>
  <mergeCells count="6">
    <mergeCell ref="O40:P40"/>
    <mergeCell ref="O35:Q35"/>
    <mergeCell ref="O36:Q36"/>
    <mergeCell ref="O37:P37"/>
    <mergeCell ref="O38:P38"/>
    <mergeCell ref="O39:P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2022-06-28T06:22:04Z</cp:lastPrinted>
  <dcterms:created xsi:type="dcterms:W3CDTF">2022-06-10T14:11:52Z</dcterms:created>
  <dcterms:modified xsi:type="dcterms:W3CDTF">2025-06-03T06:31:17Z</dcterms:modified>
</cp:coreProperties>
</file>