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9BCA2E43-CF7F-4CB1-BBCA-826F693547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64" i="1"/>
  <c r="G73" i="1" l="1"/>
  <c r="K73" i="1" s="1"/>
  <c r="G82" i="1"/>
  <c r="N45" i="1"/>
  <c r="G45" i="1"/>
  <c r="K45" i="1" s="1"/>
  <c r="G16" i="1"/>
  <c r="H16" i="1" s="1"/>
  <c r="O16" i="1" s="1"/>
  <c r="E17" i="1" s="1"/>
  <c r="P17" i="1" s="1"/>
  <c r="K71" i="1"/>
  <c r="J71" i="1"/>
  <c r="H71" i="1"/>
  <c r="I71" i="1" s="1"/>
  <c r="H73" i="1" l="1"/>
  <c r="O73" i="1" s="1"/>
  <c r="E74" i="1" s="1"/>
  <c r="P74" i="1" s="1"/>
  <c r="J45" i="1"/>
  <c r="J73" i="1"/>
  <c r="J82" i="1"/>
  <c r="K82" i="1"/>
  <c r="H82" i="1"/>
  <c r="O82" i="1" s="1"/>
  <c r="H45" i="1"/>
  <c r="O45" i="1" s="1"/>
  <c r="E46" i="1" s="1"/>
  <c r="P46" i="1" s="1"/>
  <c r="I16" i="1"/>
  <c r="J16" i="1"/>
  <c r="K16" i="1"/>
  <c r="O71" i="1"/>
  <c r="X87" i="1"/>
  <c r="L102" i="1" l="1"/>
  <c r="G83" i="1"/>
  <c r="P83" i="1" s="1"/>
  <c r="I73" i="1"/>
  <c r="P73" i="1" s="1"/>
  <c r="I82" i="1"/>
  <c r="P82" i="1" s="1"/>
  <c r="I45" i="1"/>
  <c r="P45" i="1" s="1"/>
  <c r="P71" i="1"/>
  <c r="E72" i="1"/>
  <c r="P72" i="1" s="1"/>
  <c r="P16" i="1"/>
  <c r="G68" i="1"/>
  <c r="K68" i="1" l="1"/>
  <c r="J68" i="1"/>
  <c r="H68" i="1"/>
  <c r="O68" i="1" s="1"/>
  <c r="E70" i="1" s="1"/>
  <c r="P70" i="1" s="1"/>
  <c r="G67" i="1"/>
  <c r="K67" i="1" s="1"/>
  <c r="I68" i="1" l="1"/>
  <c r="P68" i="1" s="1"/>
  <c r="J67" i="1"/>
  <c r="H67" i="1"/>
  <c r="O67" i="1" s="1"/>
  <c r="S20" i="1"/>
  <c r="S24" i="1"/>
  <c r="S57" i="1"/>
  <c r="S80" i="1"/>
  <c r="I67" i="1" l="1"/>
  <c r="P67" i="1" s="1"/>
  <c r="G66" i="1"/>
  <c r="J66" i="1" s="1"/>
  <c r="G50" i="1"/>
  <c r="G13" i="1"/>
  <c r="J13" i="1" s="1"/>
  <c r="K66" i="1" l="1"/>
  <c r="H66" i="1"/>
  <c r="O66" i="1" s="1"/>
  <c r="E69" i="1" s="1"/>
  <c r="P69" i="1" s="1"/>
  <c r="K50" i="1"/>
  <c r="H50" i="1"/>
  <c r="J50" i="1"/>
  <c r="K13" i="1"/>
  <c r="H13" i="1"/>
  <c r="O13" i="1" s="1"/>
  <c r="E15" i="1" s="1"/>
  <c r="P15" i="1" s="1"/>
  <c r="G12" i="1"/>
  <c r="K12" i="1" s="1"/>
  <c r="P65" i="1"/>
  <c r="O50" i="1" l="1"/>
  <c r="P51" i="1" s="1"/>
  <c r="E51" i="1"/>
  <c r="I66" i="1"/>
  <c r="P66" i="1" s="1"/>
  <c r="I50" i="1"/>
  <c r="I13" i="1"/>
  <c r="P13" i="1" s="1"/>
  <c r="H12" i="1"/>
  <c r="O12" i="1" s="1"/>
  <c r="E14" i="1" s="1"/>
  <c r="P14" i="1" s="1"/>
  <c r="J12" i="1"/>
  <c r="E57" i="1"/>
  <c r="P50" i="1" l="1"/>
  <c r="I12" i="1"/>
  <c r="P12" i="1" s="1"/>
  <c r="G64" i="1"/>
  <c r="K64" i="1" s="1"/>
  <c r="J64" i="1" l="1"/>
  <c r="H64" i="1"/>
  <c r="O64" i="1" s="1"/>
  <c r="I64" i="1" l="1"/>
  <c r="P64" i="1" s="1"/>
  <c r="X64" i="1" s="1"/>
  <c r="E27" i="1"/>
  <c r="G27" i="1" s="1"/>
  <c r="K27" i="1" s="1"/>
  <c r="H27" i="1" l="1"/>
  <c r="O27" i="1" s="1"/>
  <c r="E29" i="1" s="1"/>
  <c r="P29" i="1" s="1"/>
  <c r="J27" i="1"/>
  <c r="I27" i="1" l="1"/>
  <c r="P27" i="1" s="1"/>
  <c r="N43" i="1" l="1"/>
  <c r="N90" i="1" s="1"/>
  <c r="L100" i="1" s="1"/>
  <c r="G43" i="1"/>
  <c r="K43" i="1" l="1"/>
  <c r="M43" i="1"/>
  <c r="H43" i="1"/>
  <c r="O43" i="1" s="1"/>
  <c r="E44" i="1" s="1"/>
  <c r="P44" i="1" s="1"/>
  <c r="G80" i="1"/>
  <c r="G57" i="1"/>
  <c r="J57" i="1" s="1"/>
  <c r="K80" i="1" l="1"/>
  <c r="J80" i="1"/>
  <c r="I43" i="1"/>
  <c r="P43" i="1" s="1"/>
  <c r="X43" i="1" s="1"/>
  <c r="H80" i="1"/>
  <c r="O80" i="1" s="1"/>
  <c r="G81" i="1" s="1"/>
  <c r="P81" i="1" s="1"/>
  <c r="K57" i="1"/>
  <c r="H57" i="1"/>
  <c r="O57" i="1" s="1"/>
  <c r="E58" i="1" s="1"/>
  <c r="P58" i="1" s="1"/>
  <c r="G10" i="1"/>
  <c r="K10" i="1" s="1"/>
  <c r="I80" i="1" l="1"/>
  <c r="P80" i="1" s="1"/>
  <c r="X80" i="1" s="1"/>
  <c r="I57" i="1"/>
  <c r="P57" i="1" s="1"/>
  <c r="X57" i="1" s="1"/>
  <c r="J10" i="1"/>
  <c r="H10" i="1"/>
  <c r="O10" i="1" s="1"/>
  <c r="E11" i="1" s="1"/>
  <c r="P11" i="1" s="1"/>
  <c r="O36" i="1"/>
  <c r="O49" i="1"/>
  <c r="G26" i="1"/>
  <c r="H26" i="1" s="1"/>
  <c r="O9" i="1"/>
  <c r="O25" i="1"/>
  <c r="O41" i="1"/>
  <c r="M35" i="1"/>
  <c r="M90" i="1" s="1"/>
  <c r="G35" i="1"/>
  <c r="U20" i="1"/>
  <c r="V20" i="1" s="1"/>
  <c r="V21" i="1"/>
  <c r="V22" i="1"/>
  <c r="G20" i="1"/>
  <c r="J20" i="1" s="1"/>
  <c r="V90" i="1" l="1"/>
  <c r="I10" i="1"/>
  <c r="P10" i="1" s="1"/>
  <c r="O26" i="1"/>
  <c r="E28" i="1" s="1"/>
  <c r="P28" i="1" s="1"/>
  <c r="I26" i="1"/>
  <c r="J26" i="1"/>
  <c r="K26" i="1"/>
  <c r="J35" i="1"/>
  <c r="K35" i="1"/>
  <c r="H35" i="1"/>
  <c r="O35" i="1" s="1"/>
  <c r="E36" i="1" s="1"/>
  <c r="P36" i="1" s="1"/>
  <c r="X35" i="1" s="1"/>
  <c r="L20" i="1"/>
  <c r="L90" i="1" s="1"/>
  <c r="H20" i="1"/>
  <c r="O20" i="1" s="1"/>
  <c r="E21" i="1" s="1"/>
  <c r="P21" i="1" s="1"/>
  <c r="K20" i="1"/>
  <c r="P26" i="1" l="1"/>
  <c r="I35" i="1"/>
  <c r="I20" i="1"/>
  <c r="P20" i="1" s="1"/>
  <c r="X20" i="1" s="1"/>
  <c r="U8" i="1" l="1"/>
  <c r="U48" i="1"/>
  <c r="G48" i="1"/>
  <c r="J48" i="1" s="1"/>
  <c r="G24" i="1"/>
  <c r="J24" i="1" s="1"/>
  <c r="G8" i="1"/>
  <c r="J8" i="1" s="1"/>
  <c r="K48" i="1" l="1"/>
  <c r="H48" i="1"/>
  <c r="O48" i="1" s="1"/>
  <c r="E49" i="1" s="1"/>
  <c r="P49" i="1" s="1"/>
  <c r="K24" i="1"/>
  <c r="H24" i="1"/>
  <c r="O24" i="1" s="1"/>
  <c r="E25" i="1" s="1"/>
  <c r="P25" i="1" s="1"/>
  <c r="K8" i="1"/>
  <c r="H8" i="1"/>
  <c r="O8" i="1" s="1"/>
  <c r="E9" i="1" l="1"/>
  <c r="I48" i="1"/>
  <c r="P48" i="1" s="1"/>
  <c r="X48" i="1" s="1"/>
  <c r="I24" i="1"/>
  <c r="P24" i="1" s="1"/>
  <c r="X24" i="1" s="1"/>
  <c r="I8" i="1"/>
  <c r="P8" i="1" s="1"/>
  <c r="X8" i="1" l="1"/>
  <c r="U41" i="1"/>
  <c r="G40" i="1"/>
  <c r="K40" i="1" s="1"/>
  <c r="H40" i="1" l="1"/>
  <c r="O40" i="1" s="1"/>
  <c r="J40" i="1"/>
  <c r="E41" i="1" l="1"/>
  <c r="P41" i="1" s="1"/>
  <c r="I40" i="1"/>
  <c r="P40" i="1" s="1"/>
  <c r="X40" i="1" l="1"/>
  <c r="J116" i="1"/>
  <c r="J115" i="1"/>
  <c r="O55" i="1"/>
  <c r="J117" i="1" l="1"/>
  <c r="G54" i="1" l="1"/>
  <c r="J54" i="1" s="1"/>
  <c r="J90" i="1" s="1"/>
  <c r="K54" i="1" l="1"/>
  <c r="H54" i="1"/>
  <c r="O54" i="1" s="1"/>
  <c r="O90" i="1" s="1"/>
  <c r="K90" i="1" l="1"/>
  <c r="L98" i="1" s="1"/>
  <c r="E55" i="1"/>
  <c r="P55" i="1" s="1"/>
  <c r="I54" i="1"/>
  <c r="P54" i="1" l="1"/>
  <c r="P90" i="1" s="1"/>
  <c r="X54" i="1" l="1"/>
  <c r="X91" i="1" s="1"/>
  <c r="V91" i="1"/>
  <c r="L99" i="1" s="1"/>
</calcChain>
</file>

<file path=xl/sharedStrings.xml><?xml version="1.0" encoding="utf-8"?>
<sst xmlns="http://schemas.openxmlformats.org/spreadsheetml/2006/main" count="162" uniqueCount="128">
  <si>
    <t>Amount</t>
  </si>
  <si>
    <t>UTR</t>
  </si>
  <si>
    <t>Total Paid Amount Rs. -</t>
  </si>
  <si>
    <t>Balance Payable Amount Rs. -</t>
  </si>
  <si>
    <t>ITEM</t>
  </si>
  <si>
    <t>EXCESS</t>
  </si>
  <si>
    <t>RATE</t>
  </si>
  <si>
    <t>AMOUNT</t>
  </si>
  <si>
    <t>Dism BOE</t>
  </si>
  <si>
    <t>Dism C C</t>
  </si>
  <si>
    <t>Hold Amt</t>
  </si>
  <si>
    <t>Anivarti infraengg pvt ltd</t>
  </si>
  <si>
    <t>Bhasri village PH work</t>
  </si>
  <si>
    <t>02-12-2023 NEFT/AXISP00449103424/RIUP23/3430/ANIVARATI INFRAENG/ICIC0000913 292485.00</t>
  </si>
  <si>
    <t>10-11-2023 NEFT/AXISP00443569634/RIUP23/3261/ANIVARATI INFRAENG/ICIC0000913 196000.00</t>
  </si>
  <si>
    <t>29-11-2023 NEFT/AXISP00447355226/RIUP23/3435/ANIVARATI INFRAENG/ICIC0000913 191042.00</t>
  </si>
  <si>
    <t>22-12-2023 NEFT/AXISP00454984275/RIUP23/3921/ANIVARATI INFRAENG/ICIC0000913 98000.00</t>
  </si>
  <si>
    <t>24-11-2023 NEFT/AXISP00446428093/RIUP23/3286/ANIVARATI INFRAENG/ICIC0000913 292485.00</t>
  </si>
  <si>
    <t>10-11-2023 NEFT/AXISP00443569636/RIUP23/3267/ANIVARATI INFRAENG/ICIC0000913 392000.00</t>
  </si>
  <si>
    <t>29-11-2023 NEFT/AXISP00447355227/RIUP23/3443/ANIVARATI INFRAENG/ICIC0000913 534541.00</t>
  </si>
  <si>
    <t>22-12-2023 NEFT/AXISP00454984276/RIUP23/3922/ANIVARATI INFRAENG/ICIC0000913 147000.00</t>
  </si>
  <si>
    <t>09-01-2024 NEFT/AXISP00460826664/RIUP23/4059/ANIVARATI INFRAENG/ICIC0000913 25050.00</t>
  </si>
  <si>
    <t>10-11-2023 NEFT/AXISP00443569635/RIUP23/3268/ANIVARATI INFRAENG/ICIC0000913 196000.00</t>
  </si>
  <si>
    <t>29-01-2024 NEFT/AXISP00465419057/RIUP23/4310/ANIVARATI INFRAENG/ICIC0000913 69387.00</t>
  </si>
  <si>
    <t>TD</t>
  </si>
  <si>
    <t>GST</t>
  </si>
  <si>
    <t>12-12-2023 NEFT/AXISP00451877866/RIUP23/3698/ANIVARATI INFRAENG/ICIC0000913 98000.00</t>
  </si>
  <si>
    <t>18-12-2023 NEFT/AXISP00453885474/RIUP23/3835/ANIVARATI INFRAENG/ICIC0000913 98000.00</t>
  </si>
  <si>
    <t>01-02-2024 NEFT/AXISP00467376687/RIUP23/4311/ANIVARATI INFRAENG/ICIC0000913 56610.00</t>
  </si>
  <si>
    <t xml:space="preserve">GST </t>
  </si>
  <si>
    <t>01-02-2024 NEFT/AXISP00467376686/RIUP23/4308/ANIVARATI INFRAENG/ICIC0000913 74912.00</t>
  </si>
  <si>
    <t>12-01-2024 NEFT/AXISP00461943526/RIUP23/4242/ANIVARATI INFRAENG/ICIC0000913 147000.00</t>
  </si>
  <si>
    <t>Total Hold ( SD+OC+HT )</t>
  </si>
  <si>
    <t>Advance / Surplus</t>
  </si>
  <si>
    <t>Debit</t>
  </si>
  <si>
    <t>GST Remaining</t>
  </si>
  <si>
    <t>02-02-2024 NEFT/AXISP00467690377/RIUP23/4309/ANIVARATI INFRAENG/ICIC0000913 179331.00</t>
  </si>
  <si>
    <t>As per HO</t>
  </si>
  <si>
    <t>02-02-2024 NEFT/AXISP00467690378/RIUP23/4312/ANIVARATI INFRAENG/ICIC0000913 56610.00</t>
  </si>
  <si>
    <t>01-03-2024 NEFT/AXISP00476344540/RIUP23/4916/ANIVARATI INFRAENG/ICIC0000913 33066.00</t>
  </si>
  <si>
    <t>01-03-2024 NEFT/AXISP00476344539/RIUP23/4917/ANIVARATI INFRAENG/ICIC0000913 32318.00</t>
  </si>
  <si>
    <t>01-03-2024 NEFT/AXISP00476344538/RIUP23/4918/ANIVARATI INFRAENG/ICIC0000913 33300.00</t>
  </si>
  <si>
    <t>07-03-2024 NEFT/AXISP00478571757/RIUP23/5054/ANIVARATI INFRAENG/ICIC0000913 147000.00</t>
  </si>
  <si>
    <t>07-03-2024 NEFT/AXISP00478571758/RIUP23/5055/ANIVARATI INFRAENG/ICIC0000913 147000.00</t>
  </si>
  <si>
    <t>22-03-2024 NEFT/AXISP00483288611/RIUP23/5252/ANIVARATI INFRAENG/ICIC0000913 490000.00</t>
  </si>
  <si>
    <t>19-03-2024 NEFT/AXISP00482138720/RIUP23/5179/ANIVARATI INFRAENG/ICIC0000913 324852.00</t>
  </si>
  <si>
    <t>18-03-2024 NEFT/AXISP00481766501/RIUP23/5164/ANIVARATI INFRAENG/ICIC0000913 147000.00</t>
  </si>
  <si>
    <t>22-03-2024 NEFT/AXISP00483290494/RIUP23/5250/ANIVARATI INFRAENG/ICIC0000913 49000.00</t>
  </si>
  <si>
    <t>22-03-2024 NEFT/AXISP00483288610/RIUP23/5253/ANIVARATI INFRAENG/ICIC0000913 392000.00</t>
  </si>
  <si>
    <t xml:space="preserve">   </t>
  </si>
  <si>
    <t>Gate Fixing/ P&amp; F etc</t>
  </si>
  <si>
    <t>06-04-2024 NEFT/AXISP00489186684/RIUP23/5310/ANIVARATI INFRAENG/ICIC0000913 381700.00</t>
  </si>
  <si>
    <t>04-04-2024 NEFT/AXISP00488005304/RIUP23/5328/ANIVARATI INFRAENG/ICIC0000913 127713.00</t>
  </si>
  <si>
    <t>24-04-2024 NEFT/AXISP00493457029/RIUP24/0263/ANIVARATI INFRAENG/ICIC0000913 907968.00</t>
  </si>
  <si>
    <t>29-04-2024 NEFT/AXISP00494414244/RIUP24/0337/ANIVARATI INFRAENG/ICIC0000913 97719.00</t>
  </si>
  <si>
    <t>29-04-2024 NEFT/AXISP00494414245/RIUP24/0338/ANIVARATI INFRAENG/ICIC0000913 145951.00</t>
  </si>
  <si>
    <t>29-04-2024 NEFT/AXISP00494414246/RIUP24/0339/ANIVARATI INFRAENG/ICIC0000913 104066.00</t>
  </si>
  <si>
    <t>10-05-2024 NEFT/AXISP00499057073/RIUP24/0343/ANIVARATI INFRAENG/ICIC0000913 315087.00</t>
  </si>
  <si>
    <t>10-05-2024 NEFT/AXISP00499057074/RIUP24/0342/ANIVARATI INFRAENG/ICIC0000913 184275.00</t>
  </si>
  <si>
    <t>Gst</t>
  </si>
  <si>
    <t>27-05-2024 NEFT/AXISP00502944904/RIUP24/0612/ANIVARATI INFRAENG/ICIC0000913 204188.00</t>
  </si>
  <si>
    <t>16-05-2024 NEFT/AXISP00500630401/RIUP24/0341/ANIVARATI INFRAENG/ICIC0000913 62875.00</t>
  </si>
  <si>
    <t>03-06-2024 NEFT/AXISP00505249176/RIUP24/0673/ANIVARATI INFRAENG/ICIC0000913 451980.00</t>
  </si>
  <si>
    <t>17-05-2024 NEFT/AXISP00500883070/RIUP24/0340/ANIVARATI INFRAENG/ICIC0000913 89482.00</t>
  </si>
  <si>
    <t>16-05-2024 NEFT/AXISP00500630404/RIUP24/0445/ANIVARATI INFRAENG/ICIC0000913 178200.00</t>
  </si>
  <si>
    <t xml:space="preserve">Anivarati Infraengineers </t>
  </si>
  <si>
    <t>14-08-2024 NEFT/AXISP00528230426/RIUP24/1017/ANIVARATI INFRAENG/ICIC0000913 137566.00</t>
  </si>
  <si>
    <t>19-08-2024 NEFT/AXISP00529670924/RIUP24/1472/ANIVARATI INFRAENG/ICIC0000913 210993.00</t>
  </si>
  <si>
    <t>17-09-2024 NEFT/AXISP00541245540/RIUP24/1122/ANIVARATI INFRAENG/ICIC0000913 100303.00</t>
  </si>
  <si>
    <t>BOQ Amount</t>
  </si>
  <si>
    <t>Balance Against BOQ</t>
  </si>
  <si>
    <t>18-09-2024 NEFT/AXISP00541733389/RIUP24/1833/ANIVARATI INFRAENG/ICIC0000913 98000.00</t>
  </si>
  <si>
    <t>18-09-2024 NEFT/AXISP00541733390/RIUP24/1834/ANIVARATI INFRAENG/ICIC0000913 98000.00</t>
  </si>
  <si>
    <t>20-09-2024 NEFT/AXISP00542404136/RIUP24/1764/ANIVARATI INFRAENG/ICIC0000913 114106.00</t>
  </si>
  <si>
    <t>21-10-2024 NEFT/AXISP00556268920/RIUP24/2260/ANIVARATI INFRAENG/ICIC0000913 392000.00</t>
  </si>
  <si>
    <t>5, 7</t>
  </si>
  <si>
    <t>30-10-2024 NEFT/AXISP00561390211/RIUP24/2354/ANIVARATI INFRAENG/ICIC0000913 98000.00</t>
  </si>
  <si>
    <t>30-10-2024 NEFT/AXISP00561389907/RIUP24/2363/ANIVARATI INFRAENG/ICIC0000913 98000.00</t>
  </si>
  <si>
    <t>30-10-2024 NEFT/AXISP00561389906/RIUP24/2362/ANIVARATI INFRAENG/ICIC0000913 196000.00</t>
  </si>
  <si>
    <t>26-09-2024 NEFT/AXISP00544686589/RIUP24/1932/ANIVARATI INFRAENG/ICIC0000913 98000.00</t>
  </si>
  <si>
    <t>20-12-2024 NEFT/AXISP00587058612/RIUP24/2598/ANIVARATI INFRAENG/ICIC0000913 122513.00</t>
  </si>
  <si>
    <t>20-12-2024 NEFT/AXISP00587058614/RIUP24/2757/ANIVARATI INFRAENG/ICIC0000913 196000.00</t>
  </si>
  <si>
    <t>DPR Excess Hold</t>
  </si>
  <si>
    <t>13-12-2023 NEFT/AXISP00452748655/RIUP23/3597/ANIVARATI INFRAENG/ICIC0000913 123948.00</t>
  </si>
  <si>
    <t>21-01-2025 NEFT/AXISP00601114145/RIUP24/2774/ANIVARATI INFRAENG/ICIC0000913 143056.00</t>
  </si>
  <si>
    <t>21-01-2025 NEFT/AXISP00601114151/RIUP24/2987/ANIVARATI INFRAENG/ICIC0000913 147000.00</t>
  </si>
  <si>
    <t>07-02-2025 NEFT/AXISP00612564981/RIUP24/2822/ANIVARATI INFRAENG/ICIC0000913 40838.00</t>
  </si>
  <si>
    <t>15-02-2025 NEFT/AXISP00616936486/RIUP24/3181/ANIVARATI INFRAENG/ICIC0000913 200000.00</t>
  </si>
  <si>
    <t>13-03-2025 NEFT/AXISP00633031179/RIUP24/3417/ANIVARATI INFRAENG/ICIC0000913 150000.00</t>
  </si>
  <si>
    <t>Closed</t>
  </si>
  <si>
    <t>09-04-2025 NEFT/AXISP00648889496/RIUP25/0063/ANIVARATI INFRAENG/ICIC0000913 250000.00</t>
  </si>
  <si>
    <t>19-04-2025 NEFT/AXISP00653358545/RIUP25/0135/ANIVARATI INFRAENG/ICIC0000913 200000.00</t>
  </si>
  <si>
    <t>24-04-2025 NEFT/AXISP00655699069/RIUP25/0146/ANIVARATI INFRAENG/ICIC0000913 147000.00</t>
  </si>
  <si>
    <t>Subcontractor:</t>
  </si>
  <si>
    <t>State:</t>
  </si>
  <si>
    <t>District:</t>
  </si>
  <si>
    <t>Block:</t>
  </si>
  <si>
    <t>Uttar Pradesh</t>
  </si>
  <si>
    <t>Shamli</t>
  </si>
  <si>
    <t>Jharkheri village  - 225 - 14 work</t>
  </si>
  <si>
    <t>Jharkheri village OHT  work</t>
  </si>
  <si>
    <t xml:space="preserve"> PANJETH village  - 300 -12 work </t>
  </si>
  <si>
    <t xml:space="preserve">Muhmaddpura village  - 325 - 16 work </t>
  </si>
  <si>
    <t>BHARSI Village  BOUNDARY WALL work</t>
  </si>
  <si>
    <t>Issopur Teel Village BW work</t>
  </si>
  <si>
    <t>Issopur Teel Village PUMP HOUSE work</t>
  </si>
  <si>
    <t>jarkheri village PH work</t>
  </si>
  <si>
    <t>ALIPUR UMERPUR village - 250 -12 work</t>
  </si>
  <si>
    <t>gst</t>
  </si>
  <si>
    <t>ALIPUR village  - 375 -14 work</t>
  </si>
  <si>
    <t>MANNAMAZRA village - 300 -16 work</t>
  </si>
  <si>
    <t xml:space="preserve">Erti-Kairana village - 175 -12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</si>
  <si>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</si>
  <si>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</si>
  <si>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</si>
  <si>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</si>
  <si>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</si>
  <si>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</si>
  <si>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</si>
  <si>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</si>
  <si>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</si>
  <si>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</si>
  <si>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 xml:space="preserve">DPR Excess hold 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</si>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</sst>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omic Sans MS"/>
      <family val="4"/>
    </font>
    <font>
      <sz val="9"/>
      <color rgb="FF333333"/>
      <name val="Verdana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mic Sans MS"/>
      <family val="4"/>
    </font>
    <font>
      <b/>
      <sz val="8"/>
      <color theme="1"/>
      <name val="Comic Sans MS"/>
      <family val="4"/>
    </font>
    <font>
      <b/>
      <sz val="10"/>
      <name val="Comic Sans MS"/>
      <family val="4"/>
    </font>
    <font>
      <b/>
      <sz val="10"/>
      <color rgb="FFFF0000"/>
      <name val="Comic Sans MS"/>
      <family val="4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3" fontId="0" fillId="2" borderId="2" xfId="1" applyNumberFormat="1" applyFont="1" applyFill="1" applyBorder="1" applyAlignment="1">
      <alignment horizontal="center" vertical="center"/>
    </xf>
    <xf numFmtId="43" fontId="6" fillId="2" borderId="2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43" fontId="3" fillId="4" borderId="3" xfId="1" applyNumberFormat="1" applyFont="1" applyFill="1" applyBorder="1" applyAlignment="1">
      <alignment vertical="center"/>
    </xf>
    <xf numFmtId="15" fontId="3" fillId="4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3" fontId="3" fillId="2" borderId="6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43" fontId="7" fillId="2" borderId="3" xfId="1" applyNumberFormat="1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43" fontId="7" fillId="4" borderId="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6" xfId="1" applyNumberFormat="1" applyFont="1" applyFill="1" applyBorder="1" applyAlignment="1">
      <alignment vertical="center"/>
    </xf>
    <xf numFmtId="0" fontId="5" fillId="4" borderId="3" xfId="1" applyNumberFormat="1" applyFont="1" applyFill="1" applyBorder="1" applyAlignment="1">
      <alignment vertical="center"/>
    </xf>
    <xf numFmtId="0" fontId="8" fillId="2" borderId="3" xfId="1" applyNumberFormat="1" applyFont="1" applyFill="1" applyBorder="1" applyAlignment="1">
      <alignment vertical="center"/>
    </xf>
    <xf numFmtId="14" fontId="6" fillId="2" borderId="0" xfId="0" applyNumberFormat="1" applyFont="1" applyFill="1" applyAlignment="1">
      <alignment vertical="center"/>
    </xf>
    <xf numFmtId="0" fontId="5" fillId="5" borderId="3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vertical="center"/>
    </xf>
    <xf numFmtId="43" fontId="10" fillId="2" borderId="2" xfId="1" applyNumberFormat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4" fillId="2" borderId="0" xfId="1" applyFont="1" applyFill="1" applyAlignment="1">
      <alignment vertical="center"/>
    </xf>
    <xf numFmtId="164" fontId="3" fillId="2" borderId="6" xfId="1" applyFont="1" applyFill="1" applyBorder="1" applyAlignment="1">
      <alignment vertical="center"/>
    </xf>
    <xf numFmtId="164" fontId="3" fillId="4" borderId="3" xfId="1" applyFont="1" applyFill="1" applyBorder="1" applyAlignment="1">
      <alignment vertical="center"/>
    </xf>
    <xf numFmtId="164" fontId="7" fillId="2" borderId="3" xfId="1" applyFont="1" applyFill="1" applyBorder="1" applyAlignment="1">
      <alignment horizontal="center" vertical="center" wrapText="1"/>
    </xf>
    <xf numFmtId="164" fontId="7" fillId="2" borderId="3" xfId="1" applyFont="1" applyFill="1" applyBorder="1" applyAlignment="1">
      <alignment vertical="center"/>
    </xf>
    <xf numFmtId="0" fontId="5" fillId="2" borderId="4" xfId="1" applyNumberFormat="1" applyFont="1" applyFill="1" applyBorder="1" applyAlignment="1">
      <alignment vertical="center"/>
    </xf>
    <xf numFmtId="0" fontId="5" fillId="2" borderId="11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5" fillId="2" borderId="4" xfId="1" applyNumberFormat="1" applyFont="1" applyFill="1" applyBorder="1" applyAlignment="1">
      <alignment horizontal="center" vertical="center"/>
    </xf>
    <xf numFmtId="164" fontId="5" fillId="2" borderId="4" xfId="1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0" fontId="5" fillId="2" borderId="11" xfId="1" applyNumberFormat="1" applyFont="1" applyFill="1" applyBorder="1" applyAlignment="1">
      <alignment horizontal="center" vertical="center"/>
    </xf>
    <xf numFmtId="164" fontId="5" fillId="2" borderId="11" xfId="1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43" fontId="11" fillId="6" borderId="3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43" fontId="8" fillId="2" borderId="3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horizontal="left" vertical="top"/>
    </xf>
    <xf numFmtId="0" fontId="12" fillId="0" borderId="0" xfId="0" applyFont="1"/>
    <xf numFmtId="0" fontId="13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43" fontId="7" fillId="2" borderId="6" xfId="1" applyNumberFormat="1" applyFont="1" applyFill="1" applyBorder="1" applyAlignment="1">
      <alignment vertical="center"/>
    </xf>
    <xf numFmtId="43" fontId="7" fillId="2" borderId="8" xfId="1" applyNumberFormat="1" applyFont="1" applyFill="1" applyBorder="1" applyAlignment="1">
      <alignment vertical="center"/>
    </xf>
    <xf numFmtId="43" fontId="8" fillId="2" borderId="4" xfId="1" applyNumberFormat="1" applyFont="1" applyFill="1" applyBorder="1" applyAlignment="1">
      <alignment vertical="center"/>
    </xf>
    <xf numFmtId="43" fontId="8" fillId="2" borderId="11" xfId="1" applyNumberFormat="1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4" xfId="0" applyFont="1" applyFill="1" applyBorder="1" applyAlignment="1">
      <alignment horizontal="center" vertical="center" wrapText="1"/>
    </xf>
    <xf numFmtId="43" fontId="15" fillId="2" borderId="6" xfId="1" applyNumberFormat="1" applyFont="1" applyFill="1" applyBorder="1" applyAlignment="1">
      <alignment vertical="center"/>
    </xf>
    <xf numFmtId="43" fontId="15" fillId="4" borderId="3" xfId="1" applyNumberFormat="1" applyFont="1" applyFill="1" applyBorder="1" applyAlignment="1">
      <alignment vertical="center"/>
    </xf>
    <xf numFmtId="43" fontId="16" fillId="2" borderId="4" xfId="1" applyNumberFormat="1" applyFont="1" applyFill="1" applyBorder="1" applyAlignment="1">
      <alignment vertical="center"/>
    </xf>
    <xf numFmtId="43" fontId="16" fillId="2" borderId="11" xfId="1" applyNumberFormat="1" applyFont="1" applyFill="1" applyBorder="1" applyAlignment="1">
      <alignment vertical="center"/>
    </xf>
    <xf numFmtId="0" fontId="13" fillId="0" borderId="3" xfId="0" applyFont="1" applyBorder="1" applyAlignment="1">
      <alignment vertical="center"/>
    </xf>
    <xf numFmtId="15" fontId="7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5" borderId="3" xfId="1" applyNumberFormat="1" applyFont="1" applyFill="1" applyBorder="1" applyAlignment="1">
      <alignment vertical="center"/>
    </xf>
    <xf numFmtId="164" fontId="7" fillId="4" borderId="3" xfId="1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7" fillId="2" borderId="3" xfId="1" applyNumberFormat="1" applyFont="1" applyFill="1" applyBorder="1" applyAlignment="1">
      <alignment horizontal="center" vertical="center"/>
    </xf>
    <xf numFmtId="0" fontId="8" fillId="2" borderId="3" xfId="1" applyNumberFormat="1" applyFont="1" applyFill="1" applyBorder="1" applyAlignment="1">
      <alignment vertical="center" wrapText="1"/>
    </xf>
    <xf numFmtId="0" fontId="7" fillId="4" borderId="3" xfId="1" applyNumberFormat="1" applyFont="1" applyFill="1" applyBorder="1" applyAlignment="1">
      <alignment horizontal="center" vertical="center"/>
    </xf>
    <xf numFmtId="9" fontId="7" fillId="4" borderId="3" xfId="1" applyNumberFormat="1" applyFont="1" applyFill="1" applyBorder="1" applyAlignment="1">
      <alignment vertical="center"/>
    </xf>
    <xf numFmtId="0" fontId="17" fillId="5" borderId="3" xfId="1" applyNumberFormat="1" applyFont="1" applyFill="1" applyBorder="1" applyAlignment="1">
      <alignment vertical="center"/>
    </xf>
    <xf numFmtId="15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8" fillId="2" borderId="3" xfId="1" applyNumberFormat="1" applyFont="1" applyFill="1" applyBorder="1" applyAlignment="1">
      <alignment vertical="center"/>
    </xf>
    <xf numFmtId="43" fontId="7" fillId="2" borderId="3" xfId="1" applyNumberFormat="1" applyFont="1" applyFill="1" applyBorder="1" applyAlignment="1">
      <alignment horizontal="center" vertical="center"/>
    </xf>
    <xf numFmtId="0" fontId="7" fillId="2" borderId="8" xfId="1" applyNumberFormat="1" applyFont="1" applyFill="1" applyBorder="1" applyAlignment="1">
      <alignment horizontal="center" vertical="center"/>
    </xf>
    <xf numFmtId="0" fontId="8" fillId="2" borderId="8" xfId="1" applyNumberFormat="1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164" fontId="7" fillId="2" borderId="8" xfId="1" applyFont="1" applyFill="1" applyBorder="1" applyAlignment="1">
      <alignment vertical="center"/>
    </xf>
    <xf numFmtId="43" fontId="11" fillId="2" borderId="8" xfId="1" applyNumberFormat="1" applyFont="1" applyFill="1" applyBorder="1" applyAlignment="1">
      <alignment vertical="center"/>
    </xf>
    <xf numFmtId="0" fontId="6" fillId="0" borderId="0" xfId="0" applyFont="1"/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19" fillId="2" borderId="6" xfId="1" applyNumberFormat="1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horizontal="center" vertical="center"/>
    </xf>
    <xf numFmtId="43" fontId="10" fillId="2" borderId="2" xfId="1" applyNumberFormat="1" applyFont="1" applyFill="1" applyBorder="1" applyAlignment="1">
      <alignment horizontal="center" vertical="center"/>
    </xf>
    <xf numFmtId="43" fontId="9" fillId="2" borderId="9" xfId="1" applyNumberFormat="1" applyFont="1" applyFill="1" applyBorder="1" applyAlignment="1">
      <alignment horizontal="center" vertical="center"/>
    </xf>
    <xf numFmtId="43" fontId="9" fillId="2" borderId="10" xfId="1" applyNumberFormat="1" applyFont="1" applyFill="1" applyBorder="1" applyAlignment="1">
      <alignment horizontal="center" vertical="center"/>
    </xf>
    <xf numFmtId="43" fontId="9" fillId="2" borderId="7" xfId="1" applyNumberFormat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43" fontId="10" fillId="2" borderId="9" xfId="1" applyNumberFormat="1" applyFont="1" applyFill="1" applyBorder="1" applyAlignment="1">
      <alignment horizontal="center" vertical="center"/>
    </xf>
    <xf numFmtId="43" fontId="10" fillId="2" borderId="7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118"/>
  <sheetViews>
    <sheetView tabSelected="1" zoomScale="85" zoomScaleNormal="85" workbookViewId="0">
      <pane ySplit="5" topLeftCell="A6" activePane="bottomLeft" state="frozen"/>
      <selection activeCell="I1" sqref="I1"/>
      <selection pane="bottomLeft" activeCell="B3" sqref="B3"/>
    </sheetView>
  </sheetViews>
  <sheetFormatPr defaultColWidth="17.28515625" defaultRowHeight="15" x14ac:dyDescent="0.25"/>
  <cols>
    <col min="1" max="1" width="9.7109375" style="1" bestFit="1" customWidth="1"/>
    <col min="2" max="2" width="30" style="2" bestFit="1" customWidth="1"/>
    <col min="3" max="3" width="13.28515625" style="2" bestFit="1" customWidth="1"/>
    <col min="4" max="4" width="17" style="40" customWidth="1"/>
    <col min="5" max="5" width="14.5703125" style="2" bestFit="1" customWidth="1"/>
    <col min="6" max="6" width="12.85546875" style="2" bestFit="1" customWidth="1"/>
    <col min="7" max="7" width="15.7109375" style="2" bestFit="1" customWidth="1"/>
    <col min="8" max="9" width="14.5703125" style="12" bestFit="1" customWidth="1"/>
    <col min="10" max="10" width="13.7109375" style="2" customWidth="1"/>
    <col min="11" max="11" width="13.42578125" style="2" bestFit="1" customWidth="1"/>
    <col min="12" max="12" width="20" style="2" customWidth="1"/>
    <col min="13" max="13" width="16.28515625" style="2" bestFit="1" customWidth="1"/>
    <col min="14" max="14" width="14.140625" style="2" customWidth="1"/>
    <col min="15" max="15" width="14.7109375" style="2" bestFit="1" customWidth="1"/>
    <col min="16" max="16" width="15.85546875" style="2" bestFit="1" customWidth="1"/>
    <col min="17" max="17" width="11.42578125" style="1" customWidth="1"/>
    <col min="18" max="18" width="19.5703125" style="76" customWidth="1"/>
    <col min="19" max="19" width="13.7109375" style="69" customWidth="1"/>
    <col min="20" max="20" width="14.5703125" style="47" bestFit="1" customWidth="1"/>
    <col min="21" max="21" width="10.85546875" style="2" bestFit="1" customWidth="1"/>
    <col min="22" max="22" width="17" style="2" bestFit="1" customWidth="1"/>
    <col min="23" max="23" width="90.5703125" style="2" bestFit="1" customWidth="1"/>
    <col min="24" max="24" width="17.85546875" style="2" customWidth="1"/>
    <col min="25" max="16384" width="17.28515625" style="2"/>
  </cols>
  <sheetData>
    <row r="1" spans="1:279" x14ac:dyDescent="0.25">
      <c r="A1" s="103" t="s">
        <v>93</v>
      </c>
      <c r="B1" s="1" t="s">
        <v>11</v>
      </c>
      <c r="E1" s="3"/>
      <c r="F1" s="3"/>
      <c r="G1" s="3"/>
      <c r="H1" s="4"/>
      <c r="I1" s="4"/>
      <c r="Q1" s="33"/>
    </row>
    <row r="2" spans="1:279" ht="21" x14ac:dyDescent="0.25">
      <c r="A2" s="103" t="s">
        <v>94</v>
      </c>
      <c r="B2" t="s">
        <v>97</v>
      </c>
      <c r="C2" s="5"/>
      <c r="D2" s="67" t="s">
        <v>11</v>
      </c>
      <c r="H2" s="13"/>
      <c r="I2" s="6"/>
      <c r="J2" s="7"/>
      <c r="K2" s="7"/>
      <c r="L2" s="7"/>
      <c r="M2" s="7"/>
      <c r="N2" s="7"/>
      <c r="O2" s="7"/>
      <c r="P2" s="7"/>
      <c r="Q2" s="38"/>
      <c r="R2" s="77"/>
      <c r="S2" s="70"/>
      <c r="T2" s="48"/>
      <c r="U2" s="7"/>
    </row>
    <row r="3" spans="1:279" ht="21.75" thickBot="1" x14ac:dyDescent="0.3">
      <c r="A3" s="103" t="s">
        <v>95</v>
      </c>
      <c r="B3" t="s">
        <v>98</v>
      </c>
      <c r="C3" s="5"/>
      <c r="D3" s="67"/>
      <c r="H3" s="13"/>
      <c r="I3" s="6"/>
      <c r="J3" s="7"/>
      <c r="K3" s="7"/>
      <c r="L3" s="7"/>
      <c r="M3" s="7"/>
      <c r="N3" s="7"/>
      <c r="O3" s="7"/>
      <c r="P3" s="7"/>
      <c r="Q3" s="38"/>
      <c r="R3" s="77"/>
      <c r="S3" s="70"/>
      <c r="T3" s="48"/>
      <c r="U3" s="7"/>
    </row>
    <row r="4" spans="1:279" ht="15.75" thickBot="1" x14ac:dyDescent="0.3">
      <c r="A4" s="103" t="s">
        <v>96</v>
      </c>
      <c r="B4" t="s">
        <v>98</v>
      </c>
      <c r="C4" s="8"/>
      <c r="D4" s="41"/>
      <c r="E4" s="8"/>
      <c r="F4" s="7"/>
      <c r="G4" s="7"/>
      <c r="H4" s="9"/>
      <c r="I4" s="9"/>
      <c r="J4" s="7"/>
      <c r="K4" s="7"/>
      <c r="L4" s="7"/>
      <c r="M4" s="7"/>
      <c r="Q4" s="34"/>
      <c r="R4" s="77"/>
      <c r="S4" s="70"/>
      <c r="T4" s="49"/>
      <c r="U4" s="10"/>
      <c r="V4" s="10"/>
      <c r="W4" s="10"/>
      <c r="X4" s="10"/>
    </row>
    <row r="5" spans="1:279" ht="45.75" thickBot="1" x14ac:dyDescent="0.3">
      <c r="A5" s="104" t="s">
        <v>112</v>
      </c>
      <c r="B5" s="105" t="s">
        <v>113</v>
      </c>
      <c r="C5" s="106" t="s">
        <v>114</v>
      </c>
      <c r="D5" s="107" t="s">
        <v>115</v>
      </c>
      <c r="E5" s="105" t="s">
        <v>116</v>
      </c>
      <c r="F5" s="105" t="s">
        <v>117</v>
      </c>
      <c r="G5" s="107" t="s">
        <v>118</v>
      </c>
      <c r="H5" s="108" t="s">
        <v>119</v>
      </c>
      <c r="I5" s="109" t="s">
        <v>0</v>
      </c>
      <c r="J5" s="105" t="s">
        <v>120</v>
      </c>
      <c r="K5" s="105" t="s">
        <v>121</v>
      </c>
      <c r="L5" s="25" t="s">
        <v>24</v>
      </c>
      <c r="M5" s="25" t="s">
        <v>50</v>
      </c>
      <c r="N5" s="25" t="s">
        <v>122</v>
      </c>
      <c r="O5" s="105" t="s">
        <v>123</v>
      </c>
      <c r="P5" s="105" t="s">
        <v>124</v>
      </c>
      <c r="Q5" s="23"/>
      <c r="R5" s="78" t="s">
        <v>69</v>
      </c>
      <c r="S5" s="71" t="s">
        <v>70</v>
      </c>
      <c r="T5" s="105" t="s">
        <v>125</v>
      </c>
      <c r="U5" s="105" t="s">
        <v>126</v>
      </c>
      <c r="V5" s="105" t="s">
        <v>127</v>
      </c>
      <c r="W5" s="105" t="s">
        <v>1</v>
      </c>
      <c r="X5" s="24"/>
    </row>
    <row r="6" spans="1:279" x14ac:dyDescent="0.25">
      <c r="A6" s="35"/>
      <c r="B6" s="26"/>
      <c r="C6" s="26"/>
      <c r="D6" s="42"/>
      <c r="E6" s="26"/>
      <c r="F6" s="26"/>
      <c r="G6" s="26"/>
      <c r="H6" s="26"/>
      <c r="I6" s="26"/>
      <c r="J6" s="27">
        <v>0.02</v>
      </c>
      <c r="K6" s="27">
        <v>0.05</v>
      </c>
      <c r="L6" s="27">
        <v>0.1</v>
      </c>
      <c r="M6" s="27"/>
      <c r="N6" s="26"/>
      <c r="O6" s="26"/>
      <c r="P6" s="26"/>
      <c r="Q6" s="35"/>
      <c r="R6" s="79"/>
      <c r="S6" s="72"/>
      <c r="T6" s="50"/>
      <c r="U6" s="27">
        <v>0.01</v>
      </c>
      <c r="V6" s="26"/>
      <c r="W6" s="26"/>
      <c r="X6" s="26"/>
    </row>
    <row r="7" spans="1:279" s="19" customFormat="1" x14ac:dyDescent="0.25">
      <c r="A7" s="36">
        <v>60097</v>
      </c>
      <c r="B7" s="30"/>
      <c r="C7" s="21"/>
      <c r="D7" s="43"/>
      <c r="E7" s="20"/>
      <c r="F7" s="20"/>
      <c r="G7" s="31"/>
      <c r="H7" s="31"/>
      <c r="I7" s="31"/>
      <c r="J7" s="31"/>
      <c r="K7" s="31"/>
      <c r="L7" s="31"/>
      <c r="M7" s="31"/>
      <c r="N7" s="31"/>
      <c r="O7" s="31"/>
      <c r="P7" s="31"/>
      <c r="Q7" s="39">
        <v>60097</v>
      </c>
      <c r="R7" s="80"/>
      <c r="S7" s="31"/>
      <c r="T7" s="51"/>
      <c r="U7" s="20"/>
      <c r="V7" s="20"/>
      <c r="W7" s="22"/>
      <c r="X7" s="20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</row>
    <row r="8" spans="1:279" ht="30" x14ac:dyDescent="0.25">
      <c r="A8" s="36">
        <v>60097</v>
      </c>
      <c r="B8" s="28" t="s">
        <v>99</v>
      </c>
      <c r="C8" s="14">
        <v>45237</v>
      </c>
      <c r="D8" s="44">
        <v>2</v>
      </c>
      <c r="E8" s="29">
        <v>1296000</v>
      </c>
      <c r="F8" s="29">
        <v>299718</v>
      </c>
      <c r="G8" s="29">
        <f>E8-F8</f>
        <v>996282</v>
      </c>
      <c r="H8" s="29">
        <f>ROUND(G8*18%,)</f>
        <v>179331</v>
      </c>
      <c r="I8" s="29">
        <f>G8+H8</f>
        <v>1175613</v>
      </c>
      <c r="J8" s="29">
        <f>G8*$J$6</f>
        <v>19925.64</v>
      </c>
      <c r="K8" s="29">
        <f>G8*5%</f>
        <v>49814.100000000006</v>
      </c>
      <c r="L8" s="29"/>
      <c r="M8" s="29"/>
      <c r="N8" s="29"/>
      <c r="O8" s="64">
        <f>H8</f>
        <v>179331</v>
      </c>
      <c r="P8" s="29">
        <f>ROUND(I8-SUM(J8:O8),)</f>
        <v>926542</v>
      </c>
      <c r="Q8" s="37"/>
      <c r="R8" s="29">
        <v>3240000</v>
      </c>
      <c r="S8" s="29">
        <f>R8-SUM(T8:T18)</f>
        <v>934749</v>
      </c>
      <c r="T8" s="53">
        <v>400000</v>
      </c>
      <c r="U8" s="29">
        <f>T8*2%</f>
        <v>8000</v>
      </c>
      <c r="V8" s="29">
        <v>392000</v>
      </c>
      <c r="W8" s="83" t="s">
        <v>18</v>
      </c>
      <c r="X8" s="11">
        <f>SUM(P8:P18)-SUM(V8:V18)</f>
        <v>-100344</v>
      </c>
    </row>
    <row r="9" spans="1:279" ht="16.5" x14ac:dyDescent="0.25">
      <c r="A9" s="36">
        <v>60097</v>
      </c>
      <c r="B9" s="28" t="s">
        <v>29</v>
      </c>
      <c r="C9" s="14"/>
      <c r="D9" s="44">
        <v>2</v>
      </c>
      <c r="E9" s="29">
        <f>O8</f>
        <v>179331</v>
      </c>
      <c r="F9" s="29"/>
      <c r="G9" s="29"/>
      <c r="H9" s="29"/>
      <c r="I9" s="29"/>
      <c r="J9" s="29"/>
      <c r="K9" s="29"/>
      <c r="L9" s="29"/>
      <c r="M9" s="29"/>
      <c r="N9" s="29"/>
      <c r="O9" s="29">
        <f>H9</f>
        <v>0</v>
      </c>
      <c r="P9" s="64">
        <v>179331</v>
      </c>
      <c r="Q9" s="37"/>
      <c r="R9" s="29"/>
      <c r="S9" s="29"/>
      <c r="T9" s="53">
        <v>534541</v>
      </c>
      <c r="U9" s="29"/>
      <c r="V9" s="29">
        <v>534541</v>
      </c>
      <c r="W9" s="83" t="s">
        <v>19</v>
      </c>
      <c r="X9" s="11"/>
    </row>
    <row r="10" spans="1:279" ht="16.5" x14ac:dyDescent="0.25">
      <c r="A10" s="36">
        <v>60097</v>
      </c>
      <c r="B10" s="28" t="s">
        <v>100</v>
      </c>
      <c r="C10" s="14">
        <v>45365</v>
      </c>
      <c r="D10" s="44">
        <v>11</v>
      </c>
      <c r="E10" s="29">
        <v>486000</v>
      </c>
      <c r="F10" s="29">
        <v>136697</v>
      </c>
      <c r="G10" s="29">
        <f>E10-F10</f>
        <v>349303</v>
      </c>
      <c r="H10" s="29">
        <f>ROUND(G10*18%,)</f>
        <v>62875</v>
      </c>
      <c r="I10" s="29">
        <f>G10+H10</f>
        <v>412178</v>
      </c>
      <c r="J10" s="29">
        <f>G10*$J$6</f>
        <v>6986.06</v>
      </c>
      <c r="K10" s="29">
        <f>G10*5%</f>
        <v>17465.150000000001</v>
      </c>
      <c r="L10" s="29"/>
      <c r="M10" s="29"/>
      <c r="N10" s="29"/>
      <c r="O10" s="64">
        <f>H10</f>
        <v>62875</v>
      </c>
      <c r="P10" s="29">
        <f>ROUND(I10-SUM(J10:O10),)</f>
        <v>324852</v>
      </c>
      <c r="Q10" s="37"/>
      <c r="R10" s="29"/>
      <c r="S10" s="29"/>
      <c r="T10" s="53">
        <v>179331</v>
      </c>
      <c r="U10" s="29"/>
      <c r="V10" s="29">
        <v>179331</v>
      </c>
      <c r="W10" s="83" t="s">
        <v>36</v>
      </c>
      <c r="X10" s="11"/>
    </row>
    <row r="11" spans="1:279" ht="16.5" x14ac:dyDescent="0.25">
      <c r="A11" s="36">
        <v>60097</v>
      </c>
      <c r="B11" s="28" t="s">
        <v>25</v>
      </c>
      <c r="C11" s="14"/>
      <c r="D11" s="44">
        <v>11</v>
      </c>
      <c r="E11" s="29">
        <f>O10</f>
        <v>62875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64">
        <f>E11</f>
        <v>62875</v>
      </c>
      <c r="Q11" s="37"/>
      <c r="R11" s="29"/>
      <c r="S11" s="29"/>
      <c r="T11" s="53">
        <v>324852</v>
      </c>
      <c r="U11" s="29"/>
      <c r="V11" s="29">
        <v>324852</v>
      </c>
      <c r="W11" s="83" t="s">
        <v>45</v>
      </c>
      <c r="X11" s="11"/>
    </row>
    <row r="12" spans="1:279" ht="16.5" x14ac:dyDescent="0.25">
      <c r="A12" s="36">
        <v>60097</v>
      </c>
      <c r="B12" s="28" t="s">
        <v>100</v>
      </c>
      <c r="C12" s="14">
        <v>45428</v>
      </c>
      <c r="D12" s="44">
        <v>2</v>
      </c>
      <c r="E12" s="29">
        <v>486000</v>
      </c>
      <c r="F12" s="29">
        <v>0</v>
      </c>
      <c r="G12" s="29">
        <f>E12-F12</f>
        <v>486000</v>
      </c>
      <c r="H12" s="29">
        <f>ROUND(G12*18%,)</f>
        <v>87480</v>
      </c>
      <c r="I12" s="29">
        <f>G12+H12</f>
        <v>573480</v>
      </c>
      <c r="J12" s="29">
        <f>G12*$J$6</f>
        <v>9720</v>
      </c>
      <c r="K12" s="29">
        <f>G12*5%</f>
        <v>24300</v>
      </c>
      <c r="L12" s="29"/>
      <c r="M12" s="29"/>
      <c r="N12" s="29"/>
      <c r="O12" s="64">
        <f>H12</f>
        <v>87480</v>
      </c>
      <c r="P12" s="29">
        <f>ROUND(I12-SUM(J12:O12),)</f>
        <v>451980</v>
      </c>
      <c r="Q12" s="37"/>
      <c r="R12" s="29"/>
      <c r="S12" s="29"/>
      <c r="T12" s="53">
        <v>62875</v>
      </c>
      <c r="U12" s="29"/>
      <c r="V12" s="29">
        <v>62875</v>
      </c>
      <c r="W12" s="83" t="s">
        <v>61</v>
      </c>
      <c r="X12" s="11"/>
    </row>
    <row r="13" spans="1:279" ht="16.5" x14ac:dyDescent="0.15">
      <c r="A13" s="36">
        <v>60097</v>
      </c>
      <c r="B13" s="28" t="s">
        <v>100</v>
      </c>
      <c r="C13" s="14">
        <v>45458</v>
      </c>
      <c r="D13" s="44">
        <v>3</v>
      </c>
      <c r="E13" s="29">
        <v>162000</v>
      </c>
      <c r="F13" s="29">
        <v>14080</v>
      </c>
      <c r="G13" s="29">
        <f>E13-F13</f>
        <v>147920</v>
      </c>
      <c r="H13" s="29">
        <f>ROUND(G13*18%,)</f>
        <v>26626</v>
      </c>
      <c r="I13" s="29">
        <f>G13+H13</f>
        <v>174546</v>
      </c>
      <c r="J13" s="29">
        <f>G13*$J$6</f>
        <v>2958.4</v>
      </c>
      <c r="K13" s="29">
        <f>G13*5%</f>
        <v>7396</v>
      </c>
      <c r="L13" s="29"/>
      <c r="M13" s="29"/>
      <c r="N13" s="29"/>
      <c r="O13" s="64">
        <f>H13</f>
        <v>26626</v>
      </c>
      <c r="P13" s="29">
        <f>ROUND(I13-SUM(J13:O13),)</f>
        <v>137566</v>
      </c>
      <c r="Q13" s="37"/>
      <c r="R13" s="29"/>
      <c r="S13" s="29"/>
      <c r="T13" s="53">
        <v>451980</v>
      </c>
      <c r="U13" s="29"/>
      <c r="V13" s="29">
        <v>451980</v>
      </c>
      <c r="W13" s="83" t="s">
        <v>62</v>
      </c>
      <c r="X13" s="11"/>
      <c r="Z13" s="68"/>
    </row>
    <row r="14" spans="1:279" ht="16.5" x14ac:dyDescent="0.15">
      <c r="A14" s="36">
        <v>60097</v>
      </c>
      <c r="B14" s="28" t="s">
        <v>25</v>
      </c>
      <c r="C14" s="14">
        <v>45428</v>
      </c>
      <c r="D14" s="44">
        <v>2</v>
      </c>
      <c r="E14" s="29">
        <f>O12</f>
        <v>87480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64">
        <f>E14</f>
        <v>87480</v>
      </c>
      <c r="Q14" s="37"/>
      <c r="R14" s="29"/>
      <c r="S14" s="29"/>
      <c r="T14" s="53">
        <v>137566</v>
      </c>
      <c r="U14" s="29"/>
      <c r="V14" s="29">
        <v>137567</v>
      </c>
      <c r="W14" s="83" t="s">
        <v>66</v>
      </c>
      <c r="X14" s="11"/>
      <c r="Z14" s="68"/>
    </row>
    <row r="15" spans="1:279" ht="16.5" x14ac:dyDescent="0.25">
      <c r="A15" s="36">
        <v>60097</v>
      </c>
      <c r="B15" s="28" t="s">
        <v>25</v>
      </c>
      <c r="C15" s="14">
        <v>45458</v>
      </c>
      <c r="D15" s="44">
        <v>3</v>
      </c>
      <c r="E15" s="29">
        <f>O13</f>
        <v>26626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64">
        <f>E15</f>
        <v>26626</v>
      </c>
      <c r="Q15" s="37"/>
      <c r="R15" s="29"/>
      <c r="S15" s="29"/>
      <c r="T15" s="53">
        <v>114106</v>
      </c>
      <c r="U15" s="29"/>
      <c r="V15" s="29">
        <v>114106</v>
      </c>
      <c r="W15" s="83" t="s">
        <v>73</v>
      </c>
      <c r="X15" s="11"/>
    </row>
    <row r="16" spans="1:279" ht="16.5" x14ac:dyDescent="0.25">
      <c r="A16" s="36">
        <v>60097</v>
      </c>
      <c r="B16" s="28" t="s">
        <v>100</v>
      </c>
      <c r="C16" s="14">
        <v>45639</v>
      </c>
      <c r="D16" s="44">
        <v>10</v>
      </c>
      <c r="E16" s="29">
        <v>259200</v>
      </c>
      <c r="F16" s="29">
        <v>0</v>
      </c>
      <c r="G16" s="29">
        <f>E16-F16</f>
        <v>259200</v>
      </c>
      <c r="H16" s="29">
        <f>ROUND(G16*18%,)</f>
        <v>46656</v>
      </c>
      <c r="I16" s="29">
        <f>G16+H16</f>
        <v>305856</v>
      </c>
      <c r="J16" s="29">
        <f>G16*$J$6</f>
        <v>5184</v>
      </c>
      <c r="K16" s="29">
        <f>G16*5%</f>
        <v>12960</v>
      </c>
      <c r="L16" s="29"/>
      <c r="M16" s="29"/>
      <c r="N16" s="29"/>
      <c r="O16" s="64">
        <f>H16</f>
        <v>46656</v>
      </c>
      <c r="P16" s="29">
        <f>ROUND(I16-SUM(J16:O16),)</f>
        <v>241056</v>
      </c>
      <c r="Q16" s="37"/>
      <c r="R16" s="29"/>
      <c r="S16" s="29"/>
      <c r="T16" s="53">
        <v>100000</v>
      </c>
      <c r="U16" s="29"/>
      <c r="V16" s="29">
        <v>98000</v>
      </c>
      <c r="W16" s="83" t="s">
        <v>77</v>
      </c>
      <c r="X16" s="11"/>
    </row>
    <row r="17" spans="1:279" ht="16.5" x14ac:dyDescent="0.25">
      <c r="A17" s="36">
        <v>60097</v>
      </c>
      <c r="B17" s="28" t="s">
        <v>25</v>
      </c>
      <c r="C17" s="14">
        <v>45458</v>
      </c>
      <c r="D17" s="44">
        <v>10</v>
      </c>
      <c r="E17" s="29">
        <f>O16</f>
        <v>46656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64">
        <f>E17</f>
        <v>46656</v>
      </c>
      <c r="Q17" s="37"/>
      <c r="R17" s="29"/>
      <c r="S17" s="29"/>
      <c r="T17" s="53"/>
      <c r="U17" s="29"/>
      <c r="V17" s="29">
        <v>143056</v>
      </c>
      <c r="W17" s="83" t="s">
        <v>84</v>
      </c>
      <c r="X17" s="11"/>
    </row>
    <row r="18" spans="1:279" ht="16.5" x14ac:dyDescent="0.25">
      <c r="A18" s="36">
        <v>60097</v>
      </c>
      <c r="B18" s="28"/>
      <c r="C18" s="14"/>
      <c r="D18" s="44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64"/>
      <c r="P18" s="29"/>
      <c r="Q18" s="37"/>
      <c r="R18" s="29"/>
      <c r="S18" s="29"/>
      <c r="T18" s="53"/>
      <c r="U18" s="29"/>
      <c r="V18" s="29">
        <v>147000</v>
      </c>
      <c r="W18" s="83" t="s">
        <v>85</v>
      </c>
      <c r="X18" s="11"/>
    </row>
    <row r="19" spans="1:279" ht="16.5" x14ac:dyDescent="0.25">
      <c r="A19" s="36">
        <v>60098</v>
      </c>
      <c r="B19" s="30"/>
      <c r="C19" s="84"/>
      <c r="D19" s="8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86">
        <v>60098</v>
      </c>
      <c r="R19" s="31"/>
      <c r="S19" s="31"/>
      <c r="T19" s="87"/>
      <c r="U19" s="31"/>
      <c r="V19" s="31"/>
      <c r="W19" s="88"/>
      <c r="X19" s="20"/>
    </row>
    <row r="20" spans="1:279" ht="30" x14ac:dyDescent="0.25">
      <c r="A20" s="36">
        <v>60098</v>
      </c>
      <c r="B20" s="28" t="s">
        <v>101</v>
      </c>
      <c r="C20" s="14">
        <v>45237</v>
      </c>
      <c r="D20" s="44">
        <v>3</v>
      </c>
      <c r="E20" s="29">
        <v>551250</v>
      </c>
      <c r="F20" s="29">
        <v>165769</v>
      </c>
      <c r="G20" s="29">
        <f>E20-F20</f>
        <v>385481</v>
      </c>
      <c r="H20" s="29">
        <f>ROUND(G20*18%,)</f>
        <v>69387</v>
      </c>
      <c r="I20" s="29">
        <f>G20+H20</f>
        <v>454868</v>
      </c>
      <c r="J20" s="29">
        <f>G20*$J$6</f>
        <v>7709.62</v>
      </c>
      <c r="K20" s="29">
        <f>G20*5%</f>
        <v>19274.05</v>
      </c>
      <c r="L20" s="29">
        <f>G20*10%</f>
        <v>38548.1</v>
      </c>
      <c r="M20" s="29"/>
      <c r="N20" s="29"/>
      <c r="O20" s="64">
        <f>H20</f>
        <v>69387</v>
      </c>
      <c r="P20" s="29">
        <f>ROUND(I20-SUM(J20:O20),)</f>
        <v>319949</v>
      </c>
      <c r="Q20" s="37"/>
      <c r="R20" s="29">
        <v>3675000</v>
      </c>
      <c r="S20" s="29">
        <f>R20-SUM(T20:T22)</f>
        <v>3281665</v>
      </c>
      <c r="T20" s="53">
        <v>200000</v>
      </c>
      <c r="U20" s="29">
        <f>T20*2%</f>
        <v>4000</v>
      </c>
      <c r="V20" s="29">
        <f>T20-U20</f>
        <v>196000</v>
      </c>
      <c r="W20" s="83" t="s">
        <v>22</v>
      </c>
      <c r="X20" s="11">
        <f>SUM(P20:P22)-SUM(V20:V22)</f>
        <v>1</v>
      </c>
    </row>
    <row r="21" spans="1:279" ht="16.5" x14ac:dyDescent="0.25">
      <c r="A21" s="36">
        <v>60098</v>
      </c>
      <c r="B21" s="29" t="s">
        <v>25</v>
      </c>
      <c r="C21" s="29"/>
      <c r="D21" s="89">
        <v>3</v>
      </c>
      <c r="E21" s="29">
        <f>O20</f>
        <v>69387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64">
        <f>E21</f>
        <v>69387</v>
      </c>
      <c r="Q21" s="37"/>
      <c r="R21" s="29"/>
      <c r="S21" s="29"/>
      <c r="T21" s="53">
        <v>123948</v>
      </c>
      <c r="U21" s="29"/>
      <c r="V21" s="29">
        <f t="shared" ref="V21:V22" si="0">T21-U21</f>
        <v>123948</v>
      </c>
      <c r="W21" s="83" t="s">
        <v>83</v>
      </c>
      <c r="X21" s="11"/>
    </row>
    <row r="22" spans="1:279" ht="16.5" x14ac:dyDescent="0.25">
      <c r="A22" s="36">
        <v>60098</v>
      </c>
      <c r="B22" s="29"/>
      <c r="C22" s="29"/>
      <c r="D22" s="8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7"/>
      <c r="R22" s="29"/>
      <c r="S22" s="29"/>
      <c r="T22" s="53">
        <v>69387</v>
      </c>
      <c r="U22" s="29"/>
      <c r="V22" s="29">
        <f t="shared" si="0"/>
        <v>69387</v>
      </c>
      <c r="W22" s="83" t="s">
        <v>23</v>
      </c>
      <c r="X22" s="11"/>
    </row>
    <row r="23" spans="1:279" s="19" customFormat="1" ht="16.5" x14ac:dyDescent="0.25">
      <c r="A23" s="36">
        <v>60100</v>
      </c>
      <c r="B23" s="30"/>
      <c r="C23" s="84"/>
      <c r="D23" s="85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86">
        <v>60100</v>
      </c>
      <c r="R23" s="31"/>
      <c r="S23" s="31"/>
      <c r="T23" s="87"/>
      <c r="U23" s="31"/>
      <c r="V23" s="31"/>
      <c r="W23" s="88"/>
      <c r="X23" s="20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</row>
    <row r="24" spans="1:279" s="18" customFormat="1" ht="30" x14ac:dyDescent="0.25">
      <c r="A24" s="36">
        <v>60100</v>
      </c>
      <c r="B24" s="28" t="s">
        <v>102</v>
      </c>
      <c r="C24" s="14">
        <v>44527</v>
      </c>
      <c r="D24" s="44">
        <v>1</v>
      </c>
      <c r="E24" s="29">
        <v>628875</v>
      </c>
      <c r="F24" s="29">
        <v>212700</v>
      </c>
      <c r="G24" s="29">
        <f>E24-F24</f>
        <v>416175</v>
      </c>
      <c r="H24" s="29">
        <f>ROUND(G24*18%,)</f>
        <v>74912</v>
      </c>
      <c r="I24" s="29">
        <f>G24+H24</f>
        <v>491087</v>
      </c>
      <c r="J24" s="29">
        <f>G24*$J$6</f>
        <v>8323.5</v>
      </c>
      <c r="K24" s="29">
        <f>G24*5%</f>
        <v>20808.75</v>
      </c>
      <c r="L24" s="29"/>
      <c r="M24" s="29"/>
      <c r="N24" s="29"/>
      <c r="O24" s="64">
        <f>H24</f>
        <v>74912</v>
      </c>
      <c r="P24" s="29">
        <f>ROUND(I24-SUM(J24:O24),)</f>
        <v>387043</v>
      </c>
      <c r="Q24" s="37"/>
      <c r="R24" s="29">
        <v>4192500</v>
      </c>
      <c r="S24" s="29">
        <f>R24-SUM(T24:T33)</f>
        <v>3078810</v>
      </c>
      <c r="T24" s="52">
        <v>200000</v>
      </c>
      <c r="U24" s="14"/>
      <c r="V24" s="29">
        <v>196000</v>
      </c>
      <c r="W24" s="83" t="s">
        <v>14</v>
      </c>
      <c r="X24" s="11">
        <f>SUM(P24:P33)-SUM(V24:V33)</f>
        <v>-229347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</row>
    <row r="25" spans="1:279" s="18" customFormat="1" ht="16.5" x14ac:dyDescent="0.25">
      <c r="A25" s="36">
        <v>60100</v>
      </c>
      <c r="B25" s="28" t="s">
        <v>29</v>
      </c>
      <c r="C25" s="14"/>
      <c r="D25" s="44">
        <v>1</v>
      </c>
      <c r="E25" s="29">
        <f>O24</f>
        <v>74912</v>
      </c>
      <c r="F25" s="29"/>
      <c r="G25" s="29"/>
      <c r="H25" s="29"/>
      <c r="I25" s="29"/>
      <c r="J25" s="29"/>
      <c r="K25" s="29"/>
      <c r="L25" s="29"/>
      <c r="M25" s="29"/>
      <c r="N25" s="29"/>
      <c r="O25" s="29">
        <f>H25</f>
        <v>0</v>
      </c>
      <c r="P25" s="64">
        <f>E25</f>
        <v>74912</v>
      </c>
      <c r="Q25" s="37"/>
      <c r="R25" s="29"/>
      <c r="S25" s="29"/>
      <c r="T25" s="52">
        <v>191042</v>
      </c>
      <c r="U25" s="14"/>
      <c r="V25" s="29">
        <v>191042</v>
      </c>
      <c r="W25" s="83" t="s">
        <v>15</v>
      </c>
      <c r="X25" s="11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</row>
    <row r="26" spans="1:279" s="18" customFormat="1" ht="16.5" x14ac:dyDescent="0.25">
      <c r="A26" s="36">
        <v>60100</v>
      </c>
      <c r="B26" s="28"/>
      <c r="C26" s="14">
        <v>45334</v>
      </c>
      <c r="D26" s="44">
        <v>10</v>
      </c>
      <c r="E26" s="29">
        <v>1048125</v>
      </c>
      <c r="F26" s="29">
        <v>679610</v>
      </c>
      <c r="G26" s="29">
        <f>E26-F26</f>
        <v>368515</v>
      </c>
      <c r="H26" s="29">
        <f>ROUND(G26*18%,)</f>
        <v>66333</v>
      </c>
      <c r="I26" s="29">
        <f>G26+H26</f>
        <v>434848</v>
      </c>
      <c r="J26" s="29">
        <f>G26*$J$6</f>
        <v>7370.3</v>
      </c>
      <c r="K26" s="29">
        <f>G26*5%</f>
        <v>18425.75</v>
      </c>
      <c r="L26" s="29"/>
      <c r="M26" s="29"/>
      <c r="N26" s="29"/>
      <c r="O26" s="64">
        <f>H26</f>
        <v>66333</v>
      </c>
      <c r="P26" s="29">
        <f>ROUND(I26-SUM(J26:O26),)</f>
        <v>342719</v>
      </c>
      <c r="Q26" s="37"/>
      <c r="R26" s="29"/>
      <c r="S26" s="29"/>
      <c r="T26" s="53">
        <v>100000</v>
      </c>
      <c r="U26" s="29"/>
      <c r="V26" s="29">
        <v>98000</v>
      </c>
      <c r="W26" s="83" t="s">
        <v>16</v>
      </c>
      <c r="X26" s="11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</row>
    <row r="27" spans="1:279" s="18" customFormat="1" ht="16.5" x14ac:dyDescent="0.25">
      <c r="A27" s="36">
        <v>60100</v>
      </c>
      <c r="B27" s="28"/>
      <c r="C27" s="14">
        <v>45366</v>
      </c>
      <c r="D27" s="44">
        <v>15</v>
      </c>
      <c r="E27" s="29">
        <f>5%*A24</f>
        <v>3005</v>
      </c>
      <c r="F27" s="29"/>
      <c r="G27" s="29">
        <f>E27-F27</f>
        <v>3005</v>
      </c>
      <c r="H27" s="29">
        <f>ROUND(G27*18%,)</f>
        <v>541</v>
      </c>
      <c r="I27" s="29">
        <f>G27+H27</f>
        <v>3546</v>
      </c>
      <c r="J27" s="29">
        <f>G27*$J$6</f>
        <v>60.1</v>
      </c>
      <c r="K27" s="29">
        <f>G27*5%</f>
        <v>150.25</v>
      </c>
      <c r="L27" s="29"/>
      <c r="M27" s="29"/>
      <c r="N27" s="29"/>
      <c r="O27" s="64">
        <f>H27</f>
        <v>541</v>
      </c>
      <c r="P27" s="29">
        <f>ROUND(I27-SUM(J27:O27),)</f>
        <v>2795</v>
      </c>
      <c r="Q27" s="37"/>
      <c r="R27" s="29"/>
      <c r="S27" s="29"/>
      <c r="T27" s="53">
        <v>74912</v>
      </c>
      <c r="U27" s="29"/>
      <c r="V27" s="29">
        <v>74912</v>
      </c>
      <c r="W27" s="83" t="s">
        <v>30</v>
      </c>
      <c r="X27" s="11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</row>
    <row r="28" spans="1:279" s="18" customFormat="1" ht="16.5" x14ac:dyDescent="0.25">
      <c r="A28" s="36">
        <v>60100</v>
      </c>
      <c r="B28" s="28" t="s">
        <v>29</v>
      </c>
      <c r="C28" s="14"/>
      <c r="D28" s="44">
        <v>10</v>
      </c>
      <c r="E28" s="29">
        <f>O26</f>
        <v>66333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64">
        <f>E28</f>
        <v>66333</v>
      </c>
      <c r="Q28" s="37"/>
      <c r="R28" s="29"/>
      <c r="S28" s="29"/>
      <c r="T28" s="53">
        <v>150000</v>
      </c>
      <c r="U28" s="29"/>
      <c r="V28" s="29">
        <v>147000</v>
      </c>
      <c r="W28" s="83" t="s">
        <v>46</v>
      </c>
      <c r="X28" s="11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</row>
    <row r="29" spans="1:279" s="18" customFormat="1" ht="16.5" x14ac:dyDescent="0.25">
      <c r="A29" s="36">
        <v>60100</v>
      </c>
      <c r="B29" s="28" t="s">
        <v>29</v>
      </c>
      <c r="C29" s="14"/>
      <c r="D29" s="44">
        <v>15</v>
      </c>
      <c r="E29" s="29">
        <f>O27</f>
        <v>541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64">
        <f>E29</f>
        <v>541</v>
      </c>
      <c r="Q29" s="37"/>
      <c r="R29" s="29"/>
      <c r="S29" s="29"/>
      <c r="T29" s="53">
        <v>50000</v>
      </c>
      <c r="U29" s="29"/>
      <c r="V29" s="29">
        <v>49000</v>
      </c>
      <c r="W29" s="83" t="s">
        <v>47</v>
      </c>
      <c r="X29" s="11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</row>
    <row r="30" spans="1:279" s="18" customFormat="1" ht="16.5" x14ac:dyDescent="0.25">
      <c r="A30" s="36">
        <v>60100</v>
      </c>
      <c r="B30" s="28"/>
      <c r="C30" s="14"/>
      <c r="D30" s="44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7"/>
      <c r="R30" s="29"/>
      <c r="S30" s="29"/>
      <c r="T30" s="53">
        <v>97719</v>
      </c>
      <c r="U30" s="29"/>
      <c r="V30" s="29">
        <v>97719</v>
      </c>
      <c r="W30" s="83" t="s">
        <v>54</v>
      </c>
      <c r="X30" s="11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</row>
    <row r="31" spans="1:279" s="18" customFormat="1" ht="16.5" x14ac:dyDescent="0.25">
      <c r="A31" s="36">
        <v>60100</v>
      </c>
      <c r="B31" s="28"/>
      <c r="C31" s="14"/>
      <c r="D31" s="44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37"/>
      <c r="R31" s="29"/>
      <c r="S31" s="29"/>
      <c r="T31" s="53">
        <v>145951</v>
      </c>
      <c r="U31" s="29"/>
      <c r="V31" s="29">
        <v>145951</v>
      </c>
      <c r="W31" s="83" t="s">
        <v>55</v>
      </c>
      <c r="X31" s="11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</row>
    <row r="32" spans="1:279" s="18" customFormat="1" ht="16.5" x14ac:dyDescent="0.25">
      <c r="A32" s="36">
        <v>60100</v>
      </c>
      <c r="B32" s="28"/>
      <c r="C32" s="14"/>
      <c r="D32" s="44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37"/>
      <c r="R32" s="29"/>
      <c r="S32" s="29"/>
      <c r="T32" s="53">
        <v>104066</v>
      </c>
      <c r="U32" s="29"/>
      <c r="V32" s="29">
        <v>104066</v>
      </c>
      <c r="W32" s="83" t="s">
        <v>56</v>
      </c>
      <c r="X32" s="11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</row>
    <row r="33" spans="1:279" s="18" customFormat="1" ht="16.5" x14ac:dyDescent="0.25">
      <c r="A33" s="36">
        <v>60100</v>
      </c>
      <c r="B33" s="28"/>
      <c r="C33" s="14"/>
      <c r="D33" s="44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7"/>
      <c r="R33" s="29"/>
      <c r="S33" s="29"/>
      <c r="T33" s="53"/>
      <c r="U33" s="29"/>
      <c r="V33" s="29"/>
      <c r="W33" s="29"/>
      <c r="X33" s="1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</row>
    <row r="34" spans="1:279" s="18" customFormat="1" ht="16.5" x14ac:dyDescent="0.25">
      <c r="A34" s="36">
        <v>60101</v>
      </c>
      <c r="B34" s="30"/>
      <c r="C34" s="84"/>
      <c r="D34" s="85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86">
        <v>60101</v>
      </c>
      <c r="R34" s="31"/>
      <c r="S34" s="31"/>
      <c r="T34" s="87"/>
      <c r="U34" s="31"/>
      <c r="V34" s="31"/>
      <c r="W34" s="88"/>
      <c r="X34" s="20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</row>
    <row r="35" spans="1:279" s="18" customFormat="1" ht="30" x14ac:dyDescent="0.25">
      <c r="A35" s="36">
        <v>60101</v>
      </c>
      <c r="B35" s="28" t="s">
        <v>103</v>
      </c>
      <c r="C35" s="14">
        <v>44527</v>
      </c>
      <c r="D35" s="44">
        <v>7</v>
      </c>
      <c r="E35" s="29">
        <v>455000</v>
      </c>
      <c r="F35" s="29">
        <v>275458</v>
      </c>
      <c r="G35" s="29">
        <f>E35-F35</f>
        <v>179542</v>
      </c>
      <c r="H35" s="29">
        <f>ROUND(G35*18%,)</f>
        <v>32318</v>
      </c>
      <c r="I35" s="29">
        <f>G35+H35</f>
        <v>211860</v>
      </c>
      <c r="J35" s="29">
        <f>G35*$J$6</f>
        <v>3590.84</v>
      </c>
      <c r="K35" s="29">
        <f>G35*5%</f>
        <v>8977.1</v>
      </c>
      <c r="L35" s="29"/>
      <c r="M35" s="29">
        <f>E35*20%</f>
        <v>91000</v>
      </c>
      <c r="N35" s="29"/>
      <c r="O35" s="64">
        <f>H35</f>
        <v>32318</v>
      </c>
      <c r="P35" s="29">
        <v>131066</v>
      </c>
      <c r="Q35" s="37" t="s">
        <v>37</v>
      </c>
      <c r="R35" s="29"/>
      <c r="S35" s="29"/>
      <c r="T35" s="29">
        <v>100000</v>
      </c>
      <c r="U35" s="14"/>
      <c r="V35" s="29">
        <v>98000</v>
      </c>
      <c r="W35" s="83" t="s">
        <v>26</v>
      </c>
      <c r="X35" s="11">
        <f>SUM(P35:P38)-SUM(V35:V38)</f>
        <v>0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</row>
    <row r="36" spans="1:279" s="18" customFormat="1" ht="16.5" x14ac:dyDescent="0.25">
      <c r="A36" s="36">
        <v>60101</v>
      </c>
      <c r="B36" s="28" t="s">
        <v>29</v>
      </c>
      <c r="C36" s="14"/>
      <c r="D36" s="44">
        <v>7</v>
      </c>
      <c r="E36" s="29">
        <f>O35</f>
        <v>32318</v>
      </c>
      <c r="F36" s="29"/>
      <c r="G36" s="29"/>
      <c r="H36" s="29"/>
      <c r="I36" s="29"/>
      <c r="J36" s="29"/>
      <c r="K36" s="29"/>
      <c r="L36" s="29"/>
      <c r="M36" s="29"/>
      <c r="N36" s="29"/>
      <c r="O36" s="29">
        <f>H36</f>
        <v>0</v>
      </c>
      <c r="P36" s="64">
        <f>E36</f>
        <v>32318</v>
      </c>
      <c r="Q36" s="37"/>
      <c r="R36" s="29"/>
      <c r="S36" s="29"/>
      <c r="T36" s="29">
        <v>33066</v>
      </c>
      <c r="U36" s="29"/>
      <c r="V36" s="29">
        <v>33066</v>
      </c>
      <c r="W36" s="83" t="s">
        <v>39</v>
      </c>
      <c r="X36" s="11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</row>
    <row r="37" spans="1:279" s="18" customFormat="1" ht="16.5" x14ac:dyDescent="0.25">
      <c r="A37" s="36">
        <v>60101</v>
      </c>
      <c r="B37" s="28"/>
      <c r="C37" s="14"/>
      <c r="D37" s="44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37"/>
      <c r="R37" s="29"/>
      <c r="S37" s="29"/>
      <c r="T37" s="29">
        <v>32318</v>
      </c>
      <c r="U37" s="29"/>
      <c r="V37" s="29">
        <v>32318</v>
      </c>
      <c r="W37" s="83" t="s">
        <v>40</v>
      </c>
      <c r="X37" s="11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</row>
    <row r="38" spans="1:279" s="18" customFormat="1" ht="16.5" x14ac:dyDescent="0.25">
      <c r="A38" s="36">
        <v>60101</v>
      </c>
      <c r="B38" s="28"/>
      <c r="C38" s="14"/>
      <c r="D38" s="44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7"/>
      <c r="R38" s="29"/>
      <c r="S38" s="29"/>
      <c r="T38" s="53"/>
      <c r="U38" s="29"/>
      <c r="V38" s="29"/>
      <c r="W38" s="29"/>
      <c r="X38" s="11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</row>
    <row r="39" spans="1:279" s="19" customFormat="1" ht="16.5" x14ac:dyDescent="0.25">
      <c r="A39" s="36">
        <v>60102</v>
      </c>
      <c r="B39" s="30"/>
      <c r="C39" s="84"/>
      <c r="D39" s="85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86">
        <v>60102</v>
      </c>
      <c r="R39" s="31"/>
      <c r="S39" s="31"/>
      <c r="T39" s="87"/>
      <c r="U39" s="31"/>
      <c r="V39" s="31"/>
      <c r="W39" s="88"/>
      <c r="X39" s="20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</row>
    <row r="40" spans="1:279" ht="16.5" x14ac:dyDescent="0.25">
      <c r="A40" s="36">
        <v>60102</v>
      </c>
      <c r="B40" s="28" t="s">
        <v>12</v>
      </c>
      <c r="C40" s="14">
        <v>45237</v>
      </c>
      <c r="D40" s="44">
        <v>6</v>
      </c>
      <c r="E40" s="29">
        <v>314500</v>
      </c>
      <c r="F40" s="29">
        <v>0</v>
      </c>
      <c r="G40" s="29">
        <f>E40-F40</f>
        <v>314500</v>
      </c>
      <c r="H40" s="29">
        <f>ROUND(G40*18%,)</f>
        <v>56610</v>
      </c>
      <c r="I40" s="29">
        <f>G40+H40</f>
        <v>371110</v>
      </c>
      <c r="J40" s="29">
        <f>G40*$J$6</f>
        <v>6290</v>
      </c>
      <c r="K40" s="29">
        <f>G40*5%</f>
        <v>15725</v>
      </c>
      <c r="L40" s="29"/>
      <c r="M40" s="29"/>
      <c r="N40" s="29"/>
      <c r="O40" s="64">
        <f>H40</f>
        <v>56610</v>
      </c>
      <c r="P40" s="29">
        <f>ROUND(I40-SUM(J40:O40),)</f>
        <v>292485</v>
      </c>
      <c r="Q40" s="37"/>
      <c r="R40" s="29"/>
      <c r="S40" s="29"/>
      <c r="T40" s="29">
        <v>292485</v>
      </c>
      <c r="U40" s="29">
        <v>0</v>
      </c>
      <c r="V40" s="29">
        <v>292485</v>
      </c>
      <c r="W40" s="83" t="s">
        <v>17</v>
      </c>
      <c r="X40" s="29">
        <f>SUM(P40:P41)-SUM(V40:V41)</f>
        <v>0</v>
      </c>
    </row>
    <row r="41" spans="1:279" ht="16.5" x14ac:dyDescent="0.25">
      <c r="A41" s="36">
        <v>60102</v>
      </c>
      <c r="B41" s="28" t="s">
        <v>29</v>
      </c>
      <c r="C41" s="14"/>
      <c r="D41" s="44">
        <v>6</v>
      </c>
      <c r="E41" s="29">
        <f>O40</f>
        <v>56610</v>
      </c>
      <c r="F41" s="29"/>
      <c r="G41" s="29"/>
      <c r="H41" s="29"/>
      <c r="I41" s="29"/>
      <c r="J41" s="29"/>
      <c r="K41" s="29"/>
      <c r="L41" s="29"/>
      <c r="M41" s="29"/>
      <c r="N41" s="29"/>
      <c r="O41" s="29">
        <f>H41</f>
        <v>0</v>
      </c>
      <c r="P41" s="64">
        <f>E41</f>
        <v>56610</v>
      </c>
      <c r="Q41" s="37"/>
      <c r="R41" s="29"/>
      <c r="S41" s="29"/>
      <c r="T41" s="29">
        <v>56610</v>
      </c>
      <c r="U41" s="29">
        <f>T41*U39</f>
        <v>0</v>
      </c>
      <c r="V41" s="29">
        <v>56610</v>
      </c>
      <c r="W41" s="83" t="s">
        <v>38</v>
      </c>
      <c r="X41" s="11"/>
    </row>
    <row r="42" spans="1:279" s="18" customFormat="1" ht="16.5" x14ac:dyDescent="0.25">
      <c r="A42" s="36">
        <v>60103</v>
      </c>
      <c r="B42" s="30"/>
      <c r="C42" s="84"/>
      <c r="D42" s="85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86">
        <v>60103</v>
      </c>
      <c r="R42" s="31"/>
      <c r="S42" s="31"/>
      <c r="T42" s="87"/>
      <c r="U42" s="31"/>
      <c r="V42" s="31"/>
      <c r="W42" s="88"/>
      <c r="X42" s="20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</row>
    <row r="43" spans="1:279" s="18" customFormat="1" ht="16.5" x14ac:dyDescent="0.25">
      <c r="A43" s="36">
        <v>60103</v>
      </c>
      <c r="B43" s="28" t="s">
        <v>104</v>
      </c>
      <c r="C43" s="14">
        <v>45373</v>
      </c>
      <c r="D43" s="44">
        <v>17</v>
      </c>
      <c r="E43" s="29">
        <v>497122</v>
      </c>
      <c r="F43" s="29"/>
      <c r="G43" s="29">
        <f>E43-F43</f>
        <v>497122</v>
      </c>
      <c r="H43" s="29">
        <f>ROUND(G43*18%,)</f>
        <v>89482</v>
      </c>
      <c r="I43" s="29">
        <f>G43+H43</f>
        <v>586604</v>
      </c>
      <c r="J43" s="29">
        <v>9942</v>
      </c>
      <c r="K43" s="29">
        <f>G43*5%</f>
        <v>24856.100000000002</v>
      </c>
      <c r="L43" s="29"/>
      <c r="M43" s="29">
        <f>G43*10%</f>
        <v>49712.200000000004</v>
      </c>
      <c r="N43" s="29">
        <f>(167.1-113.7)*A43</f>
        <v>3209500.1999999993</v>
      </c>
      <c r="O43" s="64">
        <f>H43</f>
        <v>89482</v>
      </c>
      <c r="P43" s="29">
        <f>ROUND(I43-SUM(J43:O43),)</f>
        <v>-2796889</v>
      </c>
      <c r="Q43" s="37"/>
      <c r="R43" s="29"/>
      <c r="S43" s="29"/>
      <c r="T43" s="29">
        <v>100000</v>
      </c>
      <c r="U43" s="14"/>
      <c r="V43" s="29">
        <v>98000</v>
      </c>
      <c r="W43" s="83" t="s">
        <v>27</v>
      </c>
      <c r="X43" s="11">
        <f>SUM(P43:P46)-SUM(V43:V46)</f>
        <v>-6233213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</row>
    <row r="44" spans="1:279" s="18" customFormat="1" ht="16.5" x14ac:dyDescent="0.25">
      <c r="A44" s="36">
        <v>60103</v>
      </c>
      <c r="B44" s="28" t="s">
        <v>29</v>
      </c>
      <c r="C44" s="14"/>
      <c r="D44" s="44">
        <v>17</v>
      </c>
      <c r="E44" s="29">
        <f>O43</f>
        <v>89482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64">
        <f>E44</f>
        <v>89482</v>
      </c>
      <c r="Q44" s="37"/>
      <c r="R44" s="29"/>
      <c r="S44" s="29"/>
      <c r="T44" s="29">
        <v>127713</v>
      </c>
      <c r="U44" s="29"/>
      <c r="V44" s="29">
        <v>127713</v>
      </c>
      <c r="W44" s="83" t="s">
        <v>52</v>
      </c>
      <c r="X44" s="11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</row>
    <row r="45" spans="1:279" s="18" customFormat="1" ht="16.5" x14ac:dyDescent="0.25">
      <c r="A45" s="36">
        <v>60103</v>
      </c>
      <c r="B45" s="28" t="s">
        <v>104</v>
      </c>
      <c r="C45" s="14">
        <v>45723</v>
      </c>
      <c r="D45" s="44">
        <v>13</v>
      </c>
      <c r="E45" s="29">
        <v>87727</v>
      </c>
      <c r="F45" s="29">
        <v>440</v>
      </c>
      <c r="G45" s="29">
        <f>E45-F45</f>
        <v>87287</v>
      </c>
      <c r="H45" s="29">
        <f>ROUND(G45*18%,)</f>
        <v>15712</v>
      </c>
      <c r="I45" s="29">
        <f>G45+H45</f>
        <v>102999</v>
      </c>
      <c r="J45" s="29">
        <f>G45*$J$6</f>
        <v>1745.74</v>
      </c>
      <c r="K45" s="29">
        <f>G45*5%</f>
        <v>4364.3500000000004</v>
      </c>
      <c r="L45" s="29"/>
      <c r="M45" s="29">
        <v>0</v>
      </c>
      <c r="N45" s="29">
        <f>(167.1-113.7)*A45</f>
        <v>3209500.1999999993</v>
      </c>
      <c r="O45" s="64">
        <f>H45</f>
        <v>15712</v>
      </c>
      <c r="P45" s="29">
        <f>ROUND(I45-SUM(J45:O45),)</f>
        <v>-3128323</v>
      </c>
      <c r="Q45" s="37"/>
      <c r="R45" s="29"/>
      <c r="S45" s="29"/>
      <c r="T45" s="29">
        <v>89482</v>
      </c>
      <c r="U45" s="29"/>
      <c r="V45" s="29">
        <v>89482</v>
      </c>
      <c r="W45" s="83" t="s">
        <v>63</v>
      </c>
      <c r="X45" s="11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</row>
    <row r="46" spans="1:279" s="18" customFormat="1" ht="16.5" x14ac:dyDescent="0.25">
      <c r="A46" s="36">
        <v>60103</v>
      </c>
      <c r="B46" s="28" t="s">
        <v>29</v>
      </c>
      <c r="C46" s="14"/>
      <c r="D46" s="44">
        <v>13</v>
      </c>
      <c r="E46" s="29">
        <f>O45</f>
        <v>15712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64">
        <f>E46</f>
        <v>15712</v>
      </c>
      <c r="Q46" s="37"/>
      <c r="R46" s="29"/>
      <c r="S46" s="29"/>
      <c r="T46" s="29"/>
      <c r="U46" s="29"/>
      <c r="V46" s="29">
        <v>98000</v>
      </c>
      <c r="W46" s="83" t="s">
        <v>79</v>
      </c>
      <c r="X46" s="1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</row>
    <row r="47" spans="1:279" s="19" customFormat="1" ht="16.5" x14ac:dyDescent="0.25">
      <c r="A47" s="36">
        <v>60104</v>
      </c>
      <c r="B47" s="30"/>
      <c r="C47" s="84"/>
      <c r="D47" s="85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86">
        <v>60104</v>
      </c>
      <c r="R47" s="31"/>
      <c r="S47" s="31"/>
      <c r="T47" s="87"/>
      <c r="U47" s="31"/>
      <c r="V47" s="31"/>
      <c r="W47" s="88"/>
      <c r="X47" s="20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</row>
    <row r="48" spans="1:279" s="18" customFormat="1" ht="30" x14ac:dyDescent="0.25">
      <c r="A48" s="36">
        <v>60104</v>
      </c>
      <c r="B48" s="28" t="s">
        <v>105</v>
      </c>
      <c r="C48" s="14">
        <v>45275</v>
      </c>
      <c r="D48" s="44">
        <v>6</v>
      </c>
      <c r="E48" s="29">
        <v>185000</v>
      </c>
      <c r="F48" s="29">
        <v>0</v>
      </c>
      <c r="G48" s="29">
        <f>E48-F48</f>
        <v>185000</v>
      </c>
      <c r="H48" s="29">
        <f>ROUND(G48*18%,)</f>
        <v>33300</v>
      </c>
      <c r="I48" s="29">
        <f>G48+H48</f>
        <v>218300</v>
      </c>
      <c r="J48" s="29">
        <f>G48*$J$6</f>
        <v>3700</v>
      </c>
      <c r="K48" s="29">
        <f>G48*5%</f>
        <v>9250</v>
      </c>
      <c r="L48" s="29"/>
      <c r="M48" s="29"/>
      <c r="N48" s="29"/>
      <c r="O48" s="64">
        <f>H48</f>
        <v>33300</v>
      </c>
      <c r="P48" s="29">
        <f>ROUND(I48-SUM(J48:O48),)</f>
        <v>172050</v>
      </c>
      <c r="Q48" s="37"/>
      <c r="R48" s="29"/>
      <c r="S48" s="29"/>
      <c r="T48" s="29">
        <v>150000</v>
      </c>
      <c r="U48" s="29">
        <f>T48*U2</f>
        <v>0</v>
      </c>
      <c r="V48" s="29">
        <v>147000</v>
      </c>
      <c r="W48" s="83" t="s">
        <v>20</v>
      </c>
      <c r="X48" s="11">
        <f>SUM(P48:P52)-SUM(V48:V52)</f>
        <v>19414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</row>
    <row r="49" spans="1:279" ht="16.5" x14ac:dyDescent="0.25">
      <c r="A49" s="36">
        <v>60104</v>
      </c>
      <c r="B49" s="28" t="s">
        <v>29</v>
      </c>
      <c r="C49" s="14"/>
      <c r="D49" s="44">
        <v>6</v>
      </c>
      <c r="E49" s="29">
        <f>O48</f>
        <v>33300</v>
      </c>
      <c r="F49" s="29"/>
      <c r="G49" s="29"/>
      <c r="H49" s="29"/>
      <c r="I49" s="29"/>
      <c r="J49" s="29"/>
      <c r="K49" s="29"/>
      <c r="L49" s="29"/>
      <c r="M49" s="29"/>
      <c r="N49" s="29"/>
      <c r="O49" s="29">
        <f>H49</f>
        <v>0</v>
      </c>
      <c r="P49" s="64">
        <f>E49</f>
        <v>33300</v>
      </c>
      <c r="Q49" s="37"/>
      <c r="R49" s="29"/>
      <c r="S49" s="29"/>
      <c r="T49" s="29">
        <v>25050</v>
      </c>
      <c r="U49" s="29"/>
      <c r="V49" s="29">
        <v>25050</v>
      </c>
      <c r="W49" s="83" t="s">
        <v>21</v>
      </c>
      <c r="X49" s="11"/>
    </row>
    <row r="50" spans="1:279" ht="30" x14ac:dyDescent="0.25">
      <c r="A50" s="36">
        <v>60104</v>
      </c>
      <c r="B50" s="28" t="s">
        <v>105</v>
      </c>
      <c r="C50" s="14">
        <v>45482</v>
      </c>
      <c r="D50" s="44">
        <v>4</v>
      </c>
      <c r="E50" s="29">
        <v>157900</v>
      </c>
      <c r="F50" s="29">
        <v>50047</v>
      </c>
      <c r="G50" s="29">
        <f>E50-F50</f>
        <v>107853</v>
      </c>
      <c r="H50" s="29">
        <f>ROUND(G50*18%,)</f>
        <v>19414</v>
      </c>
      <c r="I50" s="29">
        <f>G50+H50</f>
        <v>127267</v>
      </c>
      <c r="J50" s="29">
        <f>G50*$J$6</f>
        <v>2157.06</v>
      </c>
      <c r="K50" s="29">
        <f>G50*5%</f>
        <v>5392.6500000000005</v>
      </c>
      <c r="L50" s="29"/>
      <c r="M50" s="29"/>
      <c r="N50" s="29"/>
      <c r="O50" s="64">
        <f>H50</f>
        <v>19414</v>
      </c>
      <c r="P50" s="29">
        <f>ROUND(I50-SUM(J50:O50),)</f>
        <v>100303</v>
      </c>
      <c r="Q50" s="37"/>
      <c r="R50" s="29"/>
      <c r="S50" s="29"/>
      <c r="T50" s="29">
        <v>33300</v>
      </c>
      <c r="U50" s="29"/>
      <c r="V50" s="29">
        <v>33300</v>
      </c>
      <c r="W50" s="83" t="s">
        <v>41</v>
      </c>
      <c r="X50" s="11"/>
    </row>
    <row r="51" spans="1:279" ht="16.5" x14ac:dyDescent="0.25">
      <c r="A51" s="36">
        <v>60104</v>
      </c>
      <c r="B51" s="28" t="s">
        <v>29</v>
      </c>
      <c r="C51" s="14"/>
      <c r="D51" s="44">
        <v>4</v>
      </c>
      <c r="E51" s="29">
        <f>H50</f>
        <v>19414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64">
        <f>O50</f>
        <v>19414</v>
      </c>
      <c r="Q51" s="90"/>
      <c r="R51" s="29"/>
      <c r="S51" s="29"/>
      <c r="T51" s="29">
        <v>100303</v>
      </c>
      <c r="U51" s="29"/>
      <c r="V51" s="29">
        <v>100303</v>
      </c>
      <c r="W51" s="83" t="s">
        <v>68</v>
      </c>
      <c r="X51" s="11"/>
    </row>
    <row r="52" spans="1:279" ht="16.5" x14ac:dyDescent="0.25">
      <c r="A52" s="36">
        <v>60104</v>
      </c>
      <c r="B52" s="28"/>
      <c r="C52" s="14"/>
      <c r="D52" s="44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7"/>
      <c r="R52" s="29"/>
      <c r="S52" s="29"/>
      <c r="T52" s="53"/>
      <c r="U52" s="29"/>
      <c r="V52" s="29"/>
      <c r="W52" s="83"/>
      <c r="X52" s="11"/>
    </row>
    <row r="53" spans="1:279" s="19" customFormat="1" ht="16.5" x14ac:dyDescent="0.25">
      <c r="A53" s="36">
        <v>60179</v>
      </c>
      <c r="B53" s="31"/>
      <c r="C53" s="31"/>
      <c r="D53" s="91"/>
      <c r="E53" s="31"/>
      <c r="F53" s="31"/>
      <c r="G53" s="31"/>
      <c r="H53" s="31"/>
      <c r="I53" s="31"/>
      <c r="J53" s="92"/>
      <c r="K53" s="92"/>
      <c r="L53" s="92"/>
      <c r="M53" s="92"/>
      <c r="N53" s="31"/>
      <c r="O53" s="31"/>
      <c r="P53" s="31"/>
      <c r="Q53" s="93">
        <v>60179</v>
      </c>
      <c r="R53" s="31"/>
      <c r="S53" s="31"/>
      <c r="T53" s="87"/>
      <c r="U53" s="92"/>
      <c r="V53" s="31"/>
      <c r="W53" s="31"/>
      <c r="X53" s="20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</row>
    <row r="54" spans="1:279" ht="16.5" x14ac:dyDescent="0.25">
      <c r="A54" s="36">
        <v>60179</v>
      </c>
      <c r="B54" s="28" t="s">
        <v>106</v>
      </c>
      <c r="C54" s="14">
        <v>45237</v>
      </c>
      <c r="D54" s="44">
        <v>4</v>
      </c>
      <c r="E54" s="29">
        <v>314500</v>
      </c>
      <c r="F54" s="29">
        <v>0</v>
      </c>
      <c r="G54" s="29">
        <f>E54-F54</f>
        <v>314500</v>
      </c>
      <c r="H54" s="29">
        <f>ROUND(G54*18%,)</f>
        <v>56610</v>
      </c>
      <c r="I54" s="29">
        <f>G54+H54</f>
        <v>371110</v>
      </c>
      <c r="J54" s="29">
        <f>G54*2%</f>
        <v>6290</v>
      </c>
      <c r="K54" s="29">
        <f>G54*5%</f>
        <v>15725</v>
      </c>
      <c r="L54" s="29"/>
      <c r="M54" s="29"/>
      <c r="N54" s="29"/>
      <c r="O54" s="64">
        <f>H54</f>
        <v>56610</v>
      </c>
      <c r="P54" s="29">
        <f>ROUND(I54-SUM(J54:O54),)</f>
        <v>292485</v>
      </c>
      <c r="Q54" s="37"/>
      <c r="R54" s="29"/>
      <c r="S54" s="29"/>
      <c r="T54" s="29">
        <v>292485</v>
      </c>
      <c r="U54" s="29"/>
      <c r="V54" s="29">
        <v>292485</v>
      </c>
      <c r="W54" s="83" t="s">
        <v>13</v>
      </c>
      <c r="X54" s="29">
        <f>SUM(P54:P55)-SUM(V54:V55)</f>
        <v>0</v>
      </c>
    </row>
    <row r="55" spans="1:279" ht="16.5" x14ac:dyDescent="0.25">
      <c r="A55" s="36">
        <v>60179</v>
      </c>
      <c r="B55" s="28" t="s">
        <v>29</v>
      </c>
      <c r="C55" s="14"/>
      <c r="D55" s="44">
        <v>4</v>
      </c>
      <c r="E55" s="29">
        <f>O54</f>
        <v>56610</v>
      </c>
      <c r="F55" s="29"/>
      <c r="G55" s="29"/>
      <c r="H55" s="29"/>
      <c r="I55" s="29"/>
      <c r="J55" s="29"/>
      <c r="K55" s="29"/>
      <c r="L55" s="29"/>
      <c r="M55" s="29"/>
      <c r="N55" s="29"/>
      <c r="O55" s="29">
        <f>H55</f>
        <v>0</v>
      </c>
      <c r="P55" s="64">
        <f>E55</f>
        <v>56610</v>
      </c>
      <c r="Q55" s="37"/>
      <c r="R55" s="29"/>
      <c r="S55" s="29"/>
      <c r="T55" s="29">
        <v>56610</v>
      </c>
      <c r="U55" s="29"/>
      <c r="V55" s="29">
        <v>56610</v>
      </c>
      <c r="W55" s="83" t="s">
        <v>28</v>
      </c>
      <c r="X55" s="11"/>
    </row>
    <row r="56" spans="1:279" s="19" customFormat="1" ht="16.5" x14ac:dyDescent="0.25">
      <c r="A56" s="36">
        <v>61412</v>
      </c>
      <c r="B56" s="30"/>
      <c r="C56" s="84"/>
      <c r="D56" s="85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86">
        <v>61412</v>
      </c>
      <c r="R56" s="31"/>
      <c r="S56" s="31"/>
      <c r="T56" s="87"/>
      <c r="U56" s="31"/>
      <c r="V56" s="31"/>
      <c r="W56" s="88"/>
      <c r="X56" s="20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</row>
    <row r="57" spans="1:279" ht="30" x14ac:dyDescent="0.25">
      <c r="A57" s="36">
        <v>61412</v>
      </c>
      <c r="B57" s="28" t="s">
        <v>107</v>
      </c>
      <c r="C57" s="14">
        <v>45373</v>
      </c>
      <c r="D57" s="44">
        <v>18</v>
      </c>
      <c r="E57" s="29">
        <f>A57*40%</f>
        <v>24564.800000000003</v>
      </c>
      <c r="F57" s="29">
        <v>341250</v>
      </c>
      <c r="G57" s="29">
        <f>E57-F57</f>
        <v>-316685.2</v>
      </c>
      <c r="H57" s="29">
        <f>ROUND(G57*18%,)</f>
        <v>-57003</v>
      </c>
      <c r="I57" s="29">
        <f>G57+H57</f>
        <v>-373688.2</v>
      </c>
      <c r="J57" s="29">
        <f>G57*2%</f>
        <v>-6333.7040000000006</v>
      </c>
      <c r="K57" s="29">
        <f>G57*5%</f>
        <v>-15834.260000000002</v>
      </c>
      <c r="L57" s="29"/>
      <c r="M57" s="29"/>
      <c r="N57" s="29"/>
      <c r="O57" s="64">
        <f>H57</f>
        <v>-57003</v>
      </c>
      <c r="P57" s="29">
        <f>ROUND(I57-SUM(J57:O57),)</f>
        <v>-294517</v>
      </c>
      <c r="Q57" s="37"/>
      <c r="R57" s="29">
        <v>3412500</v>
      </c>
      <c r="S57" s="29">
        <f>R57-SUM(T57:T62)</f>
        <v>2263138</v>
      </c>
      <c r="T57" s="29">
        <v>150000</v>
      </c>
      <c r="U57" s="29"/>
      <c r="V57" s="29">
        <v>147000</v>
      </c>
      <c r="W57" s="83" t="s">
        <v>31</v>
      </c>
      <c r="X57" s="11">
        <f>SUM(P57:P62)-SUM(V57:V62)</f>
        <v>-1487882</v>
      </c>
    </row>
    <row r="58" spans="1:279" ht="16.5" x14ac:dyDescent="0.25">
      <c r="A58" s="36">
        <v>61412</v>
      </c>
      <c r="B58" s="28" t="s">
        <v>108</v>
      </c>
      <c r="C58" s="14"/>
      <c r="D58" s="44">
        <v>18</v>
      </c>
      <c r="E58" s="29">
        <f>O57</f>
        <v>-57003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64">
        <f>E58</f>
        <v>-57003</v>
      </c>
      <c r="Q58" s="37"/>
      <c r="R58" s="29"/>
      <c r="S58" s="29"/>
      <c r="T58" s="29">
        <v>500000</v>
      </c>
      <c r="U58" s="29">
        <v>10000</v>
      </c>
      <c r="V58" s="29">
        <v>490000</v>
      </c>
      <c r="W58" s="83" t="s">
        <v>44</v>
      </c>
      <c r="X58" s="11"/>
    </row>
    <row r="59" spans="1:279" ht="16.5" x14ac:dyDescent="0.25">
      <c r="A59" s="36">
        <v>61412</v>
      </c>
      <c r="B59" s="28"/>
      <c r="C59" s="14"/>
      <c r="D59" s="44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7"/>
      <c r="R59" s="29"/>
      <c r="S59" s="29"/>
      <c r="T59" s="29">
        <v>315087</v>
      </c>
      <c r="U59" s="29"/>
      <c r="V59" s="29">
        <v>315087</v>
      </c>
      <c r="W59" s="83" t="s">
        <v>57</v>
      </c>
      <c r="X59" s="11"/>
    </row>
    <row r="60" spans="1:279" ht="16.5" x14ac:dyDescent="0.25">
      <c r="A60" s="36">
        <v>61412</v>
      </c>
      <c r="B60" s="28"/>
      <c r="C60" s="14"/>
      <c r="D60" s="44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7"/>
      <c r="R60" s="29"/>
      <c r="S60" s="29"/>
      <c r="T60" s="29">
        <v>184275</v>
      </c>
      <c r="U60" s="29"/>
      <c r="V60" s="29">
        <v>184275</v>
      </c>
      <c r="W60" s="83" t="s">
        <v>58</v>
      </c>
      <c r="X60" s="11"/>
    </row>
    <row r="61" spans="1:279" ht="16.5" x14ac:dyDescent="0.25">
      <c r="A61" s="36">
        <v>61412</v>
      </c>
      <c r="B61" s="28"/>
      <c r="C61" s="14"/>
      <c r="D61" s="44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7"/>
      <c r="R61" s="29"/>
      <c r="S61" s="29"/>
      <c r="T61" s="53"/>
      <c r="U61" s="29"/>
      <c r="V61" s="29"/>
      <c r="W61" s="83"/>
      <c r="X61" s="11"/>
    </row>
    <row r="62" spans="1:279" ht="16.5" x14ac:dyDescent="0.25">
      <c r="A62" s="36">
        <v>61412</v>
      </c>
      <c r="B62" s="28"/>
      <c r="C62" s="14"/>
      <c r="D62" s="44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7"/>
      <c r="R62" s="29"/>
      <c r="S62" s="29"/>
      <c r="T62" s="53"/>
      <c r="U62" s="29"/>
      <c r="V62" s="29"/>
      <c r="W62" s="83"/>
      <c r="X62" s="11"/>
    </row>
    <row r="63" spans="1:279" ht="16.5" x14ac:dyDescent="0.25">
      <c r="A63" s="36">
        <v>62334</v>
      </c>
      <c r="B63" s="30"/>
      <c r="C63" s="84"/>
      <c r="D63" s="85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86">
        <v>62334</v>
      </c>
      <c r="R63" s="31"/>
      <c r="S63" s="31"/>
      <c r="T63" s="87"/>
      <c r="U63" s="31"/>
      <c r="V63" s="31"/>
      <c r="W63" s="88"/>
      <c r="X63" s="20"/>
    </row>
    <row r="64" spans="1:279" ht="16.5" x14ac:dyDescent="0.25">
      <c r="A64" s="36">
        <v>62334</v>
      </c>
      <c r="B64" s="28" t="s">
        <v>109</v>
      </c>
      <c r="C64" s="14">
        <v>45397</v>
      </c>
      <c r="D64" s="44">
        <v>1</v>
      </c>
      <c r="E64" s="29">
        <v>1134375</v>
      </c>
      <c r="F64" s="29"/>
      <c r="G64" s="29">
        <f>E64-F64</f>
        <v>1134375</v>
      </c>
      <c r="H64" s="29">
        <f>ROUND(G64*18%,)</f>
        <v>204188</v>
      </c>
      <c r="I64" s="29">
        <f>G64+H64</f>
        <v>1338563</v>
      </c>
      <c r="J64" s="29">
        <f>G64*2%</f>
        <v>22687.5</v>
      </c>
      <c r="K64" s="29">
        <f>G64*5%</f>
        <v>56718.75</v>
      </c>
      <c r="L64" s="29"/>
      <c r="M64" s="29"/>
      <c r="N64" s="29"/>
      <c r="O64" s="64">
        <f>H64</f>
        <v>204188</v>
      </c>
      <c r="P64" s="29">
        <f>ROUND(I64-SUM(J64:O64),)</f>
        <v>1054969</v>
      </c>
      <c r="Q64" s="37"/>
      <c r="R64" s="29">
        <v>4537500</v>
      </c>
      <c r="S64" s="29">
        <f>R64-SUM(T64:T78)</f>
        <v>1054500</v>
      </c>
      <c r="T64" s="29">
        <v>150000</v>
      </c>
      <c r="U64" s="29"/>
      <c r="V64" s="29">
        <v>147000</v>
      </c>
      <c r="W64" s="83" t="s">
        <v>42</v>
      </c>
      <c r="X64" s="11">
        <f>SUM(P64:P78)-SUM(V64:V78)</f>
        <v>-37592</v>
      </c>
    </row>
    <row r="65" spans="1:24" ht="16.5" x14ac:dyDescent="0.25">
      <c r="A65" s="36">
        <v>62334</v>
      </c>
      <c r="B65" s="28" t="s">
        <v>59</v>
      </c>
      <c r="C65" s="14"/>
      <c r="D65" s="44">
        <v>1</v>
      </c>
      <c r="E65" s="29">
        <v>204188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64">
        <f>E65</f>
        <v>204188</v>
      </c>
      <c r="Q65" s="37"/>
      <c r="R65" s="29"/>
      <c r="S65" s="29"/>
      <c r="T65" s="29">
        <v>907468</v>
      </c>
      <c r="U65" s="29"/>
      <c r="V65" s="29">
        <v>907968</v>
      </c>
      <c r="W65" s="83" t="s">
        <v>53</v>
      </c>
      <c r="X65" s="11"/>
    </row>
    <row r="66" spans="1:24" ht="16.5" x14ac:dyDescent="0.25">
      <c r="A66" s="36">
        <v>62334</v>
      </c>
      <c r="B66" s="28" t="s">
        <v>109</v>
      </c>
      <c r="C66" s="14">
        <v>45510</v>
      </c>
      <c r="D66" s="44">
        <v>5</v>
      </c>
      <c r="E66" s="29">
        <v>226875</v>
      </c>
      <c r="F66" s="29"/>
      <c r="G66" s="29">
        <f>E66-F66</f>
        <v>226875</v>
      </c>
      <c r="H66" s="29">
        <f>ROUND(G66*18%,)</f>
        <v>40838</v>
      </c>
      <c r="I66" s="29">
        <f>G66+H66</f>
        <v>267713</v>
      </c>
      <c r="J66" s="29">
        <f>G66*2%</f>
        <v>4537.5</v>
      </c>
      <c r="K66" s="29">
        <f>G66*5%</f>
        <v>11343.75</v>
      </c>
      <c r="L66" s="29"/>
      <c r="M66" s="29"/>
      <c r="N66" s="29"/>
      <c r="O66" s="64">
        <f>H66</f>
        <v>40838</v>
      </c>
      <c r="P66" s="29">
        <f>ROUND(I66-SUM(J66:O66),)</f>
        <v>210994</v>
      </c>
      <c r="Q66" s="37"/>
      <c r="R66" s="29"/>
      <c r="S66" s="29"/>
      <c r="T66" s="29">
        <v>204188</v>
      </c>
      <c r="U66" s="29"/>
      <c r="V66" s="29">
        <v>204188</v>
      </c>
      <c r="W66" s="83" t="s">
        <v>60</v>
      </c>
      <c r="X66" s="11"/>
    </row>
    <row r="67" spans="1:24" ht="16.5" x14ac:dyDescent="0.25">
      <c r="A67" s="36">
        <v>62334</v>
      </c>
      <c r="B67" s="28" t="s">
        <v>109</v>
      </c>
      <c r="C67" s="14">
        <v>45559</v>
      </c>
      <c r="D67" s="44">
        <v>7</v>
      </c>
      <c r="E67" s="29">
        <v>453750</v>
      </c>
      <c r="F67" s="29"/>
      <c r="G67" s="29">
        <f>E67-F67</f>
        <v>453750</v>
      </c>
      <c r="H67" s="29">
        <f>ROUND(G67*18%,)</f>
        <v>81675</v>
      </c>
      <c r="I67" s="29">
        <f>G67+H67</f>
        <v>535425</v>
      </c>
      <c r="J67" s="29">
        <f>G67*2%</f>
        <v>9075</v>
      </c>
      <c r="K67" s="29">
        <f>G67*5%</f>
        <v>22687.5</v>
      </c>
      <c r="L67" s="29"/>
      <c r="M67" s="29"/>
      <c r="N67" s="29"/>
      <c r="O67" s="64">
        <f>H67</f>
        <v>81675</v>
      </c>
      <c r="P67" s="29">
        <f>ROUND(I67-SUM(J67:O67),)</f>
        <v>421988</v>
      </c>
      <c r="Q67" s="37"/>
      <c r="R67" s="29"/>
      <c r="S67" s="29"/>
      <c r="T67" s="29">
        <v>210993</v>
      </c>
      <c r="U67" s="29"/>
      <c r="V67" s="29">
        <v>210993</v>
      </c>
      <c r="W67" s="83" t="s">
        <v>67</v>
      </c>
      <c r="X67" s="11"/>
    </row>
    <row r="68" spans="1:24" s="1" customFormat="1" ht="16.5" x14ac:dyDescent="0.25">
      <c r="A68" s="36">
        <v>62334</v>
      </c>
      <c r="B68" s="28" t="s">
        <v>109</v>
      </c>
      <c r="C68" s="94">
        <v>45581</v>
      </c>
      <c r="D68" s="95">
        <v>8</v>
      </c>
      <c r="E68" s="66">
        <v>680625</v>
      </c>
      <c r="F68" s="66"/>
      <c r="G68" s="66">
        <f>E68-F68</f>
        <v>680625</v>
      </c>
      <c r="H68" s="66">
        <f>ROUND(G68*18%,)</f>
        <v>122513</v>
      </c>
      <c r="I68" s="66">
        <f>G68+H68</f>
        <v>803138</v>
      </c>
      <c r="J68" s="66">
        <f>G68*2%</f>
        <v>13612.5</v>
      </c>
      <c r="K68" s="66">
        <f>G68*5%</f>
        <v>34031.25</v>
      </c>
      <c r="L68" s="66"/>
      <c r="M68" s="66"/>
      <c r="N68" s="66"/>
      <c r="O68" s="64">
        <f>H68</f>
        <v>122513</v>
      </c>
      <c r="P68" s="66">
        <f>ROUND(I68-SUM(J68:O68),)</f>
        <v>632981</v>
      </c>
      <c r="Q68" s="96"/>
      <c r="R68" s="66"/>
      <c r="S68" s="66"/>
      <c r="T68" s="66">
        <v>100000</v>
      </c>
      <c r="U68" s="66"/>
      <c r="V68" s="29">
        <v>98000</v>
      </c>
      <c r="W68" s="83" t="s">
        <v>71</v>
      </c>
      <c r="X68" s="65"/>
    </row>
    <row r="69" spans="1:24" ht="16.5" x14ac:dyDescent="0.25">
      <c r="A69" s="36">
        <v>62334</v>
      </c>
      <c r="B69" s="28" t="s">
        <v>25</v>
      </c>
      <c r="C69" s="14"/>
      <c r="D69" s="44" t="s">
        <v>75</v>
      </c>
      <c r="E69" s="29">
        <f>O66+O67</f>
        <v>122513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64">
        <f>E69</f>
        <v>122513</v>
      </c>
      <c r="Q69" s="37"/>
      <c r="R69" s="29"/>
      <c r="S69" s="29"/>
      <c r="T69" s="29">
        <v>400000</v>
      </c>
      <c r="U69" s="29"/>
      <c r="V69" s="29">
        <v>392000</v>
      </c>
      <c r="W69" s="83" t="s">
        <v>74</v>
      </c>
      <c r="X69" s="11"/>
    </row>
    <row r="70" spans="1:24" ht="16.5" x14ac:dyDescent="0.25">
      <c r="A70" s="36">
        <v>62334</v>
      </c>
      <c r="B70" s="28" t="s">
        <v>25</v>
      </c>
      <c r="C70" s="14"/>
      <c r="D70" s="44">
        <v>8</v>
      </c>
      <c r="E70" s="29">
        <f>O68</f>
        <v>122513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64">
        <f>E70</f>
        <v>122513</v>
      </c>
      <c r="Q70" s="37"/>
      <c r="R70" s="29"/>
      <c r="S70" s="29"/>
      <c r="T70" s="29">
        <v>200000</v>
      </c>
      <c r="U70" s="29"/>
      <c r="V70" s="29">
        <v>196000</v>
      </c>
      <c r="W70" s="83" t="s">
        <v>78</v>
      </c>
      <c r="X70" s="11"/>
    </row>
    <row r="71" spans="1:24" ht="16.5" x14ac:dyDescent="0.25">
      <c r="A71" s="36">
        <v>62334</v>
      </c>
      <c r="B71" s="28" t="s">
        <v>109</v>
      </c>
      <c r="C71" s="14">
        <v>45625</v>
      </c>
      <c r="D71" s="44">
        <v>9</v>
      </c>
      <c r="E71" s="29">
        <v>226875</v>
      </c>
      <c r="F71" s="29"/>
      <c r="G71" s="29">
        <v>226875</v>
      </c>
      <c r="H71" s="29">
        <f>ROUND(G71*18%,)</f>
        <v>40838</v>
      </c>
      <c r="I71" s="29">
        <f>G71+H71</f>
        <v>267713</v>
      </c>
      <c r="J71" s="29">
        <f>G71*2%</f>
        <v>4537.5</v>
      </c>
      <c r="K71" s="29">
        <f>G71*5%</f>
        <v>11343.75</v>
      </c>
      <c r="L71" s="29"/>
      <c r="M71" s="29"/>
      <c r="N71" s="29"/>
      <c r="O71" s="64">
        <f>H71</f>
        <v>40838</v>
      </c>
      <c r="P71" s="29">
        <f>ROUND(I71-SUM(J71:O71),)</f>
        <v>210994</v>
      </c>
      <c r="Q71" s="37"/>
      <c r="R71" s="29"/>
      <c r="S71" s="29"/>
      <c r="T71" s="29">
        <v>122513</v>
      </c>
      <c r="U71" s="29"/>
      <c r="V71" s="29">
        <v>122513</v>
      </c>
      <c r="W71" s="83" t="s">
        <v>80</v>
      </c>
      <c r="X71" s="11"/>
    </row>
    <row r="72" spans="1:24" ht="16.5" x14ac:dyDescent="0.25">
      <c r="A72" s="36">
        <v>62334</v>
      </c>
      <c r="B72" s="28" t="s">
        <v>25</v>
      </c>
      <c r="C72" s="14"/>
      <c r="D72" s="44">
        <v>9</v>
      </c>
      <c r="E72" s="29">
        <f>O71</f>
        <v>40838</v>
      </c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64">
        <f>E72</f>
        <v>40838</v>
      </c>
      <c r="Q72" s="37"/>
      <c r="R72" s="29"/>
      <c r="S72" s="29"/>
      <c r="T72" s="29">
        <v>200000</v>
      </c>
      <c r="U72" s="29"/>
      <c r="V72" s="29">
        <v>196000</v>
      </c>
      <c r="W72" s="83" t="s">
        <v>81</v>
      </c>
      <c r="X72" s="11"/>
    </row>
    <row r="73" spans="1:24" ht="16.5" x14ac:dyDescent="0.25">
      <c r="A73" s="36">
        <v>62334</v>
      </c>
      <c r="B73" s="28" t="s">
        <v>109</v>
      </c>
      <c r="C73" s="14">
        <v>45723</v>
      </c>
      <c r="D73" s="44">
        <v>11</v>
      </c>
      <c r="E73" s="29">
        <v>363000</v>
      </c>
      <c r="F73" s="29"/>
      <c r="G73" s="29">
        <f>E73-F73</f>
        <v>363000</v>
      </c>
      <c r="H73" s="29">
        <f>ROUND(G73*18%,)</f>
        <v>65340</v>
      </c>
      <c r="I73" s="29">
        <f>G73+H73</f>
        <v>428340</v>
      </c>
      <c r="J73" s="29">
        <f>G73*2%</f>
        <v>7260</v>
      </c>
      <c r="K73" s="29">
        <f>G73*5%</f>
        <v>18150</v>
      </c>
      <c r="L73" s="29"/>
      <c r="M73" s="29"/>
      <c r="N73" s="29"/>
      <c r="O73" s="64">
        <f>H73</f>
        <v>65340</v>
      </c>
      <c r="P73" s="29">
        <f>ROUND(I73-SUM(J73:O73),)</f>
        <v>337590</v>
      </c>
      <c r="Q73" s="37"/>
      <c r="R73" s="29"/>
      <c r="S73" s="29"/>
      <c r="T73" s="29">
        <v>40838</v>
      </c>
      <c r="U73" s="29"/>
      <c r="V73" s="29">
        <v>40838</v>
      </c>
      <c r="W73" s="83" t="s">
        <v>86</v>
      </c>
      <c r="X73" s="11"/>
    </row>
    <row r="74" spans="1:24" ht="16.5" x14ac:dyDescent="0.25">
      <c r="A74" s="36">
        <v>62334</v>
      </c>
      <c r="B74" s="28" t="s">
        <v>25</v>
      </c>
      <c r="C74" s="14"/>
      <c r="D74" s="44">
        <v>11</v>
      </c>
      <c r="E74" s="29">
        <f>O73</f>
        <v>65340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64">
        <f>E74</f>
        <v>65340</v>
      </c>
      <c r="Q74" s="37"/>
      <c r="R74" s="29"/>
      <c r="S74" s="29"/>
      <c r="T74" s="29">
        <v>200000</v>
      </c>
      <c r="U74" s="29"/>
      <c r="V74" s="29">
        <v>200000</v>
      </c>
      <c r="W74" s="83" t="s">
        <v>87</v>
      </c>
      <c r="X74" s="11"/>
    </row>
    <row r="75" spans="1:24" ht="16.5" x14ac:dyDescent="0.25">
      <c r="A75" s="36">
        <v>62334</v>
      </c>
      <c r="B75" s="28"/>
      <c r="C75" s="14"/>
      <c r="D75" s="44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37"/>
      <c r="R75" s="29"/>
      <c r="S75" s="29"/>
      <c r="T75" s="29">
        <v>150000</v>
      </c>
      <c r="U75" s="29"/>
      <c r="V75" s="29">
        <v>150000</v>
      </c>
      <c r="W75" s="83" t="s">
        <v>88</v>
      </c>
      <c r="X75" s="11"/>
    </row>
    <row r="76" spans="1:24" ht="16.5" x14ac:dyDescent="0.25">
      <c r="A76" s="36">
        <v>62334</v>
      </c>
      <c r="B76" s="28"/>
      <c r="C76" s="14"/>
      <c r="D76" s="44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37"/>
      <c r="R76" s="29"/>
      <c r="S76" s="29"/>
      <c r="T76" s="29">
        <v>250000</v>
      </c>
      <c r="U76" s="29"/>
      <c r="V76" s="29">
        <v>250000</v>
      </c>
      <c r="W76" s="83" t="s">
        <v>90</v>
      </c>
      <c r="X76" s="11"/>
    </row>
    <row r="77" spans="1:24" ht="16.5" x14ac:dyDescent="0.25">
      <c r="A77" s="36">
        <v>62334</v>
      </c>
      <c r="B77" s="28"/>
      <c r="C77" s="14"/>
      <c r="D77" s="44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37"/>
      <c r="R77" s="29"/>
      <c r="S77" s="29"/>
      <c r="T77" s="29">
        <v>200000</v>
      </c>
      <c r="U77" s="29"/>
      <c r="V77" s="29">
        <v>200000</v>
      </c>
      <c r="W77" s="83" t="s">
        <v>91</v>
      </c>
      <c r="X77" s="11"/>
    </row>
    <row r="78" spans="1:24" ht="16.5" x14ac:dyDescent="0.15">
      <c r="A78" s="36">
        <v>62334</v>
      </c>
      <c r="B78" s="28"/>
      <c r="C78" s="14"/>
      <c r="D78" s="44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37"/>
      <c r="R78" s="29"/>
      <c r="S78" s="29"/>
      <c r="T78" s="29">
        <v>147000</v>
      </c>
      <c r="U78" s="29"/>
      <c r="V78" s="29">
        <v>147000</v>
      </c>
      <c r="W78" s="68" t="s">
        <v>92</v>
      </c>
      <c r="X78" s="11"/>
    </row>
    <row r="79" spans="1:24" ht="16.5" x14ac:dyDescent="0.25">
      <c r="A79" s="36">
        <v>62335</v>
      </c>
      <c r="B79" s="30"/>
      <c r="C79" s="84"/>
      <c r="D79" s="85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86">
        <v>62335</v>
      </c>
      <c r="R79" s="31"/>
      <c r="S79" s="31"/>
      <c r="T79" s="31"/>
      <c r="U79" s="31"/>
      <c r="V79" s="31"/>
      <c r="W79" s="88"/>
      <c r="X79" s="20"/>
    </row>
    <row r="80" spans="1:24" ht="30" x14ac:dyDescent="0.25">
      <c r="A80" s="36">
        <v>62335</v>
      </c>
      <c r="B80" s="28" t="s">
        <v>110</v>
      </c>
      <c r="C80" s="14">
        <v>45369</v>
      </c>
      <c r="D80" s="44">
        <v>16</v>
      </c>
      <c r="E80" s="29">
        <v>990000</v>
      </c>
      <c r="F80" s="29"/>
      <c r="G80" s="29">
        <f>E80-F80</f>
        <v>990000</v>
      </c>
      <c r="H80" s="29">
        <f>ROUND(G80*18%,)</f>
        <v>178200</v>
      </c>
      <c r="I80" s="29">
        <f>G80+H80</f>
        <v>1168200</v>
      </c>
      <c r="J80" s="29">
        <f>G80*2%</f>
        <v>19800</v>
      </c>
      <c r="K80" s="29">
        <f>G80*5%</f>
        <v>49500</v>
      </c>
      <c r="L80" s="29"/>
      <c r="M80" s="29" t="s">
        <v>49</v>
      </c>
      <c r="N80" s="29"/>
      <c r="O80" s="64">
        <f>H80</f>
        <v>178200</v>
      </c>
      <c r="P80" s="29">
        <f>ROUND(I80-SUM(J80:O80),)</f>
        <v>920700</v>
      </c>
      <c r="Q80" s="37"/>
      <c r="R80" s="29">
        <v>3960000</v>
      </c>
      <c r="S80" s="29">
        <f>R80-SUM(T80:T85)</f>
        <v>2650100</v>
      </c>
      <c r="T80" s="29">
        <v>150000</v>
      </c>
      <c r="U80" s="29"/>
      <c r="V80" s="29">
        <v>147000</v>
      </c>
      <c r="W80" s="83" t="s">
        <v>43</v>
      </c>
      <c r="X80" s="11">
        <f>SUM(P80:P85)-SUM(V80:V85)</f>
        <v>23780</v>
      </c>
    </row>
    <row r="81" spans="1:24" ht="16.5" x14ac:dyDescent="0.25">
      <c r="A81" s="36">
        <v>62335</v>
      </c>
      <c r="B81" s="97" t="s">
        <v>25</v>
      </c>
      <c r="C81" s="29"/>
      <c r="D81" s="89">
        <v>16</v>
      </c>
      <c r="E81" s="29"/>
      <c r="F81" s="29"/>
      <c r="G81" s="29">
        <f>O80</f>
        <v>178200</v>
      </c>
      <c r="H81" s="29"/>
      <c r="I81" s="29"/>
      <c r="J81" s="29"/>
      <c r="K81" s="29"/>
      <c r="L81" s="29"/>
      <c r="M81" s="29"/>
      <c r="N81" s="29"/>
      <c r="O81" s="29"/>
      <c r="P81" s="64">
        <f>G81</f>
        <v>178200</v>
      </c>
      <c r="Q81" s="37"/>
      <c r="R81" s="29"/>
      <c r="S81" s="29"/>
      <c r="T81" s="29">
        <v>400000</v>
      </c>
      <c r="U81" s="29"/>
      <c r="V81" s="29">
        <v>392000</v>
      </c>
      <c r="W81" s="83" t="s">
        <v>48</v>
      </c>
      <c r="X81" s="11"/>
    </row>
    <row r="82" spans="1:24" ht="30" x14ac:dyDescent="0.25">
      <c r="A82" s="36">
        <v>62335</v>
      </c>
      <c r="B82" s="28" t="s">
        <v>110</v>
      </c>
      <c r="C82" s="14">
        <v>45723</v>
      </c>
      <c r="D82" s="44">
        <v>12</v>
      </c>
      <c r="E82" s="29">
        <v>198000</v>
      </c>
      <c r="F82" s="29"/>
      <c r="G82" s="29">
        <f>E82-F82</f>
        <v>198000</v>
      </c>
      <c r="H82" s="29">
        <f>ROUND(G82*18%,)</f>
        <v>35640</v>
      </c>
      <c r="I82" s="29">
        <f>G82+H82</f>
        <v>233640</v>
      </c>
      <c r="J82" s="29">
        <f>G82*2%</f>
        <v>3960</v>
      </c>
      <c r="K82" s="29">
        <f>G82*5%</f>
        <v>9900</v>
      </c>
      <c r="L82" s="29"/>
      <c r="M82" s="29" t="s">
        <v>49</v>
      </c>
      <c r="N82" s="29"/>
      <c r="O82" s="64">
        <f>H82</f>
        <v>35640</v>
      </c>
      <c r="P82" s="29">
        <f>ROUND(I82-SUM(J82:O82),)</f>
        <v>184140</v>
      </c>
      <c r="Q82" s="99"/>
      <c r="R82" s="73"/>
      <c r="S82" s="73"/>
      <c r="T82" s="73">
        <v>381700</v>
      </c>
      <c r="U82" s="73"/>
      <c r="V82" s="73">
        <v>381700</v>
      </c>
      <c r="W82" s="100" t="s">
        <v>51</v>
      </c>
      <c r="X82" s="32"/>
    </row>
    <row r="83" spans="1:24" ht="16.5" x14ac:dyDescent="0.25">
      <c r="A83" s="36">
        <v>62335</v>
      </c>
      <c r="B83" s="97" t="s">
        <v>25</v>
      </c>
      <c r="C83" s="29"/>
      <c r="D83" s="89">
        <v>12</v>
      </c>
      <c r="E83" s="29"/>
      <c r="F83" s="29"/>
      <c r="G83" s="29">
        <f>O82</f>
        <v>35640</v>
      </c>
      <c r="H83" s="29"/>
      <c r="I83" s="29"/>
      <c r="J83" s="29"/>
      <c r="K83" s="29"/>
      <c r="L83" s="29"/>
      <c r="M83" s="29"/>
      <c r="N83" s="29"/>
      <c r="O83" s="29"/>
      <c r="P83" s="64">
        <f>G83</f>
        <v>35640</v>
      </c>
      <c r="Q83" s="99"/>
      <c r="R83" s="73"/>
      <c r="S83" s="73"/>
      <c r="T83" s="73">
        <v>178200</v>
      </c>
      <c r="U83" s="73"/>
      <c r="V83" s="73">
        <v>178200</v>
      </c>
      <c r="W83" s="100" t="s">
        <v>64</v>
      </c>
      <c r="X83" s="32"/>
    </row>
    <row r="84" spans="1:24" ht="16.5" x14ac:dyDescent="0.25">
      <c r="A84" s="36">
        <v>62335</v>
      </c>
      <c r="B84" s="73"/>
      <c r="C84" s="73"/>
      <c r="D84" s="98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99"/>
      <c r="R84" s="73"/>
      <c r="S84" s="73"/>
      <c r="T84" s="73">
        <v>100000</v>
      </c>
      <c r="U84" s="73"/>
      <c r="V84" s="73">
        <v>98000</v>
      </c>
      <c r="W84" s="100" t="s">
        <v>72</v>
      </c>
      <c r="X84" s="32"/>
    </row>
    <row r="85" spans="1:24" ht="16.5" x14ac:dyDescent="0.25">
      <c r="A85" s="36">
        <v>62335</v>
      </c>
      <c r="B85" s="73"/>
      <c r="C85" s="73"/>
      <c r="D85" s="98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99"/>
      <c r="R85" s="73"/>
      <c r="S85" s="73"/>
      <c r="T85" s="73">
        <v>100000</v>
      </c>
      <c r="U85" s="73"/>
      <c r="V85" s="73">
        <v>98000</v>
      </c>
      <c r="W85" s="100" t="s">
        <v>76</v>
      </c>
      <c r="X85" s="32"/>
    </row>
    <row r="86" spans="1:24" ht="16.5" x14ac:dyDescent="0.25">
      <c r="A86" s="36">
        <v>62336</v>
      </c>
      <c r="B86" s="30"/>
      <c r="C86" s="84"/>
      <c r="D86" s="85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86">
        <v>62336</v>
      </c>
      <c r="R86" s="31"/>
      <c r="S86" s="31"/>
      <c r="T86" s="87"/>
      <c r="U86" s="31"/>
      <c r="V86" s="31"/>
      <c r="W86" s="88"/>
      <c r="X86" s="20"/>
    </row>
    <row r="87" spans="1:24" ht="16.5" x14ac:dyDescent="0.25">
      <c r="A87" s="36">
        <v>62336</v>
      </c>
      <c r="B87" s="73" t="s">
        <v>111</v>
      </c>
      <c r="C87" s="73"/>
      <c r="D87" s="98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99"/>
      <c r="R87" s="73"/>
      <c r="S87" s="73"/>
      <c r="T87" s="101"/>
      <c r="U87" s="73"/>
      <c r="V87" s="73"/>
      <c r="W87" s="100"/>
      <c r="X87" s="32">
        <f>SUM(P87:P88)-SUM(V87:V88)</f>
        <v>0</v>
      </c>
    </row>
    <row r="88" spans="1:24" ht="16.5" x14ac:dyDescent="0.25">
      <c r="A88" s="36">
        <v>62336</v>
      </c>
      <c r="B88" s="102" t="s">
        <v>89</v>
      </c>
      <c r="C88" s="73"/>
      <c r="D88" s="98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99"/>
      <c r="R88" s="73"/>
      <c r="S88" s="73"/>
      <c r="T88" s="101"/>
      <c r="U88" s="73"/>
      <c r="V88" s="73"/>
      <c r="W88" s="100"/>
      <c r="X88" s="32"/>
    </row>
    <row r="89" spans="1:24" ht="17.25" thickBot="1" x14ac:dyDescent="0.3">
      <c r="A89" s="36">
        <v>62336</v>
      </c>
      <c r="B89" s="73"/>
      <c r="C89" s="73"/>
      <c r="D89" s="98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99"/>
      <c r="R89" s="73"/>
      <c r="S89" s="73"/>
      <c r="T89" s="101"/>
      <c r="U89" s="73"/>
      <c r="V89" s="73"/>
      <c r="W89" s="100"/>
      <c r="X89" s="32"/>
    </row>
    <row r="90" spans="1:24" ht="16.5" x14ac:dyDescent="0.25">
      <c r="A90" s="54"/>
      <c r="B90" s="56"/>
      <c r="C90" s="56"/>
      <c r="D90" s="57"/>
      <c r="E90" s="56"/>
      <c r="F90" s="56"/>
      <c r="G90" s="56"/>
      <c r="H90" s="56"/>
      <c r="I90" s="56"/>
      <c r="J90" s="81">
        <f t="shared" ref="J90:O90" si="1">SUM(J6:J88)</f>
        <v>181089.576</v>
      </c>
      <c r="K90" s="81">
        <f t="shared" si="1"/>
        <v>452725.04000000004</v>
      </c>
      <c r="L90" s="81">
        <f t="shared" si="1"/>
        <v>38548.199999999997</v>
      </c>
      <c r="M90" s="81">
        <f t="shared" si="1"/>
        <v>140712.20000000001</v>
      </c>
      <c r="N90" s="81">
        <f t="shared" si="1"/>
        <v>6419000.3999999985</v>
      </c>
      <c r="O90" s="81">
        <f t="shared" si="1"/>
        <v>1629816</v>
      </c>
      <c r="P90" s="81">
        <f>SUM(P6:P89)</f>
        <v>3507334</v>
      </c>
      <c r="Q90" s="54"/>
      <c r="R90" s="81" t="s">
        <v>2</v>
      </c>
      <c r="S90" s="74"/>
      <c r="T90" s="58"/>
      <c r="U90" s="56"/>
      <c r="V90" s="56">
        <f>SUM(V6:V89)</f>
        <v>11552517</v>
      </c>
      <c r="W90" s="59"/>
      <c r="X90" s="56"/>
    </row>
    <row r="91" spans="1:24" ht="17.25" thickBot="1" x14ac:dyDescent="0.3">
      <c r="A91" s="55"/>
      <c r="B91" s="60"/>
      <c r="C91" s="60"/>
      <c r="D91" s="61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55"/>
      <c r="R91" s="82" t="s">
        <v>3</v>
      </c>
      <c r="S91" s="75"/>
      <c r="T91" s="62"/>
      <c r="U91" s="60"/>
      <c r="V91" s="60">
        <f>P90-V90</f>
        <v>-8045183</v>
      </c>
      <c r="W91" s="63"/>
      <c r="X91" s="60">
        <f>SUM(X6:X89)</f>
        <v>-8045183</v>
      </c>
    </row>
    <row r="94" spans="1:24" x14ac:dyDescent="0.25">
      <c r="H94" s="2"/>
      <c r="I94" s="2"/>
    </row>
    <row r="95" spans="1:24" x14ac:dyDescent="0.25">
      <c r="H95" s="2"/>
      <c r="I95" s="2"/>
    </row>
    <row r="96" spans="1:24" ht="18.75" x14ac:dyDescent="0.25">
      <c r="H96" s="2"/>
      <c r="I96" s="2"/>
      <c r="J96" s="111" t="s">
        <v>65</v>
      </c>
      <c r="K96" s="112"/>
      <c r="L96" s="113"/>
      <c r="N96" s="1"/>
      <c r="Q96" s="2"/>
    </row>
    <row r="97" spans="8:17" ht="18.75" x14ac:dyDescent="0.25">
      <c r="H97" s="2"/>
      <c r="I97" s="2"/>
      <c r="J97" s="114">
        <v>45787</v>
      </c>
      <c r="K97" s="112"/>
      <c r="L97" s="113"/>
      <c r="N97" s="1"/>
      <c r="Q97" s="2"/>
    </row>
    <row r="98" spans="8:17" ht="15.75" x14ac:dyDescent="0.25">
      <c r="H98" s="2"/>
      <c r="I98" s="2"/>
      <c r="J98" s="115" t="s">
        <v>32</v>
      </c>
      <c r="K98" s="116"/>
      <c r="L98" s="45">
        <f>K90+L90+M90</f>
        <v>631985.44000000006</v>
      </c>
      <c r="N98" s="1"/>
      <c r="Q98" s="2"/>
    </row>
    <row r="99" spans="8:17" ht="15.75" x14ac:dyDescent="0.25">
      <c r="J99" s="115" t="s">
        <v>33</v>
      </c>
      <c r="K99" s="116"/>
      <c r="L99" s="45">
        <f>V91</f>
        <v>-8045183</v>
      </c>
      <c r="N99" s="1"/>
      <c r="Q99" s="2"/>
    </row>
    <row r="100" spans="8:17" ht="15.75" x14ac:dyDescent="0.25">
      <c r="J100" s="115" t="s">
        <v>82</v>
      </c>
      <c r="K100" s="116"/>
      <c r="L100" s="45">
        <f>N90</f>
        <v>6419000.3999999985</v>
      </c>
      <c r="N100" s="1"/>
      <c r="Q100" s="2"/>
    </row>
    <row r="101" spans="8:17" ht="15.75" x14ac:dyDescent="0.25">
      <c r="J101" s="110" t="s">
        <v>34</v>
      </c>
      <c r="K101" s="110"/>
      <c r="L101" s="45"/>
      <c r="N101" s="1"/>
      <c r="Q101" s="2"/>
    </row>
    <row r="102" spans="8:17" ht="15.75" x14ac:dyDescent="0.25">
      <c r="J102" s="46" t="s">
        <v>35</v>
      </c>
      <c r="K102" s="46"/>
      <c r="L102" s="45">
        <f>O82+O73</f>
        <v>100980</v>
      </c>
      <c r="N102" s="1"/>
      <c r="Q102" s="2"/>
    </row>
    <row r="114" spans="7:10" x14ac:dyDescent="0.25">
      <c r="J114" s="16" t="s">
        <v>7</v>
      </c>
    </row>
    <row r="115" spans="7:10" x14ac:dyDescent="0.25">
      <c r="G115" s="15" t="s">
        <v>4</v>
      </c>
      <c r="H115" s="15" t="s">
        <v>5</v>
      </c>
      <c r="I115" s="16" t="s">
        <v>6</v>
      </c>
      <c r="J115" s="16">
        <f>H116*I116</f>
        <v>1010</v>
      </c>
    </row>
    <row r="116" spans="7:10" x14ac:dyDescent="0.25">
      <c r="G116" s="15" t="s">
        <v>8</v>
      </c>
      <c r="H116" s="15">
        <v>20.2</v>
      </c>
      <c r="I116" s="16">
        <v>50</v>
      </c>
      <c r="J116" s="16">
        <f>H117*I117</f>
        <v>8875</v>
      </c>
    </row>
    <row r="117" spans="7:10" x14ac:dyDescent="0.25">
      <c r="G117" s="15" t="s">
        <v>9</v>
      </c>
      <c r="H117" s="15">
        <v>35.5</v>
      </c>
      <c r="I117" s="16">
        <v>250</v>
      </c>
      <c r="J117" s="17">
        <f>SUM(J115:J116)</f>
        <v>9885</v>
      </c>
    </row>
    <row r="118" spans="7:10" x14ac:dyDescent="0.25">
      <c r="G118" s="15"/>
      <c r="H118" s="15"/>
      <c r="I118" s="17" t="s">
        <v>10</v>
      </c>
    </row>
  </sheetData>
  <mergeCells count="6">
    <mergeCell ref="J101:K101"/>
    <mergeCell ref="J96:L96"/>
    <mergeCell ref="J97:L97"/>
    <mergeCell ref="J98:K98"/>
    <mergeCell ref="J99:K99"/>
    <mergeCell ref="J100:K1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2025-05-29T10:20:21Z</dcterms:modified>
</cp:coreProperties>
</file>